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tables/table4.xml" ContentType="application/vnd.openxmlformats-officedocument.spreadsheetml.table+xml"/>
  <Override PartName="/xl/tables/table25.xml" ContentType="application/vnd.openxmlformats-officedocument.spreadsheetml.table+xml"/>
  <Override PartName="/xl/tables/table43.xml" ContentType="application/vnd.openxmlformats-officedocument.spreadsheetml.table+xml"/>
  <Override PartName="/xl/tables/table54.xml" ContentType="application/vnd.openxmlformats-officedocument.spreadsheetml.table+xml"/>
  <Override PartName="/xl/tables/table72.xml" ContentType="application/vnd.openxmlformats-officedocument.spreadsheetml.table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ables/table14.xml" ContentType="application/vnd.openxmlformats-officedocument.spreadsheetml.table+xml"/>
  <Override PartName="/xl/tables/table32.xml" ContentType="application/vnd.openxmlformats-officedocument.spreadsheetml.table+xml"/>
  <Override PartName="/xl/tables/table61.xml" ContentType="application/vnd.openxmlformats-officedocument.spreadsheetml.table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tables/table50.xml" ContentType="application/vnd.openxmlformats-officedocument.spreadsheetml.table+xml"/>
  <Default Extension="xml" ContentType="application/xml"/>
  <Override PartName="/xl/tables/table10.xml" ContentType="application/vnd.openxmlformats-officedocument.spreadsheetml.table+xml"/>
  <Override PartName="/xl/drawings/drawing2.xml" ContentType="application/vnd.openxmlformats-officedocument.drawingml.chartshapes+xml"/>
  <Override PartName="/xl/worksheets/sheet3.xml" ContentType="application/vnd.openxmlformats-officedocument.spreadsheetml.worksheet+xml"/>
  <Override PartName="/xl/tables/table9.xml" ContentType="application/vnd.openxmlformats-officedocument.spreadsheetml.table+xml"/>
  <Override PartName="/xl/tables/table59.xml" ContentType="application/vnd.openxmlformats-officedocument.spreadsheetml.table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tables/table19.xml" ContentType="application/vnd.openxmlformats-officedocument.spreadsheetml.table+xml"/>
  <Override PartName="/xl/tables/table48.xml" ContentType="application/vnd.openxmlformats-officedocument.spreadsheetml.table+xml"/>
  <Override PartName="/xl/tables/table66.xml" ContentType="application/vnd.openxmlformats-officedocument.spreadsheetml.table+xml"/>
  <Override PartName="/xl/tables/table77.xml" ContentType="application/vnd.openxmlformats-officedocument.spreadsheetml.table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tables/table5.xml" ContentType="application/vnd.openxmlformats-officedocument.spreadsheetml.table+xml"/>
  <Override PartName="/xl/tables/table17.xml" ContentType="application/vnd.openxmlformats-officedocument.spreadsheetml.table+xml"/>
  <Override PartName="/xl/tables/table26.xml" ContentType="application/vnd.openxmlformats-officedocument.spreadsheetml.table+xml"/>
  <Override PartName="/xl/tables/table28.xml" ContentType="application/vnd.openxmlformats-officedocument.spreadsheetml.table+xml"/>
  <Override PartName="/xl/tables/table37.xml" ContentType="application/vnd.openxmlformats-officedocument.spreadsheetml.table+xml"/>
  <Override PartName="/xl/tables/table46.xml" ContentType="application/vnd.openxmlformats-officedocument.spreadsheetml.table+xml"/>
  <Override PartName="/xl/tables/table55.xml" ContentType="application/vnd.openxmlformats-officedocument.spreadsheetml.table+xml"/>
  <Override PartName="/xl/tables/table64.xml" ContentType="application/vnd.openxmlformats-officedocument.spreadsheetml.table+xml"/>
  <Override PartName="/xl/tables/table73.xml" ContentType="application/vnd.openxmlformats-officedocument.spreadsheetml.table+xml"/>
  <Override PartName="/xl/tables/table75.xml" ContentType="application/vnd.openxmlformats-officedocument.spreadsheetml.table+xml"/>
  <Override PartName="/xl/tables/table84.xml" ContentType="application/vnd.openxmlformats-officedocument.spreadsheetml.table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24.xml" ContentType="application/vnd.openxmlformats-officedocument.spreadsheetml.table+xml"/>
  <Override PartName="/xl/tables/table35.xml" ContentType="application/vnd.openxmlformats-officedocument.spreadsheetml.table+xml"/>
  <Override PartName="/xl/tables/table44.xml" ContentType="application/vnd.openxmlformats-officedocument.spreadsheetml.table+xml"/>
  <Override PartName="/xl/tables/table53.xml" ContentType="application/vnd.openxmlformats-officedocument.spreadsheetml.table+xml"/>
  <Override PartName="/xl/tables/table62.xml" ContentType="application/vnd.openxmlformats-officedocument.spreadsheetml.table+xml"/>
  <Override PartName="/xl/tables/table71.xml" ContentType="application/vnd.openxmlformats-officedocument.spreadsheetml.table+xml"/>
  <Override PartName="/xl/tables/table82.xml" ContentType="application/vnd.openxmlformats-officedocument.spreadsheetml.table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tables/table33.xml" ContentType="application/vnd.openxmlformats-officedocument.spreadsheetml.table+xml"/>
  <Override PartName="/xl/tables/table42.xml" ContentType="application/vnd.openxmlformats-officedocument.spreadsheetml.table+xml"/>
  <Override PartName="/xl/tables/table51.xml" ContentType="application/vnd.openxmlformats-officedocument.spreadsheetml.table+xml"/>
  <Override PartName="/xl/tables/table60.xml" ContentType="application/vnd.openxmlformats-officedocument.spreadsheetml.table+xml"/>
  <Override PartName="/xl/tables/table80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tables/table11.xml" ContentType="application/vnd.openxmlformats-officedocument.spreadsheetml.table+xml"/>
  <Override PartName="/xl/tables/table20.xml" ContentType="application/vnd.openxmlformats-officedocument.spreadsheetml.table+xml"/>
  <Override PartName="/xl/tables/table31.xml" ContentType="application/vnd.openxmlformats-officedocument.spreadsheetml.table+xml"/>
  <Override PartName="/xl/tables/table40.xml" ContentType="application/vnd.openxmlformats-officedocument.spreadsheetml.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ables/table49.xml" ContentType="application/vnd.openxmlformats-officedocument.spreadsheetml.table+xml"/>
  <Override PartName="/xl/tables/table69.xml" ContentType="application/vnd.openxmlformats-officedocument.spreadsheetml.table+xml"/>
  <Override PartName="/xl/tables/table78.xml" ContentType="application/vnd.openxmlformats-officedocument.spreadsheetml.table+xml"/>
  <Override PartName="/xl/tables/table87.xml" ContentType="application/vnd.openxmlformats-officedocument.spreadsheetml.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tables/table8.xml" ContentType="application/vnd.openxmlformats-officedocument.spreadsheetml.table+xml"/>
  <Override PartName="/xl/tables/table29.xml" ContentType="application/vnd.openxmlformats-officedocument.spreadsheetml.table+xml"/>
  <Override PartName="/xl/tables/table38.xml" ContentType="application/vnd.openxmlformats-officedocument.spreadsheetml.table+xml"/>
  <Override PartName="/xl/tables/table47.xml" ContentType="application/vnd.openxmlformats-officedocument.spreadsheetml.table+xml"/>
  <Override PartName="/xl/tables/table58.xml" ContentType="application/vnd.openxmlformats-officedocument.spreadsheetml.table+xml"/>
  <Override PartName="/xl/tables/table67.xml" ContentType="application/vnd.openxmlformats-officedocument.spreadsheetml.table+xml"/>
  <Override PartName="/xl/tables/table76.xml" ContentType="application/vnd.openxmlformats-officedocument.spreadsheetml.table+xml"/>
  <Override PartName="/xl/tables/table85.xml" ContentType="application/vnd.openxmlformats-officedocument.spreadsheetml.table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tables/table6.xml" ContentType="application/vnd.openxmlformats-officedocument.spreadsheetml.table+xml"/>
  <Override PartName="/xl/tables/table18.xml" ContentType="application/vnd.openxmlformats-officedocument.spreadsheetml.table+xml"/>
  <Override PartName="/xl/tables/table27.xml" ContentType="application/vnd.openxmlformats-officedocument.spreadsheetml.table+xml"/>
  <Override PartName="/xl/tables/table36.xml" ContentType="application/vnd.openxmlformats-officedocument.spreadsheetml.table+xml"/>
  <Override PartName="/xl/tables/table45.xml" ContentType="application/vnd.openxmlformats-officedocument.spreadsheetml.table+xml"/>
  <Override PartName="/xl/tables/table56.xml" ContentType="application/vnd.openxmlformats-officedocument.spreadsheetml.table+xml"/>
  <Override PartName="/xl/tables/table65.xml" ContentType="application/vnd.openxmlformats-officedocument.spreadsheetml.table+xml"/>
  <Override PartName="/xl/tables/table74.xml" ContentType="application/vnd.openxmlformats-officedocument.spreadsheetml.table+xml"/>
  <Override PartName="/xl/tables/table83.xml" ContentType="application/vnd.openxmlformats-officedocument.spreadsheetml.table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tables/table16.xml" ContentType="application/vnd.openxmlformats-officedocument.spreadsheetml.table+xml"/>
  <Override PartName="/xl/tables/table34.xml" ContentType="application/vnd.openxmlformats-officedocument.spreadsheetml.table+xml"/>
  <Override PartName="/xl/tables/table63.xml" ContentType="application/vnd.openxmlformats-officedocument.spreadsheetml.table+xml"/>
  <Override PartName="/xl/tables/table81.xml" ContentType="application/vnd.openxmlformats-officedocument.spreadsheetml.table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tables/table2.xml" ContentType="application/vnd.openxmlformats-officedocument.spreadsheetml.table+xml"/>
  <Override PartName="/xl/tables/table23.xml" ContentType="application/vnd.openxmlformats-officedocument.spreadsheetml.table+xml"/>
  <Override PartName="/xl/tables/table41.xml" ContentType="application/vnd.openxmlformats-officedocument.spreadsheetml.table+xml"/>
  <Override PartName="/xl/tables/table52.xml" ContentType="application/vnd.openxmlformats-officedocument.spreadsheetml.table+xml"/>
  <Override PartName="/xl/tables/table70.xml" ContentType="application/vnd.openxmlformats-officedocument.spreadsheetml.table+xml"/>
  <Override PartName="/xl/worksheets/sheet11.xml" ContentType="application/vnd.openxmlformats-officedocument.spreadsheetml.worksheet+xml"/>
  <Override PartName="/xl/tables/table12.xml" ContentType="application/vnd.openxmlformats-officedocument.spreadsheetml.table+xml"/>
  <Override PartName="/xl/tables/table30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tables/table68.xml" ContentType="application/vnd.openxmlformats-officedocument.spreadsheetml.table+xml"/>
  <Override PartName="/xl/tables/table79.xml" ContentType="application/vnd.openxmlformats-officedocument.spreadsheetml.table+xml"/>
  <Override PartName="/xl/tables/table7.xml" ContentType="application/vnd.openxmlformats-officedocument.spreadsheetml.table+xml"/>
  <Override PartName="/xl/tables/table39.xml" ContentType="application/vnd.openxmlformats-officedocument.spreadsheetml.table+xml"/>
  <Override PartName="/xl/tables/table57.xml" ContentType="application/vnd.openxmlformats-officedocument.spreadsheetml.table+xml"/>
  <Override PartName="/xl/tables/table86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4415" windowHeight="14580" activeTab="34"/>
  </bookViews>
  <sheets>
    <sheet name="All Old Data" sheetId="1" r:id="rId1"/>
    <sheet name="All New Data" sheetId="2" r:id="rId2"/>
    <sheet name="Old Pre 4 vs. Post 8" sheetId="3" r:id="rId3"/>
    <sheet name="New Pre 4 vs. Post 8" sheetId="4" r:id="rId4"/>
    <sheet name="Comparison Pre 4 vs. Post 8" sheetId="5" r:id="rId5"/>
    <sheet name="New vs. Old Post 11" sheetId="6" r:id="rId6"/>
    <sheet name="Old Pre 9 vs. Post 2" sheetId="7" r:id="rId7"/>
    <sheet name="New Pre 9 vs. Post 2" sheetId="8" r:id="rId8"/>
    <sheet name="Comparison Pre 9 vs. Post 2" sheetId="9" r:id="rId9"/>
    <sheet name="Old Pre 10 vs. Post 3" sheetId="10" r:id="rId10"/>
    <sheet name="New Pre 10 vs. Post 3" sheetId="11" r:id="rId11"/>
    <sheet name="Comparison Pre 10 vs. Post 3" sheetId="12" r:id="rId12"/>
    <sheet name="Old Pre 11 vs. Post 4" sheetId="13" r:id="rId13"/>
    <sheet name="New Pre 11 vs. Post 4" sheetId="14" r:id="rId14"/>
    <sheet name="Comparison Pre 11 vs. Post 4" sheetId="15" r:id="rId15"/>
    <sheet name="Gemma vs. Rosemary Pre9 Post2" sheetId="16" r:id="rId16"/>
    <sheet name="Old vs. New Post 9" sheetId="17" r:id="rId17"/>
    <sheet name="Old vs. New Post 6" sheetId="20" r:id="rId18"/>
    <sheet name="Old vs. New Post 10" sheetId="21" r:id="rId19"/>
    <sheet name="Old vs. New Post 7" sheetId="22" r:id="rId20"/>
    <sheet name="Old vs. New Post 5" sheetId="23" r:id="rId21"/>
    <sheet name="New vs. Old Gender" sheetId="25" r:id="rId22"/>
    <sheet name="New - Gender - 9&amp;2" sheetId="26" r:id="rId23"/>
    <sheet name="Old - Gender - 9&amp;2" sheetId="27" r:id="rId24"/>
    <sheet name="Compare Gender 9&amp;2" sheetId="28" r:id="rId25"/>
    <sheet name="New - Pre3 - 11&amp;4" sheetId="29" r:id="rId26"/>
    <sheet name="Old - Pre3 - 11&amp;4" sheetId="30" r:id="rId27"/>
    <sheet name="Compare Pre3 11&amp;4" sheetId="31" r:id="rId28"/>
    <sheet name="New - Pre5 - 9&amp;2" sheetId="34" r:id="rId29"/>
    <sheet name="Old - Pre5 - 9&amp;2" sheetId="35" r:id="rId30"/>
    <sheet name="Compare pre5 9&amp;2" sheetId="36" r:id="rId31"/>
    <sheet name="New - Pre6 - 10&amp;3" sheetId="37" r:id="rId32"/>
    <sheet name="Old - Pre6 - 10&amp;3" sheetId="38" r:id="rId33"/>
    <sheet name="Compare Pre6 10&amp;3" sheetId="39" r:id="rId34"/>
    <sheet name="Graph - Use vs TT Understanding" sheetId="40" r:id="rId35"/>
  </sheets>
  <calcPr calcId="125725"/>
</workbook>
</file>

<file path=xl/calcChain.xml><?xml version="1.0" encoding="utf-8"?>
<calcChain xmlns="http://schemas.openxmlformats.org/spreadsheetml/2006/main">
  <c r="E14" i="40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13"/>
  <c r="D8"/>
  <c r="H14" s="1"/>
  <c r="C8"/>
  <c r="K15" s="1"/>
  <c r="B112" i="38"/>
  <c r="B111"/>
  <c r="R25"/>
  <c r="T25" s="1"/>
  <c r="Q25"/>
  <c r="S25" s="1"/>
  <c r="L25"/>
  <c r="K25"/>
  <c r="J25"/>
  <c r="I25"/>
  <c r="R24"/>
  <c r="T24" s="1"/>
  <c r="L24"/>
  <c r="K24"/>
  <c r="O25" s="1"/>
  <c r="P25" s="1"/>
  <c r="J24"/>
  <c r="I24"/>
  <c r="R23"/>
  <c r="T23" s="1"/>
  <c r="Q23"/>
  <c r="S23" s="1"/>
  <c r="L23"/>
  <c r="K23"/>
  <c r="J23"/>
  <c r="I23"/>
  <c r="R22"/>
  <c r="T22" s="1"/>
  <c r="L22"/>
  <c r="K22"/>
  <c r="J22"/>
  <c r="I22"/>
  <c r="R21"/>
  <c r="T21" s="1"/>
  <c r="Q21"/>
  <c r="S21" s="1"/>
  <c r="L21"/>
  <c r="K21"/>
  <c r="J21"/>
  <c r="I21"/>
  <c r="R20"/>
  <c r="T20" s="1"/>
  <c r="L20"/>
  <c r="K20"/>
  <c r="J20"/>
  <c r="I20"/>
  <c r="R19"/>
  <c r="T19" s="1"/>
  <c r="Q19"/>
  <c r="S19" s="1"/>
  <c r="L19"/>
  <c r="K19"/>
  <c r="J19"/>
  <c r="I19"/>
  <c r="R18"/>
  <c r="T18" s="1"/>
  <c r="L18"/>
  <c r="K18"/>
  <c r="J18"/>
  <c r="I18"/>
  <c r="R17"/>
  <c r="T17" s="1"/>
  <c r="Q17"/>
  <c r="S17" s="1"/>
  <c r="L17"/>
  <c r="K17"/>
  <c r="J17"/>
  <c r="I17"/>
  <c r="R16"/>
  <c r="T16" s="1"/>
  <c r="L16"/>
  <c r="K16"/>
  <c r="J16"/>
  <c r="I16"/>
  <c r="R15"/>
  <c r="T15" s="1"/>
  <c r="Q15"/>
  <c r="S15" s="1"/>
  <c r="L15"/>
  <c r="K15"/>
  <c r="J15"/>
  <c r="I15"/>
  <c r="R14"/>
  <c r="T14" s="1"/>
  <c r="L14"/>
  <c r="K14"/>
  <c r="J14"/>
  <c r="I14"/>
  <c r="R13"/>
  <c r="T13" s="1"/>
  <c r="Q13"/>
  <c r="S13" s="1"/>
  <c r="L13"/>
  <c r="K13"/>
  <c r="J13"/>
  <c r="I13"/>
  <c r="R12"/>
  <c r="T12" s="1"/>
  <c r="L12"/>
  <c r="K12"/>
  <c r="J12"/>
  <c r="I12"/>
  <c r="R11"/>
  <c r="T11" s="1"/>
  <c r="Q11"/>
  <c r="S11" s="1"/>
  <c r="L11"/>
  <c r="K11"/>
  <c r="J11"/>
  <c r="I11"/>
  <c r="R10"/>
  <c r="T10" s="1"/>
  <c r="L10"/>
  <c r="K10"/>
  <c r="J10"/>
  <c r="I10"/>
  <c r="R9"/>
  <c r="T9" s="1"/>
  <c r="Q9"/>
  <c r="S9" s="1"/>
  <c r="L9"/>
  <c r="K9"/>
  <c r="J9"/>
  <c r="I9"/>
  <c r="R8"/>
  <c r="T8" s="1"/>
  <c r="L8"/>
  <c r="K8"/>
  <c r="J8"/>
  <c r="I8"/>
  <c r="R7"/>
  <c r="T7" s="1"/>
  <c r="Q7"/>
  <c r="S7" s="1"/>
  <c r="L7"/>
  <c r="K7"/>
  <c r="J7"/>
  <c r="I7"/>
  <c r="R6"/>
  <c r="T6" s="1"/>
  <c r="Q6"/>
  <c r="S6" s="1"/>
  <c r="L6"/>
  <c r="K6"/>
  <c r="J6"/>
  <c r="I6"/>
  <c r="R5"/>
  <c r="T5" s="1"/>
  <c r="Q5"/>
  <c r="S5" s="1"/>
  <c r="L5"/>
  <c r="K5"/>
  <c r="J5"/>
  <c r="I5"/>
  <c r="R4"/>
  <c r="T4" s="1"/>
  <c r="Q4"/>
  <c r="S4" s="1"/>
  <c r="L4"/>
  <c r="K4"/>
  <c r="J4"/>
  <c r="I4"/>
  <c r="R3"/>
  <c r="T3" s="1"/>
  <c r="L3"/>
  <c r="K3"/>
  <c r="J3"/>
  <c r="I3"/>
  <c r="R2"/>
  <c r="T2" s="1"/>
  <c r="L2"/>
  <c r="K2"/>
  <c r="J2"/>
  <c r="I2"/>
  <c r="R71"/>
  <c r="T71" s="1"/>
  <c r="L71"/>
  <c r="K71"/>
  <c r="J71"/>
  <c r="I71"/>
  <c r="R69"/>
  <c r="T69" s="1"/>
  <c r="Q69"/>
  <c r="S69" s="1"/>
  <c r="L69"/>
  <c r="K69"/>
  <c r="J69"/>
  <c r="I69"/>
  <c r="R67"/>
  <c r="T67" s="1"/>
  <c r="L67"/>
  <c r="K67"/>
  <c r="J67"/>
  <c r="I67"/>
  <c r="R65"/>
  <c r="T65" s="1"/>
  <c r="Q65"/>
  <c r="S65" s="1"/>
  <c r="L65"/>
  <c r="K65"/>
  <c r="J65"/>
  <c r="I65"/>
  <c r="R63"/>
  <c r="T63" s="1"/>
  <c r="L63"/>
  <c r="K63"/>
  <c r="J63"/>
  <c r="I63"/>
  <c r="R61"/>
  <c r="T61" s="1"/>
  <c r="Q61"/>
  <c r="S61" s="1"/>
  <c r="L61"/>
  <c r="K61"/>
  <c r="J61"/>
  <c r="I61"/>
  <c r="R59"/>
  <c r="T59" s="1"/>
  <c r="L59"/>
  <c r="K59"/>
  <c r="J59"/>
  <c r="I59"/>
  <c r="R57"/>
  <c r="T57" s="1"/>
  <c r="Q57"/>
  <c r="S57" s="1"/>
  <c r="L57"/>
  <c r="K57"/>
  <c r="J57"/>
  <c r="I57"/>
  <c r="R55"/>
  <c r="T55" s="1"/>
  <c r="L55"/>
  <c r="K55"/>
  <c r="J55"/>
  <c r="I55"/>
  <c r="R53"/>
  <c r="T53" s="1"/>
  <c r="Q53"/>
  <c r="S53" s="1"/>
  <c r="L53"/>
  <c r="K53"/>
  <c r="J53"/>
  <c r="I53"/>
  <c r="R51"/>
  <c r="T51" s="1"/>
  <c r="L51"/>
  <c r="K51"/>
  <c r="J51"/>
  <c r="I51"/>
  <c r="R49"/>
  <c r="T49" s="1"/>
  <c r="Q49"/>
  <c r="S49" s="1"/>
  <c r="L49"/>
  <c r="K49"/>
  <c r="J49"/>
  <c r="I49"/>
  <c r="R47"/>
  <c r="T47" s="1"/>
  <c r="L47"/>
  <c r="K47"/>
  <c r="J47"/>
  <c r="I47"/>
  <c r="R45"/>
  <c r="T45" s="1"/>
  <c r="Q45"/>
  <c r="S45" s="1"/>
  <c r="L45"/>
  <c r="K45"/>
  <c r="J45"/>
  <c r="I45"/>
  <c r="R43"/>
  <c r="T43" s="1"/>
  <c r="L43"/>
  <c r="K43"/>
  <c r="J43"/>
  <c r="I43"/>
  <c r="R41"/>
  <c r="T41" s="1"/>
  <c r="Q41"/>
  <c r="S41" s="1"/>
  <c r="L41"/>
  <c r="K41"/>
  <c r="J41"/>
  <c r="I41"/>
  <c r="R39"/>
  <c r="T39" s="1"/>
  <c r="L39"/>
  <c r="K39"/>
  <c r="J39"/>
  <c r="I39"/>
  <c r="R37"/>
  <c r="T37" s="1"/>
  <c r="Q37"/>
  <c r="S37" s="1"/>
  <c r="L37"/>
  <c r="K37"/>
  <c r="J37"/>
  <c r="I37"/>
  <c r="R35"/>
  <c r="T35" s="1"/>
  <c r="L35"/>
  <c r="K35"/>
  <c r="J35"/>
  <c r="I35"/>
  <c r="R33"/>
  <c r="T33" s="1"/>
  <c r="Q33"/>
  <c r="S33" s="1"/>
  <c r="L33"/>
  <c r="K33"/>
  <c r="J33"/>
  <c r="I33"/>
  <c r="R31"/>
  <c r="T31" s="1"/>
  <c r="L31"/>
  <c r="K31"/>
  <c r="J31"/>
  <c r="I31"/>
  <c r="R29"/>
  <c r="T29" s="1"/>
  <c r="Q29"/>
  <c r="S29" s="1"/>
  <c r="L29"/>
  <c r="K29"/>
  <c r="J29"/>
  <c r="I29"/>
  <c r="R27"/>
  <c r="T27" s="1"/>
  <c r="L27"/>
  <c r="K27"/>
  <c r="J27"/>
  <c r="I27"/>
  <c r="R106"/>
  <c r="T106" s="1"/>
  <c r="Q106"/>
  <c r="S106" s="1"/>
  <c r="L106"/>
  <c r="K106"/>
  <c r="J106"/>
  <c r="I106"/>
  <c r="R105"/>
  <c r="T105" s="1"/>
  <c r="L105"/>
  <c r="K105"/>
  <c r="J105"/>
  <c r="I105"/>
  <c r="R103"/>
  <c r="T103" s="1"/>
  <c r="Q103"/>
  <c r="S103" s="1"/>
  <c r="L103"/>
  <c r="K103"/>
  <c r="J103"/>
  <c r="I103"/>
  <c r="R101"/>
  <c r="T101" s="1"/>
  <c r="L101"/>
  <c r="K101"/>
  <c r="J101"/>
  <c r="I101"/>
  <c r="R99"/>
  <c r="T99" s="1"/>
  <c r="Q99"/>
  <c r="S99" s="1"/>
  <c r="L99"/>
  <c r="K99"/>
  <c r="J99"/>
  <c r="I99"/>
  <c r="R97"/>
  <c r="T97" s="1"/>
  <c r="L97"/>
  <c r="K97"/>
  <c r="J97"/>
  <c r="I97"/>
  <c r="R95"/>
  <c r="T95" s="1"/>
  <c r="Q95"/>
  <c r="S95" s="1"/>
  <c r="L95"/>
  <c r="K95"/>
  <c r="J95"/>
  <c r="I95"/>
  <c r="R93"/>
  <c r="T93" s="1"/>
  <c r="L93"/>
  <c r="K93"/>
  <c r="J93"/>
  <c r="I93"/>
  <c r="R91"/>
  <c r="T91" s="1"/>
  <c r="Q91"/>
  <c r="S91" s="1"/>
  <c r="L91"/>
  <c r="K91"/>
  <c r="J91"/>
  <c r="I91"/>
  <c r="R89"/>
  <c r="T89" s="1"/>
  <c r="L89"/>
  <c r="K89"/>
  <c r="J89"/>
  <c r="I89"/>
  <c r="R87"/>
  <c r="T87" s="1"/>
  <c r="Q87"/>
  <c r="S87" s="1"/>
  <c r="L87"/>
  <c r="K87"/>
  <c r="J87"/>
  <c r="I87"/>
  <c r="R85"/>
  <c r="T85" s="1"/>
  <c r="L85"/>
  <c r="K85"/>
  <c r="J85"/>
  <c r="I85"/>
  <c r="R83"/>
  <c r="T83" s="1"/>
  <c r="Q83"/>
  <c r="S83" s="1"/>
  <c r="L83"/>
  <c r="K83"/>
  <c r="J83"/>
  <c r="I83"/>
  <c r="R81"/>
  <c r="T81" s="1"/>
  <c r="L81"/>
  <c r="K81"/>
  <c r="J81"/>
  <c r="I81"/>
  <c r="R79"/>
  <c r="T79" s="1"/>
  <c r="Q79"/>
  <c r="S79" s="1"/>
  <c r="L79"/>
  <c r="K79"/>
  <c r="J79"/>
  <c r="I79"/>
  <c r="R77"/>
  <c r="T77" s="1"/>
  <c r="L77"/>
  <c r="K77"/>
  <c r="J77"/>
  <c r="I77"/>
  <c r="R75"/>
  <c r="T75" s="1"/>
  <c r="Q75"/>
  <c r="S75" s="1"/>
  <c r="L75"/>
  <c r="K75"/>
  <c r="J75"/>
  <c r="I75"/>
  <c r="R73"/>
  <c r="T73" s="1"/>
  <c r="L73"/>
  <c r="K73"/>
  <c r="J73"/>
  <c r="I73"/>
  <c r="R70"/>
  <c r="T70" s="1"/>
  <c r="Q70"/>
  <c r="S70" s="1"/>
  <c r="L70"/>
  <c r="K70"/>
  <c r="J70"/>
  <c r="I70"/>
  <c r="R68"/>
  <c r="T68" s="1"/>
  <c r="L68"/>
  <c r="K68"/>
  <c r="O70" s="1"/>
  <c r="P70" s="1"/>
  <c r="J68"/>
  <c r="I68"/>
  <c r="R66"/>
  <c r="T66" s="1"/>
  <c r="Q66"/>
  <c r="S66" s="1"/>
  <c r="L66"/>
  <c r="K66"/>
  <c r="J66"/>
  <c r="I66"/>
  <c r="R64"/>
  <c r="T64" s="1"/>
  <c r="L64"/>
  <c r="K64"/>
  <c r="O66" s="1"/>
  <c r="P66" s="1"/>
  <c r="J64"/>
  <c r="I64"/>
  <c r="R62"/>
  <c r="T62" s="1"/>
  <c r="Q62"/>
  <c r="S62" s="1"/>
  <c r="L62"/>
  <c r="K62"/>
  <c r="J62"/>
  <c r="I62"/>
  <c r="R60"/>
  <c r="T60" s="1"/>
  <c r="L60"/>
  <c r="K60"/>
  <c r="O62" s="1"/>
  <c r="P62" s="1"/>
  <c r="J60"/>
  <c r="I60"/>
  <c r="R58"/>
  <c r="T58" s="1"/>
  <c r="Q58"/>
  <c r="S58" s="1"/>
  <c r="L58"/>
  <c r="K58"/>
  <c r="J58"/>
  <c r="I58"/>
  <c r="R56"/>
  <c r="T56" s="1"/>
  <c r="L56"/>
  <c r="K56"/>
  <c r="J56"/>
  <c r="I56"/>
  <c r="R54"/>
  <c r="T54" s="1"/>
  <c r="Q54"/>
  <c r="S54" s="1"/>
  <c r="L54"/>
  <c r="K54"/>
  <c r="J54"/>
  <c r="I54"/>
  <c r="R52"/>
  <c r="T52" s="1"/>
  <c r="L52"/>
  <c r="K52"/>
  <c r="J52"/>
  <c r="I52"/>
  <c r="R50"/>
  <c r="T50" s="1"/>
  <c r="Q50"/>
  <c r="S50" s="1"/>
  <c r="L50"/>
  <c r="K50"/>
  <c r="J50"/>
  <c r="I50"/>
  <c r="R48"/>
  <c r="T48" s="1"/>
  <c r="L48"/>
  <c r="K48"/>
  <c r="J48"/>
  <c r="I48"/>
  <c r="R46"/>
  <c r="T46" s="1"/>
  <c r="Q46"/>
  <c r="S46" s="1"/>
  <c r="L46"/>
  <c r="K46"/>
  <c r="J46"/>
  <c r="I46"/>
  <c r="Q44"/>
  <c r="S44" s="1"/>
  <c r="L44"/>
  <c r="K44"/>
  <c r="J44"/>
  <c r="I44"/>
  <c r="R42"/>
  <c r="T42" s="1"/>
  <c r="Q42"/>
  <c r="S42" s="1"/>
  <c r="L42"/>
  <c r="K42"/>
  <c r="J42"/>
  <c r="I42"/>
  <c r="Q40"/>
  <c r="S40" s="1"/>
  <c r="L40"/>
  <c r="K40"/>
  <c r="J40"/>
  <c r="I40"/>
  <c r="R38"/>
  <c r="T38" s="1"/>
  <c r="Q38"/>
  <c r="S38" s="1"/>
  <c r="L38"/>
  <c r="K38"/>
  <c r="J38"/>
  <c r="I38"/>
  <c r="R36"/>
  <c r="T36" s="1"/>
  <c r="L36"/>
  <c r="K36"/>
  <c r="J36"/>
  <c r="I36"/>
  <c r="R34"/>
  <c r="T34" s="1"/>
  <c r="Q34"/>
  <c r="S34" s="1"/>
  <c r="L34"/>
  <c r="K34"/>
  <c r="J34"/>
  <c r="I34"/>
  <c r="R32"/>
  <c r="T32" s="1"/>
  <c r="L32"/>
  <c r="K32"/>
  <c r="J32"/>
  <c r="I32"/>
  <c r="R30"/>
  <c r="T30" s="1"/>
  <c r="Q30"/>
  <c r="S30" s="1"/>
  <c r="L30"/>
  <c r="K30"/>
  <c r="J30"/>
  <c r="I30"/>
  <c r="R28"/>
  <c r="T28" s="1"/>
  <c r="Q28"/>
  <c r="S28" s="1"/>
  <c r="L28"/>
  <c r="K28"/>
  <c r="J28"/>
  <c r="I28"/>
  <c r="R26"/>
  <c r="T26" s="1"/>
  <c r="Q26"/>
  <c r="S26" s="1"/>
  <c r="L26"/>
  <c r="K26"/>
  <c r="J26"/>
  <c r="I26"/>
  <c r="R104"/>
  <c r="T104" s="1"/>
  <c r="Q104"/>
  <c r="S104" s="1"/>
  <c r="L104"/>
  <c r="K104"/>
  <c r="J104"/>
  <c r="I104"/>
  <c r="R102"/>
  <c r="T102" s="1"/>
  <c r="Q102"/>
  <c r="S102" s="1"/>
  <c r="L102"/>
  <c r="K102"/>
  <c r="J102"/>
  <c r="I102"/>
  <c r="R100"/>
  <c r="T100" s="1"/>
  <c r="Q100"/>
  <c r="S100" s="1"/>
  <c r="L100"/>
  <c r="K100"/>
  <c r="J100"/>
  <c r="I100"/>
  <c r="R98"/>
  <c r="T98" s="1"/>
  <c r="Q98"/>
  <c r="S98" s="1"/>
  <c r="L98"/>
  <c r="K98"/>
  <c r="J98"/>
  <c r="I98"/>
  <c r="R96"/>
  <c r="T96" s="1"/>
  <c r="Q96"/>
  <c r="S96" s="1"/>
  <c r="L96"/>
  <c r="K96"/>
  <c r="J96"/>
  <c r="I96"/>
  <c r="R94"/>
  <c r="T94" s="1"/>
  <c r="Q94"/>
  <c r="S94" s="1"/>
  <c r="L94"/>
  <c r="K94"/>
  <c r="J94"/>
  <c r="I94"/>
  <c r="R92"/>
  <c r="T92" s="1"/>
  <c r="Q92"/>
  <c r="S92" s="1"/>
  <c r="L92"/>
  <c r="K92"/>
  <c r="J92"/>
  <c r="I92"/>
  <c r="R90"/>
  <c r="T90" s="1"/>
  <c r="Q90"/>
  <c r="S90" s="1"/>
  <c r="L90"/>
  <c r="K90"/>
  <c r="J90"/>
  <c r="I90"/>
  <c r="R88"/>
  <c r="T88" s="1"/>
  <c r="Q88"/>
  <c r="S88" s="1"/>
  <c r="L88"/>
  <c r="K88"/>
  <c r="J88"/>
  <c r="I88"/>
  <c r="R86"/>
  <c r="T86" s="1"/>
  <c r="Q86"/>
  <c r="S86" s="1"/>
  <c r="L86"/>
  <c r="K86"/>
  <c r="J86"/>
  <c r="I86"/>
  <c r="R84"/>
  <c r="T84" s="1"/>
  <c r="Q84"/>
  <c r="S84" s="1"/>
  <c r="L84"/>
  <c r="K84"/>
  <c r="J84"/>
  <c r="I84"/>
  <c r="R82"/>
  <c r="T82" s="1"/>
  <c r="Q82"/>
  <c r="S82" s="1"/>
  <c r="L82"/>
  <c r="K82"/>
  <c r="J82"/>
  <c r="I82"/>
  <c r="R80"/>
  <c r="T80" s="1"/>
  <c r="Q80"/>
  <c r="S80" s="1"/>
  <c r="L80"/>
  <c r="K80"/>
  <c r="J80"/>
  <c r="I80"/>
  <c r="R78"/>
  <c r="T78" s="1"/>
  <c r="Q78"/>
  <c r="S78" s="1"/>
  <c r="L78"/>
  <c r="K78"/>
  <c r="J78"/>
  <c r="I78"/>
  <c r="R76"/>
  <c r="T76" s="1"/>
  <c r="Q76"/>
  <c r="S76" s="1"/>
  <c r="L76"/>
  <c r="K76"/>
  <c r="J76"/>
  <c r="I76"/>
  <c r="R74"/>
  <c r="T74" s="1"/>
  <c r="Q74"/>
  <c r="S74" s="1"/>
  <c r="L74"/>
  <c r="K74"/>
  <c r="J74"/>
  <c r="I74"/>
  <c r="R72"/>
  <c r="Q72"/>
  <c r="L72"/>
  <c r="L107" s="1"/>
  <c r="K72"/>
  <c r="J72"/>
  <c r="J107" s="1"/>
  <c r="I72"/>
  <c r="B164" i="37"/>
  <c r="B163"/>
  <c r="R128"/>
  <c r="T128" s="1"/>
  <c r="L128"/>
  <c r="K128"/>
  <c r="J128"/>
  <c r="I128"/>
  <c r="R127"/>
  <c r="T127" s="1"/>
  <c r="Q127"/>
  <c r="S127" s="1"/>
  <c r="L127"/>
  <c r="K127"/>
  <c r="J127"/>
  <c r="I127"/>
  <c r="Q126"/>
  <c r="S126" s="1"/>
  <c r="L126"/>
  <c r="K126"/>
  <c r="J126"/>
  <c r="I126"/>
  <c r="R125"/>
  <c r="T125" s="1"/>
  <c r="Q125"/>
  <c r="S125" s="1"/>
  <c r="L125"/>
  <c r="K125"/>
  <c r="J125"/>
  <c r="I125"/>
  <c r="R124"/>
  <c r="T124" s="1"/>
  <c r="L124"/>
  <c r="K124"/>
  <c r="J124"/>
  <c r="I124"/>
  <c r="R123"/>
  <c r="T123" s="1"/>
  <c r="Q123"/>
  <c r="S123" s="1"/>
  <c r="L123"/>
  <c r="K123"/>
  <c r="J123"/>
  <c r="I123"/>
  <c r="R122"/>
  <c r="T122" s="1"/>
  <c r="L122"/>
  <c r="K122"/>
  <c r="J122"/>
  <c r="I122"/>
  <c r="R121"/>
  <c r="T121" s="1"/>
  <c r="Q121"/>
  <c r="S121" s="1"/>
  <c r="L121"/>
  <c r="K121"/>
  <c r="J121"/>
  <c r="I121"/>
  <c r="R120"/>
  <c r="T120" s="1"/>
  <c r="L120"/>
  <c r="K120"/>
  <c r="J120"/>
  <c r="I120"/>
  <c r="R119"/>
  <c r="T119" s="1"/>
  <c r="Q119"/>
  <c r="S119" s="1"/>
  <c r="L119"/>
  <c r="K119"/>
  <c r="J119"/>
  <c r="I119"/>
  <c r="R118"/>
  <c r="T118" s="1"/>
  <c r="L118"/>
  <c r="K118"/>
  <c r="J118"/>
  <c r="I118"/>
  <c r="R117"/>
  <c r="T117" s="1"/>
  <c r="Q117"/>
  <c r="S117" s="1"/>
  <c r="L117"/>
  <c r="K117"/>
  <c r="J117"/>
  <c r="I117"/>
  <c r="R116"/>
  <c r="T116" s="1"/>
  <c r="L116"/>
  <c r="K116"/>
  <c r="J116"/>
  <c r="I116"/>
  <c r="R115"/>
  <c r="T115" s="1"/>
  <c r="Q115"/>
  <c r="S115" s="1"/>
  <c r="L115"/>
  <c r="K115"/>
  <c r="J115"/>
  <c r="I115"/>
  <c r="R114"/>
  <c r="T114" s="1"/>
  <c r="L114"/>
  <c r="K114"/>
  <c r="J114"/>
  <c r="I114"/>
  <c r="R20"/>
  <c r="T20" s="1"/>
  <c r="Q20"/>
  <c r="S20" s="1"/>
  <c r="L20"/>
  <c r="K20"/>
  <c r="J20"/>
  <c r="I20"/>
  <c r="R19"/>
  <c r="T19" s="1"/>
  <c r="L19"/>
  <c r="K19"/>
  <c r="J19"/>
  <c r="I19"/>
  <c r="R18"/>
  <c r="T18" s="1"/>
  <c r="Q18"/>
  <c r="S18" s="1"/>
  <c r="L18"/>
  <c r="K18"/>
  <c r="J18"/>
  <c r="I18"/>
  <c r="R17"/>
  <c r="T17" s="1"/>
  <c r="L17"/>
  <c r="K17"/>
  <c r="J17"/>
  <c r="I17"/>
  <c r="R16"/>
  <c r="T16" s="1"/>
  <c r="Q16"/>
  <c r="S16" s="1"/>
  <c r="L16"/>
  <c r="K16"/>
  <c r="J16"/>
  <c r="I16"/>
  <c r="R15"/>
  <c r="T15" s="1"/>
  <c r="L15"/>
  <c r="K15"/>
  <c r="J15"/>
  <c r="I15"/>
  <c r="R14"/>
  <c r="T14" s="1"/>
  <c r="Q14"/>
  <c r="S14" s="1"/>
  <c r="L14"/>
  <c r="K14"/>
  <c r="J14"/>
  <c r="I14"/>
  <c r="R13"/>
  <c r="T13" s="1"/>
  <c r="L13"/>
  <c r="K13"/>
  <c r="J13"/>
  <c r="I13"/>
  <c r="R12"/>
  <c r="T12" s="1"/>
  <c r="Q12"/>
  <c r="S12" s="1"/>
  <c r="L12"/>
  <c r="K12"/>
  <c r="J12"/>
  <c r="I12"/>
  <c r="R11"/>
  <c r="T11" s="1"/>
  <c r="L11"/>
  <c r="K11"/>
  <c r="J11"/>
  <c r="I11"/>
  <c r="R10"/>
  <c r="T10" s="1"/>
  <c r="Q10"/>
  <c r="S10" s="1"/>
  <c r="L10"/>
  <c r="K10"/>
  <c r="J10"/>
  <c r="I10"/>
  <c r="R9"/>
  <c r="T9" s="1"/>
  <c r="L9"/>
  <c r="K9"/>
  <c r="J9"/>
  <c r="I9"/>
  <c r="R8"/>
  <c r="T8" s="1"/>
  <c r="Q8"/>
  <c r="S8" s="1"/>
  <c r="L8"/>
  <c r="K8"/>
  <c r="J8"/>
  <c r="I8"/>
  <c r="R7"/>
  <c r="T7" s="1"/>
  <c r="L7"/>
  <c r="K7"/>
  <c r="J7"/>
  <c r="I7"/>
  <c r="R6"/>
  <c r="T6" s="1"/>
  <c r="Q6"/>
  <c r="S6" s="1"/>
  <c r="L6"/>
  <c r="K6"/>
  <c r="J6"/>
  <c r="I6"/>
  <c r="R5"/>
  <c r="T5" s="1"/>
  <c r="Q5"/>
  <c r="S5" s="1"/>
  <c r="L5"/>
  <c r="K5"/>
  <c r="J5"/>
  <c r="I5"/>
  <c r="R4"/>
  <c r="T4" s="1"/>
  <c r="Q4"/>
  <c r="S4" s="1"/>
  <c r="L4"/>
  <c r="K4"/>
  <c r="J4"/>
  <c r="I4"/>
  <c r="R3"/>
  <c r="T3" s="1"/>
  <c r="Q3"/>
  <c r="S3" s="1"/>
  <c r="L3"/>
  <c r="K3"/>
  <c r="J3"/>
  <c r="I3"/>
  <c r="R2"/>
  <c r="T2" s="1"/>
  <c r="Q2"/>
  <c r="S2" s="1"/>
  <c r="L2"/>
  <c r="K2"/>
  <c r="J2"/>
  <c r="I2"/>
  <c r="R113"/>
  <c r="T113" s="1"/>
  <c r="Q113"/>
  <c r="S113" s="1"/>
  <c r="L113"/>
  <c r="K113"/>
  <c r="J113"/>
  <c r="I113"/>
  <c r="R111"/>
  <c r="T111" s="1"/>
  <c r="Q111"/>
  <c r="S111" s="1"/>
  <c r="L111"/>
  <c r="K111"/>
  <c r="J111"/>
  <c r="I111"/>
  <c r="R109"/>
  <c r="T109" s="1"/>
  <c r="Q109"/>
  <c r="S109" s="1"/>
  <c r="L109"/>
  <c r="K109"/>
  <c r="J109"/>
  <c r="I109"/>
  <c r="R107"/>
  <c r="T107" s="1"/>
  <c r="Q107"/>
  <c r="S107" s="1"/>
  <c r="L107"/>
  <c r="K107"/>
  <c r="J107"/>
  <c r="I107"/>
  <c r="R105"/>
  <c r="T105" s="1"/>
  <c r="Q105"/>
  <c r="S105" s="1"/>
  <c r="L105"/>
  <c r="K105"/>
  <c r="J105"/>
  <c r="I105"/>
  <c r="R103"/>
  <c r="T103" s="1"/>
  <c r="Q103"/>
  <c r="S103" s="1"/>
  <c r="L103"/>
  <c r="K103"/>
  <c r="J103"/>
  <c r="I103"/>
  <c r="R101"/>
  <c r="T101" s="1"/>
  <c r="Q101"/>
  <c r="S101" s="1"/>
  <c r="L101"/>
  <c r="K101"/>
  <c r="J101"/>
  <c r="I101"/>
  <c r="R99"/>
  <c r="T99" s="1"/>
  <c r="Q99"/>
  <c r="S99" s="1"/>
  <c r="L99"/>
  <c r="K99"/>
  <c r="J99"/>
  <c r="I99"/>
  <c r="R97"/>
  <c r="T97" s="1"/>
  <c r="Q97"/>
  <c r="S97" s="1"/>
  <c r="L97"/>
  <c r="K97"/>
  <c r="J97"/>
  <c r="I97"/>
  <c r="R95"/>
  <c r="T95" s="1"/>
  <c r="Q95"/>
  <c r="S95" s="1"/>
  <c r="L95"/>
  <c r="K95"/>
  <c r="J95"/>
  <c r="I95"/>
  <c r="R93"/>
  <c r="T93" s="1"/>
  <c r="Q93"/>
  <c r="S93" s="1"/>
  <c r="L93"/>
  <c r="K93"/>
  <c r="J93"/>
  <c r="I93"/>
  <c r="R91"/>
  <c r="T91" s="1"/>
  <c r="L91"/>
  <c r="K91"/>
  <c r="J91"/>
  <c r="I91"/>
  <c r="R89"/>
  <c r="T89" s="1"/>
  <c r="Q89"/>
  <c r="S89" s="1"/>
  <c r="L89"/>
  <c r="K89"/>
  <c r="J89"/>
  <c r="I89"/>
  <c r="R158"/>
  <c r="T158" s="1"/>
  <c r="L158"/>
  <c r="K158"/>
  <c r="J158"/>
  <c r="I158"/>
  <c r="R156"/>
  <c r="T156" s="1"/>
  <c r="Q156"/>
  <c r="S156" s="1"/>
  <c r="L156"/>
  <c r="K156"/>
  <c r="J156"/>
  <c r="I156"/>
  <c r="R154"/>
  <c r="T154" s="1"/>
  <c r="L154"/>
  <c r="K154"/>
  <c r="J154"/>
  <c r="I154"/>
  <c r="R152"/>
  <c r="T152" s="1"/>
  <c r="Q152"/>
  <c r="S152" s="1"/>
  <c r="L152"/>
  <c r="K152"/>
  <c r="J152"/>
  <c r="I152"/>
  <c r="R150"/>
  <c r="T150" s="1"/>
  <c r="L150"/>
  <c r="K150"/>
  <c r="J150"/>
  <c r="I150"/>
  <c r="R148"/>
  <c r="T148" s="1"/>
  <c r="Q148"/>
  <c r="S148" s="1"/>
  <c r="L148"/>
  <c r="K148"/>
  <c r="J148"/>
  <c r="I148"/>
  <c r="R146"/>
  <c r="T146" s="1"/>
  <c r="L146"/>
  <c r="K146"/>
  <c r="J146"/>
  <c r="I146"/>
  <c r="R144"/>
  <c r="T144" s="1"/>
  <c r="Q144"/>
  <c r="S144" s="1"/>
  <c r="L144"/>
  <c r="K144"/>
  <c r="J144"/>
  <c r="I144"/>
  <c r="R142"/>
  <c r="T142" s="1"/>
  <c r="L142"/>
  <c r="K142"/>
  <c r="J142"/>
  <c r="I142"/>
  <c r="R140"/>
  <c r="T140" s="1"/>
  <c r="Q140"/>
  <c r="S140" s="1"/>
  <c r="L140"/>
  <c r="K140"/>
  <c r="J140"/>
  <c r="I140"/>
  <c r="R138"/>
  <c r="T138" s="1"/>
  <c r="L138"/>
  <c r="K138"/>
  <c r="J138"/>
  <c r="I138"/>
  <c r="R136"/>
  <c r="T136" s="1"/>
  <c r="Q136"/>
  <c r="S136" s="1"/>
  <c r="L136"/>
  <c r="K136"/>
  <c r="J136"/>
  <c r="I136"/>
  <c r="R134"/>
  <c r="T134" s="1"/>
  <c r="L134"/>
  <c r="K134"/>
  <c r="J134"/>
  <c r="I134"/>
  <c r="R132"/>
  <c r="T132" s="1"/>
  <c r="Q132"/>
  <c r="S132" s="1"/>
  <c r="L132"/>
  <c r="K132"/>
  <c r="J132"/>
  <c r="I132"/>
  <c r="R130"/>
  <c r="T130" s="1"/>
  <c r="L130"/>
  <c r="K130"/>
  <c r="J130"/>
  <c r="I130"/>
  <c r="R87"/>
  <c r="T87" s="1"/>
  <c r="Q87"/>
  <c r="S87" s="1"/>
  <c r="L87"/>
  <c r="K87"/>
  <c r="J87"/>
  <c r="I87"/>
  <c r="R86"/>
  <c r="T86" s="1"/>
  <c r="L86"/>
  <c r="K86"/>
  <c r="O87" s="1"/>
  <c r="P87" s="1"/>
  <c r="J86"/>
  <c r="I86"/>
  <c r="R85"/>
  <c r="T85" s="1"/>
  <c r="Q85"/>
  <c r="S85" s="1"/>
  <c r="L85"/>
  <c r="K85"/>
  <c r="O86" s="1"/>
  <c r="J85"/>
  <c r="I85"/>
  <c r="R84"/>
  <c r="T84" s="1"/>
  <c r="L84"/>
  <c r="K84"/>
  <c r="O85" s="1"/>
  <c r="P85" s="1"/>
  <c r="J84"/>
  <c r="I84"/>
  <c r="R80"/>
  <c r="T80" s="1"/>
  <c r="Q80"/>
  <c r="S80" s="1"/>
  <c r="L80"/>
  <c r="K80"/>
  <c r="J80"/>
  <c r="I80"/>
  <c r="R78"/>
  <c r="T78" s="1"/>
  <c r="L78"/>
  <c r="K78"/>
  <c r="J78"/>
  <c r="I78"/>
  <c r="R76"/>
  <c r="T76" s="1"/>
  <c r="Q76"/>
  <c r="S76" s="1"/>
  <c r="L76"/>
  <c r="K76"/>
  <c r="J76"/>
  <c r="I76"/>
  <c r="R74"/>
  <c r="T74" s="1"/>
  <c r="L74"/>
  <c r="K74"/>
  <c r="J74"/>
  <c r="I74"/>
  <c r="R72"/>
  <c r="T72" s="1"/>
  <c r="Q72"/>
  <c r="S72" s="1"/>
  <c r="L72"/>
  <c r="K72"/>
  <c r="J72"/>
  <c r="I72"/>
  <c r="R70"/>
  <c r="T70" s="1"/>
  <c r="Q70"/>
  <c r="S70" s="1"/>
  <c r="L70"/>
  <c r="K70"/>
  <c r="J70"/>
  <c r="I70"/>
  <c r="R68"/>
  <c r="T68" s="1"/>
  <c r="Q68"/>
  <c r="S68" s="1"/>
  <c r="L68"/>
  <c r="K68"/>
  <c r="J68"/>
  <c r="I68"/>
  <c r="R66"/>
  <c r="T66" s="1"/>
  <c r="Q66"/>
  <c r="S66" s="1"/>
  <c r="L66"/>
  <c r="K66"/>
  <c r="J66"/>
  <c r="I66"/>
  <c r="R64"/>
  <c r="T64" s="1"/>
  <c r="L64"/>
  <c r="K64"/>
  <c r="J64"/>
  <c r="I64"/>
  <c r="R62"/>
  <c r="T62" s="1"/>
  <c r="Q62"/>
  <c r="S62" s="1"/>
  <c r="L62"/>
  <c r="K62"/>
  <c r="J62"/>
  <c r="I62"/>
  <c r="R60"/>
  <c r="T60" s="1"/>
  <c r="L60"/>
  <c r="K60"/>
  <c r="J60"/>
  <c r="I60"/>
  <c r="R58"/>
  <c r="T58" s="1"/>
  <c r="Q58"/>
  <c r="S58" s="1"/>
  <c r="L58"/>
  <c r="K58"/>
  <c r="J58"/>
  <c r="I58"/>
  <c r="R56"/>
  <c r="T56" s="1"/>
  <c r="L56"/>
  <c r="K56"/>
  <c r="J56"/>
  <c r="I56"/>
  <c r="R54"/>
  <c r="T54" s="1"/>
  <c r="Q54"/>
  <c r="S54" s="1"/>
  <c r="L54"/>
  <c r="K54"/>
  <c r="J54"/>
  <c r="I54"/>
  <c r="R52"/>
  <c r="T52" s="1"/>
  <c r="L52"/>
  <c r="K52"/>
  <c r="J52"/>
  <c r="I52"/>
  <c r="R50"/>
  <c r="T50" s="1"/>
  <c r="Q50"/>
  <c r="S50" s="1"/>
  <c r="L50"/>
  <c r="K50"/>
  <c r="J50"/>
  <c r="I50"/>
  <c r="R48"/>
  <c r="T48" s="1"/>
  <c r="L48"/>
  <c r="K48"/>
  <c r="J48"/>
  <c r="I48"/>
  <c r="R46"/>
  <c r="T46" s="1"/>
  <c r="Q46"/>
  <c r="S46" s="1"/>
  <c r="L46"/>
  <c r="K46"/>
  <c r="J46"/>
  <c r="I46"/>
  <c r="R44"/>
  <c r="T44" s="1"/>
  <c r="L44"/>
  <c r="K44"/>
  <c r="J44"/>
  <c r="I44"/>
  <c r="R42"/>
  <c r="T42" s="1"/>
  <c r="Q42"/>
  <c r="S42" s="1"/>
  <c r="L42"/>
  <c r="K42"/>
  <c r="J42"/>
  <c r="I42"/>
  <c r="R40"/>
  <c r="T40" s="1"/>
  <c r="L40"/>
  <c r="K40"/>
  <c r="J40"/>
  <c r="I40"/>
  <c r="R38"/>
  <c r="T38" s="1"/>
  <c r="Q38"/>
  <c r="S38" s="1"/>
  <c r="L38"/>
  <c r="K38"/>
  <c r="J38"/>
  <c r="I38"/>
  <c r="R36"/>
  <c r="T36" s="1"/>
  <c r="L36"/>
  <c r="K36"/>
  <c r="J36"/>
  <c r="I36"/>
  <c r="R34"/>
  <c r="T34" s="1"/>
  <c r="Q34"/>
  <c r="S34" s="1"/>
  <c r="L34"/>
  <c r="K34"/>
  <c r="J34"/>
  <c r="I34"/>
  <c r="R32"/>
  <c r="T32" s="1"/>
  <c r="L32"/>
  <c r="K32"/>
  <c r="J32"/>
  <c r="I32"/>
  <c r="R30"/>
  <c r="T30" s="1"/>
  <c r="Q30"/>
  <c r="S30" s="1"/>
  <c r="L30"/>
  <c r="K30"/>
  <c r="J30"/>
  <c r="I30"/>
  <c r="R28"/>
  <c r="T28" s="1"/>
  <c r="L28"/>
  <c r="K28"/>
  <c r="J28"/>
  <c r="I28"/>
  <c r="R26"/>
  <c r="T26" s="1"/>
  <c r="Q26"/>
  <c r="S26" s="1"/>
  <c r="L26"/>
  <c r="K26"/>
  <c r="J26"/>
  <c r="I26"/>
  <c r="R24"/>
  <c r="T24" s="1"/>
  <c r="L24"/>
  <c r="K24"/>
  <c r="J24"/>
  <c r="I24"/>
  <c r="R22"/>
  <c r="T22" s="1"/>
  <c r="Q22"/>
  <c r="S22" s="1"/>
  <c r="L22"/>
  <c r="K22"/>
  <c r="J22"/>
  <c r="I22"/>
  <c r="R112"/>
  <c r="T112" s="1"/>
  <c r="L112"/>
  <c r="K112"/>
  <c r="J112"/>
  <c r="I112"/>
  <c r="R110"/>
  <c r="T110" s="1"/>
  <c r="Q110"/>
  <c r="S110" s="1"/>
  <c r="L110"/>
  <c r="K110"/>
  <c r="N112" s="1"/>
  <c r="J110"/>
  <c r="I110"/>
  <c r="R108"/>
  <c r="T108" s="1"/>
  <c r="L108"/>
  <c r="K108"/>
  <c r="J108"/>
  <c r="I108"/>
  <c r="R106"/>
  <c r="T106" s="1"/>
  <c r="Q106"/>
  <c r="S106" s="1"/>
  <c r="L106"/>
  <c r="K106"/>
  <c r="J106"/>
  <c r="I106"/>
  <c r="R104"/>
  <c r="T104" s="1"/>
  <c r="L104"/>
  <c r="K104"/>
  <c r="N106" s="1"/>
  <c r="J104"/>
  <c r="I104"/>
  <c r="R102"/>
  <c r="T102" s="1"/>
  <c r="Q102"/>
  <c r="S102" s="1"/>
  <c r="L102"/>
  <c r="K102"/>
  <c r="J102"/>
  <c r="I102"/>
  <c r="R100"/>
  <c r="T100" s="1"/>
  <c r="L100"/>
  <c r="K100"/>
  <c r="J100"/>
  <c r="I100"/>
  <c r="R98"/>
  <c r="T98" s="1"/>
  <c r="Q98"/>
  <c r="S98" s="1"/>
  <c r="L98"/>
  <c r="K98"/>
  <c r="J98"/>
  <c r="I98"/>
  <c r="R96"/>
  <c r="T96" s="1"/>
  <c r="L96"/>
  <c r="K96"/>
  <c r="N98" s="1"/>
  <c r="J96"/>
  <c r="I96"/>
  <c r="R94"/>
  <c r="T94" s="1"/>
  <c r="Q94"/>
  <c r="S94" s="1"/>
  <c r="L94"/>
  <c r="K94"/>
  <c r="J94"/>
  <c r="I94"/>
  <c r="R92"/>
  <c r="T92" s="1"/>
  <c r="L92"/>
  <c r="K92"/>
  <c r="J92"/>
  <c r="I92"/>
  <c r="R90"/>
  <c r="T90" s="1"/>
  <c r="Q90"/>
  <c r="S90" s="1"/>
  <c r="L90"/>
  <c r="K90"/>
  <c r="J90"/>
  <c r="I90"/>
  <c r="R88"/>
  <c r="T88" s="1"/>
  <c r="L88"/>
  <c r="K88"/>
  <c r="N90" s="1"/>
  <c r="J88"/>
  <c r="I88"/>
  <c r="R157"/>
  <c r="T157" s="1"/>
  <c r="Q157"/>
  <c r="S157" s="1"/>
  <c r="L157"/>
  <c r="K157"/>
  <c r="J157"/>
  <c r="I157"/>
  <c r="R155"/>
  <c r="T155" s="1"/>
  <c r="L155"/>
  <c r="K155"/>
  <c r="J155"/>
  <c r="I155"/>
  <c r="R153"/>
  <c r="T153" s="1"/>
  <c r="Q153"/>
  <c r="S153" s="1"/>
  <c r="L153"/>
  <c r="K153"/>
  <c r="J153"/>
  <c r="I153"/>
  <c r="R151"/>
  <c r="T151" s="1"/>
  <c r="L151"/>
  <c r="K151"/>
  <c r="J151"/>
  <c r="I151"/>
  <c r="R149"/>
  <c r="T149" s="1"/>
  <c r="Q149"/>
  <c r="S149" s="1"/>
  <c r="L149"/>
  <c r="K149"/>
  <c r="J149"/>
  <c r="I149"/>
  <c r="R147"/>
  <c r="T147" s="1"/>
  <c r="L147"/>
  <c r="K147"/>
  <c r="J147"/>
  <c r="I147"/>
  <c r="R145"/>
  <c r="T145" s="1"/>
  <c r="Q145"/>
  <c r="S145" s="1"/>
  <c r="L145"/>
  <c r="K145"/>
  <c r="J145"/>
  <c r="I145"/>
  <c r="R143"/>
  <c r="T143" s="1"/>
  <c r="L143"/>
  <c r="K143"/>
  <c r="J143"/>
  <c r="I143"/>
  <c r="R141"/>
  <c r="T141" s="1"/>
  <c r="Q141"/>
  <c r="S141" s="1"/>
  <c r="L141"/>
  <c r="K141"/>
  <c r="J141"/>
  <c r="I141"/>
  <c r="R139"/>
  <c r="T139" s="1"/>
  <c r="L139"/>
  <c r="K139"/>
  <c r="J139"/>
  <c r="I139"/>
  <c r="R137"/>
  <c r="T137" s="1"/>
  <c r="Q137"/>
  <c r="S137" s="1"/>
  <c r="L137"/>
  <c r="K137"/>
  <c r="J137"/>
  <c r="I137"/>
  <c r="R135"/>
  <c r="T135" s="1"/>
  <c r="L135"/>
  <c r="K135"/>
  <c r="J135"/>
  <c r="I135"/>
  <c r="R133"/>
  <c r="T133" s="1"/>
  <c r="Q133"/>
  <c r="S133" s="1"/>
  <c r="L133"/>
  <c r="K133"/>
  <c r="J133"/>
  <c r="I133"/>
  <c r="R131"/>
  <c r="T131" s="1"/>
  <c r="L131"/>
  <c r="K131"/>
  <c r="J131"/>
  <c r="I131"/>
  <c r="R129"/>
  <c r="T129" s="1"/>
  <c r="Q129"/>
  <c r="S129" s="1"/>
  <c r="L129"/>
  <c r="K129"/>
  <c r="J129"/>
  <c r="I129"/>
  <c r="R83"/>
  <c r="T83" s="1"/>
  <c r="L83"/>
  <c r="K83"/>
  <c r="J83"/>
  <c r="I83"/>
  <c r="R82"/>
  <c r="T82" s="1"/>
  <c r="Q82"/>
  <c r="S82" s="1"/>
  <c r="L82"/>
  <c r="K82"/>
  <c r="J82"/>
  <c r="I82"/>
  <c r="Q81"/>
  <c r="S81" s="1"/>
  <c r="L81"/>
  <c r="K81"/>
  <c r="J81"/>
  <c r="I81"/>
  <c r="R79"/>
  <c r="T79" s="1"/>
  <c r="Q79"/>
  <c r="S79" s="1"/>
  <c r="L79"/>
  <c r="K79"/>
  <c r="J79"/>
  <c r="I79"/>
  <c r="R77"/>
  <c r="T77" s="1"/>
  <c r="L77"/>
  <c r="K77"/>
  <c r="J77"/>
  <c r="I77"/>
  <c r="R75"/>
  <c r="T75" s="1"/>
  <c r="Q75"/>
  <c r="S75" s="1"/>
  <c r="L75"/>
  <c r="K75"/>
  <c r="J75"/>
  <c r="I75"/>
  <c r="Q73"/>
  <c r="S73" s="1"/>
  <c r="L73"/>
  <c r="K73"/>
  <c r="J73"/>
  <c r="I73"/>
  <c r="R71"/>
  <c r="T71" s="1"/>
  <c r="Q71"/>
  <c r="S71" s="1"/>
  <c r="L71"/>
  <c r="K71"/>
  <c r="J71"/>
  <c r="I71"/>
  <c r="Q69"/>
  <c r="S69" s="1"/>
  <c r="L69"/>
  <c r="K69"/>
  <c r="J69"/>
  <c r="I69"/>
  <c r="R67"/>
  <c r="T67" s="1"/>
  <c r="Q67"/>
  <c r="S67" s="1"/>
  <c r="L67"/>
  <c r="K67"/>
  <c r="J67"/>
  <c r="I67"/>
  <c r="R65"/>
  <c r="T65" s="1"/>
  <c r="L65"/>
  <c r="K65"/>
  <c r="J65"/>
  <c r="I65"/>
  <c r="R63"/>
  <c r="T63" s="1"/>
  <c r="Q63"/>
  <c r="S63" s="1"/>
  <c r="L63"/>
  <c r="K63"/>
  <c r="J63"/>
  <c r="I63"/>
  <c r="R61"/>
  <c r="T61" s="1"/>
  <c r="L61"/>
  <c r="K61"/>
  <c r="J61"/>
  <c r="I61"/>
  <c r="R59"/>
  <c r="T59" s="1"/>
  <c r="Q59"/>
  <c r="S59" s="1"/>
  <c r="L59"/>
  <c r="K59"/>
  <c r="J59"/>
  <c r="I59"/>
  <c r="R57"/>
  <c r="T57" s="1"/>
  <c r="Q57"/>
  <c r="S57" s="1"/>
  <c r="L57"/>
  <c r="K57"/>
  <c r="J57"/>
  <c r="I57"/>
  <c r="R55"/>
  <c r="T55" s="1"/>
  <c r="Q55"/>
  <c r="S55" s="1"/>
  <c r="L55"/>
  <c r="K55"/>
  <c r="J55"/>
  <c r="I55"/>
  <c r="R53"/>
  <c r="T53" s="1"/>
  <c r="Q53"/>
  <c r="S53" s="1"/>
  <c r="L53"/>
  <c r="K53"/>
  <c r="J53"/>
  <c r="I53"/>
  <c r="R51"/>
  <c r="T51" s="1"/>
  <c r="Q51"/>
  <c r="S51" s="1"/>
  <c r="L51"/>
  <c r="K51"/>
  <c r="J51"/>
  <c r="I51"/>
  <c r="R49"/>
  <c r="T49" s="1"/>
  <c r="Q49"/>
  <c r="S49" s="1"/>
  <c r="L49"/>
  <c r="K49"/>
  <c r="J49"/>
  <c r="I49"/>
  <c r="R47"/>
  <c r="T47" s="1"/>
  <c r="Q47"/>
  <c r="S47" s="1"/>
  <c r="L47"/>
  <c r="K47"/>
  <c r="J47"/>
  <c r="I47"/>
  <c r="R45"/>
  <c r="T45" s="1"/>
  <c r="Q45"/>
  <c r="S45" s="1"/>
  <c r="L45"/>
  <c r="K45"/>
  <c r="J45"/>
  <c r="I45"/>
  <c r="R43"/>
  <c r="T43" s="1"/>
  <c r="Q43"/>
  <c r="S43" s="1"/>
  <c r="L43"/>
  <c r="K43"/>
  <c r="J43"/>
  <c r="I43"/>
  <c r="R41"/>
  <c r="T41" s="1"/>
  <c r="Q41"/>
  <c r="S41" s="1"/>
  <c r="L41"/>
  <c r="K41"/>
  <c r="J41"/>
  <c r="I41"/>
  <c r="R39"/>
  <c r="T39" s="1"/>
  <c r="Q39"/>
  <c r="S39" s="1"/>
  <c r="L39"/>
  <c r="K39"/>
  <c r="J39"/>
  <c r="I39"/>
  <c r="R37"/>
  <c r="T37" s="1"/>
  <c r="Q37"/>
  <c r="S37" s="1"/>
  <c r="L37"/>
  <c r="K37"/>
  <c r="J37"/>
  <c r="I37"/>
  <c r="R35"/>
  <c r="T35" s="1"/>
  <c r="Q35"/>
  <c r="S35" s="1"/>
  <c r="L35"/>
  <c r="K35"/>
  <c r="J35"/>
  <c r="I35"/>
  <c r="R33"/>
  <c r="T33" s="1"/>
  <c r="Q33"/>
  <c r="S33" s="1"/>
  <c r="L33"/>
  <c r="K33"/>
  <c r="J33"/>
  <c r="I33"/>
  <c r="R31"/>
  <c r="T31" s="1"/>
  <c r="Q31"/>
  <c r="S31" s="1"/>
  <c r="L31"/>
  <c r="K31"/>
  <c r="J31"/>
  <c r="I31"/>
  <c r="R29"/>
  <c r="T29" s="1"/>
  <c r="Q29"/>
  <c r="S29" s="1"/>
  <c r="L29"/>
  <c r="K29"/>
  <c r="J29"/>
  <c r="I29"/>
  <c r="R27"/>
  <c r="T27" s="1"/>
  <c r="Q27"/>
  <c r="S27" s="1"/>
  <c r="L27"/>
  <c r="K27"/>
  <c r="J27"/>
  <c r="I27"/>
  <c r="R25"/>
  <c r="T25" s="1"/>
  <c r="Q25"/>
  <c r="S25" s="1"/>
  <c r="L25"/>
  <c r="K25"/>
  <c r="J25"/>
  <c r="I25"/>
  <c r="R23"/>
  <c r="T23" s="1"/>
  <c r="Q23"/>
  <c r="S23" s="1"/>
  <c r="L23"/>
  <c r="K23"/>
  <c r="J23"/>
  <c r="I23"/>
  <c r="R21"/>
  <c r="Q21"/>
  <c r="L21"/>
  <c r="K21"/>
  <c r="J21"/>
  <c r="I21"/>
  <c r="B112" i="35"/>
  <c r="B111"/>
  <c r="R25"/>
  <c r="T25" s="1"/>
  <c r="Q25"/>
  <c r="S25" s="1"/>
  <c r="L25"/>
  <c r="K25"/>
  <c r="J25"/>
  <c r="I25"/>
  <c r="R24"/>
  <c r="T24" s="1"/>
  <c r="L24"/>
  <c r="K24"/>
  <c r="N25" s="1"/>
  <c r="J24"/>
  <c r="I24"/>
  <c r="R23"/>
  <c r="T23" s="1"/>
  <c r="Q23"/>
  <c r="S23" s="1"/>
  <c r="L23"/>
  <c r="K23"/>
  <c r="J23"/>
  <c r="I23"/>
  <c r="R22"/>
  <c r="T22" s="1"/>
  <c r="L22"/>
  <c r="K22"/>
  <c r="N23" s="1"/>
  <c r="J22"/>
  <c r="I22"/>
  <c r="R21"/>
  <c r="T21" s="1"/>
  <c r="Q21"/>
  <c r="S21" s="1"/>
  <c r="L21"/>
  <c r="K21"/>
  <c r="N22" s="1"/>
  <c r="J21"/>
  <c r="I21"/>
  <c r="R20"/>
  <c r="T20" s="1"/>
  <c r="L20"/>
  <c r="K20"/>
  <c r="J20"/>
  <c r="I20"/>
  <c r="R19"/>
  <c r="T19" s="1"/>
  <c r="Q19"/>
  <c r="S19" s="1"/>
  <c r="L19"/>
  <c r="K19"/>
  <c r="J19"/>
  <c r="I19"/>
  <c r="R18"/>
  <c r="T18" s="1"/>
  <c r="L18"/>
  <c r="K18"/>
  <c r="N19" s="1"/>
  <c r="J18"/>
  <c r="I18"/>
  <c r="R17"/>
  <c r="T17" s="1"/>
  <c r="Q17"/>
  <c r="S17" s="1"/>
  <c r="L17"/>
  <c r="K17"/>
  <c r="N18" s="1"/>
  <c r="J17"/>
  <c r="I17"/>
  <c r="R16"/>
  <c r="T16" s="1"/>
  <c r="L16"/>
  <c r="K16"/>
  <c r="J16"/>
  <c r="I16"/>
  <c r="R15"/>
  <c r="T15" s="1"/>
  <c r="Q15"/>
  <c r="S15" s="1"/>
  <c r="L15"/>
  <c r="K15"/>
  <c r="J15"/>
  <c r="I15"/>
  <c r="R14"/>
  <c r="T14" s="1"/>
  <c r="L14"/>
  <c r="K14"/>
  <c r="N15" s="1"/>
  <c r="J14"/>
  <c r="I14"/>
  <c r="R13"/>
  <c r="T13" s="1"/>
  <c r="Q13"/>
  <c r="S13" s="1"/>
  <c r="L13"/>
  <c r="K13"/>
  <c r="N14" s="1"/>
  <c r="J13"/>
  <c r="I13"/>
  <c r="R12"/>
  <c r="T12" s="1"/>
  <c r="L12"/>
  <c r="K12"/>
  <c r="J12"/>
  <c r="I12"/>
  <c r="R11"/>
  <c r="T11" s="1"/>
  <c r="Q11"/>
  <c r="S11" s="1"/>
  <c r="L11"/>
  <c r="K11"/>
  <c r="J11"/>
  <c r="I11"/>
  <c r="R10"/>
  <c r="T10" s="1"/>
  <c r="L10"/>
  <c r="K10"/>
  <c r="N11" s="1"/>
  <c r="J10"/>
  <c r="I10"/>
  <c r="R9"/>
  <c r="T9" s="1"/>
  <c r="Q9"/>
  <c r="S9" s="1"/>
  <c r="L9"/>
  <c r="K9"/>
  <c r="N10" s="1"/>
  <c r="J9"/>
  <c r="I9"/>
  <c r="R8"/>
  <c r="T8" s="1"/>
  <c r="L8"/>
  <c r="K8"/>
  <c r="J8"/>
  <c r="I8"/>
  <c r="R7"/>
  <c r="T7" s="1"/>
  <c r="Q7"/>
  <c r="S7" s="1"/>
  <c r="L7"/>
  <c r="K7"/>
  <c r="J7"/>
  <c r="I7"/>
  <c r="R6"/>
  <c r="T6" s="1"/>
  <c r="L6"/>
  <c r="K6"/>
  <c r="N7" s="1"/>
  <c r="J6"/>
  <c r="I6"/>
  <c r="R5"/>
  <c r="T5" s="1"/>
  <c r="Q5"/>
  <c r="S5" s="1"/>
  <c r="L5"/>
  <c r="K5"/>
  <c r="N6" s="1"/>
  <c r="J5"/>
  <c r="I5"/>
  <c r="R4"/>
  <c r="T4" s="1"/>
  <c r="L4"/>
  <c r="K4"/>
  <c r="J4"/>
  <c r="I4"/>
  <c r="R3"/>
  <c r="T3" s="1"/>
  <c r="Q3"/>
  <c r="S3" s="1"/>
  <c r="L3"/>
  <c r="K3"/>
  <c r="J3"/>
  <c r="I3"/>
  <c r="R2"/>
  <c r="T2" s="1"/>
  <c r="L2"/>
  <c r="K2"/>
  <c r="N3" s="1"/>
  <c r="J2"/>
  <c r="I2"/>
  <c r="R71"/>
  <c r="T71" s="1"/>
  <c r="Q71"/>
  <c r="S71" s="1"/>
  <c r="L71"/>
  <c r="K71"/>
  <c r="N2" s="1"/>
  <c r="J71"/>
  <c r="I71"/>
  <c r="R69"/>
  <c r="T69" s="1"/>
  <c r="L69"/>
  <c r="K69"/>
  <c r="J69"/>
  <c r="I69"/>
  <c r="R67"/>
  <c r="T67" s="1"/>
  <c r="Q67"/>
  <c r="S67" s="1"/>
  <c r="L67"/>
  <c r="K67"/>
  <c r="J67"/>
  <c r="I67"/>
  <c r="R65"/>
  <c r="T65" s="1"/>
  <c r="L65"/>
  <c r="K65"/>
  <c r="J65"/>
  <c r="I65"/>
  <c r="R63"/>
  <c r="T63" s="1"/>
  <c r="Q63"/>
  <c r="S63" s="1"/>
  <c r="L63"/>
  <c r="K63"/>
  <c r="J63"/>
  <c r="I63"/>
  <c r="R61"/>
  <c r="T61" s="1"/>
  <c r="L61"/>
  <c r="K61"/>
  <c r="J61"/>
  <c r="I61"/>
  <c r="R59"/>
  <c r="T59" s="1"/>
  <c r="Q59"/>
  <c r="S59" s="1"/>
  <c r="L59"/>
  <c r="K59"/>
  <c r="J59"/>
  <c r="I59"/>
  <c r="R57"/>
  <c r="T57" s="1"/>
  <c r="L57"/>
  <c r="K57"/>
  <c r="J57"/>
  <c r="I57"/>
  <c r="R55"/>
  <c r="T55" s="1"/>
  <c r="Q55"/>
  <c r="S55" s="1"/>
  <c r="L55"/>
  <c r="K55"/>
  <c r="J55"/>
  <c r="I55"/>
  <c r="R53"/>
  <c r="T53" s="1"/>
  <c r="L53"/>
  <c r="K53"/>
  <c r="J53"/>
  <c r="I53"/>
  <c r="R51"/>
  <c r="T51" s="1"/>
  <c r="Q51"/>
  <c r="S51" s="1"/>
  <c r="L51"/>
  <c r="K51"/>
  <c r="J51"/>
  <c r="I51"/>
  <c r="R49"/>
  <c r="T49" s="1"/>
  <c r="L49"/>
  <c r="K49"/>
  <c r="J49"/>
  <c r="I49"/>
  <c r="R47"/>
  <c r="T47" s="1"/>
  <c r="Q47"/>
  <c r="S47" s="1"/>
  <c r="L47"/>
  <c r="K47"/>
  <c r="J47"/>
  <c r="I47"/>
  <c r="R45"/>
  <c r="T45" s="1"/>
  <c r="L45"/>
  <c r="K45"/>
  <c r="J45"/>
  <c r="I45"/>
  <c r="R43"/>
  <c r="T43" s="1"/>
  <c r="Q43"/>
  <c r="S43" s="1"/>
  <c r="L43"/>
  <c r="K43"/>
  <c r="J43"/>
  <c r="I43"/>
  <c r="Q41"/>
  <c r="S41" s="1"/>
  <c r="L41"/>
  <c r="K41"/>
  <c r="J41"/>
  <c r="I41"/>
  <c r="R39"/>
  <c r="T39" s="1"/>
  <c r="Q39"/>
  <c r="S39" s="1"/>
  <c r="L39"/>
  <c r="K39"/>
  <c r="J39"/>
  <c r="I39"/>
  <c r="R37"/>
  <c r="T37" s="1"/>
  <c r="L37"/>
  <c r="K37"/>
  <c r="J37"/>
  <c r="I37"/>
  <c r="R35"/>
  <c r="T35" s="1"/>
  <c r="Q35"/>
  <c r="S35" s="1"/>
  <c r="L35"/>
  <c r="K35"/>
  <c r="J35"/>
  <c r="I35"/>
  <c r="Q33"/>
  <c r="S33" s="1"/>
  <c r="L33"/>
  <c r="K33"/>
  <c r="J33"/>
  <c r="I33"/>
  <c r="R31"/>
  <c r="T31" s="1"/>
  <c r="Q31"/>
  <c r="S31" s="1"/>
  <c r="L31"/>
  <c r="K31"/>
  <c r="J31"/>
  <c r="I31"/>
  <c r="R29"/>
  <c r="T29" s="1"/>
  <c r="L29"/>
  <c r="K29"/>
  <c r="J29"/>
  <c r="I29"/>
  <c r="R27"/>
  <c r="T27" s="1"/>
  <c r="Q27"/>
  <c r="S27" s="1"/>
  <c r="L27"/>
  <c r="K27"/>
  <c r="J27"/>
  <c r="I27"/>
  <c r="R106"/>
  <c r="T106" s="1"/>
  <c r="L106"/>
  <c r="K106"/>
  <c r="J106"/>
  <c r="I106"/>
  <c r="R105"/>
  <c r="T105" s="1"/>
  <c r="Q105"/>
  <c r="S105" s="1"/>
  <c r="L105"/>
  <c r="K105"/>
  <c r="N106" s="1"/>
  <c r="J105"/>
  <c r="I105"/>
  <c r="R103"/>
  <c r="T103" s="1"/>
  <c r="L103"/>
  <c r="K103"/>
  <c r="J103"/>
  <c r="I103"/>
  <c r="R101"/>
  <c r="T101" s="1"/>
  <c r="Q101"/>
  <c r="S101" s="1"/>
  <c r="L101"/>
  <c r="K101"/>
  <c r="J101"/>
  <c r="I101"/>
  <c r="R99"/>
  <c r="T99" s="1"/>
  <c r="L99"/>
  <c r="K99"/>
  <c r="J99"/>
  <c r="I99"/>
  <c r="R97"/>
  <c r="T97" s="1"/>
  <c r="Q97"/>
  <c r="S97" s="1"/>
  <c r="L97"/>
  <c r="K97"/>
  <c r="J97"/>
  <c r="I97"/>
  <c r="R95"/>
  <c r="T95" s="1"/>
  <c r="L95"/>
  <c r="K95"/>
  <c r="J95"/>
  <c r="I95"/>
  <c r="R93"/>
  <c r="T93" s="1"/>
  <c r="Q93"/>
  <c r="S93" s="1"/>
  <c r="L93"/>
  <c r="K93"/>
  <c r="J93"/>
  <c r="I93"/>
  <c r="R91"/>
  <c r="T91" s="1"/>
  <c r="L91"/>
  <c r="K91"/>
  <c r="J91"/>
  <c r="I91"/>
  <c r="R89"/>
  <c r="T89" s="1"/>
  <c r="Q89"/>
  <c r="S89" s="1"/>
  <c r="L89"/>
  <c r="K89"/>
  <c r="J89"/>
  <c r="I89"/>
  <c r="R87"/>
  <c r="T87" s="1"/>
  <c r="L87"/>
  <c r="K87"/>
  <c r="J87"/>
  <c r="I87"/>
  <c r="R85"/>
  <c r="T85" s="1"/>
  <c r="Q85"/>
  <c r="S85" s="1"/>
  <c r="L85"/>
  <c r="K85"/>
  <c r="J85"/>
  <c r="I85"/>
  <c r="R83"/>
  <c r="T83" s="1"/>
  <c r="L83"/>
  <c r="K83"/>
  <c r="J83"/>
  <c r="I83"/>
  <c r="R81"/>
  <c r="T81" s="1"/>
  <c r="Q81"/>
  <c r="S81" s="1"/>
  <c r="L81"/>
  <c r="K81"/>
  <c r="J81"/>
  <c r="I81"/>
  <c r="R79"/>
  <c r="T79" s="1"/>
  <c r="L79"/>
  <c r="K79"/>
  <c r="J79"/>
  <c r="I79"/>
  <c r="R77"/>
  <c r="T77" s="1"/>
  <c r="Q77"/>
  <c r="S77" s="1"/>
  <c r="L77"/>
  <c r="K77"/>
  <c r="J77"/>
  <c r="I77"/>
  <c r="R75"/>
  <c r="T75" s="1"/>
  <c r="L75"/>
  <c r="K75"/>
  <c r="J75"/>
  <c r="I75"/>
  <c r="R73"/>
  <c r="T73" s="1"/>
  <c r="Q73"/>
  <c r="S73" s="1"/>
  <c r="L73"/>
  <c r="K73"/>
  <c r="J73"/>
  <c r="I73"/>
  <c r="R70"/>
  <c r="T70" s="1"/>
  <c r="L70"/>
  <c r="K70"/>
  <c r="J70"/>
  <c r="I70"/>
  <c r="R68"/>
  <c r="T68" s="1"/>
  <c r="Q68"/>
  <c r="S68" s="1"/>
  <c r="L68"/>
  <c r="K68"/>
  <c r="J68"/>
  <c r="I68"/>
  <c r="R66"/>
  <c r="T66" s="1"/>
  <c r="L66"/>
  <c r="K66"/>
  <c r="N68" s="1"/>
  <c r="J66"/>
  <c r="I66"/>
  <c r="R64"/>
  <c r="T64" s="1"/>
  <c r="Q64"/>
  <c r="S64" s="1"/>
  <c r="L64"/>
  <c r="K64"/>
  <c r="N66" s="1"/>
  <c r="J64"/>
  <c r="I64"/>
  <c r="R62"/>
  <c r="T62" s="1"/>
  <c r="L62"/>
  <c r="K62"/>
  <c r="J62"/>
  <c r="I62"/>
  <c r="R60"/>
  <c r="T60" s="1"/>
  <c r="Q60"/>
  <c r="S60" s="1"/>
  <c r="L60"/>
  <c r="K60"/>
  <c r="J60"/>
  <c r="I60"/>
  <c r="R58"/>
  <c r="T58" s="1"/>
  <c r="L58"/>
  <c r="K58"/>
  <c r="N60" s="1"/>
  <c r="J58"/>
  <c r="I58"/>
  <c r="R56"/>
  <c r="T56" s="1"/>
  <c r="Q56"/>
  <c r="S56" s="1"/>
  <c r="L56"/>
  <c r="K56"/>
  <c r="J56"/>
  <c r="I56"/>
  <c r="R54"/>
  <c r="T54" s="1"/>
  <c r="L54"/>
  <c r="K54"/>
  <c r="J54"/>
  <c r="I54"/>
  <c r="R52"/>
  <c r="T52" s="1"/>
  <c r="Q52"/>
  <c r="S52" s="1"/>
  <c r="L52"/>
  <c r="K52"/>
  <c r="J52"/>
  <c r="I52"/>
  <c r="R50"/>
  <c r="T50" s="1"/>
  <c r="L50"/>
  <c r="K50"/>
  <c r="J50"/>
  <c r="I50"/>
  <c r="R48"/>
  <c r="T48" s="1"/>
  <c r="Q48"/>
  <c r="S48" s="1"/>
  <c r="L48"/>
  <c r="K48"/>
  <c r="J48"/>
  <c r="I48"/>
  <c r="R46"/>
  <c r="T46" s="1"/>
  <c r="L46"/>
  <c r="K46"/>
  <c r="J46"/>
  <c r="I46"/>
  <c r="R44"/>
  <c r="T44" s="1"/>
  <c r="Q44"/>
  <c r="S44" s="1"/>
  <c r="L44"/>
  <c r="K44"/>
  <c r="J44"/>
  <c r="I44"/>
  <c r="R42"/>
  <c r="T42" s="1"/>
  <c r="L42"/>
  <c r="K42"/>
  <c r="J42"/>
  <c r="I42"/>
  <c r="R40"/>
  <c r="T40" s="1"/>
  <c r="Q40"/>
  <c r="S40" s="1"/>
  <c r="L40"/>
  <c r="K40"/>
  <c r="J40"/>
  <c r="I40"/>
  <c r="R38"/>
  <c r="T38" s="1"/>
  <c r="Q38"/>
  <c r="S38" s="1"/>
  <c r="L38"/>
  <c r="K38"/>
  <c r="J38"/>
  <c r="I38"/>
  <c r="R36"/>
  <c r="T36" s="1"/>
  <c r="Q36"/>
  <c r="S36" s="1"/>
  <c r="L36"/>
  <c r="K36"/>
  <c r="J36"/>
  <c r="I36"/>
  <c r="R34"/>
  <c r="T34" s="1"/>
  <c r="Q34"/>
  <c r="S34" s="1"/>
  <c r="L34"/>
  <c r="K34"/>
  <c r="J34"/>
  <c r="I34"/>
  <c r="R32"/>
  <c r="T32" s="1"/>
  <c r="Q32"/>
  <c r="S32" s="1"/>
  <c r="L32"/>
  <c r="K32"/>
  <c r="J32"/>
  <c r="I32"/>
  <c r="R30"/>
  <c r="T30" s="1"/>
  <c r="Q30"/>
  <c r="S30" s="1"/>
  <c r="L30"/>
  <c r="K30"/>
  <c r="J30"/>
  <c r="I30"/>
  <c r="R28"/>
  <c r="T28" s="1"/>
  <c r="Q28"/>
  <c r="S28" s="1"/>
  <c r="L28"/>
  <c r="K28"/>
  <c r="J28"/>
  <c r="I28"/>
  <c r="R26"/>
  <c r="T26" s="1"/>
  <c r="Q26"/>
  <c r="S26" s="1"/>
  <c r="L26"/>
  <c r="K26"/>
  <c r="J26"/>
  <c r="I26"/>
  <c r="R104"/>
  <c r="T104" s="1"/>
  <c r="Q104"/>
  <c r="S104" s="1"/>
  <c r="L104"/>
  <c r="K104"/>
  <c r="J104"/>
  <c r="I104"/>
  <c r="R102"/>
  <c r="T102" s="1"/>
  <c r="Q102"/>
  <c r="S102" s="1"/>
  <c r="L102"/>
  <c r="K102"/>
  <c r="O104" s="1"/>
  <c r="P104" s="1"/>
  <c r="J102"/>
  <c r="I102"/>
  <c r="R100"/>
  <c r="T100" s="1"/>
  <c r="Q100"/>
  <c r="S100" s="1"/>
  <c r="L100"/>
  <c r="K100"/>
  <c r="O102" s="1"/>
  <c r="P102" s="1"/>
  <c r="J100"/>
  <c r="I100"/>
  <c r="R98"/>
  <c r="T98" s="1"/>
  <c r="Q98"/>
  <c r="S98" s="1"/>
  <c r="L98"/>
  <c r="K98"/>
  <c r="O100" s="1"/>
  <c r="P100" s="1"/>
  <c r="J98"/>
  <c r="I98"/>
  <c r="R96"/>
  <c r="T96" s="1"/>
  <c r="Q96"/>
  <c r="S96" s="1"/>
  <c r="L96"/>
  <c r="K96"/>
  <c r="O98" s="1"/>
  <c r="P98" s="1"/>
  <c r="J96"/>
  <c r="I96"/>
  <c r="R94"/>
  <c r="T94" s="1"/>
  <c r="Q94"/>
  <c r="S94" s="1"/>
  <c r="L94"/>
  <c r="K94"/>
  <c r="O96" s="1"/>
  <c r="P96" s="1"/>
  <c r="J94"/>
  <c r="I94"/>
  <c r="R92"/>
  <c r="T92" s="1"/>
  <c r="Q92"/>
  <c r="S92" s="1"/>
  <c r="L92"/>
  <c r="K92"/>
  <c r="O94" s="1"/>
  <c r="P94" s="1"/>
  <c r="J92"/>
  <c r="I92"/>
  <c r="R90"/>
  <c r="T90" s="1"/>
  <c r="Q90"/>
  <c r="S90" s="1"/>
  <c r="L90"/>
  <c r="K90"/>
  <c r="O92" s="1"/>
  <c r="P92" s="1"/>
  <c r="J90"/>
  <c r="I90"/>
  <c r="R88"/>
  <c r="T88" s="1"/>
  <c r="Q88"/>
  <c r="S88" s="1"/>
  <c r="L88"/>
  <c r="K88"/>
  <c r="O90" s="1"/>
  <c r="P90" s="1"/>
  <c r="J88"/>
  <c r="I88"/>
  <c r="R86"/>
  <c r="T86" s="1"/>
  <c r="Q86"/>
  <c r="S86" s="1"/>
  <c r="L86"/>
  <c r="K86"/>
  <c r="O88" s="1"/>
  <c r="P88" s="1"/>
  <c r="J86"/>
  <c r="I86"/>
  <c r="R84"/>
  <c r="T84" s="1"/>
  <c r="Q84"/>
  <c r="S84" s="1"/>
  <c r="L84"/>
  <c r="K84"/>
  <c r="O86" s="1"/>
  <c r="P86" s="1"/>
  <c r="J84"/>
  <c r="I84"/>
  <c r="R82"/>
  <c r="T82" s="1"/>
  <c r="Q82"/>
  <c r="S82" s="1"/>
  <c r="L82"/>
  <c r="K82"/>
  <c r="O84" s="1"/>
  <c r="P84" s="1"/>
  <c r="J82"/>
  <c r="I82"/>
  <c r="R80"/>
  <c r="T80" s="1"/>
  <c r="Q80"/>
  <c r="S80" s="1"/>
  <c r="L80"/>
  <c r="K80"/>
  <c r="O82" s="1"/>
  <c r="P82" s="1"/>
  <c r="J80"/>
  <c r="I80"/>
  <c r="R78"/>
  <c r="T78" s="1"/>
  <c r="Q78"/>
  <c r="S78" s="1"/>
  <c r="L78"/>
  <c r="K78"/>
  <c r="O80" s="1"/>
  <c r="P80" s="1"/>
  <c r="J78"/>
  <c r="I78"/>
  <c r="R76"/>
  <c r="T76" s="1"/>
  <c r="Q76"/>
  <c r="S76" s="1"/>
  <c r="L76"/>
  <c r="K76"/>
  <c r="O78" s="1"/>
  <c r="P78" s="1"/>
  <c r="J76"/>
  <c r="I76"/>
  <c r="R74"/>
  <c r="T74" s="1"/>
  <c r="Q74"/>
  <c r="S74" s="1"/>
  <c r="L74"/>
  <c r="K74"/>
  <c r="O76" s="1"/>
  <c r="P76" s="1"/>
  <c r="J74"/>
  <c r="I74"/>
  <c r="R72"/>
  <c r="Q72"/>
  <c r="L72"/>
  <c r="K72"/>
  <c r="O74" s="1"/>
  <c r="P74" s="1"/>
  <c r="J72"/>
  <c r="I72"/>
  <c r="I107" s="1"/>
  <c r="B164" i="34"/>
  <c r="B163"/>
  <c r="R128"/>
  <c r="T128" s="1"/>
  <c r="L128"/>
  <c r="K128"/>
  <c r="J128"/>
  <c r="I128"/>
  <c r="R127"/>
  <c r="T127" s="1"/>
  <c r="Q127"/>
  <c r="S127" s="1"/>
  <c r="L127"/>
  <c r="K127"/>
  <c r="J127"/>
  <c r="I127"/>
  <c r="R126"/>
  <c r="T126" s="1"/>
  <c r="L126"/>
  <c r="K126"/>
  <c r="J126"/>
  <c r="I126"/>
  <c r="R125"/>
  <c r="T125" s="1"/>
  <c r="Q125"/>
  <c r="S125" s="1"/>
  <c r="L125"/>
  <c r="K125"/>
  <c r="J125"/>
  <c r="I125"/>
  <c r="Q124"/>
  <c r="S124" s="1"/>
  <c r="L124"/>
  <c r="K124"/>
  <c r="J124"/>
  <c r="I124"/>
  <c r="R123"/>
  <c r="T123" s="1"/>
  <c r="Q123"/>
  <c r="S123" s="1"/>
  <c r="L123"/>
  <c r="K123"/>
  <c r="J123"/>
  <c r="I123"/>
  <c r="Q122"/>
  <c r="S122" s="1"/>
  <c r="L122"/>
  <c r="K122"/>
  <c r="J122"/>
  <c r="I122"/>
  <c r="R121"/>
  <c r="T121" s="1"/>
  <c r="Q121"/>
  <c r="S121" s="1"/>
  <c r="L121"/>
  <c r="K121"/>
  <c r="J121"/>
  <c r="I121"/>
  <c r="Q120"/>
  <c r="S120" s="1"/>
  <c r="L120"/>
  <c r="K120"/>
  <c r="J120"/>
  <c r="I120"/>
  <c r="R119"/>
  <c r="T119" s="1"/>
  <c r="Q119"/>
  <c r="S119" s="1"/>
  <c r="L119"/>
  <c r="K119"/>
  <c r="J119"/>
  <c r="I119"/>
  <c r="R118"/>
  <c r="T118" s="1"/>
  <c r="L118"/>
  <c r="K118"/>
  <c r="J118"/>
  <c r="I118"/>
  <c r="R117"/>
  <c r="T117" s="1"/>
  <c r="Q117"/>
  <c r="S117" s="1"/>
  <c r="L117"/>
  <c r="K117"/>
  <c r="J117"/>
  <c r="I117"/>
  <c r="R116"/>
  <c r="T116" s="1"/>
  <c r="L116"/>
  <c r="K116"/>
  <c r="J116"/>
  <c r="I116"/>
  <c r="R115"/>
  <c r="T115" s="1"/>
  <c r="Q115"/>
  <c r="S115" s="1"/>
  <c r="L115"/>
  <c r="K115"/>
  <c r="J115"/>
  <c r="I115"/>
  <c r="R114"/>
  <c r="T114" s="1"/>
  <c r="L114"/>
  <c r="K114"/>
  <c r="J114"/>
  <c r="I114"/>
  <c r="R20"/>
  <c r="T20" s="1"/>
  <c r="Q20"/>
  <c r="S20" s="1"/>
  <c r="L20"/>
  <c r="K20"/>
  <c r="J20"/>
  <c r="I20"/>
  <c r="Q19"/>
  <c r="S19" s="1"/>
  <c r="L19"/>
  <c r="K19"/>
  <c r="J19"/>
  <c r="I19"/>
  <c r="R18"/>
  <c r="T18" s="1"/>
  <c r="Q18"/>
  <c r="S18" s="1"/>
  <c r="L18"/>
  <c r="K18"/>
  <c r="J18"/>
  <c r="I18"/>
  <c r="R17"/>
  <c r="T17" s="1"/>
  <c r="L17"/>
  <c r="K17"/>
  <c r="J17"/>
  <c r="I17"/>
  <c r="R16"/>
  <c r="T16" s="1"/>
  <c r="Q16"/>
  <c r="S16" s="1"/>
  <c r="L16"/>
  <c r="K16"/>
  <c r="J16"/>
  <c r="I16"/>
  <c r="R15"/>
  <c r="T15" s="1"/>
  <c r="L15"/>
  <c r="K15"/>
  <c r="J15"/>
  <c r="I15"/>
  <c r="R14"/>
  <c r="T14" s="1"/>
  <c r="Q14"/>
  <c r="S14" s="1"/>
  <c r="L14"/>
  <c r="K14"/>
  <c r="J14"/>
  <c r="I14"/>
  <c r="Q13"/>
  <c r="S13" s="1"/>
  <c r="L13"/>
  <c r="K13"/>
  <c r="J13"/>
  <c r="I13"/>
  <c r="R12"/>
  <c r="T12" s="1"/>
  <c r="Q12"/>
  <c r="S12" s="1"/>
  <c r="L12"/>
  <c r="K12"/>
  <c r="J12"/>
  <c r="I12"/>
  <c r="R11"/>
  <c r="T11" s="1"/>
  <c r="L11"/>
  <c r="K11"/>
  <c r="J11"/>
  <c r="I11"/>
  <c r="R10"/>
  <c r="T10" s="1"/>
  <c r="Q10"/>
  <c r="S10" s="1"/>
  <c r="L10"/>
  <c r="K10"/>
  <c r="J10"/>
  <c r="I10"/>
  <c r="Q9"/>
  <c r="S9" s="1"/>
  <c r="L9"/>
  <c r="K9"/>
  <c r="J9"/>
  <c r="I9"/>
  <c r="R8"/>
  <c r="T8" s="1"/>
  <c r="Q8"/>
  <c r="S8" s="1"/>
  <c r="L8"/>
  <c r="K8"/>
  <c r="J8"/>
  <c r="I8"/>
  <c r="R7"/>
  <c r="T7" s="1"/>
  <c r="L7"/>
  <c r="K7"/>
  <c r="J7"/>
  <c r="I7"/>
  <c r="R6"/>
  <c r="T6" s="1"/>
  <c r="Q6"/>
  <c r="S6" s="1"/>
  <c r="L6"/>
  <c r="K6"/>
  <c r="J6"/>
  <c r="I6"/>
  <c r="R5"/>
  <c r="T5" s="1"/>
  <c r="Q5"/>
  <c r="S5" s="1"/>
  <c r="L5"/>
  <c r="K5"/>
  <c r="J5"/>
  <c r="I5"/>
  <c r="R4"/>
  <c r="T4" s="1"/>
  <c r="Q4"/>
  <c r="S4" s="1"/>
  <c r="L4"/>
  <c r="K4"/>
  <c r="J4"/>
  <c r="I4"/>
  <c r="R3"/>
  <c r="T3" s="1"/>
  <c r="Q3"/>
  <c r="S3" s="1"/>
  <c r="L3"/>
  <c r="K3"/>
  <c r="J3"/>
  <c r="I3"/>
  <c r="R2"/>
  <c r="T2" s="1"/>
  <c r="Q2"/>
  <c r="S2" s="1"/>
  <c r="L2"/>
  <c r="K2"/>
  <c r="J2"/>
  <c r="I2"/>
  <c r="R113"/>
  <c r="T113" s="1"/>
  <c r="Q113"/>
  <c r="S113" s="1"/>
  <c r="L113"/>
  <c r="K113"/>
  <c r="J113"/>
  <c r="I113"/>
  <c r="R111"/>
  <c r="T111" s="1"/>
  <c r="Q111"/>
  <c r="S111" s="1"/>
  <c r="L111"/>
  <c r="K111"/>
  <c r="J111"/>
  <c r="I111"/>
  <c r="R109"/>
  <c r="T109" s="1"/>
  <c r="Q109"/>
  <c r="S109" s="1"/>
  <c r="L109"/>
  <c r="K109"/>
  <c r="J109"/>
  <c r="I109"/>
  <c r="R107"/>
  <c r="T107" s="1"/>
  <c r="Q107"/>
  <c r="S107" s="1"/>
  <c r="L107"/>
  <c r="K107"/>
  <c r="J107"/>
  <c r="I107"/>
  <c r="R105"/>
  <c r="T105" s="1"/>
  <c r="Q105"/>
  <c r="S105" s="1"/>
  <c r="L105"/>
  <c r="K105"/>
  <c r="J105"/>
  <c r="I105"/>
  <c r="R103"/>
  <c r="T103" s="1"/>
  <c r="Q103"/>
  <c r="S103" s="1"/>
  <c r="L103"/>
  <c r="K103"/>
  <c r="J103"/>
  <c r="I103"/>
  <c r="R101"/>
  <c r="T101" s="1"/>
  <c r="Q101"/>
  <c r="S101" s="1"/>
  <c r="L101"/>
  <c r="K101"/>
  <c r="J101"/>
  <c r="I101"/>
  <c r="R99"/>
  <c r="T99" s="1"/>
  <c r="Q99"/>
  <c r="S99" s="1"/>
  <c r="L99"/>
  <c r="K99"/>
  <c r="J99"/>
  <c r="I99"/>
  <c r="R97"/>
  <c r="T97" s="1"/>
  <c r="Q97"/>
  <c r="S97" s="1"/>
  <c r="L97"/>
  <c r="K97"/>
  <c r="J97"/>
  <c r="I97"/>
  <c r="R95"/>
  <c r="T95" s="1"/>
  <c r="Q95"/>
  <c r="S95" s="1"/>
  <c r="L95"/>
  <c r="K95"/>
  <c r="J95"/>
  <c r="I95"/>
  <c r="R93"/>
  <c r="T93" s="1"/>
  <c r="Q93"/>
  <c r="S93" s="1"/>
  <c r="L93"/>
  <c r="K93"/>
  <c r="J93"/>
  <c r="I93"/>
  <c r="R91"/>
  <c r="T91" s="1"/>
  <c r="L91"/>
  <c r="K91"/>
  <c r="J91"/>
  <c r="I91"/>
  <c r="R89"/>
  <c r="T89" s="1"/>
  <c r="Q89"/>
  <c r="S89" s="1"/>
  <c r="L89"/>
  <c r="K89"/>
  <c r="J89"/>
  <c r="I89"/>
  <c r="R158"/>
  <c r="T158" s="1"/>
  <c r="L158"/>
  <c r="K158"/>
  <c r="J158"/>
  <c r="I158"/>
  <c r="R156"/>
  <c r="T156" s="1"/>
  <c r="Q156"/>
  <c r="S156" s="1"/>
  <c r="L156"/>
  <c r="K156"/>
  <c r="J156"/>
  <c r="I156"/>
  <c r="R154"/>
  <c r="T154" s="1"/>
  <c r="L154"/>
  <c r="K154"/>
  <c r="J154"/>
  <c r="I154"/>
  <c r="R152"/>
  <c r="T152" s="1"/>
  <c r="Q152"/>
  <c r="S152" s="1"/>
  <c r="L152"/>
  <c r="K152"/>
  <c r="J152"/>
  <c r="I152"/>
  <c r="R150"/>
  <c r="T150" s="1"/>
  <c r="L150"/>
  <c r="K150"/>
  <c r="J150"/>
  <c r="I150"/>
  <c r="R148"/>
  <c r="T148" s="1"/>
  <c r="Q148"/>
  <c r="S148" s="1"/>
  <c r="L148"/>
  <c r="K148"/>
  <c r="J148"/>
  <c r="I148"/>
  <c r="R146"/>
  <c r="T146" s="1"/>
  <c r="L146"/>
  <c r="K146"/>
  <c r="J146"/>
  <c r="I146"/>
  <c r="R144"/>
  <c r="T144" s="1"/>
  <c r="Q144"/>
  <c r="S144" s="1"/>
  <c r="L144"/>
  <c r="K144"/>
  <c r="J144"/>
  <c r="I144"/>
  <c r="R142"/>
  <c r="T142" s="1"/>
  <c r="L142"/>
  <c r="K142"/>
  <c r="J142"/>
  <c r="I142"/>
  <c r="R140"/>
  <c r="T140" s="1"/>
  <c r="Q140"/>
  <c r="S140" s="1"/>
  <c r="L140"/>
  <c r="K140"/>
  <c r="J140"/>
  <c r="I140"/>
  <c r="R138"/>
  <c r="T138" s="1"/>
  <c r="L138"/>
  <c r="K138"/>
  <c r="J138"/>
  <c r="I138"/>
  <c r="R136"/>
  <c r="T136" s="1"/>
  <c r="Q136"/>
  <c r="S136" s="1"/>
  <c r="L136"/>
  <c r="K136"/>
  <c r="J136"/>
  <c r="I136"/>
  <c r="Q134"/>
  <c r="S134" s="1"/>
  <c r="L134"/>
  <c r="K134"/>
  <c r="J134"/>
  <c r="I134"/>
  <c r="R132"/>
  <c r="T132" s="1"/>
  <c r="Q132"/>
  <c r="S132" s="1"/>
  <c r="L132"/>
  <c r="K132"/>
  <c r="J132"/>
  <c r="I132"/>
  <c r="Q130"/>
  <c r="S130" s="1"/>
  <c r="L130"/>
  <c r="K130"/>
  <c r="J130"/>
  <c r="I130"/>
  <c r="R87"/>
  <c r="T87" s="1"/>
  <c r="Q87"/>
  <c r="S87" s="1"/>
  <c r="L87"/>
  <c r="K87"/>
  <c r="J87"/>
  <c r="I87"/>
  <c r="R86"/>
  <c r="T86" s="1"/>
  <c r="L86"/>
  <c r="K86"/>
  <c r="O87" s="1"/>
  <c r="P87" s="1"/>
  <c r="J86"/>
  <c r="I86"/>
  <c r="R85"/>
  <c r="T85" s="1"/>
  <c r="Q85"/>
  <c r="S85" s="1"/>
  <c r="L85"/>
  <c r="K85"/>
  <c r="J85"/>
  <c r="I85"/>
  <c r="R84"/>
  <c r="T84" s="1"/>
  <c r="L84"/>
  <c r="K84"/>
  <c r="O85" s="1"/>
  <c r="P85" s="1"/>
  <c r="J84"/>
  <c r="I84"/>
  <c r="R80"/>
  <c r="T80" s="1"/>
  <c r="Q80"/>
  <c r="S80" s="1"/>
  <c r="L80"/>
  <c r="K80"/>
  <c r="J80"/>
  <c r="I80"/>
  <c r="R78"/>
  <c r="T78" s="1"/>
  <c r="L78"/>
  <c r="K78"/>
  <c r="J78"/>
  <c r="I78"/>
  <c r="R76"/>
  <c r="T76" s="1"/>
  <c r="Q76"/>
  <c r="S76" s="1"/>
  <c r="L76"/>
  <c r="K76"/>
  <c r="J76"/>
  <c r="I76"/>
  <c r="R74"/>
  <c r="T74" s="1"/>
  <c r="L74"/>
  <c r="K74"/>
  <c r="J74"/>
  <c r="I74"/>
  <c r="R72"/>
  <c r="T72" s="1"/>
  <c r="Q72"/>
  <c r="S72" s="1"/>
  <c r="L72"/>
  <c r="K72"/>
  <c r="J72"/>
  <c r="I72"/>
  <c r="R70"/>
  <c r="T70" s="1"/>
  <c r="Q70"/>
  <c r="S70" s="1"/>
  <c r="L70"/>
  <c r="K70"/>
  <c r="J70"/>
  <c r="I70"/>
  <c r="R68"/>
  <c r="T68" s="1"/>
  <c r="Q68"/>
  <c r="S68" s="1"/>
  <c r="L68"/>
  <c r="K68"/>
  <c r="J68"/>
  <c r="I68"/>
  <c r="R66"/>
  <c r="T66" s="1"/>
  <c r="Q66"/>
  <c r="S66" s="1"/>
  <c r="L66"/>
  <c r="K66"/>
  <c r="J66"/>
  <c r="I66"/>
  <c r="R64"/>
  <c r="T64" s="1"/>
  <c r="L64"/>
  <c r="K64"/>
  <c r="J64"/>
  <c r="I64"/>
  <c r="R62"/>
  <c r="T62" s="1"/>
  <c r="L62"/>
  <c r="K62"/>
  <c r="J62"/>
  <c r="I62"/>
  <c r="Q60"/>
  <c r="S60" s="1"/>
  <c r="L60"/>
  <c r="K60"/>
  <c r="J60"/>
  <c r="I60"/>
  <c r="R58"/>
  <c r="T58" s="1"/>
  <c r="Q58"/>
  <c r="S58" s="1"/>
  <c r="L58"/>
  <c r="K58"/>
  <c r="J58"/>
  <c r="I58"/>
  <c r="R56"/>
  <c r="T56" s="1"/>
  <c r="L56"/>
  <c r="K56"/>
  <c r="J56"/>
  <c r="I56"/>
  <c r="R54"/>
  <c r="T54" s="1"/>
  <c r="Q54"/>
  <c r="S54" s="1"/>
  <c r="L54"/>
  <c r="K54"/>
  <c r="J54"/>
  <c r="I54"/>
  <c r="R52"/>
  <c r="T52" s="1"/>
  <c r="L52"/>
  <c r="K52"/>
  <c r="J52"/>
  <c r="I52"/>
  <c r="R50"/>
  <c r="T50" s="1"/>
  <c r="Q50"/>
  <c r="S50" s="1"/>
  <c r="L50"/>
  <c r="K50"/>
  <c r="J50"/>
  <c r="I50"/>
  <c r="R48"/>
  <c r="T48" s="1"/>
  <c r="L48"/>
  <c r="K48"/>
  <c r="J48"/>
  <c r="I48"/>
  <c r="R46"/>
  <c r="T46" s="1"/>
  <c r="Q46"/>
  <c r="S46" s="1"/>
  <c r="L46"/>
  <c r="K46"/>
  <c r="J46"/>
  <c r="I46"/>
  <c r="R44"/>
  <c r="T44" s="1"/>
  <c r="L44"/>
  <c r="K44"/>
  <c r="J44"/>
  <c r="I44"/>
  <c r="R42"/>
  <c r="T42" s="1"/>
  <c r="Q42"/>
  <c r="S42" s="1"/>
  <c r="L42"/>
  <c r="K42"/>
  <c r="J42"/>
  <c r="I42"/>
  <c r="R40"/>
  <c r="T40" s="1"/>
  <c r="L40"/>
  <c r="K40"/>
  <c r="J40"/>
  <c r="I40"/>
  <c r="R38"/>
  <c r="T38" s="1"/>
  <c r="Q38"/>
  <c r="S38" s="1"/>
  <c r="L38"/>
  <c r="K38"/>
  <c r="J38"/>
  <c r="I38"/>
  <c r="R36"/>
  <c r="T36" s="1"/>
  <c r="L36"/>
  <c r="K36"/>
  <c r="J36"/>
  <c r="I36"/>
  <c r="R34"/>
  <c r="T34" s="1"/>
  <c r="Q34"/>
  <c r="S34" s="1"/>
  <c r="L34"/>
  <c r="K34"/>
  <c r="J34"/>
  <c r="I34"/>
  <c r="R32"/>
  <c r="T32" s="1"/>
  <c r="L32"/>
  <c r="K32"/>
  <c r="J32"/>
  <c r="I32"/>
  <c r="R30"/>
  <c r="T30" s="1"/>
  <c r="Q30"/>
  <c r="S30" s="1"/>
  <c r="L30"/>
  <c r="K30"/>
  <c r="J30"/>
  <c r="I30"/>
  <c r="R28"/>
  <c r="T28" s="1"/>
  <c r="L28"/>
  <c r="K28"/>
  <c r="J28"/>
  <c r="I28"/>
  <c r="R26"/>
  <c r="T26" s="1"/>
  <c r="Q26"/>
  <c r="S26" s="1"/>
  <c r="L26"/>
  <c r="K26"/>
  <c r="J26"/>
  <c r="I26"/>
  <c r="R24"/>
  <c r="T24" s="1"/>
  <c r="L24"/>
  <c r="K24"/>
  <c r="J24"/>
  <c r="I24"/>
  <c r="R22"/>
  <c r="T22" s="1"/>
  <c r="Q22"/>
  <c r="S22" s="1"/>
  <c r="L22"/>
  <c r="K22"/>
  <c r="J22"/>
  <c r="I22"/>
  <c r="Q112"/>
  <c r="S112" s="1"/>
  <c r="L112"/>
  <c r="K112"/>
  <c r="J112"/>
  <c r="I112"/>
  <c r="R110"/>
  <c r="T110" s="1"/>
  <c r="Q110"/>
  <c r="S110" s="1"/>
  <c r="L110"/>
  <c r="K110"/>
  <c r="J110"/>
  <c r="I110"/>
  <c r="Q108"/>
  <c r="S108" s="1"/>
  <c r="L108"/>
  <c r="K108"/>
  <c r="J108"/>
  <c r="I108"/>
  <c r="R106"/>
  <c r="T106" s="1"/>
  <c r="Q106"/>
  <c r="S106" s="1"/>
  <c r="L106"/>
  <c r="K106"/>
  <c r="J106"/>
  <c r="I106"/>
  <c r="R104"/>
  <c r="T104" s="1"/>
  <c r="L104"/>
  <c r="K104"/>
  <c r="O106" s="1"/>
  <c r="P106" s="1"/>
  <c r="J104"/>
  <c r="I104"/>
  <c r="R102"/>
  <c r="T102" s="1"/>
  <c r="Q102"/>
  <c r="S102" s="1"/>
  <c r="L102"/>
  <c r="K102"/>
  <c r="J102"/>
  <c r="I102"/>
  <c r="R100"/>
  <c r="T100" s="1"/>
  <c r="L100"/>
  <c r="K100"/>
  <c r="J100"/>
  <c r="I100"/>
  <c r="R98"/>
  <c r="T98" s="1"/>
  <c r="Q98"/>
  <c r="S98" s="1"/>
  <c r="L98"/>
  <c r="K98"/>
  <c r="J98"/>
  <c r="I98"/>
  <c r="R96"/>
  <c r="T96" s="1"/>
  <c r="L96"/>
  <c r="K96"/>
  <c r="O98" s="1"/>
  <c r="P98" s="1"/>
  <c r="J96"/>
  <c r="I96"/>
  <c r="R94"/>
  <c r="T94" s="1"/>
  <c r="Q94"/>
  <c r="S94" s="1"/>
  <c r="L94"/>
  <c r="K94"/>
  <c r="J94"/>
  <c r="I94"/>
  <c r="R92"/>
  <c r="T92" s="1"/>
  <c r="L92"/>
  <c r="K92"/>
  <c r="J92"/>
  <c r="I92"/>
  <c r="R90"/>
  <c r="T90" s="1"/>
  <c r="Q90"/>
  <c r="S90" s="1"/>
  <c r="L90"/>
  <c r="K90"/>
  <c r="J90"/>
  <c r="I90"/>
  <c r="R88"/>
  <c r="T88" s="1"/>
  <c r="L88"/>
  <c r="K88"/>
  <c r="J88"/>
  <c r="I88"/>
  <c r="R157"/>
  <c r="T157" s="1"/>
  <c r="Q157"/>
  <c r="S157" s="1"/>
  <c r="L157"/>
  <c r="K157"/>
  <c r="J157"/>
  <c r="I157"/>
  <c r="R155"/>
  <c r="T155" s="1"/>
  <c r="L155"/>
  <c r="K155"/>
  <c r="J155"/>
  <c r="I155"/>
  <c r="R153"/>
  <c r="T153" s="1"/>
  <c r="Q153"/>
  <c r="S153" s="1"/>
  <c r="L153"/>
  <c r="K153"/>
  <c r="J153"/>
  <c r="I153"/>
  <c r="R151"/>
  <c r="T151" s="1"/>
  <c r="L151"/>
  <c r="K151"/>
  <c r="J151"/>
  <c r="I151"/>
  <c r="R149"/>
  <c r="T149" s="1"/>
  <c r="Q149"/>
  <c r="S149" s="1"/>
  <c r="L149"/>
  <c r="K149"/>
  <c r="J149"/>
  <c r="I149"/>
  <c r="R147"/>
  <c r="T147" s="1"/>
  <c r="L147"/>
  <c r="K147"/>
  <c r="J147"/>
  <c r="I147"/>
  <c r="R145"/>
  <c r="T145" s="1"/>
  <c r="Q145"/>
  <c r="S145" s="1"/>
  <c r="L145"/>
  <c r="K145"/>
  <c r="J145"/>
  <c r="I145"/>
  <c r="R143"/>
  <c r="T143" s="1"/>
  <c r="L143"/>
  <c r="K143"/>
  <c r="J143"/>
  <c r="I143"/>
  <c r="R141"/>
  <c r="T141" s="1"/>
  <c r="Q141"/>
  <c r="S141" s="1"/>
  <c r="L141"/>
  <c r="K141"/>
  <c r="J141"/>
  <c r="I141"/>
  <c r="R139"/>
  <c r="T139" s="1"/>
  <c r="L139"/>
  <c r="K139"/>
  <c r="J139"/>
  <c r="I139"/>
  <c r="R137"/>
  <c r="T137" s="1"/>
  <c r="Q137"/>
  <c r="S137" s="1"/>
  <c r="L137"/>
  <c r="K137"/>
  <c r="J137"/>
  <c r="I137"/>
  <c r="R135"/>
  <c r="T135" s="1"/>
  <c r="L135"/>
  <c r="K135"/>
  <c r="J135"/>
  <c r="I135"/>
  <c r="R133"/>
  <c r="T133" s="1"/>
  <c r="Q133"/>
  <c r="S133" s="1"/>
  <c r="L133"/>
  <c r="K133"/>
  <c r="J133"/>
  <c r="I133"/>
  <c r="R131"/>
  <c r="T131" s="1"/>
  <c r="L131"/>
  <c r="K131"/>
  <c r="J131"/>
  <c r="I131"/>
  <c r="R129"/>
  <c r="T129" s="1"/>
  <c r="Q129"/>
  <c r="S129" s="1"/>
  <c r="L129"/>
  <c r="K129"/>
  <c r="J129"/>
  <c r="I129"/>
  <c r="R83"/>
  <c r="T83" s="1"/>
  <c r="L83"/>
  <c r="K83"/>
  <c r="J83"/>
  <c r="I83"/>
  <c r="R82"/>
  <c r="T82" s="1"/>
  <c r="Q82"/>
  <c r="S82" s="1"/>
  <c r="L82"/>
  <c r="K82"/>
  <c r="J82"/>
  <c r="I82"/>
  <c r="R81"/>
  <c r="T81" s="1"/>
  <c r="L81"/>
  <c r="K81"/>
  <c r="J81"/>
  <c r="I81"/>
  <c r="R79"/>
  <c r="T79" s="1"/>
  <c r="Q79"/>
  <c r="S79" s="1"/>
  <c r="L79"/>
  <c r="K79"/>
  <c r="J79"/>
  <c r="I79"/>
  <c r="R77"/>
  <c r="T77" s="1"/>
  <c r="L77"/>
  <c r="K77"/>
  <c r="J77"/>
  <c r="I77"/>
  <c r="R75"/>
  <c r="T75" s="1"/>
  <c r="Q75"/>
  <c r="S75" s="1"/>
  <c r="L75"/>
  <c r="K75"/>
  <c r="J75"/>
  <c r="I75"/>
  <c r="R73"/>
  <c r="T73" s="1"/>
  <c r="L73"/>
  <c r="K73"/>
  <c r="J73"/>
  <c r="I73"/>
  <c r="R71"/>
  <c r="T71" s="1"/>
  <c r="Q71"/>
  <c r="S71" s="1"/>
  <c r="L71"/>
  <c r="K71"/>
  <c r="J71"/>
  <c r="I71"/>
  <c r="R69"/>
  <c r="T69" s="1"/>
  <c r="L69"/>
  <c r="K69"/>
  <c r="J69"/>
  <c r="I69"/>
  <c r="R67"/>
  <c r="T67" s="1"/>
  <c r="Q67"/>
  <c r="S67" s="1"/>
  <c r="L67"/>
  <c r="K67"/>
  <c r="J67"/>
  <c r="I67"/>
  <c r="R65"/>
  <c r="T65" s="1"/>
  <c r="L65"/>
  <c r="K65"/>
  <c r="J65"/>
  <c r="I65"/>
  <c r="R63"/>
  <c r="T63" s="1"/>
  <c r="Q63"/>
  <c r="S63" s="1"/>
  <c r="L63"/>
  <c r="K63"/>
  <c r="J63"/>
  <c r="I63"/>
  <c r="R61"/>
  <c r="T61" s="1"/>
  <c r="L61"/>
  <c r="K61"/>
  <c r="J61"/>
  <c r="I61"/>
  <c r="R59"/>
  <c r="T59" s="1"/>
  <c r="Q59"/>
  <c r="S59" s="1"/>
  <c r="L59"/>
  <c r="K59"/>
  <c r="J59"/>
  <c r="I59"/>
  <c r="R57"/>
  <c r="T57" s="1"/>
  <c r="Q57"/>
  <c r="S57" s="1"/>
  <c r="L57"/>
  <c r="K57"/>
  <c r="J57"/>
  <c r="I57"/>
  <c r="R55"/>
  <c r="T55" s="1"/>
  <c r="Q55"/>
  <c r="S55" s="1"/>
  <c r="L55"/>
  <c r="K55"/>
  <c r="J55"/>
  <c r="I55"/>
  <c r="R53"/>
  <c r="T53" s="1"/>
  <c r="Q53"/>
  <c r="S53" s="1"/>
  <c r="L53"/>
  <c r="K53"/>
  <c r="J53"/>
  <c r="I53"/>
  <c r="R51"/>
  <c r="T51" s="1"/>
  <c r="Q51"/>
  <c r="S51" s="1"/>
  <c r="L51"/>
  <c r="K51"/>
  <c r="J51"/>
  <c r="I51"/>
  <c r="R49"/>
  <c r="T49" s="1"/>
  <c r="Q49"/>
  <c r="S49" s="1"/>
  <c r="L49"/>
  <c r="K49"/>
  <c r="J49"/>
  <c r="I49"/>
  <c r="R47"/>
  <c r="T47" s="1"/>
  <c r="Q47"/>
  <c r="S47" s="1"/>
  <c r="L47"/>
  <c r="K47"/>
  <c r="J47"/>
  <c r="I47"/>
  <c r="R45"/>
  <c r="T45" s="1"/>
  <c r="Q45"/>
  <c r="S45" s="1"/>
  <c r="L45"/>
  <c r="K45"/>
  <c r="J45"/>
  <c r="I45"/>
  <c r="R43"/>
  <c r="T43" s="1"/>
  <c r="Q43"/>
  <c r="S43" s="1"/>
  <c r="L43"/>
  <c r="K43"/>
  <c r="J43"/>
  <c r="I43"/>
  <c r="R41"/>
  <c r="T41" s="1"/>
  <c r="Q41"/>
  <c r="S41" s="1"/>
  <c r="L41"/>
  <c r="K41"/>
  <c r="J41"/>
  <c r="I41"/>
  <c r="R39"/>
  <c r="T39" s="1"/>
  <c r="Q39"/>
  <c r="S39" s="1"/>
  <c r="L39"/>
  <c r="K39"/>
  <c r="J39"/>
  <c r="I39"/>
  <c r="R37"/>
  <c r="T37" s="1"/>
  <c r="Q37"/>
  <c r="S37" s="1"/>
  <c r="L37"/>
  <c r="K37"/>
  <c r="J37"/>
  <c r="I37"/>
  <c r="R35"/>
  <c r="T35" s="1"/>
  <c r="Q35"/>
  <c r="S35" s="1"/>
  <c r="L35"/>
  <c r="K35"/>
  <c r="J35"/>
  <c r="I35"/>
  <c r="R33"/>
  <c r="T33" s="1"/>
  <c r="Q33"/>
  <c r="S33" s="1"/>
  <c r="L33"/>
  <c r="K33"/>
  <c r="J33"/>
  <c r="I33"/>
  <c r="R31"/>
  <c r="T31" s="1"/>
  <c r="Q31"/>
  <c r="S31" s="1"/>
  <c r="L31"/>
  <c r="K31"/>
  <c r="J31"/>
  <c r="I31"/>
  <c r="R29"/>
  <c r="T29" s="1"/>
  <c r="Q29"/>
  <c r="S29" s="1"/>
  <c r="L29"/>
  <c r="K29"/>
  <c r="J29"/>
  <c r="I29"/>
  <c r="R27"/>
  <c r="T27" s="1"/>
  <c r="Q27"/>
  <c r="S27" s="1"/>
  <c r="L27"/>
  <c r="K27"/>
  <c r="J27"/>
  <c r="I27"/>
  <c r="R25"/>
  <c r="T25" s="1"/>
  <c r="Q25"/>
  <c r="S25" s="1"/>
  <c r="L25"/>
  <c r="K25"/>
  <c r="J25"/>
  <c r="I25"/>
  <c r="R23"/>
  <c r="T23" s="1"/>
  <c r="Q23"/>
  <c r="S23" s="1"/>
  <c r="L23"/>
  <c r="K23"/>
  <c r="J23"/>
  <c r="I23"/>
  <c r="R21"/>
  <c r="Q21"/>
  <c r="L21"/>
  <c r="O21" s="1"/>
  <c r="P21" s="1"/>
  <c r="K21"/>
  <c r="J21"/>
  <c r="I21"/>
  <c r="B112" i="30"/>
  <c r="B111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S39" s="1"/>
  <c r="Q40"/>
  <c r="Q41"/>
  <c r="S41" s="1"/>
  <c r="Q42"/>
  <c r="Q43"/>
  <c r="S43" s="1"/>
  <c r="Q44"/>
  <c r="Q45"/>
  <c r="S45" s="1"/>
  <c r="Q46"/>
  <c r="Q47"/>
  <c r="S47" s="1"/>
  <c r="Q48"/>
  <c r="Q49"/>
  <c r="S49" s="1"/>
  <c r="Q50"/>
  <c r="Q51"/>
  <c r="S51" s="1"/>
  <c r="Q52"/>
  <c r="Q53"/>
  <c r="S53" s="1"/>
  <c r="Q54"/>
  <c r="Q55"/>
  <c r="S55" s="1"/>
  <c r="Q56"/>
  <c r="Q57"/>
  <c r="S57" s="1"/>
  <c r="Q58"/>
  <c r="Q59"/>
  <c r="S59" s="1"/>
  <c r="Q60"/>
  <c r="Q61"/>
  <c r="S61" s="1"/>
  <c r="Q62"/>
  <c r="Q63"/>
  <c r="S63" s="1"/>
  <c r="Q64"/>
  <c r="Q65"/>
  <c r="S65" s="1"/>
  <c r="Q66"/>
  <c r="Q67"/>
  <c r="S67" s="1"/>
  <c r="Q68"/>
  <c r="Q69"/>
  <c r="S69" s="1"/>
  <c r="Q70"/>
  <c r="Q71"/>
  <c r="S71" s="1"/>
  <c r="Q72"/>
  <c r="Q73"/>
  <c r="Q74"/>
  <c r="Q75"/>
  <c r="Q76"/>
  <c r="Q77"/>
  <c r="Q78"/>
  <c r="Q79"/>
  <c r="Q80"/>
  <c r="Q81"/>
  <c r="S81" s="1"/>
  <c r="Q82"/>
  <c r="Q83"/>
  <c r="Q84"/>
  <c r="Q85"/>
  <c r="S85" s="1"/>
  <c r="Q86"/>
  <c r="Q87"/>
  <c r="Q88"/>
  <c r="Q89"/>
  <c r="S89" s="1"/>
  <c r="Q90"/>
  <c r="Q91"/>
  <c r="Q92"/>
  <c r="Q93"/>
  <c r="S93" s="1"/>
  <c r="Q94"/>
  <c r="Q95"/>
  <c r="Q96"/>
  <c r="Q97"/>
  <c r="Q98"/>
  <c r="Q99"/>
  <c r="Q100"/>
  <c r="Q101"/>
  <c r="Q102"/>
  <c r="Q103"/>
  <c r="Q104"/>
  <c r="Q105"/>
  <c r="Q106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B164" i="29"/>
  <c r="B163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S26" s="1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T25" i="30"/>
  <c r="S25"/>
  <c r="L25"/>
  <c r="K25"/>
  <c r="J25"/>
  <c r="I25"/>
  <c r="T24"/>
  <c r="S24"/>
  <c r="L24"/>
  <c r="K24"/>
  <c r="J24"/>
  <c r="I24"/>
  <c r="T23"/>
  <c r="S23"/>
  <c r="L23"/>
  <c r="K23"/>
  <c r="J23"/>
  <c r="I23"/>
  <c r="T22"/>
  <c r="S22"/>
  <c r="L22"/>
  <c r="K22"/>
  <c r="J22"/>
  <c r="I22"/>
  <c r="T21"/>
  <c r="S21"/>
  <c r="L21"/>
  <c r="K21"/>
  <c r="J21"/>
  <c r="I21"/>
  <c r="T20"/>
  <c r="S20"/>
  <c r="L20"/>
  <c r="K20"/>
  <c r="J20"/>
  <c r="I20"/>
  <c r="T19"/>
  <c r="S19"/>
  <c r="L19"/>
  <c r="K19"/>
  <c r="J19"/>
  <c r="I19"/>
  <c r="T18"/>
  <c r="S18"/>
  <c r="L18"/>
  <c r="K18"/>
  <c r="J18"/>
  <c r="I18"/>
  <c r="T17"/>
  <c r="S17"/>
  <c r="L17"/>
  <c r="K17"/>
  <c r="J17"/>
  <c r="I17"/>
  <c r="T16"/>
  <c r="S16"/>
  <c r="L16"/>
  <c r="K16"/>
  <c r="J16"/>
  <c r="I16"/>
  <c r="T15"/>
  <c r="S15"/>
  <c r="L15"/>
  <c r="K15"/>
  <c r="J15"/>
  <c r="I15"/>
  <c r="T14"/>
  <c r="S14"/>
  <c r="L14"/>
  <c r="K14"/>
  <c r="J14"/>
  <c r="I14"/>
  <c r="T13"/>
  <c r="S13"/>
  <c r="L13"/>
  <c r="K13"/>
  <c r="J13"/>
  <c r="I13"/>
  <c r="T12"/>
  <c r="S12"/>
  <c r="L12"/>
  <c r="K12"/>
  <c r="J12"/>
  <c r="I12"/>
  <c r="T11"/>
  <c r="S11"/>
  <c r="L11"/>
  <c r="K11"/>
  <c r="J11"/>
  <c r="I11"/>
  <c r="T10"/>
  <c r="S10"/>
  <c r="L10"/>
  <c r="K10"/>
  <c r="J10"/>
  <c r="I10"/>
  <c r="T9"/>
  <c r="S9"/>
  <c r="L9"/>
  <c r="K9"/>
  <c r="J9"/>
  <c r="I9"/>
  <c r="T8"/>
  <c r="S8"/>
  <c r="L8"/>
  <c r="K8"/>
  <c r="J8"/>
  <c r="I8"/>
  <c r="T7"/>
  <c r="S7"/>
  <c r="L7"/>
  <c r="K7"/>
  <c r="J7"/>
  <c r="I7"/>
  <c r="T6"/>
  <c r="S6"/>
  <c r="L6"/>
  <c r="K6"/>
  <c r="J6"/>
  <c r="I6"/>
  <c r="T5"/>
  <c r="S5"/>
  <c r="L5"/>
  <c r="K5"/>
  <c r="J5"/>
  <c r="I5"/>
  <c r="T4"/>
  <c r="S4"/>
  <c r="L4"/>
  <c r="K4"/>
  <c r="J4"/>
  <c r="I4"/>
  <c r="T3"/>
  <c r="S3"/>
  <c r="L3"/>
  <c r="K3"/>
  <c r="J3"/>
  <c r="I3"/>
  <c r="T2"/>
  <c r="S2"/>
  <c r="L2"/>
  <c r="K2"/>
  <c r="J2"/>
  <c r="I2"/>
  <c r="T71"/>
  <c r="L71"/>
  <c r="K71"/>
  <c r="J71"/>
  <c r="I71"/>
  <c r="T69"/>
  <c r="L69"/>
  <c r="K69"/>
  <c r="J69"/>
  <c r="I69"/>
  <c r="T67"/>
  <c r="L67"/>
  <c r="K67"/>
  <c r="J67"/>
  <c r="I67"/>
  <c r="T65"/>
  <c r="L65"/>
  <c r="K65"/>
  <c r="J65"/>
  <c r="I65"/>
  <c r="T63"/>
  <c r="L63"/>
  <c r="K63"/>
  <c r="J63"/>
  <c r="I63"/>
  <c r="T61"/>
  <c r="L61"/>
  <c r="K61"/>
  <c r="J61"/>
  <c r="I61"/>
  <c r="T59"/>
  <c r="L59"/>
  <c r="K59"/>
  <c r="J59"/>
  <c r="I59"/>
  <c r="T57"/>
  <c r="L57"/>
  <c r="K57"/>
  <c r="J57"/>
  <c r="I57"/>
  <c r="T55"/>
  <c r="L55"/>
  <c r="K55"/>
  <c r="J55"/>
  <c r="I55"/>
  <c r="T53"/>
  <c r="L53"/>
  <c r="K53"/>
  <c r="J53"/>
  <c r="I53"/>
  <c r="T51"/>
  <c r="L51"/>
  <c r="K51"/>
  <c r="J51"/>
  <c r="I51"/>
  <c r="T49"/>
  <c r="L49"/>
  <c r="K49"/>
  <c r="J49"/>
  <c r="I49"/>
  <c r="T47"/>
  <c r="L47"/>
  <c r="K47"/>
  <c r="J47"/>
  <c r="I47"/>
  <c r="T45"/>
  <c r="L45"/>
  <c r="K45"/>
  <c r="J45"/>
  <c r="I45"/>
  <c r="T43"/>
  <c r="L43"/>
  <c r="K43"/>
  <c r="J43"/>
  <c r="I43"/>
  <c r="T41"/>
  <c r="L41"/>
  <c r="K41"/>
  <c r="J41"/>
  <c r="I41"/>
  <c r="T39"/>
  <c r="L39"/>
  <c r="K39"/>
  <c r="J39"/>
  <c r="I39"/>
  <c r="T37"/>
  <c r="S37"/>
  <c r="L37"/>
  <c r="K37"/>
  <c r="J37"/>
  <c r="I37"/>
  <c r="T35"/>
  <c r="S35"/>
  <c r="L35"/>
  <c r="K35"/>
  <c r="J35"/>
  <c r="I35"/>
  <c r="T33"/>
  <c r="L33"/>
  <c r="K33"/>
  <c r="J33"/>
  <c r="I33"/>
  <c r="T31"/>
  <c r="L31"/>
  <c r="K31"/>
  <c r="J31"/>
  <c r="I31"/>
  <c r="S29"/>
  <c r="L29"/>
  <c r="K29"/>
  <c r="J29"/>
  <c r="I29"/>
  <c r="S27"/>
  <c r="L27"/>
  <c r="K27"/>
  <c r="J27"/>
  <c r="I27"/>
  <c r="S106"/>
  <c r="L106"/>
  <c r="K106"/>
  <c r="J106"/>
  <c r="I106"/>
  <c r="T105"/>
  <c r="L105"/>
  <c r="K105"/>
  <c r="J105"/>
  <c r="I105"/>
  <c r="T103"/>
  <c r="L103"/>
  <c r="K103"/>
  <c r="J103"/>
  <c r="I103"/>
  <c r="T101"/>
  <c r="L101"/>
  <c r="K101"/>
  <c r="J101"/>
  <c r="I101"/>
  <c r="T99"/>
  <c r="L99"/>
  <c r="K99"/>
  <c r="J99"/>
  <c r="I99"/>
  <c r="T97"/>
  <c r="L97"/>
  <c r="K97"/>
  <c r="J97"/>
  <c r="I97"/>
  <c r="S95"/>
  <c r="L95"/>
  <c r="K95"/>
  <c r="J95"/>
  <c r="I95"/>
  <c r="L93"/>
  <c r="K93"/>
  <c r="J93"/>
  <c r="I93"/>
  <c r="T91"/>
  <c r="L91"/>
  <c r="K91"/>
  <c r="J91"/>
  <c r="I91"/>
  <c r="L89"/>
  <c r="K89"/>
  <c r="J89"/>
  <c r="I89"/>
  <c r="S87"/>
  <c r="L87"/>
  <c r="K87"/>
  <c r="J87"/>
  <c r="I87"/>
  <c r="L85"/>
  <c r="K85"/>
  <c r="J85"/>
  <c r="I85"/>
  <c r="S83"/>
  <c r="L83"/>
  <c r="K83"/>
  <c r="J83"/>
  <c r="I83"/>
  <c r="L81"/>
  <c r="K81"/>
  <c r="J81"/>
  <c r="I81"/>
  <c r="T79"/>
  <c r="L79"/>
  <c r="K79"/>
  <c r="J79"/>
  <c r="I79"/>
  <c r="T77"/>
  <c r="L77"/>
  <c r="K77"/>
  <c r="J77"/>
  <c r="I77"/>
  <c r="T75"/>
  <c r="L75"/>
  <c r="K75"/>
  <c r="J75"/>
  <c r="I75"/>
  <c r="L73"/>
  <c r="K73"/>
  <c r="J73"/>
  <c r="I73"/>
  <c r="L70"/>
  <c r="K70"/>
  <c r="J70"/>
  <c r="I70"/>
  <c r="L68"/>
  <c r="K68"/>
  <c r="J68"/>
  <c r="I68"/>
  <c r="S66"/>
  <c r="L66"/>
  <c r="K66"/>
  <c r="O68" s="1"/>
  <c r="T68" s="1"/>
  <c r="J66"/>
  <c r="I66"/>
  <c r="S64"/>
  <c r="L64"/>
  <c r="K64"/>
  <c r="J64"/>
  <c r="I64"/>
  <c r="L62"/>
  <c r="K62"/>
  <c r="J62"/>
  <c r="I62"/>
  <c r="S60"/>
  <c r="L60"/>
  <c r="K60"/>
  <c r="O62" s="1"/>
  <c r="S62" s="1"/>
  <c r="J60"/>
  <c r="I60"/>
  <c r="L58"/>
  <c r="K58"/>
  <c r="O60" s="1"/>
  <c r="J58"/>
  <c r="I58"/>
  <c r="S56"/>
  <c r="L56"/>
  <c r="K56"/>
  <c r="J56"/>
  <c r="I56"/>
  <c r="L54"/>
  <c r="K54"/>
  <c r="J54"/>
  <c r="I54"/>
  <c r="L52"/>
  <c r="K52"/>
  <c r="J52"/>
  <c r="I52"/>
  <c r="L50"/>
  <c r="K50"/>
  <c r="J50"/>
  <c r="I50"/>
  <c r="S48"/>
  <c r="L48"/>
  <c r="K48"/>
  <c r="J48"/>
  <c r="I48"/>
  <c r="L46"/>
  <c r="K46"/>
  <c r="J46"/>
  <c r="I46"/>
  <c r="S44"/>
  <c r="L44"/>
  <c r="K44"/>
  <c r="J44"/>
  <c r="I44"/>
  <c r="S42"/>
  <c r="L42"/>
  <c r="K42"/>
  <c r="J42"/>
  <c r="I42"/>
  <c r="T40"/>
  <c r="L40"/>
  <c r="K40"/>
  <c r="J40"/>
  <c r="I40"/>
  <c r="T38"/>
  <c r="L38"/>
  <c r="K38"/>
  <c r="J38"/>
  <c r="I38"/>
  <c r="S36"/>
  <c r="L36"/>
  <c r="K36"/>
  <c r="J36"/>
  <c r="I36"/>
  <c r="T34"/>
  <c r="L34"/>
  <c r="K34"/>
  <c r="J34"/>
  <c r="I34"/>
  <c r="T32"/>
  <c r="L32"/>
  <c r="K32"/>
  <c r="J32"/>
  <c r="I32"/>
  <c r="L30"/>
  <c r="K30"/>
  <c r="J30"/>
  <c r="I30"/>
  <c r="L28"/>
  <c r="K28"/>
  <c r="J28"/>
  <c r="I28"/>
  <c r="T26"/>
  <c r="L26"/>
  <c r="K26"/>
  <c r="J26"/>
  <c r="I26"/>
  <c r="L104"/>
  <c r="K104"/>
  <c r="J104"/>
  <c r="I104"/>
  <c r="T102"/>
  <c r="L102"/>
  <c r="K102"/>
  <c r="O104" s="1"/>
  <c r="T104" s="1"/>
  <c r="J102"/>
  <c r="I102"/>
  <c r="L100"/>
  <c r="K100"/>
  <c r="J100"/>
  <c r="I100"/>
  <c r="T98"/>
  <c r="L98"/>
  <c r="K98"/>
  <c r="O100" s="1"/>
  <c r="T100" s="1"/>
  <c r="J98"/>
  <c r="I98"/>
  <c r="L96"/>
  <c r="K96"/>
  <c r="O98" s="1"/>
  <c r="J96"/>
  <c r="I96"/>
  <c r="T94"/>
  <c r="L94"/>
  <c r="K94"/>
  <c r="O96" s="1"/>
  <c r="T96" s="1"/>
  <c r="J94"/>
  <c r="I94"/>
  <c r="L92"/>
  <c r="K92"/>
  <c r="J92"/>
  <c r="I92"/>
  <c r="L90"/>
  <c r="K90"/>
  <c r="J90"/>
  <c r="I90"/>
  <c r="L88"/>
  <c r="K88"/>
  <c r="J88"/>
  <c r="I88"/>
  <c r="L86"/>
  <c r="K86"/>
  <c r="J86"/>
  <c r="I86"/>
  <c r="L84"/>
  <c r="K84"/>
  <c r="J84"/>
  <c r="I84"/>
  <c r="T82"/>
  <c r="L82"/>
  <c r="K82"/>
  <c r="O84" s="1"/>
  <c r="T84" s="1"/>
  <c r="J82"/>
  <c r="I82"/>
  <c r="L80"/>
  <c r="K80"/>
  <c r="J80"/>
  <c r="I80"/>
  <c r="T78"/>
  <c r="L78"/>
  <c r="K78"/>
  <c r="O80" s="1"/>
  <c r="T80" s="1"/>
  <c r="J78"/>
  <c r="I78"/>
  <c r="L76"/>
  <c r="K76"/>
  <c r="J76"/>
  <c r="I76"/>
  <c r="T74"/>
  <c r="L74"/>
  <c r="K74"/>
  <c r="O76" s="1"/>
  <c r="T76" s="1"/>
  <c r="J74"/>
  <c r="I74"/>
  <c r="L72"/>
  <c r="K72"/>
  <c r="J72"/>
  <c r="I72"/>
  <c r="S128" i="29"/>
  <c r="L128"/>
  <c r="K128"/>
  <c r="J128"/>
  <c r="I128"/>
  <c r="T127"/>
  <c r="S127"/>
  <c r="L127"/>
  <c r="K127"/>
  <c r="J127"/>
  <c r="I127"/>
  <c r="S126"/>
  <c r="L126"/>
  <c r="K126"/>
  <c r="J126"/>
  <c r="I126"/>
  <c r="T125"/>
  <c r="S125"/>
  <c r="L125"/>
  <c r="K125"/>
  <c r="J125"/>
  <c r="I125"/>
  <c r="S124"/>
  <c r="L124"/>
  <c r="K124"/>
  <c r="J124"/>
  <c r="I124"/>
  <c r="T123"/>
  <c r="S123"/>
  <c r="L123"/>
  <c r="K123"/>
  <c r="J123"/>
  <c r="I123"/>
  <c r="S122"/>
  <c r="L122"/>
  <c r="K122"/>
  <c r="J122"/>
  <c r="I122"/>
  <c r="T121"/>
  <c r="S121"/>
  <c r="L121"/>
  <c r="K121"/>
  <c r="J121"/>
  <c r="I121"/>
  <c r="S120"/>
  <c r="L120"/>
  <c r="K120"/>
  <c r="J120"/>
  <c r="I120"/>
  <c r="T119"/>
  <c r="S119"/>
  <c r="L119"/>
  <c r="K119"/>
  <c r="J119"/>
  <c r="I119"/>
  <c r="T118"/>
  <c r="L118"/>
  <c r="K118"/>
  <c r="J118"/>
  <c r="I118"/>
  <c r="T117"/>
  <c r="S117"/>
  <c r="L117"/>
  <c r="K117"/>
  <c r="J117"/>
  <c r="I117"/>
  <c r="T116"/>
  <c r="L116"/>
  <c r="K116"/>
  <c r="J116"/>
  <c r="I116"/>
  <c r="T115"/>
  <c r="S115"/>
  <c r="L115"/>
  <c r="K115"/>
  <c r="J115"/>
  <c r="I115"/>
  <c r="T114"/>
  <c r="L114"/>
  <c r="K114"/>
  <c r="J114"/>
  <c r="I114"/>
  <c r="T20"/>
  <c r="S20"/>
  <c r="L20"/>
  <c r="K20"/>
  <c r="J20"/>
  <c r="I20"/>
  <c r="T19"/>
  <c r="L19"/>
  <c r="K19"/>
  <c r="J19"/>
  <c r="I19"/>
  <c r="T18"/>
  <c r="S18"/>
  <c r="L18"/>
  <c r="K18"/>
  <c r="J18"/>
  <c r="I18"/>
  <c r="S17"/>
  <c r="L17"/>
  <c r="K17"/>
  <c r="J17"/>
  <c r="I17"/>
  <c r="T16"/>
  <c r="S16"/>
  <c r="L16"/>
  <c r="K16"/>
  <c r="J16"/>
  <c r="I16"/>
  <c r="T15"/>
  <c r="L15"/>
  <c r="K15"/>
  <c r="J15"/>
  <c r="I15"/>
  <c r="T14"/>
  <c r="S14"/>
  <c r="L14"/>
  <c r="K14"/>
  <c r="J14"/>
  <c r="I14"/>
  <c r="S13"/>
  <c r="L13"/>
  <c r="K13"/>
  <c r="J13"/>
  <c r="I13"/>
  <c r="T12"/>
  <c r="S12"/>
  <c r="L12"/>
  <c r="K12"/>
  <c r="J12"/>
  <c r="I12"/>
  <c r="S11"/>
  <c r="L11"/>
  <c r="K11"/>
  <c r="J11"/>
  <c r="I11"/>
  <c r="T10"/>
  <c r="S10"/>
  <c r="L10"/>
  <c r="K10"/>
  <c r="J10"/>
  <c r="I10"/>
  <c r="S9"/>
  <c r="L9"/>
  <c r="K9"/>
  <c r="J9"/>
  <c r="I9"/>
  <c r="T8"/>
  <c r="S8"/>
  <c r="L8"/>
  <c r="K8"/>
  <c r="J8"/>
  <c r="I8"/>
  <c r="S7"/>
  <c r="L7"/>
  <c r="K7"/>
  <c r="J7"/>
  <c r="I7"/>
  <c r="T6"/>
  <c r="S6"/>
  <c r="L6"/>
  <c r="K6"/>
  <c r="J6"/>
  <c r="I6"/>
  <c r="T5"/>
  <c r="S5"/>
  <c r="L5"/>
  <c r="K5"/>
  <c r="J5"/>
  <c r="I5"/>
  <c r="T4"/>
  <c r="S4"/>
  <c r="L4"/>
  <c r="K4"/>
  <c r="J4"/>
  <c r="I4"/>
  <c r="T3"/>
  <c r="S3"/>
  <c r="L3"/>
  <c r="K3"/>
  <c r="J3"/>
  <c r="I3"/>
  <c r="T2"/>
  <c r="S2"/>
  <c r="L2"/>
  <c r="K2"/>
  <c r="J2"/>
  <c r="I2"/>
  <c r="T113"/>
  <c r="S113"/>
  <c r="L113"/>
  <c r="K113"/>
  <c r="J113"/>
  <c r="I113"/>
  <c r="T111"/>
  <c r="S111"/>
  <c r="L111"/>
  <c r="K111"/>
  <c r="J111"/>
  <c r="I111"/>
  <c r="T109"/>
  <c r="S109"/>
  <c r="L109"/>
  <c r="K109"/>
  <c r="J109"/>
  <c r="I109"/>
  <c r="T107"/>
  <c r="S107"/>
  <c r="L107"/>
  <c r="K107"/>
  <c r="J107"/>
  <c r="I107"/>
  <c r="T105"/>
  <c r="S105"/>
  <c r="L105"/>
  <c r="K105"/>
  <c r="J105"/>
  <c r="I105"/>
  <c r="T103"/>
  <c r="S103"/>
  <c r="L103"/>
  <c r="K103"/>
  <c r="J103"/>
  <c r="I103"/>
  <c r="T101"/>
  <c r="S101"/>
  <c r="L101"/>
  <c r="K101"/>
  <c r="J101"/>
  <c r="I101"/>
  <c r="T99"/>
  <c r="S99"/>
  <c r="L99"/>
  <c r="K99"/>
  <c r="J99"/>
  <c r="I99"/>
  <c r="T97"/>
  <c r="S97"/>
  <c r="L97"/>
  <c r="K97"/>
  <c r="J97"/>
  <c r="I97"/>
  <c r="T95"/>
  <c r="S95"/>
  <c r="L95"/>
  <c r="K95"/>
  <c r="J95"/>
  <c r="I95"/>
  <c r="T93"/>
  <c r="S93"/>
  <c r="L93"/>
  <c r="K93"/>
  <c r="J93"/>
  <c r="I93"/>
  <c r="T91"/>
  <c r="L91"/>
  <c r="K91"/>
  <c r="J91"/>
  <c r="I91"/>
  <c r="T89"/>
  <c r="S89"/>
  <c r="L89"/>
  <c r="K89"/>
  <c r="J89"/>
  <c r="I89"/>
  <c r="T158"/>
  <c r="L158"/>
  <c r="K158"/>
  <c r="J158"/>
  <c r="I158"/>
  <c r="T156"/>
  <c r="S156"/>
  <c r="L156"/>
  <c r="K156"/>
  <c r="J156"/>
  <c r="I156"/>
  <c r="S154"/>
  <c r="L154"/>
  <c r="K154"/>
  <c r="J154"/>
  <c r="I154"/>
  <c r="T152"/>
  <c r="S152"/>
  <c r="L152"/>
  <c r="K152"/>
  <c r="J152"/>
  <c r="I152"/>
  <c r="S150"/>
  <c r="L150"/>
  <c r="K150"/>
  <c r="J150"/>
  <c r="I150"/>
  <c r="T148"/>
  <c r="S148"/>
  <c r="L148"/>
  <c r="K148"/>
  <c r="J148"/>
  <c r="I148"/>
  <c r="S146"/>
  <c r="L146"/>
  <c r="K146"/>
  <c r="J146"/>
  <c r="I146"/>
  <c r="T144"/>
  <c r="S144"/>
  <c r="L144"/>
  <c r="K144"/>
  <c r="J144"/>
  <c r="I144"/>
  <c r="T142"/>
  <c r="L142"/>
  <c r="K142"/>
  <c r="J142"/>
  <c r="I142"/>
  <c r="T140"/>
  <c r="S140"/>
  <c r="L140"/>
  <c r="K140"/>
  <c r="J140"/>
  <c r="I140"/>
  <c r="T138"/>
  <c r="L138"/>
  <c r="K138"/>
  <c r="J138"/>
  <c r="I138"/>
  <c r="T136"/>
  <c r="S136"/>
  <c r="L136"/>
  <c r="K136"/>
  <c r="J136"/>
  <c r="I136"/>
  <c r="T134"/>
  <c r="L134"/>
  <c r="K134"/>
  <c r="J134"/>
  <c r="I134"/>
  <c r="T132"/>
  <c r="S132"/>
  <c r="L132"/>
  <c r="K132"/>
  <c r="J132"/>
  <c r="I132"/>
  <c r="T130"/>
  <c r="L130"/>
  <c r="K130"/>
  <c r="J130"/>
  <c r="I130"/>
  <c r="T87"/>
  <c r="S87"/>
  <c r="L87"/>
  <c r="K87"/>
  <c r="J87"/>
  <c r="I87"/>
  <c r="T86"/>
  <c r="L86"/>
  <c r="K86"/>
  <c r="O87" s="1"/>
  <c r="P87" s="1"/>
  <c r="J86"/>
  <c r="I86"/>
  <c r="T85"/>
  <c r="S85"/>
  <c r="L85"/>
  <c r="K85"/>
  <c r="J85"/>
  <c r="I85"/>
  <c r="S84"/>
  <c r="L84"/>
  <c r="K84"/>
  <c r="O85" s="1"/>
  <c r="P85" s="1"/>
  <c r="J84"/>
  <c r="I84"/>
  <c r="T80"/>
  <c r="S80"/>
  <c r="L80"/>
  <c r="K80"/>
  <c r="J80"/>
  <c r="I80"/>
  <c r="S78"/>
  <c r="L78"/>
  <c r="K78"/>
  <c r="J78"/>
  <c r="I78"/>
  <c r="T76"/>
  <c r="S76"/>
  <c r="L76"/>
  <c r="K76"/>
  <c r="J76"/>
  <c r="I76"/>
  <c r="T74"/>
  <c r="L74"/>
  <c r="K74"/>
  <c r="J74"/>
  <c r="I74"/>
  <c r="T72"/>
  <c r="S72"/>
  <c r="L72"/>
  <c r="K72"/>
  <c r="J72"/>
  <c r="I72"/>
  <c r="T70"/>
  <c r="S70"/>
  <c r="L70"/>
  <c r="K70"/>
  <c r="J70"/>
  <c r="I70"/>
  <c r="T68"/>
  <c r="S68"/>
  <c r="L68"/>
  <c r="K68"/>
  <c r="J68"/>
  <c r="I68"/>
  <c r="T66"/>
  <c r="S66"/>
  <c r="L66"/>
  <c r="K66"/>
  <c r="J66"/>
  <c r="I66"/>
  <c r="T64"/>
  <c r="L64"/>
  <c r="K64"/>
  <c r="J64"/>
  <c r="I64"/>
  <c r="S62"/>
  <c r="L62"/>
  <c r="K62"/>
  <c r="J62"/>
  <c r="I62"/>
  <c r="T60"/>
  <c r="L60"/>
  <c r="K60"/>
  <c r="J60"/>
  <c r="I60"/>
  <c r="T58"/>
  <c r="S58"/>
  <c r="L58"/>
  <c r="K58"/>
  <c r="J58"/>
  <c r="I58"/>
  <c r="T56"/>
  <c r="L56"/>
  <c r="K56"/>
  <c r="J56"/>
  <c r="I56"/>
  <c r="T54"/>
  <c r="S54"/>
  <c r="L54"/>
  <c r="K54"/>
  <c r="J54"/>
  <c r="I54"/>
  <c r="S52"/>
  <c r="L52"/>
  <c r="K52"/>
  <c r="J52"/>
  <c r="I52"/>
  <c r="T50"/>
  <c r="S50"/>
  <c r="L50"/>
  <c r="K50"/>
  <c r="J50"/>
  <c r="I50"/>
  <c r="S48"/>
  <c r="L48"/>
  <c r="K48"/>
  <c r="J48"/>
  <c r="I48"/>
  <c r="T46"/>
  <c r="S46"/>
  <c r="L46"/>
  <c r="K46"/>
  <c r="J46"/>
  <c r="I46"/>
  <c r="T44"/>
  <c r="L44"/>
  <c r="K44"/>
  <c r="J44"/>
  <c r="I44"/>
  <c r="T42"/>
  <c r="S42"/>
  <c r="L42"/>
  <c r="K42"/>
  <c r="J42"/>
  <c r="I42"/>
  <c r="S40"/>
  <c r="L40"/>
  <c r="K40"/>
  <c r="J40"/>
  <c r="I40"/>
  <c r="T38"/>
  <c r="S38"/>
  <c r="L38"/>
  <c r="K38"/>
  <c r="J38"/>
  <c r="I38"/>
  <c r="S36"/>
  <c r="L36"/>
  <c r="K36"/>
  <c r="J36"/>
  <c r="I36"/>
  <c r="T34"/>
  <c r="S34"/>
  <c r="L34"/>
  <c r="K34"/>
  <c r="J34"/>
  <c r="I34"/>
  <c r="T32"/>
  <c r="L32"/>
  <c r="K32"/>
  <c r="J32"/>
  <c r="I32"/>
  <c r="T30"/>
  <c r="S30"/>
  <c r="L30"/>
  <c r="K30"/>
  <c r="J30"/>
  <c r="I30"/>
  <c r="T28"/>
  <c r="L28"/>
  <c r="K28"/>
  <c r="J28"/>
  <c r="I28"/>
  <c r="T26"/>
  <c r="L26"/>
  <c r="K26"/>
  <c r="J26"/>
  <c r="I26"/>
  <c r="S24"/>
  <c r="L24"/>
  <c r="K24"/>
  <c r="J24"/>
  <c r="I24"/>
  <c r="T22"/>
  <c r="L22"/>
  <c r="K22"/>
  <c r="J22"/>
  <c r="I22"/>
  <c r="T112"/>
  <c r="L112"/>
  <c r="K112"/>
  <c r="J112"/>
  <c r="I112"/>
  <c r="S110"/>
  <c r="L110"/>
  <c r="K110"/>
  <c r="J110"/>
  <c r="I110"/>
  <c r="L108"/>
  <c r="K108"/>
  <c r="J108"/>
  <c r="I108"/>
  <c r="S106"/>
  <c r="L106"/>
  <c r="K106"/>
  <c r="J106"/>
  <c r="I106"/>
  <c r="L104"/>
  <c r="K104"/>
  <c r="J104"/>
  <c r="I104"/>
  <c r="T102"/>
  <c r="L102"/>
  <c r="K102"/>
  <c r="J102"/>
  <c r="I102"/>
  <c r="T100"/>
  <c r="L100"/>
  <c r="K100"/>
  <c r="J100"/>
  <c r="I100"/>
  <c r="T98"/>
  <c r="L98"/>
  <c r="K98"/>
  <c r="J98"/>
  <c r="I98"/>
  <c r="T96"/>
  <c r="L96"/>
  <c r="K96"/>
  <c r="J96"/>
  <c r="I96"/>
  <c r="S94"/>
  <c r="L94"/>
  <c r="K94"/>
  <c r="J94"/>
  <c r="I94"/>
  <c r="L92"/>
  <c r="K92"/>
  <c r="J92"/>
  <c r="I92"/>
  <c r="T90"/>
  <c r="L90"/>
  <c r="K90"/>
  <c r="J90"/>
  <c r="I90"/>
  <c r="L88"/>
  <c r="K88"/>
  <c r="J88"/>
  <c r="I88"/>
  <c r="S157"/>
  <c r="L157"/>
  <c r="K157"/>
  <c r="J157"/>
  <c r="I157"/>
  <c r="L155"/>
  <c r="K155"/>
  <c r="J155"/>
  <c r="I155"/>
  <c r="S153"/>
  <c r="L153"/>
  <c r="K153"/>
  <c r="J153"/>
  <c r="I153"/>
  <c r="L151"/>
  <c r="K151"/>
  <c r="J151"/>
  <c r="I151"/>
  <c r="T149"/>
  <c r="L149"/>
  <c r="K149"/>
  <c r="J149"/>
  <c r="I149"/>
  <c r="T147"/>
  <c r="L147"/>
  <c r="K147"/>
  <c r="J147"/>
  <c r="I147"/>
  <c r="T145"/>
  <c r="L145"/>
  <c r="K145"/>
  <c r="J145"/>
  <c r="I145"/>
  <c r="T143"/>
  <c r="L143"/>
  <c r="K143"/>
  <c r="J143"/>
  <c r="I143"/>
  <c r="S141"/>
  <c r="L141"/>
  <c r="K141"/>
  <c r="J141"/>
  <c r="I141"/>
  <c r="T139"/>
  <c r="L139"/>
  <c r="K139"/>
  <c r="J139"/>
  <c r="I139"/>
  <c r="S137"/>
  <c r="L137"/>
  <c r="K137"/>
  <c r="J137"/>
  <c r="I137"/>
  <c r="L135"/>
  <c r="K135"/>
  <c r="J135"/>
  <c r="I135"/>
  <c r="S133"/>
  <c r="L133"/>
  <c r="K133"/>
  <c r="J133"/>
  <c r="I133"/>
  <c r="L131"/>
  <c r="K131"/>
  <c r="J131"/>
  <c r="I131"/>
  <c r="T129"/>
  <c r="L129"/>
  <c r="K129"/>
  <c r="J129"/>
  <c r="I129"/>
  <c r="L83"/>
  <c r="K83"/>
  <c r="J83"/>
  <c r="I83"/>
  <c r="T82"/>
  <c r="L82"/>
  <c r="K82"/>
  <c r="J82"/>
  <c r="I82"/>
  <c r="T81"/>
  <c r="L81"/>
  <c r="K81"/>
  <c r="J81"/>
  <c r="I81"/>
  <c r="S79"/>
  <c r="L79"/>
  <c r="K79"/>
  <c r="J79"/>
  <c r="I79"/>
  <c r="L77"/>
  <c r="K77"/>
  <c r="J77"/>
  <c r="I77"/>
  <c r="T75"/>
  <c r="L75"/>
  <c r="K75"/>
  <c r="J75"/>
  <c r="I75"/>
  <c r="L73"/>
  <c r="K73"/>
  <c r="J73"/>
  <c r="I73"/>
  <c r="S71"/>
  <c r="L71"/>
  <c r="K71"/>
  <c r="J71"/>
  <c r="I71"/>
  <c r="T69"/>
  <c r="L69"/>
  <c r="K69"/>
  <c r="J69"/>
  <c r="I69"/>
  <c r="T67"/>
  <c r="L67"/>
  <c r="K67"/>
  <c r="J67"/>
  <c r="I67"/>
  <c r="L65"/>
  <c r="K65"/>
  <c r="J65"/>
  <c r="I65"/>
  <c r="T63"/>
  <c r="L63"/>
  <c r="K63"/>
  <c r="J63"/>
  <c r="I63"/>
  <c r="T61"/>
  <c r="L61"/>
  <c r="K61"/>
  <c r="J61"/>
  <c r="I61"/>
  <c r="S59"/>
  <c r="L59"/>
  <c r="K59"/>
  <c r="J59"/>
  <c r="I59"/>
  <c r="T57"/>
  <c r="L57"/>
  <c r="K57"/>
  <c r="J57"/>
  <c r="I57"/>
  <c r="T55"/>
  <c r="L55"/>
  <c r="K55"/>
  <c r="J55"/>
  <c r="I55"/>
  <c r="T53"/>
  <c r="L53"/>
  <c r="K53"/>
  <c r="J53"/>
  <c r="I53"/>
  <c r="T51"/>
  <c r="L51"/>
  <c r="K51"/>
  <c r="J51"/>
  <c r="I51"/>
  <c r="T49"/>
  <c r="L49"/>
  <c r="K49"/>
  <c r="J49"/>
  <c r="I49"/>
  <c r="T47"/>
  <c r="L47"/>
  <c r="K47"/>
  <c r="J47"/>
  <c r="I47"/>
  <c r="T45"/>
  <c r="L45"/>
  <c r="K45"/>
  <c r="J45"/>
  <c r="I45"/>
  <c r="T43"/>
  <c r="L43"/>
  <c r="K43"/>
  <c r="J43"/>
  <c r="I43"/>
  <c r="T41"/>
  <c r="L41"/>
  <c r="K41"/>
  <c r="J41"/>
  <c r="I41"/>
  <c r="T39"/>
  <c r="L39"/>
  <c r="K39"/>
  <c r="J39"/>
  <c r="I39"/>
  <c r="T37"/>
  <c r="L37"/>
  <c r="K37"/>
  <c r="J37"/>
  <c r="I37"/>
  <c r="T35"/>
  <c r="L35"/>
  <c r="K35"/>
  <c r="J35"/>
  <c r="I35"/>
  <c r="T33"/>
  <c r="L33"/>
  <c r="K33"/>
  <c r="J33"/>
  <c r="I33"/>
  <c r="T31"/>
  <c r="L31"/>
  <c r="K31"/>
  <c r="J31"/>
  <c r="I31"/>
  <c r="T29"/>
  <c r="L29"/>
  <c r="K29"/>
  <c r="J29"/>
  <c r="I29"/>
  <c r="T27"/>
  <c r="L27"/>
  <c r="K27"/>
  <c r="J27"/>
  <c r="I27"/>
  <c r="T25"/>
  <c r="L25"/>
  <c r="K25"/>
  <c r="J25"/>
  <c r="I25"/>
  <c r="T23"/>
  <c r="L23"/>
  <c r="K23"/>
  <c r="J23"/>
  <c r="I23"/>
  <c r="L21"/>
  <c r="K21"/>
  <c r="J21"/>
  <c r="I21"/>
  <c r="H63" i="40" l="1"/>
  <c r="H61"/>
  <c r="H59"/>
  <c r="H57"/>
  <c r="H55"/>
  <c r="H53"/>
  <c r="H51"/>
  <c r="H49"/>
  <c r="H47"/>
  <c r="H45"/>
  <c r="H43"/>
  <c r="H41"/>
  <c r="H39"/>
  <c r="H37"/>
  <c r="H35"/>
  <c r="H33"/>
  <c r="H31"/>
  <c r="H29"/>
  <c r="H27"/>
  <c r="H25"/>
  <c r="H23"/>
  <c r="H21"/>
  <c r="H19"/>
  <c r="H17"/>
  <c r="H15"/>
  <c r="K13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H13"/>
  <c r="H62"/>
  <c r="H60"/>
  <c r="H58"/>
  <c r="H56"/>
  <c r="H54"/>
  <c r="H52"/>
  <c r="H50"/>
  <c r="H48"/>
  <c r="H46"/>
  <c r="H44"/>
  <c r="H42"/>
  <c r="H40"/>
  <c r="H38"/>
  <c r="H36"/>
  <c r="H34"/>
  <c r="H32"/>
  <c r="H30"/>
  <c r="H28"/>
  <c r="H26"/>
  <c r="H24"/>
  <c r="H22"/>
  <c r="H20"/>
  <c r="H18"/>
  <c r="H16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O38" i="38"/>
  <c r="P38" s="1"/>
  <c r="O46"/>
  <c r="P46" s="1"/>
  <c r="O54"/>
  <c r="P54" s="1"/>
  <c r="O79"/>
  <c r="P79" s="1"/>
  <c r="O87"/>
  <c r="P87" s="1"/>
  <c r="O95"/>
  <c r="P95" s="1"/>
  <c r="O103"/>
  <c r="P103" s="1"/>
  <c r="O29"/>
  <c r="P29" s="1"/>
  <c r="O37"/>
  <c r="P37" s="1"/>
  <c r="O45"/>
  <c r="P45" s="1"/>
  <c r="O53"/>
  <c r="P53" s="1"/>
  <c r="O61"/>
  <c r="P61" s="1"/>
  <c r="O69"/>
  <c r="P69" s="1"/>
  <c r="O3"/>
  <c r="O9"/>
  <c r="P9" s="1"/>
  <c r="O13"/>
  <c r="P13" s="1"/>
  <c r="O17"/>
  <c r="P17" s="1"/>
  <c r="O21"/>
  <c r="P21" s="1"/>
  <c r="O34"/>
  <c r="P34" s="1"/>
  <c r="O42"/>
  <c r="P42" s="1"/>
  <c r="O50"/>
  <c r="P50" s="1"/>
  <c r="O58"/>
  <c r="P58" s="1"/>
  <c r="O75"/>
  <c r="P75" s="1"/>
  <c r="O83"/>
  <c r="P83" s="1"/>
  <c r="O91"/>
  <c r="P91" s="1"/>
  <c r="O99"/>
  <c r="P99" s="1"/>
  <c r="O106"/>
  <c r="P106" s="1"/>
  <c r="O33"/>
  <c r="P33" s="1"/>
  <c r="O41"/>
  <c r="P41" s="1"/>
  <c r="O49"/>
  <c r="P49" s="1"/>
  <c r="O57"/>
  <c r="P57" s="1"/>
  <c r="O65"/>
  <c r="P65" s="1"/>
  <c r="O2"/>
  <c r="O4"/>
  <c r="P4" s="1"/>
  <c r="O11"/>
  <c r="P11" s="1"/>
  <c r="O15"/>
  <c r="P15" s="1"/>
  <c r="O19"/>
  <c r="P19" s="1"/>
  <c r="O23"/>
  <c r="P23" s="1"/>
  <c r="O76"/>
  <c r="P76" s="1"/>
  <c r="O78"/>
  <c r="P78" s="1"/>
  <c r="O80"/>
  <c r="P80" s="1"/>
  <c r="O82"/>
  <c r="P82" s="1"/>
  <c r="O84"/>
  <c r="P84" s="1"/>
  <c r="O86"/>
  <c r="P86" s="1"/>
  <c r="O88"/>
  <c r="P88" s="1"/>
  <c r="O90"/>
  <c r="P90" s="1"/>
  <c r="O92"/>
  <c r="P92" s="1"/>
  <c r="O94"/>
  <c r="P94" s="1"/>
  <c r="O96"/>
  <c r="P96" s="1"/>
  <c r="O98"/>
  <c r="P98" s="1"/>
  <c r="O100"/>
  <c r="P100" s="1"/>
  <c r="O102"/>
  <c r="P102" s="1"/>
  <c r="O104"/>
  <c r="P104" s="1"/>
  <c r="O26"/>
  <c r="P26" s="1"/>
  <c r="O28"/>
  <c r="P28" s="1"/>
  <c r="O30"/>
  <c r="P30" s="1"/>
  <c r="O32"/>
  <c r="O40"/>
  <c r="O48"/>
  <c r="O56"/>
  <c r="O64"/>
  <c r="O73"/>
  <c r="O81"/>
  <c r="O89"/>
  <c r="O97"/>
  <c r="O105"/>
  <c r="O31"/>
  <c r="O39"/>
  <c r="O47"/>
  <c r="O55"/>
  <c r="O63"/>
  <c r="O71"/>
  <c r="O10"/>
  <c r="O14"/>
  <c r="O18"/>
  <c r="O22"/>
  <c r="I107"/>
  <c r="K107"/>
  <c r="O72"/>
  <c r="P72" s="1"/>
  <c r="O36"/>
  <c r="P36" s="1"/>
  <c r="O44"/>
  <c r="O52"/>
  <c r="P52" s="1"/>
  <c r="O60"/>
  <c r="O68"/>
  <c r="P68" s="1"/>
  <c r="O77"/>
  <c r="O85"/>
  <c r="P85" s="1"/>
  <c r="O93"/>
  <c r="O101"/>
  <c r="P101" s="1"/>
  <c r="O27"/>
  <c r="O35"/>
  <c r="P35" s="1"/>
  <c r="O43"/>
  <c r="O51"/>
  <c r="P51" s="1"/>
  <c r="O59"/>
  <c r="O67"/>
  <c r="P67" s="1"/>
  <c r="O6"/>
  <c r="P6" s="1"/>
  <c r="O7"/>
  <c r="P7" s="1"/>
  <c r="O8"/>
  <c r="O12"/>
  <c r="P12" s="1"/>
  <c r="O16"/>
  <c r="O20"/>
  <c r="P20" s="1"/>
  <c r="O24"/>
  <c r="Q32"/>
  <c r="S32" s="1"/>
  <c r="P32"/>
  <c r="R40"/>
  <c r="T40" s="1"/>
  <c r="P40"/>
  <c r="Q48"/>
  <c r="S48" s="1"/>
  <c r="P48"/>
  <c r="Q56"/>
  <c r="S56" s="1"/>
  <c r="P56"/>
  <c r="Q64"/>
  <c r="S64" s="1"/>
  <c r="P64"/>
  <c r="Q73"/>
  <c r="S73" s="1"/>
  <c r="P73"/>
  <c r="Q81"/>
  <c r="S81" s="1"/>
  <c r="P81"/>
  <c r="Q89"/>
  <c r="S89" s="1"/>
  <c r="P89"/>
  <c r="Q97"/>
  <c r="S97" s="1"/>
  <c r="P97"/>
  <c r="Q105"/>
  <c r="S105" s="1"/>
  <c r="P105"/>
  <c r="Q31"/>
  <c r="S31" s="1"/>
  <c r="P31"/>
  <c r="Q39"/>
  <c r="S39" s="1"/>
  <c r="P39"/>
  <c r="Q47"/>
  <c r="S47" s="1"/>
  <c r="P47"/>
  <c r="Q55"/>
  <c r="S55" s="1"/>
  <c r="P55"/>
  <c r="Q63"/>
  <c r="S63" s="1"/>
  <c r="P63"/>
  <c r="Q71"/>
  <c r="S71" s="1"/>
  <c r="P71"/>
  <c r="Q2"/>
  <c r="S2" s="1"/>
  <c r="P2"/>
  <c r="Q36"/>
  <c r="S36" s="1"/>
  <c r="R44"/>
  <c r="T44" s="1"/>
  <c r="P44"/>
  <c r="Q52"/>
  <c r="S52" s="1"/>
  <c r="Q60"/>
  <c r="S60" s="1"/>
  <c r="P60"/>
  <c r="Q68"/>
  <c r="S68" s="1"/>
  <c r="Q77"/>
  <c r="S77" s="1"/>
  <c r="P77"/>
  <c r="Q85"/>
  <c r="S85" s="1"/>
  <c r="Q93"/>
  <c r="S93" s="1"/>
  <c r="P93"/>
  <c r="Q101"/>
  <c r="S101" s="1"/>
  <c r="Q27"/>
  <c r="S27" s="1"/>
  <c r="P27"/>
  <c r="Q35"/>
  <c r="S35" s="1"/>
  <c r="Q43"/>
  <c r="S43" s="1"/>
  <c r="P43"/>
  <c r="Q51"/>
  <c r="S51" s="1"/>
  <c r="Q59"/>
  <c r="S59" s="1"/>
  <c r="P59"/>
  <c r="Q67"/>
  <c r="S67" s="1"/>
  <c r="Q3"/>
  <c r="S3" s="1"/>
  <c r="P3"/>
  <c r="E112"/>
  <c r="Q10"/>
  <c r="S10" s="1"/>
  <c r="P10"/>
  <c r="Q14"/>
  <c r="S14" s="1"/>
  <c r="P14"/>
  <c r="Q18"/>
  <c r="S18" s="1"/>
  <c r="P18"/>
  <c r="Q22"/>
  <c r="S22" s="1"/>
  <c r="P22"/>
  <c r="N72"/>
  <c r="T72"/>
  <c r="N74"/>
  <c r="N76"/>
  <c r="N78"/>
  <c r="N80"/>
  <c r="N82"/>
  <c r="N84"/>
  <c r="N86"/>
  <c r="N88"/>
  <c r="N90"/>
  <c r="N92"/>
  <c r="N94"/>
  <c r="N96"/>
  <c r="N98"/>
  <c r="N100"/>
  <c r="N102"/>
  <c r="N10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3"/>
  <c r="N75"/>
  <c r="N77"/>
  <c r="N79"/>
  <c r="N81"/>
  <c r="N83"/>
  <c r="N85"/>
  <c r="N87"/>
  <c r="N89"/>
  <c r="N91"/>
  <c r="N93"/>
  <c r="N95"/>
  <c r="N97"/>
  <c r="N99"/>
  <c r="N101"/>
  <c r="N103"/>
  <c r="N105"/>
  <c r="N106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2"/>
  <c r="N3"/>
  <c r="N4"/>
  <c r="O5"/>
  <c r="P5" s="1"/>
  <c r="N5"/>
  <c r="Q8"/>
  <c r="S8" s="1"/>
  <c r="P8"/>
  <c r="Q12"/>
  <c r="S12" s="1"/>
  <c r="Q16"/>
  <c r="S16" s="1"/>
  <c r="P16"/>
  <c r="Q20"/>
  <c r="S20" s="1"/>
  <c r="Q24"/>
  <c r="S24" s="1"/>
  <c r="P24"/>
  <c r="M72"/>
  <c r="S72"/>
  <c r="M74"/>
  <c r="O74"/>
  <c r="P74" s="1"/>
  <c r="M76"/>
  <c r="M78"/>
  <c r="M80"/>
  <c r="M82"/>
  <c r="M84"/>
  <c r="M86"/>
  <c r="M88"/>
  <c r="M90"/>
  <c r="M92"/>
  <c r="M94"/>
  <c r="M96"/>
  <c r="M98"/>
  <c r="M100"/>
  <c r="M102"/>
  <c r="M10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M70"/>
  <c r="M73"/>
  <c r="M75"/>
  <c r="M77"/>
  <c r="M79"/>
  <c r="M81"/>
  <c r="M83"/>
  <c r="M85"/>
  <c r="M87"/>
  <c r="M89"/>
  <c r="M91"/>
  <c r="M93"/>
  <c r="M95"/>
  <c r="M97"/>
  <c r="M99"/>
  <c r="M101"/>
  <c r="M103"/>
  <c r="M105"/>
  <c r="M106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2"/>
  <c r="M3"/>
  <c r="M4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O25" i="37"/>
  <c r="P25" s="1"/>
  <c r="O27"/>
  <c r="P27" s="1"/>
  <c r="O29"/>
  <c r="P29" s="1"/>
  <c r="O31"/>
  <c r="P31" s="1"/>
  <c r="O33"/>
  <c r="P33" s="1"/>
  <c r="N39"/>
  <c r="N41"/>
  <c r="N43"/>
  <c r="N45"/>
  <c r="N47"/>
  <c r="N49"/>
  <c r="N51"/>
  <c r="N83"/>
  <c r="N88"/>
  <c r="N96"/>
  <c r="N104"/>
  <c r="N54"/>
  <c r="N62"/>
  <c r="J159"/>
  <c r="L159"/>
  <c r="N65"/>
  <c r="N67"/>
  <c r="N73"/>
  <c r="N75"/>
  <c r="N81"/>
  <c r="N82"/>
  <c r="N131"/>
  <c r="N133"/>
  <c r="N139"/>
  <c r="N141"/>
  <c r="N147"/>
  <c r="N149"/>
  <c r="N155"/>
  <c r="N157"/>
  <c r="N92"/>
  <c r="N94"/>
  <c r="N100"/>
  <c r="N102"/>
  <c r="N108"/>
  <c r="N110"/>
  <c r="N24"/>
  <c r="N26"/>
  <c r="N32"/>
  <c r="N34"/>
  <c r="N40"/>
  <c r="N42"/>
  <c r="N48"/>
  <c r="N50"/>
  <c r="N56"/>
  <c r="N58"/>
  <c r="O78"/>
  <c r="O80"/>
  <c r="P80" s="1"/>
  <c r="O134"/>
  <c r="O136"/>
  <c r="P136" s="1"/>
  <c r="O142"/>
  <c r="O144"/>
  <c r="P144" s="1"/>
  <c r="O150"/>
  <c r="O152"/>
  <c r="P152" s="1"/>
  <c r="O158"/>
  <c r="O89"/>
  <c r="P89" s="1"/>
  <c r="O95"/>
  <c r="P95" s="1"/>
  <c r="O97"/>
  <c r="P97" s="1"/>
  <c r="O99"/>
  <c r="P99" s="1"/>
  <c r="O101"/>
  <c r="P101" s="1"/>
  <c r="O103"/>
  <c r="P103" s="1"/>
  <c r="O105"/>
  <c r="P105" s="1"/>
  <c r="O107"/>
  <c r="P107" s="1"/>
  <c r="O109"/>
  <c r="P109" s="1"/>
  <c r="O111"/>
  <c r="P111" s="1"/>
  <c r="O113"/>
  <c r="P113" s="1"/>
  <c r="O2"/>
  <c r="P2" s="1"/>
  <c r="O3"/>
  <c r="P3" s="1"/>
  <c r="O4"/>
  <c r="P4" s="1"/>
  <c r="O5"/>
  <c r="P5" s="1"/>
  <c r="O6"/>
  <c r="P6" s="1"/>
  <c r="O7"/>
  <c r="O8"/>
  <c r="P8" s="1"/>
  <c r="O11"/>
  <c r="O12"/>
  <c r="P12" s="1"/>
  <c r="O15"/>
  <c r="O16"/>
  <c r="P16" s="1"/>
  <c r="O19"/>
  <c r="O20"/>
  <c r="P20" s="1"/>
  <c r="O116"/>
  <c r="O117"/>
  <c r="P117" s="1"/>
  <c r="O120"/>
  <c r="O121"/>
  <c r="P121" s="1"/>
  <c r="O124"/>
  <c r="O125"/>
  <c r="P125" s="1"/>
  <c r="O128"/>
  <c r="N53"/>
  <c r="N55"/>
  <c r="N57"/>
  <c r="N59"/>
  <c r="N61"/>
  <c r="N63"/>
  <c r="N69"/>
  <c r="N71"/>
  <c r="N77"/>
  <c r="N79"/>
  <c r="N129"/>
  <c r="N135"/>
  <c r="N137"/>
  <c r="N143"/>
  <c r="N145"/>
  <c r="N151"/>
  <c r="N153"/>
  <c r="N22"/>
  <c r="N30"/>
  <c r="N38"/>
  <c r="N46"/>
  <c r="O76"/>
  <c r="P76" s="1"/>
  <c r="O132"/>
  <c r="P132" s="1"/>
  <c r="O140"/>
  <c r="P140" s="1"/>
  <c r="O148"/>
  <c r="P148" s="1"/>
  <c r="O156"/>
  <c r="P156" s="1"/>
  <c r="O93"/>
  <c r="P93" s="1"/>
  <c r="O9"/>
  <c r="O10"/>
  <c r="P10" s="1"/>
  <c r="O13"/>
  <c r="O14"/>
  <c r="P14" s="1"/>
  <c r="O17"/>
  <c r="O18"/>
  <c r="P18" s="1"/>
  <c r="O114"/>
  <c r="O115"/>
  <c r="P115" s="1"/>
  <c r="O118"/>
  <c r="O119"/>
  <c r="P119" s="1"/>
  <c r="O122"/>
  <c r="O123"/>
  <c r="P123" s="1"/>
  <c r="O126"/>
  <c r="O127"/>
  <c r="P127" s="1"/>
  <c r="N28"/>
  <c r="N36"/>
  <c r="N44"/>
  <c r="N52"/>
  <c r="N60"/>
  <c r="O70"/>
  <c r="P70" s="1"/>
  <c r="O72"/>
  <c r="P72" s="1"/>
  <c r="O74"/>
  <c r="O84"/>
  <c r="O130"/>
  <c r="O138"/>
  <c r="I159"/>
  <c r="K159"/>
  <c r="O21"/>
  <c r="P21" s="1"/>
  <c r="N64"/>
  <c r="O146"/>
  <c r="O154"/>
  <c r="P154" s="1"/>
  <c r="O91"/>
  <c r="N21"/>
  <c r="T21"/>
  <c r="N23"/>
  <c r="N25"/>
  <c r="N27"/>
  <c r="N29"/>
  <c r="N31"/>
  <c r="N33"/>
  <c r="N35"/>
  <c r="O35"/>
  <c r="P35" s="1"/>
  <c r="N37"/>
  <c r="O37"/>
  <c r="P37" s="1"/>
  <c r="M35"/>
  <c r="M21"/>
  <c r="S21"/>
  <c r="M23"/>
  <c r="O23"/>
  <c r="P23" s="1"/>
  <c r="M25"/>
  <c r="M27"/>
  <c r="M29"/>
  <c r="M31"/>
  <c r="M33"/>
  <c r="O68"/>
  <c r="P68" s="1"/>
  <c r="N68"/>
  <c r="Q78"/>
  <c r="S78" s="1"/>
  <c r="P78"/>
  <c r="Q86"/>
  <c r="S86" s="1"/>
  <c r="P86"/>
  <c r="Q134"/>
  <c r="S134" s="1"/>
  <c r="P134"/>
  <c r="Q142"/>
  <c r="S142" s="1"/>
  <c r="P142"/>
  <c r="Q150"/>
  <c r="S150" s="1"/>
  <c r="P150"/>
  <c r="Q158"/>
  <c r="S158" s="1"/>
  <c r="P158"/>
  <c r="Q7"/>
  <c r="S7" s="1"/>
  <c r="P7"/>
  <c r="Q11"/>
  <c r="S11" s="1"/>
  <c r="P11"/>
  <c r="Q15"/>
  <c r="S15" s="1"/>
  <c r="P15"/>
  <c r="Q19"/>
  <c r="S19" s="1"/>
  <c r="P19"/>
  <c r="Q116"/>
  <c r="S116" s="1"/>
  <c r="P116"/>
  <c r="Q120"/>
  <c r="S120" s="1"/>
  <c r="P120"/>
  <c r="Q124"/>
  <c r="S124" s="1"/>
  <c r="P124"/>
  <c r="Q128"/>
  <c r="S128" s="1"/>
  <c r="P128"/>
  <c r="M37"/>
  <c r="M39"/>
  <c r="O39"/>
  <c r="P39" s="1"/>
  <c r="M41"/>
  <c r="O41"/>
  <c r="P41" s="1"/>
  <c r="M43"/>
  <c r="O43"/>
  <c r="P43" s="1"/>
  <c r="M45"/>
  <c r="O45"/>
  <c r="P45" s="1"/>
  <c r="M47"/>
  <c r="O47"/>
  <c r="P47" s="1"/>
  <c r="M49"/>
  <c r="O49"/>
  <c r="P49" s="1"/>
  <c r="M51"/>
  <c r="O51"/>
  <c r="P51" s="1"/>
  <c r="M53"/>
  <c r="O53"/>
  <c r="P53" s="1"/>
  <c r="M55"/>
  <c r="O55"/>
  <c r="P55" s="1"/>
  <c r="M57"/>
  <c r="O57"/>
  <c r="P57" s="1"/>
  <c r="M59"/>
  <c r="O59"/>
  <c r="P59" s="1"/>
  <c r="M61"/>
  <c r="O61"/>
  <c r="M63"/>
  <c r="O63"/>
  <c r="P63" s="1"/>
  <c r="M65"/>
  <c r="O65"/>
  <c r="M67"/>
  <c r="O67"/>
  <c r="P67" s="1"/>
  <c r="M69"/>
  <c r="O69"/>
  <c r="M71"/>
  <c r="O71"/>
  <c r="P71" s="1"/>
  <c r="M73"/>
  <c r="O73"/>
  <c r="M75"/>
  <c r="O75"/>
  <c r="P75" s="1"/>
  <c r="M77"/>
  <c r="O77"/>
  <c r="M79"/>
  <c r="O79"/>
  <c r="P79" s="1"/>
  <c r="M81"/>
  <c r="O81"/>
  <c r="M82"/>
  <c r="O82"/>
  <c r="P82" s="1"/>
  <c r="M83"/>
  <c r="O83"/>
  <c r="M129"/>
  <c r="O129"/>
  <c r="P129" s="1"/>
  <c r="M131"/>
  <c r="O131"/>
  <c r="M133"/>
  <c r="O133"/>
  <c r="P133" s="1"/>
  <c r="M135"/>
  <c r="O135"/>
  <c r="M137"/>
  <c r="O137"/>
  <c r="P137" s="1"/>
  <c r="M139"/>
  <c r="O139"/>
  <c r="M141"/>
  <c r="O141"/>
  <c r="P141" s="1"/>
  <c r="M143"/>
  <c r="O143"/>
  <c r="M145"/>
  <c r="O145"/>
  <c r="P145" s="1"/>
  <c r="M147"/>
  <c r="O147"/>
  <c r="M149"/>
  <c r="O149"/>
  <c r="P149" s="1"/>
  <c r="M151"/>
  <c r="O151"/>
  <c r="M153"/>
  <c r="O153"/>
  <c r="P153" s="1"/>
  <c r="M155"/>
  <c r="O155"/>
  <c r="M157"/>
  <c r="O157"/>
  <c r="P157" s="1"/>
  <c r="M88"/>
  <c r="O88"/>
  <c r="M90"/>
  <c r="O90"/>
  <c r="P90" s="1"/>
  <c r="M92"/>
  <c r="O92"/>
  <c r="M94"/>
  <c r="O94"/>
  <c r="P94" s="1"/>
  <c r="M96"/>
  <c r="O96"/>
  <c r="M98"/>
  <c r="O98"/>
  <c r="P98" s="1"/>
  <c r="M100"/>
  <c r="O100"/>
  <c r="M102"/>
  <c r="O102"/>
  <c r="P102" s="1"/>
  <c r="M104"/>
  <c r="O104"/>
  <c r="M106"/>
  <c r="O106"/>
  <c r="P106" s="1"/>
  <c r="M108"/>
  <c r="O108"/>
  <c r="M110"/>
  <c r="O110"/>
  <c r="P110" s="1"/>
  <c r="M112"/>
  <c r="O112"/>
  <c r="M22"/>
  <c r="O22"/>
  <c r="P22" s="1"/>
  <c r="M24"/>
  <c r="O24"/>
  <c r="M26"/>
  <c r="O26"/>
  <c r="P26" s="1"/>
  <c r="M28"/>
  <c r="O28"/>
  <c r="M30"/>
  <c r="O30"/>
  <c r="P30" s="1"/>
  <c r="M32"/>
  <c r="O32"/>
  <c r="M34"/>
  <c r="O34"/>
  <c r="P34" s="1"/>
  <c r="M36"/>
  <c r="O36"/>
  <c r="M38"/>
  <c r="O38"/>
  <c r="P38" s="1"/>
  <c r="M40"/>
  <c r="O40"/>
  <c r="M42"/>
  <c r="O42"/>
  <c r="P42" s="1"/>
  <c r="M44"/>
  <c r="O44"/>
  <c r="M46"/>
  <c r="O46"/>
  <c r="P46" s="1"/>
  <c r="M48"/>
  <c r="O48"/>
  <c r="M50"/>
  <c r="O50"/>
  <c r="P50" s="1"/>
  <c r="M52"/>
  <c r="O52"/>
  <c r="M54"/>
  <c r="O54"/>
  <c r="P54" s="1"/>
  <c r="M56"/>
  <c r="O56"/>
  <c r="M58"/>
  <c r="O58"/>
  <c r="P58" s="1"/>
  <c r="M60"/>
  <c r="O60"/>
  <c r="M62"/>
  <c r="O62"/>
  <c r="P62" s="1"/>
  <c r="O64"/>
  <c r="M66"/>
  <c r="M128"/>
  <c r="O66"/>
  <c r="P66" s="1"/>
  <c r="N66"/>
  <c r="Q74"/>
  <c r="S74" s="1"/>
  <c r="P74"/>
  <c r="Q84"/>
  <c r="S84" s="1"/>
  <c r="P84"/>
  <c r="Q130"/>
  <c r="S130" s="1"/>
  <c r="P130"/>
  <c r="Q138"/>
  <c r="S138" s="1"/>
  <c r="P138"/>
  <c r="Q146"/>
  <c r="S146" s="1"/>
  <c r="P146"/>
  <c r="Q154"/>
  <c r="S154" s="1"/>
  <c r="Q91"/>
  <c r="S91" s="1"/>
  <c r="P91"/>
  <c r="Q9"/>
  <c r="S9" s="1"/>
  <c r="P9"/>
  <c r="Q13"/>
  <c r="S13" s="1"/>
  <c r="P13"/>
  <c r="Q17"/>
  <c r="S17" s="1"/>
  <c r="P17"/>
  <c r="Q114"/>
  <c r="S114" s="1"/>
  <c r="P114"/>
  <c r="Q118"/>
  <c r="S118" s="1"/>
  <c r="P118"/>
  <c r="Q122"/>
  <c r="S122" s="1"/>
  <c r="P122"/>
  <c r="R126"/>
  <c r="T126" s="1"/>
  <c r="P126"/>
  <c r="M64"/>
  <c r="N70"/>
  <c r="N72"/>
  <c r="N74"/>
  <c r="N76"/>
  <c r="N78"/>
  <c r="N80"/>
  <c r="N84"/>
  <c r="N85"/>
  <c r="N86"/>
  <c r="N87"/>
  <c r="N130"/>
  <c r="N132"/>
  <c r="N134"/>
  <c r="N136"/>
  <c r="N138"/>
  <c r="N140"/>
  <c r="N142"/>
  <c r="N144"/>
  <c r="N146"/>
  <c r="N148"/>
  <c r="N150"/>
  <c r="N152"/>
  <c r="N154"/>
  <c r="N156"/>
  <c r="N158"/>
  <c r="N89"/>
  <c r="N91"/>
  <c r="N93"/>
  <c r="N95"/>
  <c r="N97"/>
  <c r="N99"/>
  <c r="N101"/>
  <c r="N103"/>
  <c r="N105"/>
  <c r="N107"/>
  <c r="N109"/>
  <c r="N111"/>
  <c r="N113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114"/>
  <c r="N115"/>
  <c r="N116"/>
  <c r="N117"/>
  <c r="N118"/>
  <c r="N119"/>
  <c r="N120"/>
  <c r="N121"/>
  <c r="N122"/>
  <c r="N123"/>
  <c r="N124"/>
  <c r="N125"/>
  <c r="N126"/>
  <c r="N127"/>
  <c r="N128"/>
  <c r="M68"/>
  <c r="M70"/>
  <c r="M72"/>
  <c r="M74"/>
  <c r="M76"/>
  <c r="M78"/>
  <c r="M80"/>
  <c r="M84"/>
  <c r="M85"/>
  <c r="M86"/>
  <c r="M87"/>
  <c r="M130"/>
  <c r="M132"/>
  <c r="M134"/>
  <c r="M136"/>
  <c r="M138"/>
  <c r="M140"/>
  <c r="M142"/>
  <c r="M144"/>
  <c r="M146"/>
  <c r="M148"/>
  <c r="M150"/>
  <c r="M152"/>
  <c r="M154"/>
  <c r="M156"/>
  <c r="M158"/>
  <c r="M89"/>
  <c r="M91"/>
  <c r="M93"/>
  <c r="M95"/>
  <c r="M97"/>
  <c r="M99"/>
  <c r="M101"/>
  <c r="M103"/>
  <c r="M105"/>
  <c r="M107"/>
  <c r="M109"/>
  <c r="M111"/>
  <c r="M113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114"/>
  <c r="M115"/>
  <c r="M116"/>
  <c r="M117"/>
  <c r="M118"/>
  <c r="M119"/>
  <c r="M120"/>
  <c r="M121"/>
  <c r="M122"/>
  <c r="M123"/>
  <c r="M124"/>
  <c r="M125"/>
  <c r="M126"/>
  <c r="M127"/>
  <c r="N91" i="35"/>
  <c r="N99"/>
  <c r="N101"/>
  <c r="N49"/>
  <c r="N64"/>
  <c r="N93"/>
  <c r="N33"/>
  <c r="N41"/>
  <c r="N57"/>
  <c r="N48"/>
  <c r="N56"/>
  <c r="N73"/>
  <c r="N81"/>
  <c r="N89"/>
  <c r="N97"/>
  <c r="N105"/>
  <c r="N31"/>
  <c r="N39"/>
  <c r="N47"/>
  <c r="N55"/>
  <c r="N63"/>
  <c r="N71"/>
  <c r="N5"/>
  <c r="N9"/>
  <c r="N13"/>
  <c r="N17"/>
  <c r="N21"/>
  <c r="O26"/>
  <c r="P26" s="1"/>
  <c r="O28"/>
  <c r="P28" s="1"/>
  <c r="O30"/>
  <c r="P30" s="1"/>
  <c r="O32"/>
  <c r="P32" s="1"/>
  <c r="O34"/>
  <c r="P34" s="1"/>
  <c r="O36"/>
  <c r="P36" s="1"/>
  <c r="O38"/>
  <c r="P38" s="1"/>
  <c r="N40"/>
  <c r="N42"/>
  <c r="N44"/>
  <c r="N50"/>
  <c r="N52"/>
  <c r="N58"/>
  <c r="N75"/>
  <c r="N77"/>
  <c r="N83"/>
  <c r="N85"/>
  <c r="N27"/>
  <c r="N35"/>
  <c r="N43"/>
  <c r="N51"/>
  <c r="N59"/>
  <c r="N65"/>
  <c r="N67"/>
  <c r="N79"/>
  <c r="N87"/>
  <c r="N95"/>
  <c r="N103"/>
  <c r="N29"/>
  <c r="N37"/>
  <c r="N53"/>
  <c r="N61"/>
  <c r="N4"/>
  <c r="N8"/>
  <c r="N12"/>
  <c r="N16"/>
  <c r="N20"/>
  <c r="N24"/>
  <c r="J107"/>
  <c r="L107"/>
  <c r="N46"/>
  <c r="N54"/>
  <c r="N62"/>
  <c r="N70"/>
  <c r="N74"/>
  <c r="N76"/>
  <c r="N78"/>
  <c r="N80"/>
  <c r="N82"/>
  <c r="N84"/>
  <c r="N86"/>
  <c r="N88"/>
  <c r="N90"/>
  <c r="N92"/>
  <c r="N94"/>
  <c r="N96"/>
  <c r="N98"/>
  <c r="N100"/>
  <c r="N102"/>
  <c r="N104"/>
  <c r="N26"/>
  <c r="N28"/>
  <c r="N30"/>
  <c r="N32"/>
  <c r="N34"/>
  <c r="N36"/>
  <c r="N38"/>
  <c r="N45"/>
  <c r="N69"/>
  <c r="O35"/>
  <c r="P35" s="1"/>
  <c r="M25"/>
  <c r="N72"/>
  <c r="T72"/>
  <c r="M40"/>
  <c r="O42"/>
  <c r="M44"/>
  <c r="O46"/>
  <c r="M48"/>
  <c r="O50"/>
  <c r="M52"/>
  <c r="O54"/>
  <c r="M56"/>
  <c r="O58"/>
  <c r="M60"/>
  <c r="O62"/>
  <c r="M64"/>
  <c r="O66"/>
  <c r="M68"/>
  <c r="O70"/>
  <c r="M73"/>
  <c r="O75"/>
  <c r="M77"/>
  <c r="O79"/>
  <c r="M81"/>
  <c r="O83"/>
  <c r="M85"/>
  <c r="O87"/>
  <c r="M89"/>
  <c r="O91"/>
  <c r="M93"/>
  <c r="O95"/>
  <c r="M97"/>
  <c r="O99"/>
  <c r="M101"/>
  <c r="O103"/>
  <c r="M105"/>
  <c r="O106"/>
  <c r="M27"/>
  <c r="O29"/>
  <c r="M31"/>
  <c r="O33"/>
  <c r="M37"/>
  <c r="O39"/>
  <c r="P39" s="1"/>
  <c r="M41"/>
  <c r="M43"/>
  <c r="O45"/>
  <c r="M47"/>
  <c r="O49"/>
  <c r="M51"/>
  <c r="O53"/>
  <c r="M55"/>
  <c r="O57"/>
  <c r="M59"/>
  <c r="O61"/>
  <c r="M63"/>
  <c r="O65"/>
  <c r="M67"/>
  <c r="O69"/>
  <c r="M71"/>
  <c r="O2"/>
  <c r="M3"/>
  <c r="O4"/>
  <c r="M5"/>
  <c r="O6"/>
  <c r="M7"/>
  <c r="O8"/>
  <c r="M9"/>
  <c r="O10"/>
  <c r="M11"/>
  <c r="O12"/>
  <c r="M13"/>
  <c r="O14"/>
  <c r="M15"/>
  <c r="O16"/>
  <c r="M17"/>
  <c r="O18"/>
  <c r="M19"/>
  <c r="O20"/>
  <c r="M21"/>
  <c r="O22"/>
  <c r="M23"/>
  <c r="O24"/>
  <c r="K107"/>
  <c r="M72"/>
  <c r="O72"/>
  <c r="S72"/>
  <c r="M74"/>
  <c r="M76"/>
  <c r="M78"/>
  <c r="M80"/>
  <c r="M82"/>
  <c r="M84"/>
  <c r="M86"/>
  <c r="M88"/>
  <c r="M90"/>
  <c r="M92"/>
  <c r="M94"/>
  <c r="M96"/>
  <c r="M98"/>
  <c r="M100"/>
  <c r="M102"/>
  <c r="M104"/>
  <c r="M26"/>
  <c r="M28"/>
  <c r="M30"/>
  <c r="M32"/>
  <c r="M34"/>
  <c r="M36"/>
  <c r="M38"/>
  <c r="O40"/>
  <c r="P40" s="1"/>
  <c r="M42"/>
  <c r="O44"/>
  <c r="P44" s="1"/>
  <c r="M46"/>
  <c r="O48"/>
  <c r="P48" s="1"/>
  <c r="M50"/>
  <c r="O52"/>
  <c r="P52" s="1"/>
  <c r="M54"/>
  <c r="O56"/>
  <c r="P56" s="1"/>
  <c r="M58"/>
  <c r="O60"/>
  <c r="P60" s="1"/>
  <c r="M62"/>
  <c r="O64"/>
  <c r="P64" s="1"/>
  <c r="M66"/>
  <c r="O68"/>
  <c r="P68" s="1"/>
  <c r="M70"/>
  <c r="O73"/>
  <c r="P73" s="1"/>
  <c r="M75"/>
  <c r="O77"/>
  <c r="P77" s="1"/>
  <c r="M79"/>
  <c r="O81"/>
  <c r="P81" s="1"/>
  <c r="M83"/>
  <c r="O85"/>
  <c r="P85" s="1"/>
  <c r="M87"/>
  <c r="O89"/>
  <c r="P89" s="1"/>
  <c r="M91"/>
  <c r="O93"/>
  <c r="P93" s="1"/>
  <c r="M95"/>
  <c r="O97"/>
  <c r="P97" s="1"/>
  <c r="M99"/>
  <c r="O101"/>
  <c r="P101" s="1"/>
  <c r="M103"/>
  <c r="O105"/>
  <c r="P105" s="1"/>
  <c r="M106"/>
  <c r="O27"/>
  <c r="P27" s="1"/>
  <c r="M29"/>
  <c r="O31"/>
  <c r="P31" s="1"/>
  <c r="M33"/>
  <c r="M35"/>
  <c r="O37"/>
  <c r="M39"/>
  <c r="O41"/>
  <c r="O43"/>
  <c r="P43" s="1"/>
  <c r="M45"/>
  <c r="O47"/>
  <c r="P47" s="1"/>
  <c r="M49"/>
  <c r="O51"/>
  <c r="P51" s="1"/>
  <c r="M53"/>
  <c r="O55"/>
  <c r="P55" s="1"/>
  <c r="M57"/>
  <c r="O59"/>
  <c r="P59" s="1"/>
  <c r="M61"/>
  <c r="O63"/>
  <c r="P63" s="1"/>
  <c r="M65"/>
  <c r="O67"/>
  <c r="P67" s="1"/>
  <c r="M69"/>
  <c r="O71"/>
  <c r="P71" s="1"/>
  <c r="M2"/>
  <c r="O3"/>
  <c r="P3" s="1"/>
  <c r="M4"/>
  <c r="O5"/>
  <c r="P5" s="1"/>
  <c r="M6"/>
  <c r="O7"/>
  <c r="P7" s="1"/>
  <c r="M8"/>
  <c r="O9"/>
  <c r="P9" s="1"/>
  <c r="M10"/>
  <c r="O11"/>
  <c r="P11" s="1"/>
  <c r="M12"/>
  <c r="O13"/>
  <c r="P13" s="1"/>
  <c r="M14"/>
  <c r="O15"/>
  <c r="P15" s="1"/>
  <c r="M16"/>
  <c r="O17"/>
  <c r="P17" s="1"/>
  <c r="M18"/>
  <c r="O19"/>
  <c r="P19" s="1"/>
  <c r="M20"/>
  <c r="O21"/>
  <c r="P21" s="1"/>
  <c r="M22"/>
  <c r="O23"/>
  <c r="P23" s="1"/>
  <c r="M24"/>
  <c r="O25"/>
  <c r="P25" s="1"/>
  <c r="O90" i="34"/>
  <c r="P90" s="1"/>
  <c r="O54"/>
  <c r="P54" s="1"/>
  <c r="N62"/>
  <c r="O86"/>
  <c r="I159"/>
  <c r="K159"/>
  <c r="O65"/>
  <c r="O67"/>
  <c r="P67" s="1"/>
  <c r="O73"/>
  <c r="O75"/>
  <c r="P75" s="1"/>
  <c r="O81"/>
  <c r="O82"/>
  <c r="P82" s="1"/>
  <c r="O131"/>
  <c r="O133"/>
  <c r="P133" s="1"/>
  <c r="O139"/>
  <c r="O141"/>
  <c r="P141" s="1"/>
  <c r="O147"/>
  <c r="O149"/>
  <c r="P149" s="1"/>
  <c r="O155"/>
  <c r="O157"/>
  <c r="P157" s="1"/>
  <c r="O92"/>
  <c r="O94"/>
  <c r="P94" s="1"/>
  <c r="O100"/>
  <c r="O102"/>
  <c r="P102" s="1"/>
  <c r="O108"/>
  <c r="O110"/>
  <c r="P110" s="1"/>
  <c r="N112"/>
  <c r="O24"/>
  <c r="O26"/>
  <c r="P26" s="1"/>
  <c r="N28"/>
  <c r="O32"/>
  <c r="O34"/>
  <c r="P34" s="1"/>
  <c r="N36"/>
  <c r="O40"/>
  <c r="O42"/>
  <c r="P42" s="1"/>
  <c r="N44"/>
  <c r="O48"/>
  <c r="O50"/>
  <c r="P50" s="1"/>
  <c r="N52"/>
  <c r="O56"/>
  <c r="O58"/>
  <c r="P58" s="1"/>
  <c r="N60"/>
  <c r="O62"/>
  <c r="O66"/>
  <c r="P66" s="1"/>
  <c r="O78"/>
  <c r="O80"/>
  <c r="P80" s="1"/>
  <c r="O134"/>
  <c r="O136"/>
  <c r="P136" s="1"/>
  <c r="O142"/>
  <c r="O144"/>
  <c r="P144" s="1"/>
  <c r="O150"/>
  <c r="O152"/>
  <c r="P152" s="1"/>
  <c r="O158"/>
  <c r="O89"/>
  <c r="P89" s="1"/>
  <c r="O95"/>
  <c r="P95" s="1"/>
  <c r="O97"/>
  <c r="P97" s="1"/>
  <c r="O99"/>
  <c r="P99" s="1"/>
  <c r="O101"/>
  <c r="P101" s="1"/>
  <c r="O103"/>
  <c r="P103" s="1"/>
  <c r="O105"/>
  <c r="P105" s="1"/>
  <c r="O107"/>
  <c r="P107" s="1"/>
  <c r="O109"/>
  <c r="P109" s="1"/>
  <c r="O111"/>
  <c r="P111" s="1"/>
  <c r="O113"/>
  <c r="P113" s="1"/>
  <c r="O2"/>
  <c r="P2" s="1"/>
  <c r="O3"/>
  <c r="P3" s="1"/>
  <c r="O4"/>
  <c r="P4" s="1"/>
  <c r="O5"/>
  <c r="P5" s="1"/>
  <c r="O6"/>
  <c r="P6" s="1"/>
  <c r="O7"/>
  <c r="P7" s="1"/>
  <c r="O8"/>
  <c r="P8" s="1"/>
  <c r="O11"/>
  <c r="P11" s="1"/>
  <c r="O12"/>
  <c r="P12" s="1"/>
  <c r="O15"/>
  <c r="P15" s="1"/>
  <c r="O16"/>
  <c r="P16" s="1"/>
  <c r="O19"/>
  <c r="P19" s="1"/>
  <c r="O20"/>
  <c r="P20" s="1"/>
  <c r="O116"/>
  <c r="P116" s="1"/>
  <c r="O117"/>
  <c r="P117" s="1"/>
  <c r="O120"/>
  <c r="P120" s="1"/>
  <c r="O121"/>
  <c r="P121" s="1"/>
  <c r="O124"/>
  <c r="P124" s="1"/>
  <c r="O125"/>
  <c r="P125" s="1"/>
  <c r="O128"/>
  <c r="P128" s="1"/>
  <c r="O63"/>
  <c r="P63" s="1"/>
  <c r="O71"/>
  <c r="P71" s="1"/>
  <c r="O79"/>
  <c r="P79" s="1"/>
  <c r="O129"/>
  <c r="P129" s="1"/>
  <c r="O137"/>
  <c r="P137" s="1"/>
  <c r="O145"/>
  <c r="P145" s="1"/>
  <c r="O153"/>
  <c r="P153" s="1"/>
  <c r="O22"/>
  <c r="P22" s="1"/>
  <c r="O30"/>
  <c r="P30" s="1"/>
  <c r="O38"/>
  <c r="P38" s="1"/>
  <c r="O46"/>
  <c r="P46" s="1"/>
  <c r="O76"/>
  <c r="P76" s="1"/>
  <c r="O132"/>
  <c r="P132" s="1"/>
  <c r="O140"/>
  <c r="P140" s="1"/>
  <c r="O148"/>
  <c r="P148" s="1"/>
  <c r="O156"/>
  <c r="P156" s="1"/>
  <c r="O93"/>
  <c r="P93" s="1"/>
  <c r="O10"/>
  <c r="P10" s="1"/>
  <c r="O14"/>
  <c r="P14" s="1"/>
  <c r="O18"/>
  <c r="P18" s="1"/>
  <c r="O115"/>
  <c r="P115" s="1"/>
  <c r="O119"/>
  <c r="P119" s="1"/>
  <c r="O123"/>
  <c r="P123" s="1"/>
  <c r="O127"/>
  <c r="P127" s="1"/>
  <c r="N26"/>
  <c r="N34"/>
  <c r="N42"/>
  <c r="N50"/>
  <c r="N58"/>
  <c r="J159"/>
  <c r="L159"/>
  <c r="O25"/>
  <c r="P25" s="1"/>
  <c r="O27"/>
  <c r="P27" s="1"/>
  <c r="O29"/>
  <c r="P29" s="1"/>
  <c r="O31"/>
  <c r="P31" s="1"/>
  <c r="O33"/>
  <c r="P33" s="1"/>
  <c r="O35"/>
  <c r="P35" s="1"/>
  <c r="O37"/>
  <c r="P37" s="1"/>
  <c r="O39"/>
  <c r="P39" s="1"/>
  <c r="O41"/>
  <c r="P41" s="1"/>
  <c r="O43"/>
  <c r="P43" s="1"/>
  <c r="O45"/>
  <c r="P45" s="1"/>
  <c r="O47"/>
  <c r="P47" s="1"/>
  <c r="O49"/>
  <c r="P49" s="1"/>
  <c r="O51"/>
  <c r="P51" s="1"/>
  <c r="O53"/>
  <c r="P53" s="1"/>
  <c r="O55"/>
  <c r="P55" s="1"/>
  <c r="O57"/>
  <c r="P57" s="1"/>
  <c r="O59"/>
  <c r="P59" s="1"/>
  <c r="O61"/>
  <c r="O69"/>
  <c r="P69" s="1"/>
  <c r="O77"/>
  <c r="P77" s="1"/>
  <c r="O83"/>
  <c r="P83" s="1"/>
  <c r="O135"/>
  <c r="O143"/>
  <c r="P143" s="1"/>
  <c r="O151"/>
  <c r="P151" s="1"/>
  <c r="O88"/>
  <c r="P88" s="1"/>
  <c r="O96"/>
  <c r="O104"/>
  <c r="P104" s="1"/>
  <c r="O112"/>
  <c r="P112" s="1"/>
  <c r="N22"/>
  <c r="N24"/>
  <c r="O28"/>
  <c r="N30"/>
  <c r="N32"/>
  <c r="O36"/>
  <c r="P36" s="1"/>
  <c r="N38"/>
  <c r="N40"/>
  <c r="O44"/>
  <c r="N46"/>
  <c r="N48"/>
  <c r="O52"/>
  <c r="P52" s="1"/>
  <c r="N54"/>
  <c r="N56"/>
  <c r="O60"/>
  <c r="O68"/>
  <c r="P68" s="1"/>
  <c r="O70"/>
  <c r="P70" s="1"/>
  <c r="O72"/>
  <c r="P72" s="1"/>
  <c r="O74"/>
  <c r="O84"/>
  <c r="P84" s="1"/>
  <c r="O130"/>
  <c r="O138"/>
  <c r="P138" s="1"/>
  <c r="O146"/>
  <c r="O154"/>
  <c r="P154" s="1"/>
  <c r="O91"/>
  <c r="O9"/>
  <c r="P9" s="1"/>
  <c r="O13"/>
  <c r="O17"/>
  <c r="P17" s="1"/>
  <c r="O114"/>
  <c r="O118"/>
  <c r="P118" s="1"/>
  <c r="O122"/>
  <c r="O126"/>
  <c r="P126" s="1"/>
  <c r="Q65"/>
  <c r="S65" s="1"/>
  <c r="P65"/>
  <c r="Q73"/>
  <c r="S73" s="1"/>
  <c r="P73"/>
  <c r="Q81"/>
  <c r="S81" s="1"/>
  <c r="P81"/>
  <c r="Q131"/>
  <c r="S131" s="1"/>
  <c r="P131"/>
  <c r="Q139"/>
  <c r="S139" s="1"/>
  <c r="P139"/>
  <c r="Q147"/>
  <c r="S147" s="1"/>
  <c r="P147"/>
  <c r="Q155"/>
  <c r="S155" s="1"/>
  <c r="P155"/>
  <c r="Q92"/>
  <c r="S92" s="1"/>
  <c r="P92"/>
  <c r="Q100"/>
  <c r="S100" s="1"/>
  <c r="P100"/>
  <c r="R108"/>
  <c r="T108" s="1"/>
  <c r="P108"/>
  <c r="Q24"/>
  <c r="S24" s="1"/>
  <c r="P24"/>
  <c r="Q32"/>
  <c r="S32" s="1"/>
  <c r="P32"/>
  <c r="Q40"/>
  <c r="S40" s="1"/>
  <c r="P40"/>
  <c r="Q48"/>
  <c r="S48" s="1"/>
  <c r="P48"/>
  <c r="Q56"/>
  <c r="S56" s="1"/>
  <c r="P56"/>
  <c r="Q61"/>
  <c r="S61" s="1"/>
  <c r="P61"/>
  <c r="Q69"/>
  <c r="S69" s="1"/>
  <c r="Q77"/>
  <c r="S77" s="1"/>
  <c r="Q83"/>
  <c r="S83" s="1"/>
  <c r="Q135"/>
  <c r="S135" s="1"/>
  <c r="P135"/>
  <c r="Q143"/>
  <c r="S143" s="1"/>
  <c r="Q151"/>
  <c r="S151" s="1"/>
  <c r="Q88"/>
  <c r="S88" s="1"/>
  <c r="Q96"/>
  <c r="S96" s="1"/>
  <c r="P96"/>
  <c r="Q104"/>
  <c r="S104" s="1"/>
  <c r="R112"/>
  <c r="T112" s="1"/>
  <c r="Q28"/>
  <c r="S28" s="1"/>
  <c r="P28"/>
  <c r="Q36"/>
  <c r="S36" s="1"/>
  <c r="Q44"/>
  <c r="S44" s="1"/>
  <c r="P44"/>
  <c r="Q52"/>
  <c r="S52" s="1"/>
  <c r="R60"/>
  <c r="T60" s="1"/>
  <c r="P60"/>
  <c r="Q62"/>
  <c r="S62" s="1"/>
  <c r="P62"/>
  <c r="Q78"/>
  <c r="S78" s="1"/>
  <c r="P78"/>
  <c r="Q86"/>
  <c r="S86" s="1"/>
  <c r="P86"/>
  <c r="R134"/>
  <c r="T134" s="1"/>
  <c r="P134"/>
  <c r="Q142"/>
  <c r="S142" s="1"/>
  <c r="P142"/>
  <c r="Q150"/>
  <c r="S150" s="1"/>
  <c r="P150"/>
  <c r="Q158"/>
  <c r="S158" s="1"/>
  <c r="P158"/>
  <c r="Q7"/>
  <c r="S7" s="1"/>
  <c r="Q11"/>
  <c r="S11" s="1"/>
  <c r="Q15"/>
  <c r="S15" s="1"/>
  <c r="R19"/>
  <c r="T19" s="1"/>
  <c r="Q116"/>
  <c r="S116" s="1"/>
  <c r="R120"/>
  <c r="T120" s="1"/>
  <c r="R124"/>
  <c r="T124" s="1"/>
  <c r="Q128"/>
  <c r="S128" s="1"/>
  <c r="N21"/>
  <c r="T21"/>
  <c r="N23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2"/>
  <c r="N83"/>
  <c r="N129"/>
  <c r="N131"/>
  <c r="N133"/>
  <c r="N135"/>
  <c r="N137"/>
  <c r="N139"/>
  <c r="N141"/>
  <c r="N143"/>
  <c r="N145"/>
  <c r="N147"/>
  <c r="N149"/>
  <c r="N151"/>
  <c r="N153"/>
  <c r="N155"/>
  <c r="N157"/>
  <c r="N88"/>
  <c r="N90"/>
  <c r="N92"/>
  <c r="N94"/>
  <c r="N96"/>
  <c r="N98"/>
  <c r="N100"/>
  <c r="N102"/>
  <c r="N104"/>
  <c r="N106"/>
  <c r="N108"/>
  <c r="N110"/>
  <c r="M128"/>
  <c r="O64"/>
  <c r="N64"/>
  <c r="Q74"/>
  <c r="S74" s="1"/>
  <c r="P74"/>
  <c r="Q84"/>
  <c r="S84" s="1"/>
  <c r="R130"/>
  <c r="T130" s="1"/>
  <c r="P130"/>
  <c r="Q138"/>
  <c r="S138" s="1"/>
  <c r="Q146"/>
  <c r="S146" s="1"/>
  <c r="P146"/>
  <c r="Q154"/>
  <c r="S154" s="1"/>
  <c r="Q91"/>
  <c r="S91" s="1"/>
  <c r="P91"/>
  <c r="R9"/>
  <c r="T9" s="1"/>
  <c r="R13"/>
  <c r="T13" s="1"/>
  <c r="P13"/>
  <c r="Q17"/>
  <c r="S17" s="1"/>
  <c r="Q114"/>
  <c r="S114" s="1"/>
  <c r="P114"/>
  <c r="Q118"/>
  <c r="S118" s="1"/>
  <c r="R122"/>
  <c r="T122" s="1"/>
  <c r="P122"/>
  <c r="Q126"/>
  <c r="S126" s="1"/>
  <c r="M21"/>
  <c r="S21"/>
  <c r="M23"/>
  <c r="O23"/>
  <c r="P23" s="1"/>
  <c r="M25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73"/>
  <c r="M75"/>
  <c r="M77"/>
  <c r="M79"/>
  <c r="M81"/>
  <c r="M82"/>
  <c r="M83"/>
  <c r="M129"/>
  <c r="M131"/>
  <c r="M133"/>
  <c r="M135"/>
  <c r="M137"/>
  <c r="M139"/>
  <c r="M141"/>
  <c r="M143"/>
  <c r="M145"/>
  <c r="M147"/>
  <c r="M149"/>
  <c r="M151"/>
  <c r="M153"/>
  <c r="M155"/>
  <c r="M157"/>
  <c r="M88"/>
  <c r="M90"/>
  <c r="M92"/>
  <c r="M94"/>
  <c r="M96"/>
  <c r="M98"/>
  <c r="M100"/>
  <c r="M102"/>
  <c r="M104"/>
  <c r="M106"/>
  <c r="M108"/>
  <c r="M110"/>
  <c r="M112"/>
  <c r="M22"/>
  <c r="M2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62"/>
  <c r="N66"/>
  <c r="N68"/>
  <c r="N70"/>
  <c r="N72"/>
  <c r="N74"/>
  <c r="N76"/>
  <c r="N78"/>
  <c r="N80"/>
  <c r="N84"/>
  <c r="N85"/>
  <c r="N86"/>
  <c r="N87"/>
  <c r="N130"/>
  <c r="N132"/>
  <c r="N134"/>
  <c r="N136"/>
  <c r="N138"/>
  <c r="N140"/>
  <c r="N142"/>
  <c r="N144"/>
  <c r="N146"/>
  <c r="N148"/>
  <c r="N150"/>
  <c r="N152"/>
  <c r="N154"/>
  <c r="N156"/>
  <c r="N158"/>
  <c r="N89"/>
  <c r="N91"/>
  <c r="N93"/>
  <c r="N95"/>
  <c r="N97"/>
  <c r="N99"/>
  <c r="N101"/>
  <c r="N103"/>
  <c r="N105"/>
  <c r="N107"/>
  <c r="N109"/>
  <c r="N111"/>
  <c r="N113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114"/>
  <c r="N115"/>
  <c r="N116"/>
  <c r="N117"/>
  <c r="N118"/>
  <c r="N119"/>
  <c r="N120"/>
  <c r="N121"/>
  <c r="N122"/>
  <c r="N123"/>
  <c r="N124"/>
  <c r="N125"/>
  <c r="N126"/>
  <c r="N127"/>
  <c r="N128"/>
  <c r="M64"/>
  <c r="M66"/>
  <c r="M68"/>
  <c r="M70"/>
  <c r="M72"/>
  <c r="M74"/>
  <c r="M76"/>
  <c r="M78"/>
  <c r="M80"/>
  <c r="M84"/>
  <c r="M85"/>
  <c r="M86"/>
  <c r="M87"/>
  <c r="M130"/>
  <c r="M132"/>
  <c r="M134"/>
  <c r="M136"/>
  <c r="M138"/>
  <c r="M140"/>
  <c r="M142"/>
  <c r="M144"/>
  <c r="M146"/>
  <c r="M148"/>
  <c r="M150"/>
  <c r="M152"/>
  <c r="M154"/>
  <c r="M156"/>
  <c r="M158"/>
  <c r="M89"/>
  <c r="M91"/>
  <c r="M93"/>
  <c r="M95"/>
  <c r="M97"/>
  <c r="M99"/>
  <c r="M101"/>
  <c r="M103"/>
  <c r="M105"/>
  <c r="M107"/>
  <c r="M109"/>
  <c r="M111"/>
  <c r="M113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114"/>
  <c r="M115"/>
  <c r="M116"/>
  <c r="M117"/>
  <c r="M118"/>
  <c r="M119"/>
  <c r="M120"/>
  <c r="M121"/>
  <c r="M122"/>
  <c r="M123"/>
  <c r="M124"/>
  <c r="M125"/>
  <c r="M126"/>
  <c r="M127"/>
  <c r="O66" i="30"/>
  <c r="J107"/>
  <c r="L107"/>
  <c r="O78"/>
  <c r="O86"/>
  <c r="T86" s="1"/>
  <c r="O88"/>
  <c r="T88" s="1"/>
  <c r="O90"/>
  <c r="T90" s="1"/>
  <c r="O92"/>
  <c r="T92" s="1"/>
  <c r="O94"/>
  <c r="O102"/>
  <c r="O30"/>
  <c r="S30" s="1"/>
  <c r="O32"/>
  <c r="O34"/>
  <c r="O38"/>
  <c r="O42"/>
  <c r="O46"/>
  <c r="T46" s="1"/>
  <c r="O52"/>
  <c r="T52" s="1"/>
  <c r="O54"/>
  <c r="T54" s="1"/>
  <c r="O56"/>
  <c r="O58"/>
  <c r="T58" s="1"/>
  <c r="O64"/>
  <c r="O70"/>
  <c r="S70" s="1"/>
  <c r="O73"/>
  <c r="T73" s="1"/>
  <c r="O75"/>
  <c r="O77"/>
  <c r="O81"/>
  <c r="O85"/>
  <c r="O89"/>
  <c r="O93"/>
  <c r="O97"/>
  <c r="O101"/>
  <c r="O105"/>
  <c r="O27"/>
  <c r="O31"/>
  <c r="O35"/>
  <c r="P35" s="1"/>
  <c r="O26"/>
  <c r="O28"/>
  <c r="T28" s="1"/>
  <c r="O36"/>
  <c r="O40"/>
  <c r="O44"/>
  <c r="O50"/>
  <c r="S50" s="1"/>
  <c r="O79"/>
  <c r="O83"/>
  <c r="O87"/>
  <c r="O91"/>
  <c r="O95"/>
  <c r="O99"/>
  <c r="O103"/>
  <c r="O106"/>
  <c r="O29"/>
  <c r="O33"/>
  <c r="N71" i="29"/>
  <c r="N82"/>
  <c r="O30"/>
  <c r="P30" s="1"/>
  <c r="O46"/>
  <c r="P46" s="1"/>
  <c r="O54"/>
  <c r="P54" s="1"/>
  <c r="O80"/>
  <c r="P80" s="1"/>
  <c r="O136"/>
  <c r="P136" s="1"/>
  <c r="O144"/>
  <c r="P144" s="1"/>
  <c r="O152"/>
  <c r="P152" s="1"/>
  <c r="O89"/>
  <c r="P89" s="1"/>
  <c r="O8"/>
  <c r="P8" s="1"/>
  <c r="O12"/>
  <c r="P12" s="1"/>
  <c r="O16"/>
  <c r="P16" s="1"/>
  <c r="O20"/>
  <c r="P20" s="1"/>
  <c r="O117"/>
  <c r="P117" s="1"/>
  <c r="O121"/>
  <c r="P121" s="1"/>
  <c r="O125"/>
  <c r="P125" s="1"/>
  <c r="N63"/>
  <c r="N67"/>
  <c r="N79"/>
  <c r="N133"/>
  <c r="N141"/>
  <c r="N145"/>
  <c r="N149"/>
  <c r="N153"/>
  <c r="N90"/>
  <c r="O102"/>
  <c r="P102" s="1"/>
  <c r="O106"/>
  <c r="P106" s="1"/>
  <c r="O22"/>
  <c r="P22" s="1"/>
  <c r="O26"/>
  <c r="P26" s="1"/>
  <c r="O34"/>
  <c r="P34" s="1"/>
  <c r="O42"/>
  <c r="P42" s="1"/>
  <c r="O50"/>
  <c r="P50" s="1"/>
  <c r="O64"/>
  <c r="S64" s="1"/>
  <c r="O76"/>
  <c r="P76" s="1"/>
  <c r="O132"/>
  <c r="P132" s="1"/>
  <c r="O140"/>
  <c r="P140" s="1"/>
  <c r="O148"/>
  <c r="P148" s="1"/>
  <c r="O156"/>
  <c r="P156" s="1"/>
  <c r="O93"/>
  <c r="P93" s="1"/>
  <c r="O9"/>
  <c r="O10"/>
  <c r="P10" s="1"/>
  <c r="O13"/>
  <c r="O14"/>
  <c r="P14" s="1"/>
  <c r="O17"/>
  <c r="O18"/>
  <c r="P18" s="1"/>
  <c r="O114"/>
  <c r="O115"/>
  <c r="P115" s="1"/>
  <c r="O118"/>
  <c r="O119"/>
  <c r="P119" s="1"/>
  <c r="O122"/>
  <c r="O123"/>
  <c r="P123" s="1"/>
  <c r="O126"/>
  <c r="O127"/>
  <c r="P127" s="1"/>
  <c r="O82" i="30"/>
  <c r="P82" s="1"/>
  <c r="O48"/>
  <c r="O37"/>
  <c r="P37" s="1"/>
  <c r="O39"/>
  <c r="P39" s="1"/>
  <c r="O41"/>
  <c r="P41" s="1"/>
  <c r="O43"/>
  <c r="P43" s="1"/>
  <c r="O45"/>
  <c r="P45" s="1"/>
  <c r="O47"/>
  <c r="P47" s="1"/>
  <c r="O49"/>
  <c r="P49" s="1"/>
  <c r="O51"/>
  <c r="P51" s="1"/>
  <c r="O53"/>
  <c r="P53" s="1"/>
  <c r="O55"/>
  <c r="P55" s="1"/>
  <c r="O57"/>
  <c r="P57" s="1"/>
  <c r="O59"/>
  <c r="P59" s="1"/>
  <c r="N63"/>
  <c r="N65"/>
  <c r="O69"/>
  <c r="P69" s="1"/>
  <c r="O71"/>
  <c r="P71" s="1"/>
  <c r="O2"/>
  <c r="P2" s="1"/>
  <c r="O3"/>
  <c r="P3" s="1"/>
  <c r="O4"/>
  <c r="P4" s="1"/>
  <c r="O5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N74"/>
  <c r="I107"/>
  <c r="K107"/>
  <c r="N76"/>
  <c r="N80"/>
  <c r="N84"/>
  <c r="N88"/>
  <c r="N92"/>
  <c r="N96"/>
  <c r="N100"/>
  <c r="N104"/>
  <c r="N28"/>
  <c r="N32"/>
  <c r="N36"/>
  <c r="N40"/>
  <c r="N44"/>
  <c r="N48"/>
  <c r="N52"/>
  <c r="N56"/>
  <c r="N60"/>
  <c r="N64"/>
  <c r="N68"/>
  <c r="N73"/>
  <c r="N77"/>
  <c r="N81"/>
  <c r="N85"/>
  <c r="N89"/>
  <c r="N93"/>
  <c r="N97"/>
  <c r="N101"/>
  <c r="N105"/>
  <c r="N27"/>
  <c r="N31"/>
  <c r="N35"/>
  <c r="N37"/>
  <c r="N39"/>
  <c r="N41"/>
  <c r="N43"/>
  <c r="N45"/>
  <c r="N47"/>
  <c r="N49"/>
  <c r="N51"/>
  <c r="N53"/>
  <c r="N55"/>
  <c r="N57"/>
  <c r="N59"/>
  <c r="O61"/>
  <c r="P61" s="1"/>
  <c r="N78"/>
  <c r="N82"/>
  <c r="N86"/>
  <c r="N90"/>
  <c r="N94"/>
  <c r="N98"/>
  <c r="N102"/>
  <c r="N26"/>
  <c r="N30"/>
  <c r="N34"/>
  <c r="N38"/>
  <c r="N42"/>
  <c r="N46"/>
  <c r="N50"/>
  <c r="N54"/>
  <c r="N58"/>
  <c r="N62"/>
  <c r="N66"/>
  <c r="N70"/>
  <c r="N75"/>
  <c r="N79"/>
  <c r="N83"/>
  <c r="N87"/>
  <c r="N91"/>
  <c r="N95"/>
  <c r="N99"/>
  <c r="N103"/>
  <c r="N106"/>
  <c r="N29"/>
  <c r="N33"/>
  <c r="P76"/>
  <c r="S76"/>
  <c r="P80"/>
  <c r="S80"/>
  <c r="P84"/>
  <c r="S84"/>
  <c r="P88"/>
  <c r="S88"/>
  <c r="P92"/>
  <c r="S92"/>
  <c r="P96"/>
  <c r="S96"/>
  <c r="P100"/>
  <c r="S100"/>
  <c r="P104"/>
  <c r="S104"/>
  <c r="P28"/>
  <c r="S28"/>
  <c r="P32"/>
  <c r="S32"/>
  <c r="T36"/>
  <c r="P36"/>
  <c r="P40"/>
  <c r="S40"/>
  <c r="T44"/>
  <c r="P44"/>
  <c r="T48"/>
  <c r="P48"/>
  <c r="P52"/>
  <c r="S52"/>
  <c r="T56"/>
  <c r="P56"/>
  <c r="T60"/>
  <c r="P60"/>
  <c r="T64"/>
  <c r="P64"/>
  <c r="P68"/>
  <c r="S68"/>
  <c r="P73"/>
  <c r="S73"/>
  <c r="P77"/>
  <c r="S77"/>
  <c r="T81"/>
  <c r="P81"/>
  <c r="T85"/>
  <c r="P85"/>
  <c r="T89"/>
  <c r="P89"/>
  <c r="T93"/>
  <c r="P93"/>
  <c r="P97"/>
  <c r="S97"/>
  <c r="P101"/>
  <c r="S101"/>
  <c r="P105"/>
  <c r="S105"/>
  <c r="T27"/>
  <c r="P27"/>
  <c r="P31"/>
  <c r="S31"/>
  <c r="P78"/>
  <c r="S78"/>
  <c r="S82"/>
  <c r="P86"/>
  <c r="S86"/>
  <c r="P90"/>
  <c r="S90"/>
  <c r="P94"/>
  <c r="S94"/>
  <c r="P98"/>
  <c r="S98"/>
  <c r="P102"/>
  <c r="S102"/>
  <c r="P26"/>
  <c r="S26"/>
  <c r="T30"/>
  <c r="P30"/>
  <c r="P34"/>
  <c r="S34"/>
  <c r="P38"/>
  <c r="S38"/>
  <c r="T42"/>
  <c r="P42"/>
  <c r="P46"/>
  <c r="S46"/>
  <c r="T50"/>
  <c r="P50"/>
  <c r="P54"/>
  <c r="S54"/>
  <c r="P58"/>
  <c r="S58"/>
  <c r="T62"/>
  <c r="P62"/>
  <c r="T66"/>
  <c r="P66"/>
  <c r="T70"/>
  <c r="P70"/>
  <c r="P75"/>
  <c r="S75"/>
  <c r="P79"/>
  <c r="S79"/>
  <c r="T83"/>
  <c r="P83"/>
  <c r="T87"/>
  <c r="P87"/>
  <c r="P91"/>
  <c r="S91"/>
  <c r="T95"/>
  <c r="P95"/>
  <c r="P99"/>
  <c r="S99"/>
  <c r="P103"/>
  <c r="S103"/>
  <c r="T106"/>
  <c r="P106"/>
  <c r="T29"/>
  <c r="P29"/>
  <c r="P33"/>
  <c r="S33"/>
  <c r="O67"/>
  <c r="P67" s="1"/>
  <c r="N67"/>
  <c r="M72"/>
  <c r="O72"/>
  <c r="S72"/>
  <c r="M74"/>
  <c r="O74"/>
  <c r="M76"/>
  <c r="M78"/>
  <c r="M80"/>
  <c r="M82"/>
  <c r="M84"/>
  <c r="M86"/>
  <c r="M88"/>
  <c r="M90"/>
  <c r="M92"/>
  <c r="M94"/>
  <c r="M96"/>
  <c r="M98"/>
  <c r="M100"/>
  <c r="M102"/>
  <c r="M10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M70"/>
  <c r="M73"/>
  <c r="M75"/>
  <c r="M77"/>
  <c r="M79"/>
  <c r="M81"/>
  <c r="M83"/>
  <c r="M85"/>
  <c r="M87"/>
  <c r="M89"/>
  <c r="M91"/>
  <c r="M93"/>
  <c r="M95"/>
  <c r="M97"/>
  <c r="M99"/>
  <c r="M101"/>
  <c r="M103"/>
  <c r="M105"/>
  <c r="M106"/>
  <c r="M27"/>
  <c r="M29"/>
  <c r="M31"/>
  <c r="M33"/>
  <c r="M35"/>
  <c r="M37"/>
  <c r="M39"/>
  <c r="M41"/>
  <c r="M43"/>
  <c r="M45"/>
  <c r="M47"/>
  <c r="M49"/>
  <c r="M51"/>
  <c r="M53"/>
  <c r="M55"/>
  <c r="M57"/>
  <c r="N61"/>
  <c r="M59"/>
  <c r="M61"/>
  <c r="O63"/>
  <c r="P63" s="1"/>
  <c r="M65"/>
  <c r="R107"/>
  <c r="N72"/>
  <c r="T72"/>
  <c r="T107" s="1"/>
  <c r="C112" s="1"/>
  <c r="M63"/>
  <c r="O65"/>
  <c r="P65" s="1"/>
  <c r="N69"/>
  <c r="N71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M67"/>
  <c r="M69"/>
  <c r="M71"/>
  <c r="O78" i="29"/>
  <c r="T78" s="1"/>
  <c r="O116"/>
  <c r="O120"/>
  <c r="O124"/>
  <c r="O128"/>
  <c r="S22"/>
  <c r="N75"/>
  <c r="N129"/>
  <c r="N137"/>
  <c r="N157"/>
  <c r="N94"/>
  <c r="O110"/>
  <c r="P110" s="1"/>
  <c r="S102"/>
  <c r="T106"/>
  <c r="T110"/>
  <c r="O38"/>
  <c r="P38" s="1"/>
  <c r="J159"/>
  <c r="L159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9"/>
  <c r="N77"/>
  <c r="N83"/>
  <c r="N135"/>
  <c r="N143"/>
  <c r="N151"/>
  <c r="N88"/>
  <c r="N96"/>
  <c r="O104"/>
  <c r="S104" s="1"/>
  <c r="N108"/>
  <c r="O112"/>
  <c r="N24"/>
  <c r="O28"/>
  <c r="N32"/>
  <c r="O36"/>
  <c r="N40"/>
  <c r="O44"/>
  <c r="N48"/>
  <c r="O52"/>
  <c r="N56"/>
  <c r="N62"/>
  <c r="O66"/>
  <c r="P66" s="1"/>
  <c r="N64"/>
  <c r="O68"/>
  <c r="P68" s="1"/>
  <c r="O70"/>
  <c r="P70" s="1"/>
  <c r="O72"/>
  <c r="P72" s="1"/>
  <c r="O74"/>
  <c r="S74" s="1"/>
  <c r="N84"/>
  <c r="O86"/>
  <c r="N130"/>
  <c r="O134"/>
  <c r="N138"/>
  <c r="O142"/>
  <c r="O150"/>
  <c r="P150" s="1"/>
  <c r="O158"/>
  <c r="O95"/>
  <c r="P95" s="1"/>
  <c r="O97"/>
  <c r="P97" s="1"/>
  <c r="O99"/>
  <c r="P99" s="1"/>
  <c r="O101"/>
  <c r="P101" s="1"/>
  <c r="O103"/>
  <c r="P103" s="1"/>
  <c r="O105"/>
  <c r="P105" s="1"/>
  <c r="O107"/>
  <c r="P107" s="1"/>
  <c r="O109"/>
  <c r="P109" s="1"/>
  <c r="O111"/>
  <c r="P111" s="1"/>
  <c r="O113"/>
  <c r="P113" s="1"/>
  <c r="O2"/>
  <c r="P2" s="1"/>
  <c r="O3"/>
  <c r="P3" s="1"/>
  <c r="O4"/>
  <c r="P4" s="1"/>
  <c r="O5"/>
  <c r="P5" s="1"/>
  <c r="O6"/>
  <c r="P6" s="1"/>
  <c r="O7"/>
  <c r="O11"/>
  <c r="P11" s="1"/>
  <c r="O15"/>
  <c r="O19"/>
  <c r="P19" s="1"/>
  <c r="N106"/>
  <c r="N22"/>
  <c r="N30"/>
  <c r="N38"/>
  <c r="N46"/>
  <c r="N54"/>
  <c r="N66"/>
  <c r="N70"/>
  <c r="N74"/>
  <c r="N76"/>
  <c r="N87"/>
  <c r="N136"/>
  <c r="O21"/>
  <c r="N65"/>
  <c r="N73"/>
  <c r="N81"/>
  <c r="N131"/>
  <c r="N139"/>
  <c r="N147"/>
  <c r="N155"/>
  <c r="N92"/>
  <c r="O100"/>
  <c r="N104"/>
  <c r="O108"/>
  <c r="T108" s="1"/>
  <c r="N110"/>
  <c r="N112"/>
  <c r="O24"/>
  <c r="N26"/>
  <c r="N28"/>
  <c r="O32"/>
  <c r="N34"/>
  <c r="N36"/>
  <c r="O40"/>
  <c r="N42"/>
  <c r="N44"/>
  <c r="O48"/>
  <c r="N50"/>
  <c r="N52"/>
  <c r="O56"/>
  <c r="N58"/>
  <c r="N68"/>
  <c r="N72"/>
  <c r="N78"/>
  <c r="O84"/>
  <c r="P84" s="1"/>
  <c r="N80"/>
  <c r="N85"/>
  <c r="N86"/>
  <c r="O130"/>
  <c r="N132"/>
  <c r="N134"/>
  <c r="O138"/>
  <c r="N140"/>
  <c r="O146"/>
  <c r="O154"/>
  <c r="O91"/>
  <c r="P21"/>
  <c r="T104"/>
  <c r="P104"/>
  <c r="S112"/>
  <c r="P112"/>
  <c r="S28"/>
  <c r="P28"/>
  <c r="T36"/>
  <c r="P36"/>
  <c r="S44"/>
  <c r="P44"/>
  <c r="T52"/>
  <c r="P52"/>
  <c r="M27"/>
  <c r="O29"/>
  <c r="M31"/>
  <c r="O33"/>
  <c r="M35"/>
  <c r="O37"/>
  <c r="M39"/>
  <c r="O41"/>
  <c r="M43"/>
  <c r="O45"/>
  <c r="M47"/>
  <c r="O49"/>
  <c r="M51"/>
  <c r="O53"/>
  <c r="M55"/>
  <c r="O57"/>
  <c r="M59"/>
  <c r="O61"/>
  <c r="M63"/>
  <c r="O65"/>
  <c r="T65" s="1"/>
  <c r="M67"/>
  <c r="O69"/>
  <c r="M71"/>
  <c r="O73"/>
  <c r="T73" s="1"/>
  <c r="M75"/>
  <c r="O77"/>
  <c r="T77" s="1"/>
  <c r="M79"/>
  <c r="O81"/>
  <c r="M82"/>
  <c r="O83"/>
  <c r="T83" s="1"/>
  <c r="M129"/>
  <c r="O131"/>
  <c r="T131" s="1"/>
  <c r="M133"/>
  <c r="O135"/>
  <c r="T135" s="1"/>
  <c r="M137"/>
  <c r="O139"/>
  <c r="M141"/>
  <c r="O143"/>
  <c r="M145"/>
  <c r="O147"/>
  <c r="M149"/>
  <c r="O151"/>
  <c r="T151" s="1"/>
  <c r="M153"/>
  <c r="O155"/>
  <c r="T155" s="1"/>
  <c r="M157"/>
  <c r="O88"/>
  <c r="T88" s="1"/>
  <c r="M90"/>
  <c r="O92"/>
  <c r="T92" s="1"/>
  <c r="M94"/>
  <c r="O96"/>
  <c r="K159"/>
  <c r="N23"/>
  <c r="N98"/>
  <c r="O98"/>
  <c r="S100"/>
  <c r="P100"/>
  <c r="S108"/>
  <c r="P108"/>
  <c r="T24"/>
  <c r="P24"/>
  <c r="S32"/>
  <c r="P32"/>
  <c r="T40"/>
  <c r="P40"/>
  <c r="T48"/>
  <c r="P48"/>
  <c r="S56"/>
  <c r="P56"/>
  <c r="M23"/>
  <c r="O25"/>
  <c r="I159"/>
  <c r="M21"/>
  <c r="S21"/>
  <c r="O23"/>
  <c r="M25"/>
  <c r="O27"/>
  <c r="M29"/>
  <c r="O31"/>
  <c r="M33"/>
  <c r="O35"/>
  <c r="M37"/>
  <c r="O39"/>
  <c r="M41"/>
  <c r="O43"/>
  <c r="M45"/>
  <c r="O47"/>
  <c r="M49"/>
  <c r="O51"/>
  <c r="M53"/>
  <c r="O55"/>
  <c r="M57"/>
  <c r="O59"/>
  <c r="M61"/>
  <c r="O63"/>
  <c r="M65"/>
  <c r="O67"/>
  <c r="M69"/>
  <c r="O71"/>
  <c r="M73"/>
  <c r="O75"/>
  <c r="M77"/>
  <c r="O79"/>
  <c r="M81"/>
  <c r="O82"/>
  <c r="M83"/>
  <c r="O129"/>
  <c r="M131"/>
  <c r="O133"/>
  <c r="M135"/>
  <c r="O137"/>
  <c r="M139"/>
  <c r="O141"/>
  <c r="M143"/>
  <c r="O145"/>
  <c r="M147"/>
  <c r="O149"/>
  <c r="M151"/>
  <c r="O153"/>
  <c r="M155"/>
  <c r="O157"/>
  <c r="M88"/>
  <c r="O90"/>
  <c r="M92"/>
  <c r="O94"/>
  <c r="M96"/>
  <c r="T84"/>
  <c r="S86"/>
  <c r="P86"/>
  <c r="S134"/>
  <c r="P134"/>
  <c r="S142"/>
  <c r="P142"/>
  <c r="T150"/>
  <c r="S158"/>
  <c r="P158"/>
  <c r="T7"/>
  <c r="P7"/>
  <c r="T11"/>
  <c r="S15"/>
  <c r="P15"/>
  <c r="S19"/>
  <c r="S116"/>
  <c r="P116"/>
  <c r="T120"/>
  <c r="P120"/>
  <c r="T124"/>
  <c r="P124"/>
  <c r="T128"/>
  <c r="P128"/>
  <c r="M98"/>
  <c r="N21"/>
  <c r="T21"/>
  <c r="N100"/>
  <c r="N102"/>
  <c r="P78"/>
  <c r="M128"/>
  <c r="S130"/>
  <c r="P130"/>
  <c r="S138"/>
  <c r="P138"/>
  <c r="T146"/>
  <c r="P146"/>
  <c r="T154"/>
  <c r="P154"/>
  <c r="S91"/>
  <c r="P91"/>
  <c r="T9"/>
  <c r="P9"/>
  <c r="T13"/>
  <c r="P13"/>
  <c r="T17"/>
  <c r="P17"/>
  <c r="S114"/>
  <c r="P114"/>
  <c r="S118"/>
  <c r="P118"/>
  <c r="T122"/>
  <c r="P122"/>
  <c r="T126"/>
  <c r="P126"/>
  <c r="M100"/>
  <c r="M102"/>
  <c r="M104"/>
  <c r="M106"/>
  <c r="M108"/>
  <c r="M110"/>
  <c r="M112"/>
  <c r="M22"/>
  <c r="M24"/>
  <c r="M26"/>
  <c r="M28"/>
  <c r="M30"/>
  <c r="M32"/>
  <c r="M34"/>
  <c r="M36"/>
  <c r="M38"/>
  <c r="M40"/>
  <c r="M42"/>
  <c r="M44"/>
  <c r="M46"/>
  <c r="M48"/>
  <c r="M50"/>
  <c r="M52"/>
  <c r="M54"/>
  <c r="O58"/>
  <c r="P58" s="1"/>
  <c r="M56"/>
  <c r="O60"/>
  <c r="M58"/>
  <c r="O62"/>
  <c r="N60"/>
  <c r="P64"/>
  <c r="P74"/>
  <c r="N142"/>
  <c r="N144"/>
  <c r="N146"/>
  <c r="N148"/>
  <c r="N150"/>
  <c r="N152"/>
  <c r="N154"/>
  <c r="N156"/>
  <c r="N158"/>
  <c r="N89"/>
  <c r="N91"/>
  <c r="N93"/>
  <c r="N95"/>
  <c r="N97"/>
  <c r="N99"/>
  <c r="N101"/>
  <c r="N103"/>
  <c r="N105"/>
  <c r="N107"/>
  <c r="N109"/>
  <c r="N111"/>
  <c r="N113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114"/>
  <c r="N115"/>
  <c r="N116"/>
  <c r="N117"/>
  <c r="N118"/>
  <c r="N119"/>
  <c r="N120"/>
  <c r="N121"/>
  <c r="N122"/>
  <c r="N123"/>
  <c r="N124"/>
  <c r="N125"/>
  <c r="N126"/>
  <c r="N127"/>
  <c r="N128"/>
  <c r="M60"/>
  <c r="M62"/>
  <c r="M64"/>
  <c r="M66"/>
  <c r="M68"/>
  <c r="M70"/>
  <c r="M72"/>
  <c r="M74"/>
  <c r="M76"/>
  <c r="M78"/>
  <c r="M80"/>
  <c r="M84"/>
  <c r="M85"/>
  <c r="M86"/>
  <c r="M87"/>
  <c r="M130"/>
  <c r="M132"/>
  <c r="M134"/>
  <c r="M136"/>
  <c r="M138"/>
  <c r="M140"/>
  <c r="M142"/>
  <c r="M144"/>
  <c r="M146"/>
  <c r="M148"/>
  <c r="M150"/>
  <c r="M152"/>
  <c r="M154"/>
  <c r="M156"/>
  <c r="M158"/>
  <c r="M89"/>
  <c r="M91"/>
  <c r="M93"/>
  <c r="M95"/>
  <c r="M97"/>
  <c r="M99"/>
  <c r="M101"/>
  <c r="M103"/>
  <c r="M105"/>
  <c r="M107"/>
  <c r="M109"/>
  <c r="M111"/>
  <c r="M113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114"/>
  <c r="M115"/>
  <c r="M116"/>
  <c r="M117"/>
  <c r="M118"/>
  <c r="M119"/>
  <c r="M120"/>
  <c r="M121"/>
  <c r="M122"/>
  <c r="M123"/>
  <c r="M124"/>
  <c r="M125"/>
  <c r="M126"/>
  <c r="M127"/>
  <c r="E112" i="27"/>
  <c r="E111"/>
  <c r="D112"/>
  <c r="D111"/>
  <c r="C112"/>
  <c r="C111"/>
  <c r="B112"/>
  <c r="B111"/>
  <c r="T107"/>
  <c r="S107"/>
  <c r="R107"/>
  <c r="Q107"/>
  <c r="T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S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2"/>
  <c r="B164" i="26"/>
  <c r="B163"/>
  <c r="R2"/>
  <c r="R3"/>
  <c r="T3" s="1"/>
  <c r="R4"/>
  <c r="T4" s="1"/>
  <c r="R5"/>
  <c r="T5" s="1"/>
  <c r="R6"/>
  <c r="T6" s="1"/>
  <c r="R7"/>
  <c r="T7" s="1"/>
  <c r="R8"/>
  <c r="T8" s="1"/>
  <c r="R9"/>
  <c r="T9" s="1"/>
  <c r="R10"/>
  <c r="T10" s="1"/>
  <c r="R11"/>
  <c r="T11" s="1"/>
  <c r="R12"/>
  <c r="T12" s="1"/>
  <c r="R13"/>
  <c r="T13" s="1"/>
  <c r="R14"/>
  <c r="T14" s="1"/>
  <c r="R15"/>
  <c r="T15" s="1"/>
  <c r="R16"/>
  <c r="T16" s="1"/>
  <c r="R17"/>
  <c r="T17" s="1"/>
  <c r="R18"/>
  <c r="T18" s="1"/>
  <c r="R19"/>
  <c r="T19" s="1"/>
  <c r="R20"/>
  <c r="T20" s="1"/>
  <c r="R21"/>
  <c r="T21" s="1"/>
  <c r="R22"/>
  <c r="T22" s="1"/>
  <c r="R23"/>
  <c r="T23" s="1"/>
  <c r="R24"/>
  <c r="T24" s="1"/>
  <c r="R25"/>
  <c r="T25" s="1"/>
  <c r="R26"/>
  <c r="T26" s="1"/>
  <c r="R27"/>
  <c r="T27" s="1"/>
  <c r="R28"/>
  <c r="T28" s="1"/>
  <c r="R29"/>
  <c r="T29" s="1"/>
  <c r="R30"/>
  <c r="T30" s="1"/>
  <c r="R31"/>
  <c r="T31" s="1"/>
  <c r="R32"/>
  <c r="T32" s="1"/>
  <c r="R33"/>
  <c r="T33" s="1"/>
  <c r="R34"/>
  <c r="T34" s="1"/>
  <c r="R35"/>
  <c r="T35" s="1"/>
  <c r="R36"/>
  <c r="T36" s="1"/>
  <c r="R37"/>
  <c r="T37" s="1"/>
  <c r="R38"/>
  <c r="T38" s="1"/>
  <c r="R39"/>
  <c r="T39" s="1"/>
  <c r="R40"/>
  <c r="T40" s="1"/>
  <c r="R41"/>
  <c r="T41" s="1"/>
  <c r="R42"/>
  <c r="T42" s="1"/>
  <c r="R43"/>
  <c r="T43" s="1"/>
  <c r="R44"/>
  <c r="T44" s="1"/>
  <c r="R45"/>
  <c r="T45" s="1"/>
  <c r="R46"/>
  <c r="T46" s="1"/>
  <c r="R47"/>
  <c r="T47" s="1"/>
  <c r="R48"/>
  <c r="T48" s="1"/>
  <c r="R49"/>
  <c r="T49" s="1"/>
  <c r="R50"/>
  <c r="T50" s="1"/>
  <c r="R51"/>
  <c r="T51" s="1"/>
  <c r="R52"/>
  <c r="T52" s="1"/>
  <c r="R53"/>
  <c r="T53" s="1"/>
  <c r="R54"/>
  <c r="T54" s="1"/>
  <c r="R55"/>
  <c r="T55" s="1"/>
  <c r="R56"/>
  <c r="T56" s="1"/>
  <c r="R57"/>
  <c r="T57" s="1"/>
  <c r="R59"/>
  <c r="T59" s="1"/>
  <c r="R60"/>
  <c r="T60" s="1"/>
  <c r="R61"/>
  <c r="T61" s="1"/>
  <c r="R62"/>
  <c r="T62" s="1"/>
  <c r="R63"/>
  <c r="T63" s="1"/>
  <c r="R65"/>
  <c r="T65" s="1"/>
  <c r="R66"/>
  <c r="T66" s="1"/>
  <c r="R67"/>
  <c r="T67" s="1"/>
  <c r="R68"/>
  <c r="T68" s="1"/>
  <c r="R69"/>
  <c r="T69" s="1"/>
  <c r="R71"/>
  <c r="T71" s="1"/>
  <c r="R73"/>
  <c r="T73" s="1"/>
  <c r="R74"/>
  <c r="T74" s="1"/>
  <c r="R75"/>
  <c r="T75" s="1"/>
  <c r="R77"/>
  <c r="T77" s="1"/>
  <c r="R79"/>
  <c r="T79" s="1"/>
  <c r="R80"/>
  <c r="T80" s="1"/>
  <c r="R81"/>
  <c r="T81" s="1"/>
  <c r="R82"/>
  <c r="T82" s="1"/>
  <c r="R84"/>
  <c r="T84" s="1"/>
  <c r="R85"/>
  <c r="T85" s="1"/>
  <c r="R86"/>
  <c r="T86" s="1"/>
  <c r="R87"/>
  <c r="T87" s="1"/>
  <c r="R88"/>
  <c r="T88" s="1"/>
  <c r="R89"/>
  <c r="T89" s="1"/>
  <c r="R90"/>
  <c r="T90" s="1"/>
  <c r="R92"/>
  <c r="T92" s="1"/>
  <c r="R94"/>
  <c r="T94" s="1"/>
  <c r="R95"/>
  <c r="T95" s="1"/>
  <c r="R96"/>
  <c r="T96" s="1"/>
  <c r="R97"/>
  <c r="T97" s="1"/>
  <c r="R98"/>
  <c r="T98" s="1"/>
  <c r="R99"/>
  <c r="T99" s="1"/>
  <c r="R100"/>
  <c r="T100" s="1"/>
  <c r="R101"/>
  <c r="T101" s="1"/>
  <c r="R102"/>
  <c r="T102" s="1"/>
  <c r="R103"/>
  <c r="T103" s="1"/>
  <c r="R104"/>
  <c r="T104" s="1"/>
  <c r="R106"/>
  <c r="T106" s="1"/>
  <c r="R108"/>
  <c r="T108" s="1"/>
  <c r="R110"/>
  <c r="T110" s="1"/>
  <c r="R111"/>
  <c r="T111" s="1"/>
  <c r="R112"/>
  <c r="T112" s="1"/>
  <c r="R113"/>
  <c r="T113" s="1"/>
  <c r="R114"/>
  <c r="T114" s="1"/>
  <c r="R115"/>
  <c r="T115" s="1"/>
  <c r="R116"/>
  <c r="T116" s="1"/>
  <c r="R117"/>
  <c r="T117" s="1"/>
  <c r="R118"/>
  <c r="T118" s="1"/>
  <c r="R119"/>
  <c r="T119" s="1"/>
  <c r="R120"/>
  <c r="T120" s="1"/>
  <c r="R121"/>
  <c r="T121" s="1"/>
  <c r="R122"/>
  <c r="T122" s="1"/>
  <c r="R123"/>
  <c r="T123" s="1"/>
  <c r="R124"/>
  <c r="T124" s="1"/>
  <c r="R125"/>
  <c r="T125" s="1"/>
  <c r="R126"/>
  <c r="T126" s="1"/>
  <c r="R127"/>
  <c r="T127" s="1"/>
  <c r="R128"/>
  <c r="T128" s="1"/>
  <c r="R129"/>
  <c r="T129" s="1"/>
  <c r="R131"/>
  <c r="T131" s="1"/>
  <c r="R133"/>
  <c r="T133" s="1"/>
  <c r="R135"/>
  <c r="T135" s="1"/>
  <c r="R137"/>
  <c r="T137" s="1"/>
  <c r="R138"/>
  <c r="T138" s="1"/>
  <c r="R139"/>
  <c r="T139" s="1"/>
  <c r="R141"/>
  <c r="T141" s="1"/>
  <c r="R142"/>
  <c r="T142" s="1"/>
  <c r="R143"/>
  <c r="T143" s="1"/>
  <c r="R144"/>
  <c r="T144" s="1"/>
  <c r="R145"/>
  <c r="T145" s="1"/>
  <c r="R146"/>
  <c r="T146" s="1"/>
  <c r="R147"/>
  <c r="T147" s="1"/>
  <c r="R148"/>
  <c r="T148" s="1"/>
  <c r="R149"/>
  <c r="T149" s="1"/>
  <c r="R151"/>
  <c r="T151" s="1"/>
  <c r="R153"/>
  <c r="T153" s="1"/>
  <c r="R155"/>
  <c r="T155" s="1"/>
  <c r="R157"/>
  <c r="T157" s="1"/>
  <c r="Q2"/>
  <c r="Q3"/>
  <c r="S3" s="1"/>
  <c r="Q4"/>
  <c r="S4" s="1"/>
  <c r="Q5"/>
  <c r="S5" s="1"/>
  <c r="Q6"/>
  <c r="S6" s="1"/>
  <c r="Q7"/>
  <c r="S7" s="1"/>
  <c r="Q8"/>
  <c r="S8" s="1"/>
  <c r="Q9"/>
  <c r="S9" s="1"/>
  <c r="Q10"/>
  <c r="S10" s="1"/>
  <c r="Q11"/>
  <c r="S11" s="1"/>
  <c r="Q12"/>
  <c r="S12" s="1"/>
  <c r="Q13"/>
  <c r="S13" s="1"/>
  <c r="Q14"/>
  <c r="S14" s="1"/>
  <c r="Q15"/>
  <c r="S15" s="1"/>
  <c r="Q16"/>
  <c r="S16" s="1"/>
  <c r="Q17"/>
  <c r="S17" s="1"/>
  <c r="Q18"/>
  <c r="S18" s="1"/>
  <c r="Q19"/>
  <c r="S19" s="1"/>
  <c r="Q20"/>
  <c r="S20" s="1"/>
  <c r="Q21"/>
  <c r="S21" s="1"/>
  <c r="Q23"/>
  <c r="S23" s="1"/>
  <c r="Q25"/>
  <c r="S25" s="1"/>
  <c r="Q27"/>
  <c r="S27" s="1"/>
  <c r="Q29"/>
  <c r="S29" s="1"/>
  <c r="Q31"/>
  <c r="S31" s="1"/>
  <c r="Q33"/>
  <c r="S33" s="1"/>
  <c r="Q35"/>
  <c r="S35" s="1"/>
  <c r="Q37"/>
  <c r="S37" s="1"/>
  <c r="Q39"/>
  <c r="S39" s="1"/>
  <c r="Q41"/>
  <c r="S41" s="1"/>
  <c r="Q43"/>
  <c r="S43" s="1"/>
  <c r="Q45"/>
  <c r="S45" s="1"/>
  <c r="Q47"/>
  <c r="S47" s="1"/>
  <c r="Q49"/>
  <c r="S49" s="1"/>
  <c r="Q51"/>
  <c r="S51" s="1"/>
  <c r="Q53"/>
  <c r="S53" s="1"/>
  <c r="Q55"/>
  <c r="S55" s="1"/>
  <c r="Q57"/>
  <c r="S57" s="1"/>
  <c r="Q58"/>
  <c r="S58" s="1"/>
  <c r="Q59"/>
  <c r="S59" s="1"/>
  <c r="Q61"/>
  <c r="S61" s="1"/>
  <c r="Q63"/>
  <c r="S63" s="1"/>
  <c r="Q64"/>
  <c r="S64" s="1"/>
  <c r="Q65"/>
  <c r="S65" s="1"/>
  <c r="Q67"/>
  <c r="S67" s="1"/>
  <c r="Q69"/>
  <c r="S69" s="1"/>
  <c r="Q70"/>
  <c r="S70" s="1"/>
  <c r="Q71"/>
  <c r="S71" s="1"/>
  <c r="Q72"/>
  <c r="S72" s="1"/>
  <c r="Q73"/>
  <c r="S73" s="1"/>
  <c r="Q75"/>
  <c r="S75" s="1"/>
  <c r="Q76"/>
  <c r="S76" s="1"/>
  <c r="Q77"/>
  <c r="S77" s="1"/>
  <c r="Q78"/>
  <c r="S78" s="1"/>
  <c r="Q79"/>
  <c r="S79" s="1"/>
  <c r="Q81"/>
  <c r="S81" s="1"/>
  <c r="Q83"/>
  <c r="S83" s="1"/>
  <c r="Q85"/>
  <c r="S85" s="1"/>
  <c r="Q86"/>
  <c r="S86" s="1"/>
  <c r="Q87"/>
  <c r="S87" s="1"/>
  <c r="Q88"/>
  <c r="S88" s="1"/>
  <c r="Q90"/>
  <c r="S90" s="1"/>
  <c r="Q91"/>
  <c r="S91" s="1"/>
  <c r="Q92"/>
  <c r="S92" s="1"/>
  <c r="Q93"/>
  <c r="S93" s="1"/>
  <c r="Q94"/>
  <c r="S94" s="1"/>
  <c r="Q96"/>
  <c r="S96" s="1"/>
  <c r="Q98"/>
  <c r="S98" s="1"/>
  <c r="Q100"/>
  <c r="S100" s="1"/>
  <c r="Q102"/>
  <c r="S102" s="1"/>
  <c r="Q104"/>
  <c r="S104" s="1"/>
  <c r="Q105"/>
  <c r="S105" s="1"/>
  <c r="Q106"/>
  <c r="S106" s="1"/>
  <c r="Q107"/>
  <c r="S107" s="1"/>
  <c r="Q108"/>
  <c r="S108" s="1"/>
  <c r="Q109"/>
  <c r="S109" s="1"/>
  <c r="Q110"/>
  <c r="S110" s="1"/>
  <c r="Q112"/>
  <c r="S112" s="1"/>
  <c r="Q114"/>
  <c r="S114" s="1"/>
  <c r="Q115"/>
  <c r="S115" s="1"/>
  <c r="Q116"/>
  <c r="S116" s="1"/>
  <c r="Q117"/>
  <c r="S117" s="1"/>
  <c r="Q118"/>
  <c r="S118" s="1"/>
  <c r="Q119"/>
  <c r="S119" s="1"/>
  <c r="Q120"/>
  <c r="S120" s="1"/>
  <c r="Q121"/>
  <c r="S121" s="1"/>
  <c r="Q122"/>
  <c r="S122" s="1"/>
  <c r="Q123"/>
  <c r="S123" s="1"/>
  <c r="Q124"/>
  <c r="S124" s="1"/>
  <c r="Q125"/>
  <c r="S125" s="1"/>
  <c r="Q126"/>
  <c r="S126" s="1"/>
  <c r="Q127"/>
  <c r="S127" s="1"/>
  <c r="Q128"/>
  <c r="S128" s="1"/>
  <c r="Q129"/>
  <c r="S129" s="1"/>
  <c r="Q130"/>
  <c r="S130" s="1"/>
  <c r="Q131"/>
  <c r="S131" s="1"/>
  <c r="Q132"/>
  <c r="S132" s="1"/>
  <c r="Q133"/>
  <c r="S133" s="1"/>
  <c r="Q134"/>
  <c r="S134" s="1"/>
  <c r="Q135"/>
  <c r="S135" s="1"/>
  <c r="Q136"/>
  <c r="S136" s="1"/>
  <c r="Q137"/>
  <c r="S137" s="1"/>
  <c r="Q139"/>
  <c r="S139" s="1"/>
  <c r="Q140"/>
  <c r="S140" s="1"/>
  <c r="Q141"/>
  <c r="S141" s="1"/>
  <c r="Q143"/>
  <c r="S143" s="1"/>
  <c r="Q145"/>
  <c r="S145" s="1"/>
  <c r="Q147"/>
  <c r="S147" s="1"/>
  <c r="Q149"/>
  <c r="S149" s="1"/>
  <c r="Q150"/>
  <c r="S150" s="1"/>
  <c r="Q151"/>
  <c r="S151" s="1"/>
  <c r="Q152"/>
  <c r="S152" s="1"/>
  <c r="Q153"/>
  <c r="S153" s="1"/>
  <c r="Q154"/>
  <c r="S154" s="1"/>
  <c r="Q155"/>
  <c r="S155" s="1"/>
  <c r="Q156"/>
  <c r="S156" s="1"/>
  <c r="Q157"/>
  <c r="S157" s="1"/>
  <c r="Q158"/>
  <c r="S158" s="1"/>
  <c r="E2" i="2"/>
  <c r="E3" s="1"/>
  <c r="E4" s="1"/>
  <c r="E5" s="1"/>
  <c r="E6" s="1"/>
  <c r="E7" s="1"/>
  <c r="E8" s="1"/>
  <c r="E9" s="1"/>
  <c r="E10" s="1"/>
  <c r="E11" s="1"/>
  <c r="E12"/>
  <c r="E13" s="1"/>
  <c r="E14" s="1"/>
  <c r="E15" s="1"/>
  <c r="E16" s="1"/>
  <c r="E17" s="1"/>
  <c r="E18" s="1"/>
  <c r="E19" s="1"/>
  <c r="E20" s="1"/>
  <c r="E21" s="1"/>
  <c r="E22"/>
  <c r="E23" s="1"/>
  <c r="E24" s="1"/>
  <c r="E25" s="1"/>
  <c r="E26" s="1"/>
  <c r="E27" s="1"/>
  <c r="E28" s="1"/>
  <c r="E29" s="1"/>
  <c r="E30" s="1"/>
  <c r="E31" s="1"/>
  <c r="E32"/>
  <c r="E33" s="1"/>
  <c r="E34" s="1"/>
  <c r="E35" s="1"/>
  <c r="E36" s="1"/>
  <c r="E37" s="1"/>
  <c r="E38" s="1"/>
  <c r="E39" s="1"/>
  <c r="E40" s="1"/>
  <c r="E41" s="1"/>
  <c r="E42"/>
  <c r="E43" s="1"/>
  <c r="E44" s="1"/>
  <c r="E45" s="1"/>
  <c r="E46" s="1"/>
  <c r="E47" s="1"/>
  <c r="E48" s="1"/>
  <c r="E49" s="1"/>
  <c r="E50" s="1"/>
  <c r="E51" s="1"/>
  <c r="E52"/>
  <c r="E53" s="1"/>
  <c r="E54" s="1"/>
  <c r="E55" s="1"/>
  <c r="E56" s="1"/>
  <c r="E57" s="1"/>
  <c r="E58" s="1"/>
  <c r="E59" s="1"/>
  <c r="E60" s="1"/>
  <c r="E61" s="1"/>
  <c r="E62"/>
  <c r="E63" s="1"/>
  <c r="E64" s="1"/>
  <c r="E65" s="1"/>
  <c r="E66" s="1"/>
  <c r="E67" s="1"/>
  <c r="E68" s="1"/>
  <c r="E69" s="1"/>
  <c r="E70" s="1"/>
  <c r="E71" s="1"/>
  <c r="E72"/>
  <c r="E73" s="1"/>
  <c r="E74" s="1"/>
  <c r="E75" s="1"/>
  <c r="E76" s="1"/>
  <c r="E77" s="1"/>
  <c r="E78" s="1"/>
  <c r="E79" s="1"/>
  <c r="E80" s="1"/>
  <c r="E81" s="1"/>
  <c r="E82"/>
  <c r="E83" s="1"/>
  <c r="E84" s="1"/>
  <c r="E85" s="1"/>
  <c r="E86" s="1"/>
  <c r="E87" s="1"/>
  <c r="E88" s="1"/>
  <c r="E89" s="1"/>
  <c r="E90" s="1"/>
  <c r="E91" s="1"/>
  <c r="E92"/>
  <c r="E93" s="1"/>
  <c r="E94" s="1"/>
  <c r="E95" s="1"/>
  <c r="E96" s="1"/>
  <c r="E97" s="1"/>
  <c r="E98" s="1"/>
  <c r="E99" s="1"/>
  <c r="E100" s="1"/>
  <c r="E101" s="1"/>
  <c r="E102"/>
  <c r="E103" s="1"/>
  <c r="E104" s="1"/>
  <c r="E105" s="1"/>
  <c r="E106" s="1"/>
  <c r="E107" s="1"/>
  <c r="E108" s="1"/>
  <c r="E109" s="1"/>
  <c r="E110" s="1"/>
  <c r="E111" s="1"/>
  <c r="E112"/>
  <c r="E113" s="1"/>
  <c r="E114" s="1"/>
  <c r="E115" s="1"/>
  <c r="E116" s="1"/>
  <c r="E117" s="1"/>
  <c r="E118" s="1"/>
  <c r="E119" s="1"/>
  <c r="E120" s="1"/>
  <c r="E121" s="1"/>
  <c r="E122"/>
  <c r="E123" s="1"/>
  <c r="E124" s="1"/>
  <c r="E125" s="1"/>
  <c r="E126" s="1"/>
  <c r="E127" s="1"/>
  <c r="E128" s="1"/>
  <c r="E129" s="1"/>
  <c r="E130" s="1"/>
  <c r="E131" s="1"/>
  <c r="E132"/>
  <c r="E133" s="1"/>
  <c r="E134" s="1"/>
  <c r="E135" s="1"/>
  <c r="E136" s="1"/>
  <c r="E137" s="1"/>
  <c r="E138" s="1"/>
  <c r="E139" s="1"/>
  <c r="E140" s="1"/>
  <c r="E141" s="1"/>
  <c r="E142"/>
  <c r="E143" s="1"/>
  <c r="E144" s="1"/>
  <c r="E145" s="1"/>
  <c r="E146" s="1"/>
  <c r="E147" s="1"/>
  <c r="E148" s="1"/>
  <c r="E149" s="1"/>
  <c r="E150" s="1"/>
  <c r="E151" s="1"/>
  <c r="E152"/>
  <c r="E153" s="1"/>
  <c r="E154" s="1"/>
  <c r="E155" s="1"/>
  <c r="E156" s="1"/>
  <c r="E157" s="1"/>
  <c r="E158" s="1"/>
  <c r="E159" s="1"/>
  <c r="E160" s="1"/>
  <c r="E161" s="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 s="1"/>
  <c r="E324" s="1"/>
  <c r="E325" s="1"/>
  <c r="E326" s="1"/>
  <c r="E327" s="1"/>
  <c r="E328" s="1"/>
  <c r="E329" s="1"/>
  <c r="E330" s="1"/>
  <c r="E331" s="1"/>
  <c r="E332"/>
  <c r="E333" s="1"/>
  <c r="E334" s="1"/>
  <c r="E335" s="1"/>
  <c r="E336" s="1"/>
  <c r="E337" s="1"/>
  <c r="E338" s="1"/>
  <c r="E339" s="1"/>
  <c r="E340" s="1"/>
  <c r="E341" s="1"/>
  <c r="E342"/>
  <c r="E343" s="1"/>
  <c r="E344" s="1"/>
  <c r="E345" s="1"/>
  <c r="E346" s="1"/>
  <c r="E347" s="1"/>
  <c r="E348" s="1"/>
  <c r="E349" s="1"/>
  <c r="E350" s="1"/>
  <c r="E351" s="1"/>
  <c r="E352"/>
  <c r="E353" s="1"/>
  <c r="E354" s="1"/>
  <c r="E355" s="1"/>
  <c r="E356" s="1"/>
  <c r="E357" s="1"/>
  <c r="E358" s="1"/>
  <c r="E359" s="1"/>
  <c r="E360" s="1"/>
  <c r="E361" s="1"/>
  <c r="E362"/>
  <c r="E363" s="1"/>
  <c r="E364" s="1"/>
  <c r="E365" s="1"/>
  <c r="E366" s="1"/>
  <c r="E367" s="1"/>
  <c r="E368" s="1"/>
  <c r="E369" s="1"/>
  <c r="E370" s="1"/>
  <c r="E371" s="1"/>
  <c r="E372"/>
  <c r="E373" s="1"/>
  <c r="E374" s="1"/>
  <c r="E375" s="1"/>
  <c r="E376" s="1"/>
  <c r="E377" s="1"/>
  <c r="E378" s="1"/>
  <c r="E379" s="1"/>
  <c r="E380" s="1"/>
  <c r="E381" s="1"/>
  <c r="E382"/>
  <c r="E383" s="1"/>
  <c r="E384" s="1"/>
  <c r="E385" s="1"/>
  <c r="E386" s="1"/>
  <c r="E387" s="1"/>
  <c r="E388" s="1"/>
  <c r="E389" s="1"/>
  <c r="E390" s="1"/>
  <c r="E391" s="1"/>
  <c r="E392"/>
  <c r="E393" s="1"/>
  <c r="E394" s="1"/>
  <c r="E395" s="1"/>
  <c r="E396" s="1"/>
  <c r="E397" s="1"/>
  <c r="E398" s="1"/>
  <c r="E399" s="1"/>
  <c r="E400" s="1"/>
  <c r="E401" s="1"/>
  <c r="E402"/>
  <c r="E403" s="1"/>
  <c r="E404" s="1"/>
  <c r="E405" s="1"/>
  <c r="E406" s="1"/>
  <c r="E407" s="1"/>
  <c r="E408" s="1"/>
  <c r="E409" s="1"/>
  <c r="E410" s="1"/>
  <c r="E411" s="1"/>
  <c r="E412"/>
  <c r="E413" s="1"/>
  <c r="E414" s="1"/>
  <c r="E415" s="1"/>
  <c r="E416" s="1"/>
  <c r="E417" s="1"/>
  <c r="E418" s="1"/>
  <c r="E419" s="1"/>
  <c r="E420" s="1"/>
  <c r="E421" s="1"/>
  <c r="E422"/>
  <c r="E423" s="1"/>
  <c r="E424" s="1"/>
  <c r="E425" s="1"/>
  <c r="E426" s="1"/>
  <c r="E427" s="1"/>
  <c r="E428" s="1"/>
  <c r="E429" s="1"/>
  <c r="E430" s="1"/>
  <c r="E431" s="1"/>
  <c r="E432"/>
  <c r="E433" s="1"/>
  <c r="E434" s="1"/>
  <c r="E435" s="1"/>
  <c r="E436" s="1"/>
  <c r="E437" s="1"/>
  <c r="E438" s="1"/>
  <c r="E439" s="1"/>
  <c r="E440" s="1"/>
  <c r="E441" s="1"/>
  <c r="E442"/>
  <c r="E443" s="1"/>
  <c r="E444" s="1"/>
  <c r="E445" s="1"/>
  <c r="E446" s="1"/>
  <c r="E447" s="1"/>
  <c r="E448" s="1"/>
  <c r="E449" s="1"/>
  <c r="E450" s="1"/>
  <c r="E451" s="1"/>
  <c r="E452"/>
  <c r="E453" s="1"/>
  <c r="E454" s="1"/>
  <c r="E455" s="1"/>
  <c r="E456" s="1"/>
  <c r="E457" s="1"/>
  <c r="E458" s="1"/>
  <c r="E459" s="1"/>
  <c r="E460" s="1"/>
  <c r="E461" s="1"/>
  <c r="E462"/>
  <c r="E463" s="1"/>
  <c r="E464" s="1"/>
  <c r="E465" s="1"/>
  <c r="E466" s="1"/>
  <c r="E467" s="1"/>
  <c r="E468" s="1"/>
  <c r="E469" s="1"/>
  <c r="E470" s="1"/>
  <c r="E471" s="1"/>
  <c r="E472"/>
  <c r="E473" s="1"/>
  <c r="E474" s="1"/>
  <c r="E475" s="1"/>
  <c r="E476" s="1"/>
  <c r="E477" s="1"/>
  <c r="E478" s="1"/>
  <c r="E479" s="1"/>
  <c r="E480" s="1"/>
  <c r="E481" s="1"/>
  <c r="E482"/>
  <c r="E483" s="1"/>
  <c r="E484" s="1"/>
  <c r="E485" s="1"/>
  <c r="E486" s="1"/>
  <c r="E487" s="1"/>
  <c r="E488" s="1"/>
  <c r="E489" s="1"/>
  <c r="E490" s="1"/>
  <c r="E491" s="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 s="1"/>
  <c r="E674" s="1"/>
  <c r="E675" s="1"/>
  <c r="E676" s="1"/>
  <c r="E677" s="1"/>
  <c r="E678" s="1"/>
  <c r="E679" s="1"/>
  <c r="E680" s="1"/>
  <c r="E681" s="1"/>
  <c r="E682"/>
  <c r="E683" s="1"/>
  <c r="E684" s="1"/>
  <c r="E685" s="1"/>
  <c r="E686" s="1"/>
  <c r="E687" s="1"/>
  <c r="E688" s="1"/>
  <c r="E689" s="1"/>
  <c r="E690" s="1"/>
  <c r="E691" s="1"/>
  <c r="E692"/>
  <c r="E693" s="1"/>
  <c r="E694" s="1"/>
  <c r="E695" s="1"/>
  <c r="E696" s="1"/>
  <c r="E697" s="1"/>
  <c r="E698" s="1"/>
  <c r="E699" s="1"/>
  <c r="E700" s="1"/>
  <c r="E701" s="1"/>
  <c r="E702"/>
  <c r="E703" s="1"/>
  <c r="E704" s="1"/>
  <c r="E705" s="1"/>
  <c r="E706" s="1"/>
  <c r="E707" s="1"/>
  <c r="E708" s="1"/>
  <c r="E709" s="1"/>
  <c r="E710" s="1"/>
  <c r="E711" s="1"/>
  <c r="E712"/>
  <c r="E713" s="1"/>
  <c r="E714" s="1"/>
  <c r="E715" s="1"/>
  <c r="E716" s="1"/>
  <c r="E717" s="1"/>
  <c r="E718" s="1"/>
  <c r="E719" s="1"/>
  <c r="E720" s="1"/>
  <c r="E721" s="1"/>
  <c r="E722"/>
  <c r="E723" s="1"/>
  <c r="E724" s="1"/>
  <c r="E725" s="1"/>
  <c r="E726" s="1"/>
  <c r="E727" s="1"/>
  <c r="E728" s="1"/>
  <c r="E729" s="1"/>
  <c r="E730" s="1"/>
  <c r="E731" s="1"/>
  <c r="E732"/>
  <c r="E733" s="1"/>
  <c r="E734" s="1"/>
  <c r="E735" s="1"/>
  <c r="E736" s="1"/>
  <c r="E737" s="1"/>
  <c r="E738" s="1"/>
  <c r="E739" s="1"/>
  <c r="E740" s="1"/>
  <c r="E741" s="1"/>
  <c r="E742"/>
  <c r="E743" s="1"/>
  <c r="E744" s="1"/>
  <c r="E745" s="1"/>
  <c r="E746" s="1"/>
  <c r="E747" s="1"/>
  <c r="E748" s="1"/>
  <c r="E749" s="1"/>
  <c r="E750" s="1"/>
  <c r="E751" s="1"/>
  <c r="E752"/>
  <c r="E753" s="1"/>
  <c r="E754" s="1"/>
  <c r="E755" s="1"/>
  <c r="E756" s="1"/>
  <c r="E757" s="1"/>
  <c r="E758" s="1"/>
  <c r="E759" s="1"/>
  <c r="E760" s="1"/>
  <c r="E761" s="1"/>
  <c r="E762"/>
  <c r="E763" s="1"/>
  <c r="E764" s="1"/>
  <c r="E765" s="1"/>
  <c r="E766" s="1"/>
  <c r="E767" s="1"/>
  <c r="E768" s="1"/>
  <c r="E769" s="1"/>
  <c r="E770" s="1"/>
  <c r="E771" s="1"/>
  <c r="E772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/>
  <c r="E793" s="1"/>
  <c r="E794" s="1"/>
  <c r="E795" s="1"/>
  <c r="E796" s="1"/>
  <c r="E797" s="1"/>
  <c r="E798" s="1"/>
  <c r="E799" s="1"/>
  <c r="E800" s="1"/>
  <c r="E801" s="1"/>
  <c r="E802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 s="1"/>
  <c r="E974" s="1"/>
  <c r="E975" s="1"/>
  <c r="E976" s="1"/>
  <c r="E977" s="1"/>
  <c r="E978" s="1"/>
  <c r="E979" s="1"/>
  <c r="E980" s="1"/>
  <c r="E981" s="1"/>
  <c r="E982"/>
  <c r="E983" s="1"/>
  <c r="E984" s="1"/>
  <c r="E985" s="1"/>
  <c r="E986" s="1"/>
  <c r="E987" s="1"/>
  <c r="E988" s="1"/>
  <c r="E989" s="1"/>
  <c r="E990" s="1"/>
  <c r="E991" s="1"/>
  <c r="E992"/>
  <c r="E993" s="1"/>
  <c r="E994"/>
  <c r="E995" s="1"/>
  <c r="E996" s="1"/>
  <c r="E997" s="1"/>
  <c r="E998" s="1"/>
  <c r="E999" s="1"/>
  <c r="E1000" s="1"/>
  <c r="E1001" s="1"/>
  <c r="E1002"/>
  <c r="E1003" s="1"/>
  <c r="E1004" s="1"/>
  <c r="E1005" s="1"/>
  <c r="E1006" s="1"/>
  <c r="E1007" s="1"/>
  <c r="E1008" s="1"/>
  <c r="E1009" s="1"/>
  <c r="E1010" s="1"/>
  <c r="E1011" s="1"/>
  <c r="E1012"/>
  <c r="E1013"/>
  <c r="E1014" s="1"/>
  <c r="E1015" s="1"/>
  <c r="E1016" s="1"/>
  <c r="E1017" s="1"/>
  <c r="E1018" s="1"/>
  <c r="E1019" s="1"/>
  <c r="E1020" s="1"/>
  <c r="E1021" s="1"/>
  <c r="E1022"/>
  <c r="E1023"/>
  <c r="E1024" s="1"/>
  <c r="E1025" s="1"/>
  <c r="E1026" s="1"/>
  <c r="E1027" s="1"/>
  <c r="E1028" s="1"/>
  <c r="E1029" s="1"/>
  <c r="E1030" s="1"/>
  <c r="E1031" s="1"/>
  <c r="E1032"/>
  <c r="E1033"/>
  <c r="E1034" s="1"/>
  <c r="E1035" s="1"/>
  <c r="E1036" s="1"/>
  <c r="E1037" s="1"/>
  <c r="E1038" s="1"/>
  <c r="E1039" s="1"/>
  <c r="E1040" s="1"/>
  <c r="E1041" s="1"/>
  <c r="E1042"/>
  <c r="E1043"/>
  <c r="E1044" s="1"/>
  <c r="E1045" s="1"/>
  <c r="E1046" s="1"/>
  <c r="E1047" s="1"/>
  <c r="E1048" s="1"/>
  <c r="E1049" s="1"/>
  <c r="E1050" s="1"/>
  <c r="E1051" s="1"/>
  <c r="E1052"/>
  <c r="E1053"/>
  <c r="E1054" s="1"/>
  <c r="E1055" s="1"/>
  <c r="E1056" s="1"/>
  <c r="E1057" s="1"/>
  <c r="E1058" s="1"/>
  <c r="E1059" s="1"/>
  <c r="E1060" s="1"/>
  <c r="E1061" s="1"/>
  <c r="E1062"/>
  <c r="E1063"/>
  <c r="E1064" s="1"/>
  <c r="E1065" s="1"/>
  <c r="E1066" s="1"/>
  <c r="E1067" s="1"/>
  <c r="E1068" s="1"/>
  <c r="E1069" s="1"/>
  <c r="E1070" s="1"/>
  <c r="E1071" s="1"/>
  <c r="E1072"/>
  <c r="E1073"/>
  <c r="E1074" s="1"/>
  <c r="E1075" s="1"/>
  <c r="E1076" s="1"/>
  <c r="E1077" s="1"/>
  <c r="E1078" s="1"/>
  <c r="E1079" s="1"/>
  <c r="E1080" s="1"/>
  <c r="E1081" s="1"/>
  <c r="E1082"/>
  <c r="E1083"/>
  <c r="E1084" s="1"/>
  <c r="E1085" s="1"/>
  <c r="E1086" s="1"/>
  <c r="E1087" s="1"/>
  <c r="E1088" s="1"/>
  <c r="E1089" s="1"/>
  <c r="E1090" s="1"/>
  <c r="E1091" s="1"/>
  <c r="E1092"/>
  <c r="E1093"/>
  <c r="E1094" s="1"/>
  <c r="E1095" s="1"/>
  <c r="E1096" s="1"/>
  <c r="E1097" s="1"/>
  <c r="E1098" s="1"/>
  <c r="E1099" s="1"/>
  <c r="E1100" s="1"/>
  <c r="E1101" s="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2" i="1"/>
  <c r="E3" s="1"/>
  <c r="E4" s="1"/>
  <c r="E5" s="1"/>
  <c r="E6" s="1"/>
  <c r="E7" s="1"/>
  <c r="E8" s="1"/>
  <c r="E9" s="1"/>
  <c r="E10" s="1"/>
  <c r="E11" s="1"/>
  <c r="E12"/>
  <c r="E13" s="1"/>
  <c r="E14" s="1"/>
  <c r="E15" s="1"/>
  <c r="E16" s="1"/>
  <c r="E17" s="1"/>
  <c r="E18" s="1"/>
  <c r="E19" s="1"/>
  <c r="E20" s="1"/>
  <c r="E21" s="1"/>
  <c r="E22"/>
  <c r="E23" s="1"/>
  <c r="E24" s="1"/>
  <c r="E25" s="1"/>
  <c r="E26" s="1"/>
  <c r="E27" s="1"/>
  <c r="E28" s="1"/>
  <c r="E29" s="1"/>
  <c r="E30" s="1"/>
  <c r="E31" s="1"/>
  <c r="E32"/>
  <c r="E33" s="1"/>
  <c r="E34" s="1"/>
  <c r="E35" s="1"/>
  <c r="E36" s="1"/>
  <c r="E37" s="1"/>
  <c r="E38" s="1"/>
  <c r="E39" s="1"/>
  <c r="E40" s="1"/>
  <c r="E41" s="1"/>
  <c r="E42"/>
  <c r="E43" s="1"/>
  <c r="E44" s="1"/>
  <c r="E45" s="1"/>
  <c r="E46" s="1"/>
  <c r="E47" s="1"/>
  <c r="E48" s="1"/>
  <c r="E49" s="1"/>
  <c r="E50" s="1"/>
  <c r="E51" s="1"/>
  <c r="E52"/>
  <c r="E53" s="1"/>
  <c r="E54" s="1"/>
  <c r="E55" s="1"/>
  <c r="E56" s="1"/>
  <c r="E57" s="1"/>
  <c r="E58" s="1"/>
  <c r="E59" s="1"/>
  <c r="E60" s="1"/>
  <c r="E61" s="1"/>
  <c r="E62"/>
  <c r="E63" s="1"/>
  <c r="E64" s="1"/>
  <c r="E65" s="1"/>
  <c r="E66" s="1"/>
  <c r="E67" s="1"/>
  <c r="E68" s="1"/>
  <c r="E69" s="1"/>
  <c r="E70" s="1"/>
  <c r="E71" s="1"/>
  <c r="E72"/>
  <c r="E73" s="1"/>
  <c r="E74" s="1"/>
  <c r="E75" s="1"/>
  <c r="E76" s="1"/>
  <c r="E77" s="1"/>
  <c r="E78" s="1"/>
  <c r="E79" s="1"/>
  <c r="E80" s="1"/>
  <c r="E81" s="1"/>
  <c r="E82"/>
  <c r="E83" s="1"/>
  <c r="E84" s="1"/>
  <c r="E85" s="1"/>
  <c r="E86" s="1"/>
  <c r="E87" s="1"/>
  <c r="E88" s="1"/>
  <c r="E89" s="1"/>
  <c r="E90" s="1"/>
  <c r="E91" s="1"/>
  <c r="E92"/>
  <c r="E93" s="1"/>
  <c r="E94" s="1"/>
  <c r="E95" s="1"/>
  <c r="E96" s="1"/>
  <c r="E97" s="1"/>
  <c r="E98" s="1"/>
  <c r="E99" s="1"/>
  <c r="E100" s="1"/>
  <c r="E101" s="1"/>
  <c r="E102"/>
  <c r="E103" s="1"/>
  <c r="E104" s="1"/>
  <c r="E105" s="1"/>
  <c r="E106" s="1"/>
  <c r="E107" s="1"/>
  <c r="E108" s="1"/>
  <c r="E109" s="1"/>
  <c r="E110" s="1"/>
  <c r="E111" s="1"/>
  <c r="E112"/>
  <c r="E113" s="1"/>
  <c r="E114" s="1"/>
  <c r="E115" s="1"/>
  <c r="E116" s="1"/>
  <c r="E117" s="1"/>
  <c r="E118" s="1"/>
  <c r="E119" s="1"/>
  <c r="E120" s="1"/>
  <c r="E121" s="1"/>
  <c r="E122"/>
  <c r="E123" s="1"/>
  <c r="E124" s="1"/>
  <c r="E125" s="1"/>
  <c r="E126" s="1"/>
  <c r="E127" s="1"/>
  <c r="E128" s="1"/>
  <c r="E129" s="1"/>
  <c r="E130" s="1"/>
  <c r="E131" s="1"/>
  <c r="E132"/>
  <c r="E133" s="1"/>
  <c r="E134" s="1"/>
  <c r="E135" s="1"/>
  <c r="E136" s="1"/>
  <c r="E137" s="1"/>
  <c r="E138" s="1"/>
  <c r="E139" s="1"/>
  <c r="E140" s="1"/>
  <c r="E141" s="1"/>
  <c r="E142"/>
  <c r="E143" s="1"/>
  <c r="E144" s="1"/>
  <c r="E145" s="1"/>
  <c r="E146" s="1"/>
  <c r="E147" s="1"/>
  <c r="E148" s="1"/>
  <c r="E149" s="1"/>
  <c r="E150" s="1"/>
  <c r="E151" s="1"/>
  <c r="E152"/>
  <c r="E153" s="1"/>
  <c r="E154" s="1"/>
  <c r="E155" s="1"/>
  <c r="E156" s="1"/>
  <c r="E157" s="1"/>
  <c r="E158" s="1"/>
  <c r="E159" s="1"/>
  <c r="E160" s="1"/>
  <c r="E161" s="1"/>
  <c r="E162"/>
  <c r="E163" s="1"/>
  <c r="E164" s="1"/>
  <c r="E165" s="1"/>
  <c r="E166" s="1"/>
  <c r="E167" s="1"/>
  <c r="E168" s="1"/>
  <c r="E169" s="1"/>
  <c r="E170" s="1"/>
  <c r="E171" s="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 s="1"/>
  <c r="E354" s="1"/>
  <c r="E355" s="1"/>
  <c r="E356" s="1"/>
  <c r="E357" s="1"/>
  <c r="E358" s="1"/>
  <c r="E359" s="1"/>
  <c r="E360" s="1"/>
  <c r="E361" s="1"/>
  <c r="E362"/>
  <c r="E363" s="1"/>
  <c r="E364" s="1"/>
  <c r="E365" s="1"/>
  <c r="E366" s="1"/>
  <c r="E367" s="1"/>
  <c r="E368" s="1"/>
  <c r="E369" s="1"/>
  <c r="E370" s="1"/>
  <c r="E371" s="1"/>
  <c r="E372"/>
  <c r="E373" s="1"/>
  <c r="E374" s="1"/>
  <c r="E375" s="1"/>
  <c r="E376" s="1"/>
  <c r="E377" s="1"/>
  <c r="E378" s="1"/>
  <c r="E379" s="1"/>
  <c r="E380" s="1"/>
  <c r="E381" s="1"/>
  <c r="E382"/>
  <c r="E383" s="1"/>
  <c r="E384" s="1"/>
  <c r="E385" s="1"/>
  <c r="E386" s="1"/>
  <c r="E387" s="1"/>
  <c r="E388" s="1"/>
  <c r="E389" s="1"/>
  <c r="E390" s="1"/>
  <c r="E391" s="1"/>
  <c r="E392"/>
  <c r="E393" s="1"/>
  <c r="E394" s="1"/>
  <c r="E395" s="1"/>
  <c r="E396" s="1"/>
  <c r="E397" s="1"/>
  <c r="E398" s="1"/>
  <c r="E399" s="1"/>
  <c r="E400" s="1"/>
  <c r="E401" s="1"/>
  <c r="E402"/>
  <c r="E403" s="1"/>
  <c r="E404" s="1"/>
  <c r="E405" s="1"/>
  <c r="E406" s="1"/>
  <c r="E407" s="1"/>
  <c r="E408" s="1"/>
  <c r="E409" s="1"/>
  <c r="E410" s="1"/>
  <c r="E411" s="1"/>
  <c r="E412"/>
  <c r="E413" s="1"/>
  <c r="E414" s="1"/>
  <c r="E415" s="1"/>
  <c r="E416" s="1"/>
  <c r="E417" s="1"/>
  <c r="E418" s="1"/>
  <c r="E419" s="1"/>
  <c r="E420" s="1"/>
  <c r="E421" s="1"/>
  <c r="E422"/>
  <c r="E423" s="1"/>
  <c r="E424" s="1"/>
  <c r="E425" s="1"/>
  <c r="E426" s="1"/>
  <c r="E427" s="1"/>
  <c r="E428" s="1"/>
  <c r="E429" s="1"/>
  <c r="E430" s="1"/>
  <c r="E431" s="1"/>
  <c r="E432"/>
  <c r="E433" s="1"/>
  <c r="E434" s="1"/>
  <c r="E435" s="1"/>
  <c r="E436" s="1"/>
  <c r="E437" s="1"/>
  <c r="E438" s="1"/>
  <c r="E439" s="1"/>
  <c r="E440" s="1"/>
  <c r="E441" s="1"/>
  <c r="E442"/>
  <c r="E443" s="1"/>
  <c r="E444" s="1"/>
  <c r="E445" s="1"/>
  <c r="E446" s="1"/>
  <c r="E447" s="1"/>
  <c r="E448" s="1"/>
  <c r="E449" s="1"/>
  <c r="E450" s="1"/>
  <c r="E451" s="1"/>
  <c r="E452"/>
  <c r="E453" s="1"/>
  <c r="E454" s="1"/>
  <c r="E455" s="1"/>
  <c r="E456" s="1"/>
  <c r="E457" s="1"/>
  <c r="E458" s="1"/>
  <c r="E459" s="1"/>
  <c r="E460" s="1"/>
  <c r="E461" s="1"/>
  <c r="E462"/>
  <c r="E463" s="1"/>
  <c r="E464" s="1"/>
  <c r="E465" s="1"/>
  <c r="E466" s="1"/>
  <c r="E467" s="1"/>
  <c r="E468" s="1"/>
  <c r="E469" s="1"/>
  <c r="E470" s="1"/>
  <c r="E471" s="1"/>
  <c r="E472"/>
  <c r="E473" s="1"/>
  <c r="E474" s="1"/>
  <c r="E475" s="1"/>
  <c r="E476" s="1"/>
  <c r="E477" s="1"/>
  <c r="E478" s="1"/>
  <c r="E479" s="1"/>
  <c r="E480" s="1"/>
  <c r="E481" s="1"/>
  <c r="E482"/>
  <c r="E483" s="1"/>
  <c r="E484" s="1"/>
  <c r="E485" s="1"/>
  <c r="E486" s="1"/>
  <c r="E487" s="1"/>
  <c r="E488" s="1"/>
  <c r="E489" s="1"/>
  <c r="E490" s="1"/>
  <c r="E491" s="1"/>
  <c r="E492"/>
  <c r="E493" s="1"/>
  <c r="E494" s="1"/>
  <c r="E495" s="1"/>
  <c r="E496" s="1"/>
  <c r="E497" s="1"/>
  <c r="E498" s="1"/>
  <c r="E499" s="1"/>
  <c r="E500" s="1"/>
  <c r="E501" s="1"/>
  <c r="E502"/>
  <c r="E503" s="1"/>
  <c r="E504" s="1"/>
  <c r="E505" s="1"/>
  <c r="E506" s="1"/>
  <c r="E507" s="1"/>
  <c r="E508" s="1"/>
  <c r="E509" s="1"/>
  <c r="E510" s="1"/>
  <c r="E511" s="1"/>
  <c r="E512"/>
  <c r="E513" s="1"/>
  <c r="E514" s="1"/>
  <c r="E515" s="1"/>
  <c r="E516" s="1"/>
  <c r="E517" s="1"/>
  <c r="E518" s="1"/>
  <c r="E519" s="1"/>
  <c r="E520" s="1"/>
  <c r="E521" s="1"/>
  <c r="E522"/>
  <c r="E523" s="1"/>
  <c r="E524" s="1"/>
  <c r="E525" s="1"/>
  <c r="E526" s="1"/>
  <c r="E527" s="1"/>
  <c r="E528" s="1"/>
  <c r="E529" s="1"/>
  <c r="E530" s="1"/>
  <c r="E531" s="1"/>
  <c r="E532"/>
  <c r="E533" s="1"/>
  <c r="E534" s="1"/>
  <c r="E535" s="1"/>
  <c r="E536" s="1"/>
  <c r="E537" s="1"/>
  <c r="E538" s="1"/>
  <c r="E539" s="1"/>
  <c r="E540" s="1"/>
  <c r="E541" s="1"/>
  <c r="E542"/>
  <c r="E543" s="1"/>
  <c r="E544" s="1"/>
  <c r="E545" s="1"/>
  <c r="E546" s="1"/>
  <c r="E547" s="1"/>
  <c r="E548" s="1"/>
  <c r="E549" s="1"/>
  <c r="E550" s="1"/>
  <c r="E551" s="1"/>
  <c r="E552"/>
  <c r="E553" s="1"/>
  <c r="E554" s="1"/>
  <c r="E555" s="1"/>
  <c r="E556" s="1"/>
  <c r="E557" s="1"/>
  <c r="E558" s="1"/>
  <c r="E559" s="1"/>
  <c r="E560" s="1"/>
  <c r="E561" s="1"/>
  <c r="E562"/>
  <c r="E563" s="1"/>
  <c r="E564" s="1"/>
  <c r="E565" s="1"/>
  <c r="E566" s="1"/>
  <c r="E567" s="1"/>
  <c r="E568" s="1"/>
  <c r="E569" s="1"/>
  <c r="E570" s="1"/>
  <c r="E571" s="1"/>
  <c r="E572"/>
  <c r="E573" s="1"/>
  <c r="E574" s="1"/>
  <c r="E575" s="1"/>
  <c r="E576" s="1"/>
  <c r="E577" s="1"/>
  <c r="E578" s="1"/>
  <c r="E579" s="1"/>
  <c r="E580" s="1"/>
  <c r="E581" s="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L128" i="26"/>
  <c r="K128"/>
  <c r="J128"/>
  <c r="I128"/>
  <c r="L127"/>
  <c r="K127"/>
  <c r="J127"/>
  <c r="I127"/>
  <c r="L126"/>
  <c r="K126"/>
  <c r="J126"/>
  <c r="I126"/>
  <c r="L125"/>
  <c r="K125"/>
  <c r="J125"/>
  <c r="I125"/>
  <c r="L124"/>
  <c r="K124"/>
  <c r="J124"/>
  <c r="I124"/>
  <c r="L123"/>
  <c r="K123"/>
  <c r="J123"/>
  <c r="I123"/>
  <c r="L122"/>
  <c r="K122"/>
  <c r="J122"/>
  <c r="I122"/>
  <c r="L121"/>
  <c r="K121"/>
  <c r="J121"/>
  <c r="I121"/>
  <c r="L120"/>
  <c r="K120"/>
  <c r="J120"/>
  <c r="I120"/>
  <c r="L119"/>
  <c r="K119"/>
  <c r="J119"/>
  <c r="I119"/>
  <c r="L118"/>
  <c r="K118"/>
  <c r="J118"/>
  <c r="I118"/>
  <c r="L117"/>
  <c r="K117"/>
  <c r="J117"/>
  <c r="I117"/>
  <c r="L116"/>
  <c r="K116"/>
  <c r="J116"/>
  <c r="I116"/>
  <c r="L115"/>
  <c r="K115"/>
  <c r="J115"/>
  <c r="I115"/>
  <c r="L114"/>
  <c r="K114"/>
  <c r="J114"/>
  <c r="I114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  <c r="L6"/>
  <c r="K6"/>
  <c r="J6"/>
  <c r="I6"/>
  <c r="L5"/>
  <c r="K5"/>
  <c r="J5"/>
  <c r="I5"/>
  <c r="L4"/>
  <c r="K4"/>
  <c r="J4"/>
  <c r="I4"/>
  <c r="L3"/>
  <c r="K3"/>
  <c r="J3"/>
  <c r="I3"/>
  <c r="L2"/>
  <c r="K2"/>
  <c r="J2"/>
  <c r="I2"/>
  <c r="L113"/>
  <c r="K113"/>
  <c r="J113"/>
  <c r="I113"/>
  <c r="L111"/>
  <c r="K111"/>
  <c r="J111"/>
  <c r="I111"/>
  <c r="L109"/>
  <c r="K109"/>
  <c r="J109"/>
  <c r="I109"/>
  <c r="L107"/>
  <c r="K107"/>
  <c r="J107"/>
  <c r="I107"/>
  <c r="L105"/>
  <c r="K105"/>
  <c r="J105"/>
  <c r="I105"/>
  <c r="L103"/>
  <c r="K103"/>
  <c r="J103"/>
  <c r="I103"/>
  <c r="L101"/>
  <c r="K101"/>
  <c r="J101"/>
  <c r="I101"/>
  <c r="L99"/>
  <c r="K99"/>
  <c r="J99"/>
  <c r="I99"/>
  <c r="L97"/>
  <c r="K97"/>
  <c r="J97"/>
  <c r="I97"/>
  <c r="L95"/>
  <c r="K95"/>
  <c r="J95"/>
  <c r="I95"/>
  <c r="L93"/>
  <c r="K93"/>
  <c r="J93"/>
  <c r="I93"/>
  <c r="L91"/>
  <c r="K91"/>
  <c r="J91"/>
  <c r="I91"/>
  <c r="L89"/>
  <c r="K89"/>
  <c r="J89"/>
  <c r="I89"/>
  <c r="L158"/>
  <c r="K158"/>
  <c r="J158"/>
  <c r="I158"/>
  <c r="L156"/>
  <c r="K156"/>
  <c r="J156"/>
  <c r="I156"/>
  <c r="L154"/>
  <c r="K154"/>
  <c r="J154"/>
  <c r="I154"/>
  <c r="L152"/>
  <c r="K152"/>
  <c r="J152"/>
  <c r="I152"/>
  <c r="L150"/>
  <c r="K150"/>
  <c r="J150"/>
  <c r="I150"/>
  <c r="L148"/>
  <c r="K148"/>
  <c r="J148"/>
  <c r="I148"/>
  <c r="L146"/>
  <c r="K146"/>
  <c r="J146"/>
  <c r="I146"/>
  <c r="L144"/>
  <c r="K144"/>
  <c r="J144"/>
  <c r="I144"/>
  <c r="L142"/>
  <c r="K142"/>
  <c r="J142"/>
  <c r="I142"/>
  <c r="L140"/>
  <c r="K140"/>
  <c r="J140"/>
  <c r="I140"/>
  <c r="L138"/>
  <c r="K138"/>
  <c r="J138"/>
  <c r="I138"/>
  <c r="L136"/>
  <c r="K136"/>
  <c r="J136"/>
  <c r="I136"/>
  <c r="L134"/>
  <c r="K134"/>
  <c r="J134"/>
  <c r="I134"/>
  <c r="L132"/>
  <c r="K132"/>
  <c r="J132"/>
  <c r="I132"/>
  <c r="L130"/>
  <c r="K130"/>
  <c r="J130"/>
  <c r="I130"/>
  <c r="L87"/>
  <c r="K87"/>
  <c r="J87"/>
  <c r="I87"/>
  <c r="L86"/>
  <c r="K86"/>
  <c r="J86"/>
  <c r="I86"/>
  <c r="L85"/>
  <c r="K85"/>
  <c r="J85"/>
  <c r="I85"/>
  <c r="L84"/>
  <c r="K84"/>
  <c r="J84"/>
  <c r="I84"/>
  <c r="L80"/>
  <c r="K80"/>
  <c r="J80"/>
  <c r="I80"/>
  <c r="L78"/>
  <c r="K78"/>
  <c r="J78"/>
  <c r="I78"/>
  <c r="L76"/>
  <c r="K76"/>
  <c r="J76"/>
  <c r="I76"/>
  <c r="L74"/>
  <c r="K74"/>
  <c r="J74"/>
  <c r="I74"/>
  <c r="L72"/>
  <c r="K72"/>
  <c r="J72"/>
  <c r="I72"/>
  <c r="L70"/>
  <c r="K70"/>
  <c r="J70"/>
  <c r="I70"/>
  <c r="L68"/>
  <c r="K68"/>
  <c r="J68"/>
  <c r="I68"/>
  <c r="L66"/>
  <c r="K66"/>
  <c r="J66"/>
  <c r="I66"/>
  <c r="L64"/>
  <c r="K64"/>
  <c r="J64"/>
  <c r="I64"/>
  <c r="L62"/>
  <c r="K62"/>
  <c r="J62"/>
  <c r="I62"/>
  <c r="L60"/>
  <c r="K60"/>
  <c r="J60"/>
  <c r="I60"/>
  <c r="L58"/>
  <c r="K58"/>
  <c r="J58"/>
  <c r="I58"/>
  <c r="L56"/>
  <c r="K56"/>
  <c r="J56"/>
  <c r="I56"/>
  <c r="L54"/>
  <c r="K54"/>
  <c r="J54"/>
  <c r="I54"/>
  <c r="L52"/>
  <c r="K52"/>
  <c r="J52"/>
  <c r="I52"/>
  <c r="L50"/>
  <c r="K50"/>
  <c r="J50"/>
  <c r="I50"/>
  <c r="L48"/>
  <c r="K48"/>
  <c r="J48"/>
  <c r="I48"/>
  <c r="L46"/>
  <c r="K46"/>
  <c r="J46"/>
  <c r="I46"/>
  <c r="L44"/>
  <c r="K44"/>
  <c r="J44"/>
  <c r="I44"/>
  <c r="L42"/>
  <c r="K42"/>
  <c r="J42"/>
  <c r="I42"/>
  <c r="L40"/>
  <c r="K40"/>
  <c r="J40"/>
  <c r="I40"/>
  <c r="L38"/>
  <c r="K38"/>
  <c r="J38"/>
  <c r="I38"/>
  <c r="L36"/>
  <c r="K36"/>
  <c r="J36"/>
  <c r="I36"/>
  <c r="L34"/>
  <c r="K34"/>
  <c r="J34"/>
  <c r="I34"/>
  <c r="L32"/>
  <c r="K32"/>
  <c r="J32"/>
  <c r="I32"/>
  <c r="L30"/>
  <c r="K30"/>
  <c r="J30"/>
  <c r="I30"/>
  <c r="L28"/>
  <c r="K28"/>
  <c r="J28"/>
  <c r="I28"/>
  <c r="L26"/>
  <c r="K26"/>
  <c r="J26"/>
  <c r="I26"/>
  <c r="L24"/>
  <c r="K24"/>
  <c r="J24"/>
  <c r="I24"/>
  <c r="L22"/>
  <c r="K22"/>
  <c r="J22"/>
  <c r="I22"/>
  <c r="L112"/>
  <c r="K112"/>
  <c r="J112"/>
  <c r="I112"/>
  <c r="L110"/>
  <c r="K110"/>
  <c r="J110"/>
  <c r="I110"/>
  <c r="L108"/>
  <c r="K108"/>
  <c r="J108"/>
  <c r="I108"/>
  <c r="L106"/>
  <c r="K106"/>
  <c r="J106"/>
  <c r="I106"/>
  <c r="L104"/>
  <c r="K104"/>
  <c r="J104"/>
  <c r="I104"/>
  <c r="L102"/>
  <c r="K102"/>
  <c r="J102"/>
  <c r="I102"/>
  <c r="L100"/>
  <c r="K100"/>
  <c r="J100"/>
  <c r="I100"/>
  <c r="L98"/>
  <c r="K98"/>
  <c r="J98"/>
  <c r="I98"/>
  <c r="L96"/>
  <c r="K96"/>
  <c r="J96"/>
  <c r="I96"/>
  <c r="L94"/>
  <c r="K94"/>
  <c r="J94"/>
  <c r="I94"/>
  <c r="L92"/>
  <c r="K92"/>
  <c r="J92"/>
  <c r="I92"/>
  <c r="L90"/>
  <c r="K90"/>
  <c r="J90"/>
  <c r="I90"/>
  <c r="L88"/>
  <c r="K88"/>
  <c r="J88"/>
  <c r="I88"/>
  <c r="L157"/>
  <c r="K157"/>
  <c r="J157"/>
  <c r="I157"/>
  <c r="L155"/>
  <c r="K155"/>
  <c r="J155"/>
  <c r="I155"/>
  <c r="L153"/>
  <c r="K153"/>
  <c r="J153"/>
  <c r="I153"/>
  <c r="L151"/>
  <c r="K151"/>
  <c r="J151"/>
  <c r="I151"/>
  <c r="L149"/>
  <c r="K149"/>
  <c r="J149"/>
  <c r="I149"/>
  <c r="L147"/>
  <c r="K147"/>
  <c r="J147"/>
  <c r="I147"/>
  <c r="L145"/>
  <c r="K145"/>
  <c r="J145"/>
  <c r="I145"/>
  <c r="L143"/>
  <c r="K143"/>
  <c r="J143"/>
  <c r="I143"/>
  <c r="L141"/>
  <c r="K141"/>
  <c r="J141"/>
  <c r="I141"/>
  <c r="L139"/>
  <c r="K139"/>
  <c r="J139"/>
  <c r="I139"/>
  <c r="L137"/>
  <c r="K137"/>
  <c r="J137"/>
  <c r="I137"/>
  <c r="L135"/>
  <c r="K135"/>
  <c r="J135"/>
  <c r="I135"/>
  <c r="L133"/>
  <c r="K133"/>
  <c r="J133"/>
  <c r="I133"/>
  <c r="L131"/>
  <c r="K131"/>
  <c r="J131"/>
  <c r="I131"/>
  <c r="L129"/>
  <c r="K129"/>
  <c r="J129"/>
  <c r="I129"/>
  <c r="L83"/>
  <c r="K83"/>
  <c r="J83"/>
  <c r="I83"/>
  <c r="L82"/>
  <c r="K82"/>
  <c r="J82"/>
  <c r="I82"/>
  <c r="L81"/>
  <c r="K81"/>
  <c r="J81"/>
  <c r="I81"/>
  <c r="L79"/>
  <c r="K79"/>
  <c r="J79"/>
  <c r="I79"/>
  <c r="L77"/>
  <c r="K77"/>
  <c r="J77"/>
  <c r="I77"/>
  <c r="L75"/>
  <c r="K75"/>
  <c r="J75"/>
  <c r="I75"/>
  <c r="L73"/>
  <c r="K73"/>
  <c r="J73"/>
  <c r="I73"/>
  <c r="L71"/>
  <c r="K71"/>
  <c r="J71"/>
  <c r="I71"/>
  <c r="L69"/>
  <c r="K69"/>
  <c r="J69"/>
  <c r="I69"/>
  <c r="L67"/>
  <c r="K67"/>
  <c r="J67"/>
  <c r="I67"/>
  <c r="L65"/>
  <c r="K65"/>
  <c r="J65"/>
  <c r="I65"/>
  <c r="L63"/>
  <c r="K63"/>
  <c r="J63"/>
  <c r="I63"/>
  <c r="L61"/>
  <c r="K61"/>
  <c r="J61"/>
  <c r="I61"/>
  <c r="L59"/>
  <c r="K59"/>
  <c r="J59"/>
  <c r="I59"/>
  <c r="L57"/>
  <c r="K57"/>
  <c r="J57"/>
  <c r="I57"/>
  <c r="L55"/>
  <c r="K55"/>
  <c r="J55"/>
  <c r="I55"/>
  <c r="L53"/>
  <c r="K53"/>
  <c r="J53"/>
  <c r="I53"/>
  <c r="L51"/>
  <c r="K51"/>
  <c r="J51"/>
  <c r="I51"/>
  <c r="L49"/>
  <c r="K49"/>
  <c r="J49"/>
  <c r="I49"/>
  <c r="L47"/>
  <c r="K47"/>
  <c r="J47"/>
  <c r="I47"/>
  <c r="L45"/>
  <c r="K45"/>
  <c r="J45"/>
  <c r="I45"/>
  <c r="L43"/>
  <c r="K43"/>
  <c r="J43"/>
  <c r="I43"/>
  <c r="L41"/>
  <c r="K41"/>
  <c r="J41"/>
  <c r="I41"/>
  <c r="L39"/>
  <c r="K39"/>
  <c r="J39"/>
  <c r="I39"/>
  <c r="L37"/>
  <c r="K37"/>
  <c r="J37"/>
  <c r="I37"/>
  <c r="L35"/>
  <c r="K35"/>
  <c r="J35"/>
  <c r="I35"/>
  <c r="L33"/>
  <c r="K33"/>
  <c r="J33"/>
  <c r="I33"/>
  <c r="L31"/>
  <c r="K31"/>
  <c r="J31"/>
  <c r="I31"/>
  <c r="L29"/>
  <c r="K29"/>
  <c r="J29"/>
  <c r="I29"/>
  <c r="L27"/>
  <c r="K27"/>
  <c r="J27"/>
  <c r="I27"/>
  <c r="L25"/>
  <c r="K25"/>
  <c r="J25"/>
  <c r="I25"/>
  <c r="L23"/>
  <c r="K23"/>
  <c r="J23"/>
  <c r="I23"/>
  <c r="L21"/>
  <c r="K21"/>
  <c r="J21"/>
  <c r="I21"/>
  <c r="L25" i="27"/>
  <c r="K25"/>
  <c r="J25"/>
  <c r="I25"/>
  <c r="L24"/>
  <c r="K24"/>
  <c r="J24"/>
  <c r="I24"/>
  <c r="L23"/>
  <c r="K23"/>
  <c r="J23"/>
  <c r="I23"/>
  <c r="L22"/>
  <c r="K22"/>
  <c r="J22"/>
  <c r="I22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  <c r="L6"/>
  <c r="K6"/>
  <c r="J6"/>
  <c r="I6"/>
  <c r="L5"/>
  <c r="K5"/>
  <c r="J5"/>
  <c r="I5"/>
  <c r="L4"/>
  <c r="K4"/>
  <c r="J4"/>
  <c r="I4"/>
  <c r="L3"/>
  <c r="K3"/>
  <c r="J3"/>
  <c r="I3"/>
  <c r="L2"/>
  <c r="K2"/>
  <c r="J2"/>
  <c r="I2"/>
  <c r="L71"/>
  <c r="K71"/>
  <c r="J71"/>
  <c r="I71"/>
  <c r="L69"/>
  <c r="K69"/>
  <c r="J69"/>
  <c r="I69"/>
  <c r="L67"/>
  <c r="K67"/>
  <c r="J67"/>
  <c r="I67"/>
  <c r="L65"/>
  <c r="K65"/>
  <c r="J65"/>
  <c r="I65"/>
  <c r="L63"/>
  <c r="K63"/>
  <c r="J63"/>
  <c r="I63"/>
  <c r="L61"/>
  <c r="K61"/>
  <c r="J61"/>
  <c r="I61"/>
  <c r="L59"/>
  <c r="K59"/>
  <c r="J59"/>
  <c r="I59"/>
  <c r="L57"/>
  <c r="K57"/>
  <c r="J57"/>
  <c r="I57"/>
  <c r="L55"/>
  <c r="K55"/>
  <c r="J55"/>
  <c r="I55"/>
  <c r="L53"/>
  <c r="K53"/>
  <c r="J53"/>
  <c r="I53"/>
  <c r="L51"/>
  <c r="K51"/>
  <c r="J51"/>
  <c r="I51"/>
  <c r="L49"/>
  <c r="K49"/>
  <c r="J49"/>
  <c r="I49"/>
  <c r="L47"/>
  <c r="K47"/>
  <c r="J47"/>
  <c r="I47"/>
  <c r="L45"/>
  <c r="K45"/>
  <c r="J45"/>
  <c r="I45"/>
  <c r="L43"/>
  <c r="K43"/>
  <c r="J43"/>
  <c r="I43"/>
  <c r="L41"/>
  <c r="K41"/>
  <c r="J41"/>
  <c r="I41"/>
  <c r="L39"/>
  <c r="K39"/>
  <c r="J39"/>
  <c r="I39"/>
  <c r="L37"/>
  <c r="K37"/>
  <c r="J37"/>
  <c r="I37"/>
  <c r="L35"/>
  <c r="K35"/>
  <c r="J35"/>
  <c r="I35"/>
  <c r="L33"/>
  <c r="K33"/>
  <c r="J33"/>
  <c r="I33"/>
  <c r="L31"/>
  <c r="K31"/>
  <c r="J31"/>
  <c r="I31"/>
  <c r="L29"/>
  <c r="K29"/>
  <c r="J29"/>
  <c r="I29"/>
  <c r="L27"/>
  <c r="K27"/>
  <c r="J27"/>
  <c r="I27"/>
  <c r="L106"/>
  <c r="K106"/>
  <c r="J106"/>
  <c r="I106"/>
  <c r="L105"/>
  <c r="K105"/>
  <c r="J105"/>
  <c r="I105"/>
  <c r="L103"/>
  <c r="K103"/>
  <c r="J103"/>
  <c r="I103"/>
  <c r="L101"/>
  <c r="K101"/>
  <c r="J101"/>
  <c r="I101"/>
  <c r="L99"/>
  <c r="K99"/>
  <c r="J99"/>
  <c r="I99"/>
  <c r="L97"/>
  <c r="K97"/>
  <c r="J97"/>
  <c r="I97"/>
  <c r="L95"/>
  <c r="K95"/>
  <c r="J95"/>
  <c r="I95"/>
  <c r="L93"/>
  <c r="K93"/>
  <c r="J93"/>
  <c r="I93"/>
  <c r="L91"/>
  <c r="K91"/>
  <c r="J91"/>
  <c r="I91"/>
  <c r="L89"/>
  <c r="K89"/>
  <c r="J89"/>
  <c r="I89"/>
  <c r="L87"/>
  <c r="K87"/>
  <c r="J87"/>
  <c r="I87"/>
  <c r="L85"/>
  <c r="K85"/>
  <c r="J85"/>
  <c r="I85"/>
  <c r="L83"/>
  <c r="K83"/>
  <c r="J83"/>
  <c r="I83"/>
  <c r="L81"/>
  <c r="K81"/>
  <c r="J81"/>
  <c r="I81"/>
  <c r="L79"/>
  <c r="K79"/>
  <c r="J79"/>
  <c r="I79"/>
  <c r="L77"/>
  <c r="K77"/>
  <c r="J77"/>
  <c r="I77"/>
  <c r="L75"/>
  <c r="K75"/>
  <c r="J75"/>
  <c r="I75"/>
  <c r="L73"/>
  <c r="K73"/>
  <c r="J73"/>
  <c r="I73"/>
  <c r="L70"/>
  <c r="K70"/>
  <c r="J70"/>
  <c r="I70"/>
  <c r="L68"/>
  <c r="K68"/>
  <c r="J68"/>
  <c r="I68"/>
  <c r="L66"/>
  <c r="K66"/>
  <c r="J66"/>
  <c r="I66"/>
  <c r="L64"/>
  <c r="K64"/>
  <c r="J64"/>
  <c r="I64"/>
  <c r="L62"/>
  <c r="K62"/>
  <c r="J62"/>
  <c r="I62"/>
  <c r="L60"/>
  <c r="K60"/>
  <c r="J60"/>
  <c r="I60"/>
  <c r="L58"/>
  <c r="K58"/>
  <c r="J58"/>
  <c r="I58"/>
  <c r="L56"/>
  <c r="K56"/>
  <c r="J56"/>
  <c r="I56"/>
  <c r="L54"/>
  <c r="K54"/>
  <c r="J54"/>
  <c r="I54"/>
  <c r="L52"/>
  <c r="K52"/>
  <c r="J52"/>
  <c r="I52"/>
  <c r="L50"/>
  <c r="K50"/>
  <c r="J50"/>
  <c r="I50"/>
  <c r="L48"/>
  <c r="K48"/>
  <c r="J48"/>
  <c r="I48"/>
  <c r="L46"/>
  <c r="K46"/>
  <c r="J46"/>
  <c r="I46"/>
  <c r="L44"/>
  <c r="K44"/>
  <c r="J44"/>
  <c r="I44"/>
  <c r="L42"/>
  <c r="K42"/>
  <c r="J42"/>
  <c r="I42"/>
  <c r="L40"/>
  <c r="K40"/>
  <c r="J40"/>
  <c r="I40"/>
  <c r="L38"/>
  <c r="K38"/>
  <c r="J38"/>
  <c r="I38"/>
  <c r="L36"/>
  <c r="K36"/>
  <c r="J36"/>
  <c r="I36"/>
  <c r="L34"/>
  <c r="K34"/>
  <c r="J34"/>
  <c r="I34"/>
  <c r="L32"/>
  <c r="K32"/>
  <c r="J32"/>
  <c r="I32"/>
  <c r="L30"/>
  <c r="K30"/>
  <c r="J30"/>
  <c r="I30"/>
  <c r="L28"/>
  <c r="K28"/>
  <c r="J28"/>
  <c r="I28"/>
  <c r="L26"/>
  <c r="K26"/>
  <c r="J26"/>
  <c r="I26"/>
  <c r="L104"/>
  <c r="K104"/>
  <c r="J104"/>
  <c r="I104"/>
  <c r="L102"/>
  <c r="K102"/>
  <c r="J102"/>
  <c r="I102"/>
  <c r="L100"/>
  <c r="K100"/>
  <c r="J100"/>
  <c r="I100"/>
  <c r="L98"/>
  <c r="J98"/>
  <c r="I98"/>
  <c r="L96"/>
  <c r="J96"/>
  <c r="I96"/>
  <c r="L94"/>
  <c r="J94"/>
  <c r="I94"/>
  <c r="L92"/>
  <c r="J92"/>
  <c r="I92"/>
  <c r="L90"/>
  <c r="J90"/>
  <c r="I90"/>
  <c r="L88"/>
  <c r="J88"/>
  <c r="I88"/>
  <c r="L86"/>
  <c r="J86"/>
  <c r="I86"/>
  <c r="L84"/>
  <c r="J84"/>
  <c r="I84"/>
  <c r="L82"/>
  <c r="J82"/>
  <c r="I82"/>
  <c r="L80"/>
  <c r="K80"/>
  <c r="J80"/>
  <c r="I80"/>
  <c r="L78"/>
  <c r="K78"/>
  <c r="J78"/>
  <c r="I78"/>
  <c r="L76"/>
  <c r="K76"/>
  <c r="J76"/>
  <c r="I76"/>
  <c r="L74"/>
  <c r="K74"/>
  <c r="J74"/>
  <c r="I74"/>
  <c r="L72"/>
  <c r="K72"/>
  <c r="J72"/>
  <c r="I72"/>
  <c r="D2" i="25"/>
  <c r="D3"/>
  <c r="G162" i="23"/>
  <c r="H162"/>
  <c r="I162"/>
  <c r="J162"/>
  <c r="K162"/>
  <c r="L162"/>
  <c r="B169"/>
  <c r="B168"/>
  <c r="B165"/>
  <c r="F163"/>
  <c r="J161"/>
  <c r="L161" s="1"/>
  <c r="H161"/>
  <c r="I161" s="1"/>
  <c r="K161" s="1"/>
  <c r="G161"/>
  <c r="J160"/>
  <c r="L160" s="1"/>
  <c r="H160"/>
  <c r="I160" s="1"/>
  <c r="K160" s="1"/>
  <c r="G160"/>
  <c r="J159"/>
  <c r="L159" s="1"/>
  <c r="H159"/>
  <c r="I159" s="1"/>
  <c r="K159" s="1"/>
  <c r="G159"/>
  <c r="J158"/>
  <c r="L158" s="1"/>
  <c r="H158"/>
  <c r="I158" s="1"/>
  <c r="K158" s="1"/>
  <c r="G158"/>
  <c r="J157"/>
  <c r="L157" s="1"/>
  <c r="H157"/>
  <c r="I157" s="1"/>
  <c r="K157" s="1"/>
  <c r="G157"/>
  <c r="J156"/>
  <c r="L156" s="1"/>
  <c r="H156"/>
  <c r="I156" s="1"/>
  <c r="K156" s="1"/>
  <c r="G156"/>
  <c r="J155"/>
  <c r="L155" s="1"/>
  <c r="H155"/>
  <c r="I155" s="1"/>
  <c r="K155" s="1"/>
  <c r="G155"/>
  <c r="J154"/>
  <c r="L154" s="1"/>
  <c r="H154"/>
  <c r="I154" s="1"/>
  <c r="K154" s="1"/>
  <c r="G154"/>
  <c r="J153"/>
  <c r="L153" s="1"/>
  <c r="H153"/>
  <c r="I153" s="1"/>
  <c r="K153" s="1"/>
  <c r="G153"/>
  <c r="J152"/>
  <c r="L152" s="1"/>
  <c r="H152"/>
  <c r="I152" s="1"/>
  <c r="K152" s="1"/>
  <c r="G152"/>
  <c r="J151"/>
  <c r="L151" s="1"/>
  <c r="H151"/>
  <c r="I151" s="1"/>
  <c r="K151" s="1"/>
  <c r="G151"/>
  <c r="J150"/>
  <c r="L150" s="1"/>
  <c r="H150"/>
  <c r="I150" s="1"/>
  <c r="K150" s="1"/>
  <c r="G150"/>
  <c r="J149"/>
  <c r="L149" s="1"/>
  <c r="H149"/>
  <c r="I149" s="1"/>
  <c r="K149" s="1"/>
  <c r="G149"/>
  <c r="J148"/>
  <c r="L148" s="1"/>
  <c r="H148"/>
  <c r="I148" s="1"/>
  <c r="K148" s="1"/>
  <c r="G148"/>
  <c r="J147"/>
  <c r="L147" s="1"/>
  <c r="H147"/>
  <c r="I147" s="1"/>
  <c r="K147" s="1"/>
  <c r="G147"/>
  <c r="J146"/>
  <c r="L146" s="1"/>
  <c r="H146"/>
  <c r="I146" s="1"/>
  <c r="K146" s="1"/>
  <c r="G146"/>
  <c r="J145"/>
  <c r="L145" s="1"/>
  <c r="H145"/>
  <c r="I145" s="1"/>
  <c r="K145" s="1"/>
  <c r="G145"/>
  <c r="J144"/>
  <c r="L144" s="1"/>
  <c r="H144"/>
  <c r="I144" s="1"/>
  <c r="K144" s="1"/>
  <c r="G144"/>
  <c r="J143"/>
  <c r="L143" s="1"/>
  <c r="H143"/>
  <c r="I143" s="1"/>
  <c r="K143" s="1"/>
  <c r="G143"/>
  <c r="J142"/>
  <c r="L142" s="1"/>
  <c r="H142"/>
  <c r="I142" s="1"/>
  <c r="K142" s="1"/>
  <c r="G142"/>
  <c r="J141"/>
  <c r="L141" s="1"/>
  <c r="H141"/>
  <c r="I141" s="1"/>
  <c r="K141" s="1"/>
  <c r="G141"/>
  <c r="J140"/>
  <c r="L140" s="1"/>
  <c r="H140"/>
  <c r="I140" s="1"/>
  <c r="K140" s="1"/>
  <c r="G140"/>
  <c r="J139"/>
  <c r="L139" s="1"/>
  <c r="H139"/>
  <c r="I139" s="1"/>
  <c r="K139" s="1"/>
  <c r="G139"/>
  <c r="J138"/>
  <c r="L138" s="1"/>
  <c r="H138"/>
  <c r="I138" s="1"/>
  <c r="K138" s="1"/>
  <c r="G138"/>
  <c r="J137"/>
  <c r="L137" s="1"/>
  <c r="H137"/>
  <c r="I137" s="1"/>
  <c r="K137" s="1"/>
  <c r="G137"/>
  <c r="J136"/>
  <c r="L136" s="1"/>
  <c r="H136"/>
  <c r="I136" s="1"/>
  <c r="K136" s="1"/>
  <c r="G136"/>
  <c r="J135"/>
  <c r="L135" s="1"/>
  <c r="H135"/>
  <c r="I135" s="1"/>
  <c r="K135" s="1"/>
  <c r="G135"/>
  <c r="J134"/>
  <c r="L134" s="1"/>
  <c r="H134"/>
  <c r="I134" s="1"/>
  <c r="K134" s="1"/>
  <c r="G134"/>
  <c r="J133"/>
  <c r="L133" s="1"/>
  <c r="H133"/>
  <c r="I133" s="1"/>
  <c r="K133" s="1"/>
  <c r="G133"/>
  <c r="J132"/>
  <c r="L132" s="1"/>
  <c r="H132"/>
  <c r="I132" s="1"/>
  <c r="K132" s="1"/>
  <c r="G132"/>
  <c r="J131"/>
  <c r="L131" s="1"/>
  <c r="H131"/>
  <c r="I131" s="1"/>
  <c r="K131" s="1"/>
  <c r="G131"/>
  <c r="J130"/>
  <c r="L130" s="1"/>
  <c r="H130"/>
  <c r="I130" s="1"/>
  <c r="K130" s="1"/>
  <c r="G130"/>
  <c r="J129"/>
  <c r="L129" s="1"/>
  <c r="H129"/>
  <c r="I129" s="1"/>
  <c r="K129" s="1"/>
  <c r="G129"/>
  <c r="J128"/>
  <c r="L128" s="1"/>
  <c r="H128"/>
  <c r="I128" s="1"/>
  <c r="K128" s="1"/>
  <c r="G128"/>
  <c r="J127"/>
  <c r="L127" s="1"/>
  <c r="H127"/>
  <c r="I127" s="1"/>
  <c r="K127" s="1"/>
  <c r="G127"/>
  <c r="J126"/>
  <c r="L126" s="1"/>
  <c r="H126"/>
  <c r="I126" s="1"/>
  <c r="K126" s="1"/>
  <c r="G126"/>
  <c r="J125"/>
  <c r="L125" s="1"/>
  <c r="H125"/>
  <c r="I125" s="1"/>
  <c r="K125" s="1"/>
  <c r="G125"/>
  <c r="J124"/>
  <c r="L124" s="1"/>
  <c r="H124"/>
  <c r="I124" s="1"/>
  <c r="K124" s="1"/>
  <c r="G124"/>
  <c r="J123"/>
  <c r="L123" s="1"/>
  <c r="H123"/>
  <c r="I123" s="1"/>
  <c r="K123" s="1"/>
  <c r="G123"/>
  <c r="J122"/>
  <c r="L122" s="1"/>
  <c r="H122"/>
  <c r="I122" s="1"/>
  <c r="K122" s="1"/>
  <c r="G122"/>
  <c r="J121"/>
  <c r="L121" s="1"/>
  <c r="H121"/>
  <c r="I121" s="1"/>
  <c r="K121" s="1"/>
  <c r="G121"/>
  <c r="J120"/>
  <c r="L120" s="1"/>
  <c r="H120"/>
  <c r="I120" s="1"/>
  <c r="K120" s="1"/>
  <c r="G120"/>
  <c r="J119"/>
  <c r="L119" s="1"/>
  <c r="H119"/>
  <c r="I119" s="1"/>
  <c r="K119" s="1"/>
  <c r="G119"/>
  <c r="J118"/>
  <c r="L118" s="1"/>
  <c r="H118"/>
  <c r="I118" s="1"/>
  <c r="K118" s="1"/>
  <c r="G118"/>
  <c r="J117"/>
  <c r="L117" s="1"/>
  <c r="H117"/>
  <c r="I117" s="1"/>
  <c r="K117" s="1"/>
  <c r="G117"/>
  <c r="J116"/>
  <c r="L116" s="1"/>
  <c r="H116"/>
  <c r="I116" s="1"/>
  <c r="K116" s="1"/>
  <c r="G116"/>
  <c r="J115"/>
  <c r="L115" s="1"/>
  <c r="H115"/>
  <c r="I115" s="1"/>
  <c r="K115" s="1"/>
  <c r="G115"/>
  <c r="J114"/>
  <c r="L114" s="1"/>
  <c r="H114"/>
  <c r="I114" s="1"/>
  <c r="K114" s="1"/>
  <c r="G114"/>
  <c r="J113"/>
  <c r="L113" s="1"/>
  <c r="H113"/>
  <c r="I113" s="1"/>
  <c r="K113" s="1"/>
  <c r="G113"/>
  <c r="J112"/>
  <c r="L112" s="1"/>
  <c r="H112"/>
  <c r="I112" s="1"/>
  <c r="K112" s="1"/>
  <c r="G112"/>
  <c r="J111"/>
  <c r="L111" s="1"/>
  <c r="H111"/>
  <c r="I111" s="1"/>
  <c r="K111" s="1"/>
  <c r="G111"/>
  <c r="J110"/>
  <c r="L110" s="1"/>
  <c r="H110"/>
  <c r="I110" s="1"/>
  <c r="K110" s="1"/>
  <c r="G110"/>
  <c r="J109"/>
  <c r="L109" s="1"/>
  <c r="H109"/>
  <c r="I109" s="1"/>
  <c r="K109" s="1"/>
  <c r="G109"/>
  <c r="J108"/>
  <c r="L108" s="1"/>
  <c r="H108"/>
  <c r="I108" s="1"/>
  <c r="K108" s="1"/>
  <c r="G108"/>
  <c r="J107"/>
  <c r="L107" s="1"/>
  <c r="H107"/>
  <c r="I107" s="1"/>
  <c r="K107" s="1"/>
  <c r="G107"/>
  <c r="J106"/>
  <c r="L106" s="1"/>
  <c r="H106"/>
  <c r="I106" s="1"/>
  <c r="K106" s="1"/>
  <c r="G106"/>
  <c r="J105"/>
  <c r="L105" s="1"/>
  <c r="H105"/>
  <c r="I105" s="1"/>
  <c r="K105" s="1"/>
  <c r="G105"/>
  <c r="J104"/>
  <c r="L104" s="1"/>
  <c r="H104"/>
  <c r="I104" s="1"/>
  <c r="K104" s="1"/>
  <c r="G104"/>
  <c r="J103"/>
  <c r="L103" s="1"/>
  <c r="H103"/>
  <c r="I103" s="1"/>
  <c r="K103" s="1"/>
  <c r="G103"/>
  <c r="J102"/>
  <c r="L102" s="1"/>
  <c r="H102"/>
  <c r="I102" s="1"/>
  <c r="K102" s="1"/>
  <c r="G102"/>
  <c r="J101"/>
  <c r="L101" s="1"/>
  <c r="H101"/>
  <c r="I101" s="1"/>
  <c r="K101" s="1"/>
  <c r="G101"/>
  <c r="J100"/>
  <c r="L100" s="1"/>
  <c r="H100"/>
  <c r="I100" s="1"/>
  <c r="K100" s="1"/>
  <c r="G100"/>
  <c r="J99"/>
  <c r="L99" s="1"/>
  <c r="H99"/>
  <c r="I99" s="1"/>
  <c r="K99" s="1"/>
  <c r="G99"/>
  <c r="J98"/>
  <c r="L98" s="1"/>
  <c r="H98"/>
  <c r="I98" s="1"/>
  <c r="K98" s="1"/>
  <c r="G98"/>
  <c r="J97"/>
  <c r="L97" s="1"/>
  <c r="H97"/>
  <c r="I97" s="1"/>
  <c r="K97" s="1"/>
  <c r="G97"/>
  <c r="J96"/>
  <c r="L96" s="1"/>
  <c r="H96"/>
  <c r="I96" s="1"/>
  <c r="K96" s="1"/>
  <c r="G96"/>
  <c r="J95"/>
  <c r="L95" s="1"/>
  <c r="H95"/>
  <c r="I95" s="1"/>
  <c r="K95" s="1"/>
  <c r="G95"/>
  <c r="J94"/>
  <c r="L94" s="1"/>
  <c r="H94"/>
  <c r="I94" s="1"/>
  <c r="K94" s="1"/>
  <c r="G94"/>
  <c r="J93"/>
  <c r="L93" s="1"/>
  <c r="H93"/>
  <c r="I93" s="1"/>
  <c r="K93" s="1"/>
  <c r="G93"/>
  <c r="J92"/>
  <c r="L92" s="1"/>
  <c r="H92"/>
  <c r="I92" s="1"/>
  <c r="K92" s="1"/>
  <c r="G92"/>
  <c r="J91"/>
  <c r="L91" s="1"/>
  <c r="H91"/>
  <c r="I91" s="1"/>
  <c r="K91" s="1"/>
  <c r="G91"/>
  <c r="J90"/>
  <c r="L90" s="1"/>
  <c r="H90"/>
  <c r="I90" s="1"/>
  <c r="K90" s="1"/>
  <c r="G90"/>
  <c r="J89"/>
  <c r="L89" s="1"/>
  <c r="H89"/>
  <c r="I89" s="1"/>
  <c r="K89" s="1"/>
  <c r="G89"/>
  <c r="J88"/>
  <c r="L88" s="1"/>
  <c r="H88"/>
  <c r="I88" s="1"/>
  <c r="K88" s="1"/>
  <c r="G88"/>
  <c r="J87"/>
  <c r="L87" s="1"/>
  <c r="H87"/>
  <c r="I87" s="1"/>
  <c r="K87" s="1"/>
  <c r="G87"/>
  <c r="J86"/>
  <c r="L86" s="1"/>
  <c r="H86"/>
  <c r="I86" s="1"/>
  <c r="K86" s="1"/>
  <c r="G86"/>
  <c r="J85"/>
  <c r="L85" s="1"/>
  <c r="H85"/>
  <c r="I85" s="1"/>
  <c r="K85" s="1"/>
  <c r="G85"/>
  <c r="J84"/>
  <c r="L84" s="1"/>
  <c r="H84"/>
  <c r="I84" s="1"/>
  <c r="K84" s="1"/>
  <c r="G84"/>
  <c r="J83"/>
  <c r="L83" s="1"/>
  <c r="H83"/>
  <c r="I83" s="1"/>
  <c r="K83" s="1"/>
  <c r="G83"/>
  <c r="J82"/>
  <c r="L82" s="1"/>
  <c r="H82"/>
  <c r="I82" s="1"/>
  <c r="K82" s="1"/>
  <c r="G82"/>
  <c r="J81"/>
  <c r="L81" s="1"/>
  <c r="H81"/>
  <c r="I81" s="1"/>
  <c r="K81" s="1"/>
  <c r="G81"/>
  <c r="J80"/>
  <c r="L80" s="1"/>
  <c r="H80"/>
  <c r="I80" s="1"/>
  <c r="K80" s="1"/>
  <c r="G80"/>
  <c r="J79"/>
  <c r="L79" s="1"/>
  <c r="H79"/>
  <c r="I79" s="1"/>
  <c r="K79" s="1"/>
  <c r="G79"/>
  <c r="J78"/>
  <c r="L78" s="1"/>
  <c r="H78"/>
  <c r="I78" s="1"/>
  <c r="K78" s="1"/>
  <c r="G78"/>
  <c r="J77"/>
  <c r="L77" s="1"/>
  <c r="H77"/>
  <c r="I77" s="1"/>
  <c r="K77" s="1"/>
  <c r="G77"/>
  <c r="J76"/>
  <c r="L76" s="1"/>
  <c r="H76"/>
  <c r="I76" s="1"/>
  <c r="K76" s="1"/>
  <c r="G76"/>
  <c r="J75"/>
  <c r="L75" s="1"/>
  <c r="H75"/>
  <c r="I75" s="1"/>
  <c r="K75" s="1"/>
  <c r="G75"/>
  <c r="J74"/>
  <c r="L74" s="1"/>
  <c r="H74"/>
  <c r="I74" s="1"/>
  <c r="K74" s="1"/>
  <c r="G74"/>
  <c r="J73"/>
  <c r="L73" s="1"/>
  <c r="H73"/>
  <c r="I73" s="1"/>
  <c r="K73" s="1"/>
  <c r="G73"/>
  <c r="J72"/>
  <c r="L72" s="1"/>
  <c r="H72"/>
  <c r="I72" s="1"/>
  <c r="K72" s="1"/>
  <c r="G72"/>
  <c r="J71"/>
  <c r="L71" s="1"/>
  <c r="H71"/>
  <c r="I71" s="1"/>
  <c r="K71" s="1"/>
  <c r="G71"/>
  <c r="J70"/>
  <c r="L70" s="1"/>
  <c r="H70"/>
  <c r="I70" s="1"/>
  <c r="K70" s="1"/>
  <c r="G70"/>
  <c r="J69"/>
  <c r="L69" s="1"/>
  <c r="H69"/>
  <c r="I69" s="1"/>
  <c r="K69" s="1"/>
  <c r="G69"/>
  <c r="J68"/>
  <c r="L68" s="1"/>
  <c r="H68"/>
  <c r="I68" s="1"/>
  <c r="K68" s="1"/>
  <c r="G68"/>
  <c r="J67"/>
  <c r="L67" s="1"/>
  <c r="H67"/>
  <c r="I67" s="1"/>
  <c r="K67" s="1"/>
  <c r="G67"/>
  <c r="H66"/>
  <c r="I66" s="1"/>
  <c r="K66" s="1"/>
  <c r="G66"/>
  <c r="I65"/>
  <c r="K65" s="1"/>
  <c r="H65"/>
  <c r="J65" s="1"/>
  <c r="L65" s="1"/>
  <c r="G65"/>
  <c r="I64"/>
  <c r="K64" s="1"/>
  <c r="H64"/>
  <c r="J64" s="1"/>
  <c r="L64" s="1"/>
  <c r="G64"/>
  <c r="I63"/>
  <c r="K63" s="1"/>
  <c r="H63"/>
  <c r="J63" s="1"/>
  <c r="L63" s="1"/>
  <c r="G63"/>
  <c r="I62"/>
  <c r="K62" s="1"/>
  <c r="H62"/>
  <c r="J62" s="1"/>
  <c r="L62" s="1"/>
  <c r="G62"/>
  <c r="I61"/>
  <c r="K61" s="1"/>
  <c r="H61"/>
  <c r="J61" s="1"/>
  <c r="L61" s="1"/>
  <c r="G61"/>
  <c r="I60"/>
  <c r="K60" s="1"/>
  <c r="H60"/>
  <c r="J60" s="1"/>
  <c r="L60" s="1"/>
  <c r="G60"/>
  <c r="I59"/>
  <c r="K59" s="1"/>
  <c r="H59"/>
  <c r="J59" s="1"/>
  <c r="L59" s="1"/>
  <c r="G59"/>
  <c r="I58"/>
  <c r="K58" s="1"/>
  <c r="H58"/>
  <c r="J58" s="1"/>
  <c r="L58" s="1"/>
  <c r="G58"/>
  <c r="I57"/>
  <c r="K57" s="1"/>
  <c r="H57"/>
  <c r="J57" s="1"/>
  <c r="L57" s="1"/>
  <c r="G57"/>
  <c r="I56"/>
  <c r="K56" s="1"/>
  <c r="H56"/>
  <c r="J56" s="1"/>
  <c r="L56" s="1"/>
  <c r="G56"/>
  <c r="I55"/>
  <c r="K55" s="1"/>
  <c r="H55"/>
  <c r="J55" s="1"/>
  <c r="L55" s="1"/>
  <c r="G55"/>
  <c r="I54"/>
  <c r="K54" s="1"/>
  <c r="H54"/>
  <c r="J54" s="1"/>
  <c r="L54" s="1"/>
  <c r="G54"/>
  <c r="I53"/>
  <c r="K53" s="1"/>
  <c r="H53"/>
  <c r="J53" s="1"/>
  <c r="L53" s="1"/>
  <c r="G53"/>
  <c r="I52"/>
  <c r="K52" s="1"/>
  <c r="H52"/>
  <c r="J52" s="1"/>
  <c r="L52" s="1"/>
  <c r="G52"/>
  <c r="I51"/>
  <c r="K51" s="1"/>
  <c r="H51"/>
  <c r="J51" s="1"/>
  <c r="L51" s="1"/>
  <c r="G51"/>
  <c r="I50"/>
  <c r="K50" s="1"/>
  <c r="H50"/>
  <c r="J50" s="1"/>
  <c r="L50" s="1"/>
  <c r="G50"/>
  <c r="I49"/>
  <c r="K49" s="1"/>
  <c r="H49"/>
  <c r="J49" s="1"/>
  <c r="L49" s="1"/>
  <c r="G49"/>
  <c r="I48"/>
  <c r="K48" s="1"/>
  <c r="H48"/>
  <c r="J48" s="1"/>
  <c r="L48" s="1"/>
  <c r="G48"/>
  <c r="I47"/>
  <c r="K47" s="1"/>
  <c r="H47"/>
  <c r="J47" s="1"/>
  <c r="L47" s="1"/>
  <c r="G47"/>
  <c r="I46"/>
  <c r="K46" s="1"/>
  <c r="H46"/>
  <c r="J46" s="1"/>
  <c r="L46" s="1"/>
  <c r="G46"/>
  <c r="I45"/>
  <c r="K45" s="1"/>
  <c r="H45"/>
  <c r="J45" s="1"/>
  <c r="L45" s="1"/>
  <c r="G45"/>
  <c r="I44"/>
  <c r="K44" s="1"/>
  <c r="H44"/>
  <c r="J44" s="1"/>
  <c r="L44" s="1"/>
  <c r="G44"/>
  <c r="I43"/>
  <c r="K43" s="1"/>
  <c r="H43"/>
  <c r="J43" s="1"/>
  <c r="L43" s="1"/>
  <c r="G43"/>
  <c r="I42"/>
  <c r="K42" s="1"/>
  <c r="H42"/>
  <c r="J42" s="1"/>
  <c r="L42" s="1"/>
  <c r="G42"/>
  <c r="I41"/>
  <c r="K41" s="1"/>
  <c r="H41"/>
  <c r="J41" s="1"/>
  <c r="L41" s="1"/>
  <c r="G41"/>
  <c r="I40"/>
  <c r="K40" s="1"/>
  <c r="H40"/>
  <c r="J40" s="1"/>
  <c r="L40" s="1"/>
  <c r="G40"/>
  <c r="I39"/>
  <c r="K39" s="1"/>
  <c r="H39"/>
  <c r="J39" s="1"/>
  <c r="L39" s="1"/>
  <c r="G39"/>
  <c r="I38"/>
  <c r="K38" s="1"/>
  <c r="H38"/>
  <c r="J38" s="1"/>
  <c r="L38" s="1"/>
  <c r="G38"/>
  <c r="I37"/>
  <c r="K37" s="1"/>
  <c r="H37"/>
  <c r="J37" s="1"/>
  <c r="L37" s="1"/>
  <c r="G37"/>
  <c r="I36"/>
  <c r="K36" s="1"/>
  <c r="H36"/>
  <c r="J36" s="1"/>
  <c r="L36" s="1"/>
  <c r="G36"/>
  <c r="I35"/>
  <c r="K35" s="1"/>
  <c r="H35"/>
  <c r="J35" s="1"/>
  <c r="L35" s="1"/>
  <c r="G35"/>
  <c r="I34"/>
  <c r="K34" s="1"/>
  <c r="H34"/>
  <c r="J34" s="1"/>
  <c r="L34" s="1"/>
  <c r="G34"/>
  <c r="I33"/>
  <c r="K33" s="1"/>
  <c r="H33"/>
  <c r="J33" s="1"/>
  <c r="L33" s="1"/>
  <c r="G33"/>
  <c r="I32"/>
  <c r="K32" s="1"/>
  <c r="H32"/>
  <c r="J32" s="1"/>
  <c r="L32" s="1"/>
  <c r="G32"/>
  <c r="I31"/>
  <c r="K31" s="1"/>
  <c r="H31"/>
  <c r="J31" s="1"/>
  <c r="L31" s="1"/>
  <c r="G31"/>
  <c r="I30"/>
  <c r="K30" s="1"/>
  <c r="H30"/>
  <c r="J30" s="1"/>
  <c r="L30" s="1"/>
  <c r="G30"/>
  <c r="I29"/>
  <c r="K29" s="1"/>
  <c r="H29"/>
  <c r="J29" s="1"/>
  <c r="L29" s="1"/>
  <c r="G29"/>
  <c r="I28"/>
  <c r="K28" s="1"/>
  <c r="H28"/>
  <c r="J28" s="1"/>
  <c r="L28" s="1"/>
  <c r="G28"/>
  <c r="I27"/>
  <c r="K27" s="1"/>
  <c r="H27"/>
  <c r="J27" s="1"/>
  <c r="L27" s="1"/>
  <c r="G27"/>
  <c r="I26"/>
  <c r="K26" s="1"/>
  <c r="H26"/>
  <c r="J26" s="1"/>
  <c r="L26" s="1"/>
  <c r="G26"/>
  <c r="I25"/>
  <c r="K25" s="1"/>
  <c r="H25"/>
  <c r="J25" s="1"/>
  <c r="L25" s="1"/>
  <c r="G25"/>
  <c r="I24"/>
  <c r="K24" s="1"/>
  <c r="H24"/>
  <c r="J24" s="1"/>
  <c r="L24" s="1"/>
  <c r="G24"/>
  <c r="I23"/>
  <c r="K23" s="1"/>
  <c r="H23"/>
  <c r="J23" s="1"/>
  <c r="L23" s="1"/>
  <c r="G23"/>
  <c r="I22"/>
  <c r="K22" s="1"/>
  <c r="H22"/>
  <c r="J22" s="1"/>
  <c r="L22" s="1"/>
  <c r="G22"/>
  <c r="I21"/>
  <c r="K21" s="1"/>
  <c r="H21"/>
  <c r="J21" s="1"/>
  <c r="L21" s="1"/>
  <c r="G21"/>
  <c r="I20"/>
  <c r="K20" s="1"/>
  <c r="H20"/>
  <c r="J20" s="1"/>
  <c r="L20" s="1"/>
  <c r="G20"/>
  <c r="I19"/>
  <c r="K19" s="1"/>
  <c r="H19"/>
  <c r="J19" s="1"/>
  <c r="L19" s="1"/>
  <c r="G19"/>
  <c r="I18"/>
  <c r="K18" s="1"/>
  <c r="H18"/>
  <c r="J18" s="1"/>
  <c r="L18" s="1"/>
  <c r="G18"/>
  <c r="I17"/>
  <c r="K17" s="1"/>
  <c r="H17"/>
  <c r="J17" s="1"/>
  <c r="L17" s="1"/>
  <c r="G17"/>
  <c r="I16"/>
  <c r="K16" s="1"/>
  <c r="H16"/>
  <c r="J16" s="1"/>
  <c r="L16" s="1"/>
  <c r="G16"/>
  <c r="I15"/>
  <c r="K15" s="1"/>
  <c r="H15"/>
  <c r="J15" s="1"/>
  <c r="L15" s="1"/>
  <c r="G15"/>
  <c r="I14"/>
  <c r="K14" s="1"/>
  <c r="H14"/>
  <c r="J14" s="1"/>
  <c r="L14" s="1"/>
  <c r="G14"/>
  <c r="I13"/>
  <c r="K13" s="1"/>
  <c r="H13"/>
  <c r="J13" s="1"/>
  <c r="L13" s="1"/>
  <c r="G13"/>
  <c r="I12"/>
  <c r="K12" s="1"/>
  <c r="H12"/>
  <c r="J12" s="1"/>
  <c r="L12" s="1"/>
  <c r="G12"/>
  <c r="I11"/>
  <c r="K11" s="1"/>
  <c r="H11"/>
  <c r="J11" s="1"/>
  <c r="L11" s="1"/>
  <c r="G11"/>
  <c r="I10"/>
  <c r="K10" s="1"/>
  <c r="H10"/>
  <c r="J10" s="1"/>
  <c r="L10" s="1"/>
  <c r="G10"/>
  <c r="I9"/>
  <c r="K9" s="1"/>
  <c r="H9"/>
  <c r="J9" s="1"/>
  <c r="L9" s="1"/>
  <c r="G9"/>
  <c r="I8"/>
  <c r="K8" s="1"/>
  <c r="H8"/>
  <c r="J8" s="1"/>
  <c r="L8" s="1"/>
  <c r="G8"/>
  <c r="I7"/>
  <c r="K7" s="1"/>
  <c r="H7"/>
  <c r="J7" s="1"/>
  <c r="L7" s="1"/>
  <c r="G7"/>
  <c r="I6"/>
  <c r="K6" s="1"/>
  <c r="H6"/>
  <c r="J6" s="1"/>
  <c r="L6" s="1"/>
  <c r="G6"/>
  <c r="I5"/>
  <c r="K5" s="1"/>
  <c r="H5"/>
  <c r="J5" s="1"/>
  <c r="L5" s="1"/>
  <c r="G5"/>
  <c r="I4"/>
  <c r="K4" s="1"/>
  <c r="H4"/>
  <c r="J4" s="1"/>
  <c r="L4" s="1"/>
  <c r="G4"/>
  <c r="I3"/>
  <c r="K3" s="1"/>
  <c r="H3"/>
  <c r="J3" s="1"/>
  <c r="L3" s="1"/>
  <c r="G3"/>
  <c r="I2"/>
  <c r="H2"/>
  <c r="G2"/>
  <c r="B169" i="22"/>
  <c r="B168"/>
  <c r="B165"/>
  <c r="F162"/>
  <c r="J161"/>
  <c r="L161" s="1"/>
  <c r="H161"/>
  <c r="I161" s="1"/>
  <c r="K161" s="1"/>
  <c r="G161"/>
  <c r="J160"/>
  <c r="L160" s="1"/>
  <c r="H160"/>
  <c r="I160" s="1"/>
  <c r="K160" s="1"/>
  <c r="G160"/>
  <c r="J159"/>
  <c r="L159" s="1"/>
  <c r="H159"/>
  <c r="I159" s="1"/>
  <c r="K159" s="1"/>
  <c r="G159"/>
  <c r="J158"/>
  <c r="L158" s="1"/>
  <c r="H158"/>
  <c r="I158" s="1"/>
  <c r="K158" s="1"/>
  <c r="G158"/>
  <c r="J157"/>
  <c r="L157" s="1"/>
  <c r="H157"/>
  <c r="I157" s="1"/>
  <c r="K157" s="1"/>
  <c r="G157"/>
  <c r="J156"/>
  <c r="L156" s="1"/>
  <c r="H156"/>
  <c r="I156" s="1"/>
  <c r="K156" s="1"/>
  <c r="G156"/>
  <c r="J155"/>
  <c r="L155" s="1"/>
  <c r="H155"/>
  <c r="I155" s="1"/>
  <c r="K155" s="1"/>
  <c r="G155"/>
  <c r="J154"/>
  <c r="L154" s="1"/>
  <c r="H154"/>
  <c r="I154" s="1"/>
  <c r="K154" s="1"/>
  <c r="G154"/>
  <c r="J153"/>
  <c r="L153" s="1"/>
  <c r="H153"/>
  <c r="I153" s="1"/>
  <c r="K153" s="1"/>
  <c r="G153"/>
  <c r="J152"/>
  <c r="L152" s="1"/>
  <c r="H152"/>
  <c r="I152" s="1"/>
  <c r="K152" s="1"/>
  <c r="G152"/>
  <c r="J151"/>
  <c r="L151" s="1"/>
  <c r="H151"/>
  <c r="I151" s="1"/>
  <c r="K151" s="1"/>
  <c r="G151"/>
  <c r="J150"/>
  <c r="L150" s="1"/>
  <c r="H150"/>
  <c r="I150" s="1"/>
  <c r="K150" s="1"/>
  <c r="G150"/>
  <c r="J149"/>
  <c r="L149" s="1"/>
  <c r="H149"/>
  <c r="I149" s="1"/>
  <c r="K149" s="1"/>
  <c r="G149"/>
  <c r="J148"/>
  <c r="L148" s="1"/>
  <c r="H148"/>
  <c r="I148" s="1"/>
  <c r="K148" s="1"/>
  <c r="G148"/>
  <c r="J147"/>
  <c r="L147" s="1"/>
  <c r="H147"/>
  <c r="I147" s="1"/>
  <c r="K147" s="1"/>
  <c r="G147"/>
  <c r="J146"/>
  <c r="L146" s="1"/>
  <c r="H146"/>
  <c r="I146" s="1"/>
  <c r="K146" s="1"/>
  <c r="G146"/>
  <c r="J145"/>
  <c r="L145" s="1"/>
  <c r="H145"/>
  <c r="I145" s="1"/>
  <c r="K145" s="1"/>
  <c r="G145"/>
  <c r="J144"/>
  <c r="L144" s="1"/>
  <c r="H144"/>
  <c r="I144" s="1"/>
  <c r="K144" s="1"/>
  <c r="G144"/>
  <c r="J143"/>
  <c r="L143" s="1"/>
  <c r="H143"/>
  <c r="I143" s="1"/>
  <c r="K143" s="1"/>
  <c r="G143"/>
  <c r="J142"/>
  <c r="L142" s="1"/>
  <c r="H142"/>
  <c r="I142" s="1"/>
  <c r="K142" s="1"/>
  <c r="G142"/>
  <c r="J141"/>
  <c r="L141" s="1"/>
  <c r="H141"/>
  <c r="I141" s="1"/>
  <c r="K141" s="1"/>
  <c r="G141"/>
  <c r="J140"/>
  <c r="L140" s="1"/>
  <c r="H140"/>
  <c r="I140" s="1"/>
  <c r="K140" s="1"/>
  <c r="G140"/>
  <c r="J139"/>
  <c r="L139" s="1"/>
  <c r="H139"/>
  <c r="I139" s="1"/>
  <c r="K139" s="1"/>
  <c r="G139"/>
  <c r="J138"/>
  <c r="L138" s="1"/>
  <c r="H138"/>
  <c r="I138" s="1"/>
  <c r="K138" s="1"/>
  <c r="G138"/>
  <c r="J137"/>
  <c r="L137" s="1"/>
  <c r="H137"/>
  <c r="I137" s="1"/>
  <c r="K137" s="1"/>
  <c r="G137"/>
  <c r="J136"/>
  <c r="L136" s="1"/>
  <c r="H136"/>
  <c r="I136" s="1"/>
  <c r="K136" s="1"/>
  <c r="G136"/>
  <c r="J135"/>
  <c r="L135" s="1"/>
  <c r="H135"/>
  <c r="I135" s="1"/>
  <c r="K135" s="1"/>
  <c r="G135"/>
  <c r="J134"/>
  <c r="L134" s="1"/>
  <c r="H134"/>
  <c r="I134" s="1"/>
  <c r="K134" s="1"/>
  <c r="G134"/>
  <c r="J133"/>
  <c r="L133" s="1"/>
  <c r="H133"/>
  <c r="I133" s="1"/>
  <c r="K133" s="1"/>
  <c r="G133"/>
  <c r="J132"/>
  <c r="L132" s="1"/>
  <c r="H132"/>
  <c r="I132" s="1"/>
  <c r="K132" s="1"/>
  <c r="G132"/>
  <c r="J131"/>
  <c r="L131" s="1"/>
  <c r="H131"/>
  <c r="I131" s="1"/>
  <c r="K131" s="1"/>
  <c r="G131"/>
  <c r="J130"/>
  <c r="L130" s="1"/>
  <c r="H130"/>
  <c r="I130" s="1"/>
  <c r="K130" s="1"/>
  <c r="G130"/>
  <c r="J129"/>
  <c r="L129" s="1"/>
  <c r="H129"/>
  <c r="I129" s="1"/>
  <c r="K129" s="1"/>
  <c r="G129"/>
  <c r="J128"/>
  <c r="L128" s="1"/>
  <c r="H128"/>
  <c r="I128" s="1"/>
  <c r="K128" s="1"/>
  <c r="G128"/>
  <c r="J127"/>
  <c r="L127" s="1"/>
  <c r="H127"/>
  <c r="I127" s="1"/>
  <c r="K127" s="1"/>
  <c r="G127"/>
  <c r="J126"/>
  <c r="L126" s="1"/>
  <c r="H126"/>
  <c r="I126" s="1"/>
  <c r="K126" s="1"/>
  <c r="G126"/>
  <c r="J125"/>
  <c r="L125" s="1"/>
  <c r="H125"/>
  <c r="I125" s="1"/>
  <c r="K125" s="1"/>
  <c r="G125"/>
  <c r="J124"/>
  <c r="L124" s="1"/>
  <c r="H124"/>
  <c r="I124" s="1"/>
  <c r="K124" s="1"/>
  <c r="G124"/>
  <c r="J123"/>
  <c r="L123" s="1"/>
  <c r="H123"/>
  <c r="I123" s="1"/>
  <c r="K123" s="1"/>
  <c r="G123"/>
  <c r="J122"/>
  <c r="L122" s="1"/>
  <c r="H122"/>
  <c r="I122" s="1"/>
  <c r="K122" s="1"/>
  <c r="G122"/>
  <c r="J121"/>
  <c r="L121" s="1"/>
  <c r="H121"/>
  <c r="I121" s="1"/>
  <c r="K121" s="1"/>
  <c r="G121"/>
  <c r="J120"/>
  <c r="L120" s="1"/>
  <c r="H120"/>
  <c r="I120" s="1"/>
  <c r="K120" s="1"/>
  <c r="G120"/>
  <c r="J119"/>
  <c r="L119" s="1"/>
  <c r="H119"/>
  <c r="I119" s="1"/>
  <c r="K119" s="1"/>
  <c r="G119"/>
  <c r="J118"/>
  <c r="L118" s="1"/>
  <c r="H118"/>
  <c r="I118" s="1"/>
  <c r="K118" s="1"/>
  <c r="G118"/>
  <c r="J117"/>
  <c r="L117" s="1"/>
  <c r="H117"/>
  <c r="I117" s="1"/>
  <c r="K117" s="1"/>
  <c r="G117"/>
  <c r="J116"/>
  <c r="L116" s="1"/>
  <c r="H116"/>
  <c r="I116" s="1"/>
  <c r="K116" s="1"/>
  <c r="G116"/>
  <c r="J115"/>
  <c r="L115" s="1"/>
  <c r="H115"/>
  <c r="I115" s="1"/>
  <c r="K115" s="1"/>
  <c r="G115"/>
  <c r="J114"/>
  <c r="L114" s="1"/>
  <c r="H114"/>
  <c r="I114" s="1"/>
  <c r="K114" s="1"/>
  <c r="G114"/>
  <c r="J113"/>
  <c r="L113" s="1"/>
  <c r="H113"/>
  <c r="I113" s="1"/>
  <c r="K113" s="1"/>
  <c r="G113"/>
  <c r="J112"/>
  <c r="L112" s="1"/>
  <c r="H112"/>
  <c r="I112" s="1"/>
  <c r="K112" s="1"/>
  <c r="G112"/>
  <c r="J111"/>
  <c r="L111" s="1"/>
  <c r="H111"/>
  <c r="I111" s="1"/>
  <c r="K111" s="1"/>
  <c r="G111"/>
  <c r="J110"/>
  <c r="L110" s="1"/>
  <c r="H110"/>
  <c r="I110" s="1"/>
  <c r="K110" s="1"/>
  <c r="G110"/>
  <c r="J109"/>
  <c r="L109" s="1"/>
  <c r="H109"/>
  <c r="I109" s="1"/>
  <c r="K109" s="1"/>
  <c r="G109"/>
  <c r="J108"/>
  <c r="L108" s="1"/>
  <c r="H108"/>
  <c r="I108" s="1"/>
  <c r="K108" s="1"/>
  <c r="G108"/>
  <c r="J107"/>
  <c r="L107" s="1"/>
  <c r="H107"/>
  <c r="I107" s="1"/>
  <c r="K107" s="1"/>
  <c r="G107"/>
  <c r="J106"/>
  <c r="L106" s="1"/>
  <c r="H106"/>
  <c r="I106" s="1"/>
  <c r="K106" s="1"/>
  <c r="G106"/>
  <c r="J105"/>
  <c r="L105" s="1"/>
  <c r="H105"/>
  <c r="I105" s="1"/>
  <c r="K105" s="1"/>
  <c r="G105"/>
  <c r="J104"/>
  <c r="L104" s="1"/>
  <c r="H104"/>
  <c r="I104" s="1"/>
  <c r="K104" s="1"/>
  <c r="G104"/>
  <c r="J103"/>
  <c r="L103" s="1"/>
  <c r="H103"/>
  <c r="I103" s="1"/>
  <c r="K103" s="1"/>
  <c r="G103"/>
  <c r="J102"/>
  <c r="L102" s="1"/>
  <c r="H102"/>
  <c r="I102" s="1"/>
  <c r="K102" s="1"/>
  <c r="G102"/>
  <c r="J101"/>
  <c r="L101" s="1"/>
  <c r="H101"/>
  <c r="I101" s="1"/>
  <c r="K101" s="1"/>
  <c r="G101"/>
  <c r="J100"/>
  <c r="L100" s="1"/>
  <c r="H100"/>
  <c r="I100" s="1"/>
  <c r="K100" s="1"/>
  <c r="G100"/>
  <c r="J99"/>
  <c r="L99" s="1"/>
  <c r="H99"/>
  <c r="I99" s="1"/>
  <c r="K99" s="1"/>
  <c r="G99"/>
  <c r="J98"/>
  <c r="L98" s="1"/>
  <c r="H98"/>
  <c r="I98" s="1"/>
  <c r="K98" s="1"/>
  <c r="G98"/>
  <c r="J97"/>
  <c r="L97" s="1"/>
  <c r="H97"/>
  <c r="I97" s="1"/>
  <c r="K97" s="1"/>
  <c r="G97"/>
  <c r="J96"/>
  <c r="L96" s="1"/>
  <c r="H96"/>
  <c r="I96" s="1"/>
  <c r="K96" s="1"/>
  <c r="G96"/>
  <c r="J95"/>
  <c r="L95" s="1"/>
  <c r="H95"/>
  <c r="I95" s="1"/>
  <c r="K95" s="1"/>
  <c r="G95"/>
  <c r="J94"/>
  <c r="L94" s="1"/>
  <c r="H94"/>
  <c r="I94" s="1"/>
  <c r="K94" s="1"/>
  <c r="G94"/>
  <c r="J93"/>
  <c r="L93" s="1"/>
  <c r="H93"/>
  <c r="I93" s="1"/>
  <c r="K93" s="1"/>
  <c r="G93"/>
  <c r="J92"/>
  <c r="L92" s="1"/>
  <c r="H92"/>
  <c r="I92" s="1"/>
  <c r="K92" s="1"/>
  <c r="G92"/>
  <c r="J91"/>
  <c r="L91" s="1"/>
  <c r="H91"/>
  <c r="I91" s="1"/>
  <c r="K91" s="1"/>
  <c r="G91"/>
  <c r="J90"/>
  <c r="L90" s="1"/>
  <c r="H90"/>
  <c r="I90" s="1"/>
  <c r="K90" s="1"/>
  <c r="G90"/>
  <c r="J89"/>
  <c r="L89" s="1"/>
  <c r="H89"/>
  <c r="I89" s="1"/>
  <c r="K89" s="1"/>
  <c r="G89"/>
  <c r="J88"/>
  <c r="L88" s="1"/>
  <c r="H88"/>
  <c r="I88" s="1"/>
  <c r="K88" s="1"/>
  <c r="G88"/>
  <c r="J87"/>
  <c r="L87" s="1"/>
  <c r="H87"/>
  <c r="I87" s="1"/>
  <c r="K87" s="1"/>
  <c r="G87"/>
  <c r="J86"/>
  <c r="L86" s="1"/>
  <c r="H86"/>
  <c r="I86" s="1"/>
  <c r="K86" s="1"/>
  <c r="G86"/>
  <c r="J85"/>
  <c r="L85" s="1"/>
  <c r="H85"/>
  <c r="I85" s="1"/>
  <c r="K85" s="1"/>
  <c r="G85"/>
  <c r="J84"/>
  <c r="L84" s="1"/>
  <c r="H84"/>
  <c r="I84" s="1"/>
  <c r="K84" s="1"/>
  <c r="G84"/>
  <c r="J83"/>
  <c r="L83" s="1"/>
  <c r="H83"/>
  <c r="I83" s="1"/>
  <c r="K83" s="1"/>
  <c r="G83"/>
  <c r="J82"/>
  <c r="L82" s="1"/>
  <c r="H82"/>
  <c r="I82" s="1"/>
  <c r="K82" s="1"/>
  <c r="G82"/>
  <c r="J81"/>
  <c r="L81" s="1"/>
  <c r="H81"/>
  <c r="I81" s="1"/>
  <c r="K81" s="1"/>
  <c r="G81"/>
  <c r="J80"/>
  <c r="L80" s="1"/>
  <c r="H80"/>
  <c r="I80" s="1"/>
  <c r="K80" s="1"/>
  <c r="G80"/>
  <c r="J79"/>
  <c r="L79" s="1"/>
  <c r="H79"/>
  <c r="I79" s="1"/>
  <c r="K79" s="1"/>
  <c r="G79"/>
  <c r="J78"/>
  <c r="L78" s="1"/>
  <c r="H78"/>
  <c r="I78" s="1"/>
  <c r="K78" s="1"/>
  <c r="G78"/>
  <c r="J77"/>
  <c r="L77" s="1"/>
  <c r="H77"/>
  <c r="I77" s="1"/>
  <c r="K77" s="1"/>
  <c r="G77"/>
  <c r="J76"/>
  <c r="L76" s="1"/>
  <c r="H76"/>
  <c r="I76" s="1"/>
  <c r="K76" s="1"/>
  <c r="G76"/>
  <c r="J75"/>
  <c r="L75" s="1"/>
  <c r="H75"/>
  <c r="I75" s="1"/>
  <c r="K75" s="1"/>
  <c r="G75"/>
  <c r="J74"/>
  <c r="L74" s="1"/>
  <c r="H74"/>
  <c r="I74" s="1"/>
  <c r="K74" s="1"/>
  <c r="G74"/>
  <c r="J73"/>
  <c r="L73" s="1"/>
  <c r="H73"/>
  <c r="I73" s="1"/>
  <c r="K73" s="1"/>
  <c r="G73"/>
  <c r="J72"/>
  <c r="L72" s="1"/>
  <c r="H72"/>
  <c r="I72" s="1"/>
  <c r="K72" s="1"/>
  <c r="G72"/>
  <c r="J71"/>
  <c r="L71" s="1"/>
  <c r="H71"/>
  <c r="I71" s="1"/>
  <c r="K71" s="1"/>
  <c r="G71"/>
  <c r="J70"/>
  <c r="L70" s="1"/>
  <c r="H70"/>
  <c r="I70" s="1"/>
  <c r="K70" s="1"/>
  <c r="G70"/>
  <c r="J69"/>
  <c r="L69" s="1"/>
  <c r="H69"/>
  <c r="I69" s="1"/>
  <c r="K69" s="1"/>
  <c r="G69"/>
  <c r="J68"/>
  <c r="L68" s="1"/>
  <c r="H68"/>
  <c r="I68" s="1"/>
  <c r="K68" s="1"/>
  <c r="G68"/>
  <c r="J67"/>
  <c r="L67" s="1"/>
  <c r="H67"/>
  <c r="I67" s="1"/>
  <c r="K67" s="1"/>
  <c r="G67"/>
  <c r="H66"/>
  <c r="J66" s="1"/>
  <c r="L66" s="1"/>
  <c r="G66"/>
  <c r="I65"/>
  <c r="K65" s="1"/>
  <c r="H65"/>
  <c r="J65" s="1"/>
  <c r="L65" s="1"/>
  <c r="G65"/>
  <c r="I64"/>
  <c r="K64" s="1"/>
  <c r="H64"/>
  <c r="J64" s="1"/>
  <c r="L64" s="1"/>
  <c r="G64"/>
  <c r="I63"/>
  <c r="K63" s="1"/>
  <c r="H63"/>
  <c r="J63" s="1"/>
  <c r="L63" s="1"/>
  <c r="G63"/>
  <c r="I62"/>
  <c r="K62" s="1"/>
  <c r="H62"/>
  <c r="J62" s="1"/>
  <c r="L62" s="1"/>
  <c r="G62"/>
  <c r="I61"/>
  <c r="K61" s="1"/>
  <c r="H61"/>
  <c r="J61" s="1"/>
  <c r="L61" s="1"/>
  <c r="G61"/>
  <c r="I60"/>
  <c r="K60" s="1"/>
  <c r="H60"/>
  <c r="J60" s="1"/>
  <c r="L60" s="1"/>
  <c r="G60"/>
  <c r="I59"/>
  <c r="K59" s="1"/>
  <c r="H59"/>
  <c r="J59" s="1"/>
  <c r="L59" s="1"/>
  <c r="G59"/>
  <c r="I58"/>
  <c r="K58" s="1"/>
  <c r="H58"/>
  <c r="J58" s="1"/>
  <c r="L58" s="1"/>
  <c r="G58"/>
  <c r="I57"/>
  <c r="K57" s="1"/>
  <c r="H57"/>
  <c r="J57" s="1"/>
  <c r="L57" s="1"/>
  <c r="G57"/>
  <c r="I56"/>
  <c r="K56" s="1"/>
  <c r="H56"/>
  <c r="J56" s="1"/>
  <c r="L56" s="1"/>
  <c r="G56"/>
  <c r="I55"/>
  <c r="K55" s="1"/>
  <c r="H55"/>
  <c r="J55" s="1"/>
  <c r="L55" s="1"/>
  <c r="G55"/>
  <c r="I54"/>
  <c r="K54" s="1"/>
  <c r="H54"/>
  <c r="J54" s="1"/>
  <c r="L54" s="1"/>
  <c r="G54"/>
  <c r="I53"/>
  <c r="K53" s="1"/>
  <c r="H53"/>
  <c r="J53" s="1"/>
  <c r="L53" s="1"/>
  <c r="G53"/>
  <c r="I52"/>
  <c r="K52" s="1"/>
  <c r="H52"/>
  <c r="J52" s="1"/>
  <c r="L52" s="1"/>
  <c r="G52"/>
  <c r="I51"/>
  <c r="K51" s="1"/>
  <c r="H51"/>
  <c r="J51" s="1"/>
  <c r="L51" s="1"/>
  <c r="G51"/>
  <c r="I50"/>
  <c r="K50" s="1"/>
  <c r="H50"/>
  <c r="J50" s="1"/>
  <c r="L50" s="1"/>
  <c r="G50"/>
  <c r="I49"/>
  <c r="K49" s="1"/>
  <c r="H49"/>
  <c r="J49" s="1"/>
  <c r="L49" s="1"/>
  <c r="G49"/>
  <c r="I48"/>
  <c r="K48" s="1"/>
  <c r="H48"/>
  <c r="J48" s="1"/>
  <c r="L48" s="1"/>
  <c r="G48"/>
  <c r="I47"/>
  <c r="K47" s="1"/>
  <c r="H47"/>
  <c r="J47" s="1"/>
  <c r="L47" s="1"/>
  <c r="G47"/>
  <c r="I46"/>
  <c r="K46" s="1"/>
  <c r="H46"/>
  <c r="J46" s="1"/>
  <c r="L46" s="1"/>
  <c r="G46"/>
  <c r="I45"/>
  <c r="K45" s="1"/>
  <c r="H45"/>
  <c r="J45" s="1"/>
  <c r="L45" s="1"/>
  <c r="G45"/>
  <c r="I44"/>
  <c r="K44" s="1"/>
  <c r="H44"/>
  <c r="J44" s="1"/>
  <c r="L44" s="1"/>
  <c r="G44"/>
  <c r="I43"/>
  <c r="K43" s="1"/>
  <c r="H43"/>
  <c r="J43" s="1"/>
  <c r="L43" s="1"/>
  <c r="G43"/>
  <c r="I42"/>
  <c r="K42" s="1"/>
  <c r="H42"/>
  <c r="J42" s="1"/>
  <c r="L42" s="1"/>
  <c r="G42"/>
  <c r="I41"/>
  <c r="K41" s="1"/>
  <c r="H41"/>
  <c r="J41" s="1"/>
  <c r="L41" s="1"/>
  <c r="G41"/>
  <c r="I40"/>
  <c r="K40" s="1"/>
  <c r="H40"/>
  <c r="J40" s="1"/>
  <c r="L40" s="1"/>
  <c r="G40"/>
  <c r="I39"/>
  <c r="K39" s="1"/>
  <c r="H39"/>
  <c r="J39" s="1"/>
  <c r="L39" s="1"/>
  <c r="G39"/>
  <c r="I38"/>
  <c r="K38" s="1"/>
  <c r="H38"/>
  <c r="J38" s="1"/>
  <c r="L38" s="1"/>
  <c r="G38"/>
  <c r="I37"/>
  <c r="K37" s="1"/>
  <c r="H37"/>
  <c r="J37" s="1"/>
  <c r="L37" s="1"/>
  <c r="G37"/>
  <c r="I36"/>
  <c r="K36" s="1"/>
  <c r="H36"/>
  <c r="J36" s="1"/>
  <c r="L36" s="1"/>
  <c r="G36"/>
  <c r="I35"/>
  <c r="K35" s="1"/>
  <c r="H35"/>
  <c r="J35" s="1"/>
  <c r="L35" s="1"/>
  <c r="G35"/>
  <c r="I34"/>
  <c r="K34" s="1"/>
  <c r="H34"/>
  <c r="J34" s="1"/>
  <c r="L34" s="1"/>
  <c r="G34"/>
  <c r="I33"/>
  <c r="K33" s="1"/>
  <c r="H33"/>
  <c r="J33" s="1"/>
  <c r="L33" s="1"/>
  <c r="G33"/>
  <c r="I32"/>
  <c r="K32" s="1"/>
  <c r="H32"/>
  <c r="J32" s="1"/>
  <c r="L32" s="1"/>
  <c r="G32"/>
  <c r="I31"/>
  <c r="K31" s="1"/>
  <c r="H31"/>
  <c r="J31" s="1"/>
  <c r="L31" s="1"/>
  <c r="G31"/>
  <c r="I30"/>
  <c r="K30" s="1"/>
  <c r="H30"/>
  <c r="J30" s="1"/>
  <c r="L30" s="1"/>
  <c r="G30"/>
  <c r="I29"/>
  <c r="K29" s="1"/>
  <c r="H29"/>
  <c r="J29" s="1"/>
  <c r="L29" s="1"/>
  <c r="G29"/>
  <c r="I28"/>
  <c r="K28" s="1"/>
  <c r="H28"/>
  <c r="J28" s="1"/>
  <c r="L28" s="1"/>
  <c r="G28"/>
  <c r="I27"/>
  <c r="K27" s="1"/>
  <c r="H27"/>
  <c r="J27" s="1"/>
  <c r="L27" s="1"/>
  <c r="G27"/>
  <c r="I26"/>
  <c r="K26" s="1"/>
  <c r="H26"/>
  <c r="J26" s="1"/>
  <c r="L26" s="1"/>
  <c r="G26"/>
  <c r="I25"/>
  <c r="K25" s="1"/>
  <c r="H25"/>
  <c r="J25" s="1"/>
  <c r="L25" s="1"/>
  <c r="G25"/>
  <c r="I24"/>
  <c r="K24" s="1"/>
  <c r="H24"/>
  <c r="J24" s="1"/>
  <c r="L24" s="1"/>
  <c r="G24"/>
  <c r="I23"/>
  <c r="K23" s="1"/>
  <c r="H23"/>
  <c r="J23" s="1"/>
  <c r="L23" s="1"/>
  <c r="G23"/>
  <c r="I22"/>
  <c r="K22" s="1"/>
  <c r="H22"/>
  <c r="J22" s="1"/>
  <c r="L22" s="1"/>
  <c r="G22"/>
  <c r="I21"/>
  <c r="K21" s="1"/>
  <c r="H21"/>
  <c r="J21" s="1"/>
  <c r="L21" s="1"/>
  <c r="G21"/>
  <c r="I20"/>
  <c r="K20" s="1"/>
  <c r="H20"/>
  <c r="J20" s="1"/>
  <c r="L20" s="1"/>
  <c r="G20"/>
  <c r="I19"/>
  <c r="K19" s="1"/>
  <c r="H19"/>
  <c r="J19" s="1"/>
  <c r="L19" s="1"/>
  <c r="G19"/>
  <c r="I18"/>
  <c r="K18" s="1"/>
  <c r="H18"/>
  <c r="J18" s="1"/>
  <c r="L18" s="1"/>
  <c r="G18"/>
  <c r="I17"/>
  <c r="K17" s="1"/>
  <c r="H17"/>
  <c r="J17" s="1"/>
  <c r="L17" s="1"/>
  <c r="G17"/>
  <c r="I16"/>
  <c r="K16" s="1"/>
  <c r="H16"/>
  <c r="J16" s="1"/>
  <c r="L16" s="1"/>
  <c r="G16"/>
  <c r="I15"/>
  <c r="K15" s="1"/>
  <c r="H15"/>
  <c r="J15" s="1"/>
  <c r="L15" s="1"/>
  <c r="G15"/>
  <c r="I14"/>
  <c r="K14" s="1"/>
  <c r="H14"/>
  <c r="J14" s="1"/>
  <c r="L14" s="1"/>
  <c r="G14"/>
  <c r="I13"/>
  <c r="K13" s="1"/>
  <c r="H13"/>
  <c r="J13" s="1"/>
  <c r="L13" s="1"/>
  <c r="G13"/>
  <c r="I12"/>
  <c r="K12" s="1"/>
  <c r="H12"/>
  <c r="J12" s="1"/>
  <c r="L12" s="1"/>
  <c r="G12"/>
  <c r="I11"/>
  <c r="K11" s="1"/>
  <c r="H11"/>
  <c r="J11" s="1"/>
  <c r="L11" s="1"/>
  <c r="G11"/>
  <c r="I10"/>
  <c r="K10" s="1"/>
  <c r="H10"/>
  <c r="J10" s="1"/>
  <c r="L10" s="1"/>
  <c r="G10"/>
  <c r="I9"/>
  <c r="K9" s="1"/>
  <c r="H9"/>
  <c r="J9" s="1"/>
  <c r="L9" s="1"/>
  <c r="G9"/>
  <c r="I8"/>
  <c r="K8" s="1"/>
  <c r="H8"/>
  <c r="J8" s="1"/>
  <c r="L8" s="1"/>
  <c r="G8"/>
  <c r="I7"/>
  <c r="K7" s="1"/>
  <c r="H7"/>
  <c r="J7" s="1"/>
  <c r="L7" s="1"/>
  <c r="G7"/>
  <c r="I6"/>
  <c r="K6" s="1"/>
  <c r="H6"/>
  <c r="J6" s="1"/>
  <c r="L6" s="1"/>
  <c r="G6"/>
  <c r="I5"/>
  <c r="K5" s="1"/>
  <c r="H5"/>
  <c r="J5" s="1"/>
  <c r="L5" s="1"/>
  <c r="G5"/>
  <c r="I4"/>
  <c r="K4" s="1"/>
  <c r="H4"/>
  <c r="J4" s="1"/>
  <c r="L4" s="1"/>
  <c r="G4"/>
  <c r="I3"/>
  <c r="K3" s="1"/>
  <c r="H3"/>
  <c r="J3" s="1"/>
  <c r="L3" s="1"/>
  <c r="G3"/>
  <c r="I2"/>
  <c r="H2"/>
  <c r="G2"/>
  <c r="N2" i="21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B167"/>
  <c r="B166"/>
  <c r="B169" i="20"/>
  <c r="B170"/>
  <c r="F163"/>
  <c r="H2"/>
  <c r="H3"/>
  <c r="J3" s="1"/>
  <c r="L3" s="1"/>
  <c r="H4"/>
  <c r="H5"/>
  <c r="J5" s="1"/>
  <c r="L5" s="1"/>
  <c r="H6"/>
  <c r="J6" s="1"/>
  <c r="L6" s="1"/>
  <c r="H7"/>
  <c r="J7" s="1"/>
  <c r="L7" s="1"/>
  <c r="H8"/>
  <c r="J8" s="1"/>
  <c r="L8" s="1"/>
  <c r="H9"/>
  <c r="J9" s="1"/>
  <c r="L9" s="1"/>
  <c r="H10"/>
  <c r="J10" s="1"/>
  <c r="L10" s="1"/>
  <c r="H11"/>
  <c r="J11" s="1"/>
  <c r="L11" s="1"/>
  <c r="H12"/>
  <c r="J12" s="1"/>
  <c r="L12" s="1"/>
  <c r="H13"/>
  <c r="J13" s="1"/>
  <c r="L13" s="1"/>
  <c r="H14"/>
  <c r="J14" s="1"/>
  <c r="L14" s="1"/>
  <c r="H15"/>
  <c r="J15" s="1"/>
  <c r="L15" s="1"/>
  <c r="H16"/>
  <c r="J16" s="1"/>
  <c r="L16" s="1"/>
  <c r="H17"/>
  <c r="J17" s="1"/>
  <c r="L17" s="1"/>
  <c r="H18"/>
  <c r="J18" s="1"/>
  <c r="L18" s="1"/>
  <c r="H19"/>
  <c r="J19" s="1"/>
  <c r="L19" s="1"/>
  <c r="H20"/>
  <c r="J20" s="1"/>
  <c r="L20" s="1"/>
  <c r="H21"/>
  <c r="J21" s="1"/>
  <c r="L21" s="1"/>
  <c r="H22"/>
  <c r="J22" s="1"/>
  <c r="L22" s="1"/>
  <c r="H23"/>
  <c r="J23" s="1"/>
  <c r="L23" s="1"/>
  <c r="H24"/>
  <c r="J24" s="1"/>
  <c r="L24" s="1"/>
  <c r="H25"/>
  <c r="J25" s="1"/>
  <c r="L25" s="1"/>
  <c r="H26"/>
  <c r="J26" s="1"/>
  <c r="L26" s="1"/>
  <c r="H27"/>
  <c r="J27" s="1"/>
  <c r="L27" s="1"/>
  <c r="H28"/>
  <c r="J28" s="1"/>
  <c r="L28" s="1"/>
  <c r="H29"/>
  <c r="J29" s="1"/>
  <c r="L29" s="1"/>
  <c r="H30"/>
  <c r="J30" s="1"/>
  <c r="L30" s="1"/>
  <c r="H31"/>
  <c r="J31" s="1"/>
  <c r="L31" s="1"/>
  <c r="H32"/>
  <c r="J32" s="1"/>
  <c r="L32" s="1"/>
  <c r="H33"/>
  <c r="J33" s="1"/>
  <c r="L33" s="1"/>
  <c r="H34"/>
  <c r="J34" s="1"/>
  <c r="L34" s="1"/>
  <c r="H35"/>
  <c r="J35" s="1"/>
  <c r="L35" s="1"/>
  <c r="H36"/>
  <c r="H37"/>
  <c r="J37" s="1"/>
  <c r="L37" s="1"/>
  <c r="H38"/>
  <c r="J38" s="1"/>
  <c r="L38" s="1"/>
  <c r="H39"/>
  <c r="J39" s="1"/>
  <c r="L39" s="1"/>
  <c r="H40"/>
  <c r="J40" s="1"/>
  <c r="L40" s="1"/>
  <c r="H41"/>
  <c r="J41" s="1"/>
  <c r="L41" s="1"/>
  <c r="H42"/>
  <c r="J42" s="1"/>
  <c r="L42" s="1"/>
  <c r="H43"/>
  <c r="J43" s="1"/>
  <c r="L43" s="1"/>
  <c r="H44"/>
  <c r="J44" s="1"/>
  <c r="L44" s="1"/>
  <c r="H45"/>
  <c r="J45" s="1"/>
  <c r="L45" s="1"/>
  <c r="H46"/>
  <c r="J46" s="1"/>
  <c r="L46" s="1"/>
  <c r="H47"/>
  <c r="J47" s="1"/>
  <c r="L47" s="1"/>
  <c r="H48"/>
  <c r="J48" s="1"/>
  <c r="L48" s="1"/>
  <c r="H49"/>
  <c r="J49" s="1"/>
  <c r="L49" s="1"/>
  <c r="H50"/>
  <c r="J50" s="1"/>
  <c r="L50" s="1"/>
  <c r="H51"/>
  <c r="J51" s="1"/>
  <c r="L51" s="1"/>
  <c r="H52"/>
  <c r="J52" s="1"/>
  <c r="L52" s="1"/>
  <c r="H53"/>
  <c r="J53" s="1"/>
  <c r="L53" s="1"/>
  <c r="H54"/>
  <c r="J54" s="1"/>
  <c r="L54" s="1"/>
  <c r="H55"/>
  <c r="J55" s="1"/>
  <c r="L55" s="1"/>
  <c r="H56"/>
  <c r="J56" s="1"/>
  <c r="L56" s="1"/>
  <c r="H57"/>
  <c r="J57" s="1"/>
  <c r="L57" s="1"/>
  <c r="H58"/>
  <c r="J58" s="1"/>
  <c r="L58" s="1"/>
  <c r="H59"/>
  <c r="J59" s="1"/>
  <c r="L59" s="1"/>
  <c r="H60"/>
  <c r="J60" s="1"/>
  <c r="L60" s="1"/>
  <c r="H61"/>
  <c r="J61" s="1"/>
  <c r="L61" s="1"/>
  <c r="H62"/>
  <c r="J62" s="1"/>
  <c r="L62" s="1"/>
  <c r="H63"/>
  <c r="J63" s="1"/>
  <c r="L63" s="1"/>
  <c r="H64"/>
  <c r="J64" s="1"/>
  <c r="L64" s="1"/>
  <c r="H65"/>
  <c r="J65" s="1"/>
  <c r="L65" s="1"/>
  <c r="H66"/>
  <c r="J66" s="1"/>
  <c r="L66" s="1"/>
  <c r="H67"/>
  <c r="I67" s="1"/>
  <c r="K67" s="1"/>
  <c r="H68"/>
  <c r="H69"/>
  <c r="I69" s="1"/>
  <c r="K69" s="1"/>
  <c r="H70"/>
  <c r="I70" s="1"/>
  <c r="K70" s="1"/>
  <c r="H71"/>
  <c r="I71" s="1"/>
  <c r="K71" s="1"/>
  <c r="H72"/>
  <c r="I72" s="1"/>
  <c r="K72" s="1"/>
  <c r="H73"/>
  <c r="I73" s="1"/>
  <c r="K73" s="1"/>
  <c r="H74"/>
  <c r="I74" s="1"/>
  <c r="K74" s="1"/>
  <c r="H75"/>
  <c r="I75" s="1"/>
  <c r="K75" s="1"/>
  <c r="H76"/>
  <c r="I76" s="1"/>
  <c r="K76" s="1"/>
  <c r="H77"/>
  <c r="I77" s="1"/>
  <c r="K77" s="1"/>
  <c r="H78"/>
  <c r="I78" s="1"/>
  <c r="K78" s="1"/>
  <c r="H79"/>
  <c r="I79" s="1"/>
  <c r="K79" s="1"/>
  <c r="H80"/>
  <c r="I80" s="1"/>
  <c r="K80" s="1"/>
  <c r="H81"/>
  <c r="I81" s="1"/>
  <c r="K81" s="1"/>
  <c r="H82"/>
  <c r="I82" s="1"/>
  <c r="K82" s="1"/>
  <c r="H83"/>
  <c r="I83" s="1"/>
  <c r="K83" s="1"/>
  <c r="H84"/>
  <c r="H85"/>
  <c r="I85" s="1"/>
  <c r="K85" s="1"/>
  <c r="H86"/>
  <c r="I86" s="1"/>
  <c r="K86" s="1"/>
  <c r="H87"/>
  <c r="I87" s="1"/>
  <c r="K87" s="1"/>
  <c r="H88"/>
  <c r="I88" s="1"/>
  <c r="K88" s="1"/>
  <c r="H89"/>
  <c r="I89" s="1"/>
  <c r="K89" s="1"/>
  <c r="H90"/>
  <c r="I90" s="1"/>
  <c r="K90" s="1"/>
  <c r="H91"/>
  <c r="I91" s="1"/>
  <c r="K91" s="1"/>
  <c r="H92"/>
  <c r="I92" s="1"/>
  <c r="K92" s="1"/>
  <c r="H93"/>
  <c r="I93" s="1"/>
  <c r="K93" s="1"/>
  <c r="H94"/>
  <c r="I94" s="1"/>
  <c r="K94" s="1"/>
  <c r="H95"/>
  <c r="I95" s="1"/>
  <c r="K95" s="1"/>
  <c r="H96"/>
  <c r="I96" s="1"/>
  <c r="K96" s="1"/>
  <c r="H97"/>
  <c r="I97" s="1"/>
  <c r="K97" s="1"/>
  <c r="H98"/>
  <c r="I98" s="1"/>
  <c r="K98" s="1"/>
  <c r="H99"/>
  <c r="I99" s="1"/>
  <c r="K99" s="1"/>
  <c r="H100"/>
  <c r="H101"/>
  <c r="I101" s="1"/>
  <c r="K101" s="1"/>
  <c r="H102"/>
  <c r="I102" s="1"/>
  <c r="K102" s="1"/>
  <c r="H103"/>
  <c r="I103" s="1"/>
  <c r="K103" s="1"/>
  <c r="H104"/>
  <c r="I104" s="1"/>
  <c r="K104" s="1"/>
  <c r="H105"/>
  <c r="I105" s="1"/>
  <c r="K105" s="1"/>
  <c r="H106"/>
  <c r="I106" s="1"/>
  <c r="K106" s="1"/>
  <c r="H107"/>
  <c r="I107" s="1"/>
  <c r="K107" s="1"/>
  <c r="H108"/>
  <c r="I108" s="1"/>
  <c r="K108" s="1"/>
  <c r="H109"/>
  <c r="I109" s="1"/>
  <c r="K109" s="1"/>
  <c r="H110"/>
  <c r="I110" s="1"/>
  <c r="K110" s="1"/>
  <c r="H111"/>
  <c r="I111" s="1"/>
  <c r="K111" s="1"/>
  <c r="H112"/>
  <c r="I112" s="1"/>
  <c r="K112" s="1"/>
  <c r="H113"/>
  <c r="I113" s="1"/>
  <c r="K113" s="1"/>
  <c r="H114"/>
  <c r="I114" s="1"/>
  <c r="K114" s="1"/>
  <c r="H115"/>
  <c r="I115" s="1"/>
  <c r="K115" s="1"/>
  <c r="H116"/>
  <c r="H117"/>
  <c r="I117" s="1"/>
  <c r="K117" s="1"/>
  <c r="H118"/>
  <c r="I118" s="1"/>
  <c r="K118" s="1"/>
  <c r="H119"/>
  <c r="I119" s="1"/>
  <c r="K119" s="1"/>
  <c r="H120"/>
  <c r="I120" s="1"/>
  <c r="K120" s="1"/>
  <c r="H121"/>
  <c r="I121" s="1"/>
  <c r="K121" s="1"/>
  <c r="H122"/>
  <c r="I122" s="1"/>
  <c r="K122" s="1"/>
  <c r="H123"/>
  <c r="I123" s="1"/>
  <c r="K123" s="1"/>
  <c r="H124"/>
  <c r="I124" s="1"/>
  <c r="K124" s="1"/>
  <c r="H125"/>
  <c r="I125" s="1"/>
  <c r="K125" s="1"/>
  <c r="H126"/>
  <c r="I126" s="1"/>
  <c r="K126" s="1"/>
  <c r="H127"/>
  <c r="I127" s="1"/>
  <c r="K127" s="1"/>
  <c r="H128"/>
  <c r="I128" s="1"/>
  <c r="K128" s="1"/>
  <c r="H129"/>
  <c r="I129" s="1"/>
  <c r="K129" s="1"/>
  <c r="H130"/>
  <c r="I130" s="1"/>
  <c r="K130" s="1"/>
  <c r="H131"/>
  <c r="I131" s="1"/>
  <c r="K131" s="1"/>
  <c r="H132"/>
  <c r="H133"/>
  <c r="I133" s="1"/>
  <c r="K133" s="1"/>
  <c r="H134"/>
  <c r="I134" s="1"/>
  <c r="K134" s="1"/>
  <c r="H135"/>
  <c r="I135" s="1"/>
  <c r="K135" s="1"/>
  <c r="H136"/>
  <c r="I136" s="1"/>
  <c r="K136" s="1"/>
  <c r="H137"/>
  <c r="I137" s="1"/>
  <c r="K137" s="1"/>
  <c r="H138"/>
  <c r="I138" s="1"/>
  <c r="K138" s="1"/>
  <c r="H139"/>
  <c r="I139" s="1"/>
  <c r="K139" s="1"/>
  <c r="H140"/>
  <c r="I140" s="1"/>
  <c r="K140" s="1"/>
  <c r="H141"/>
  <c r="I141" s="1"/>
  <c r="K141" s="1"/>
  <c r="H142"/>
  <c r="I142" s="1"/>
  <c r="K142" s="1"/>
  <c r="H143"/>
  <c r="I143" s="1"/>
  <c r="K143" s="1"/>
  <c r="H144"/>
  <c r="I144" s="1"/>
  <c r="K144" s="1"/>
  <c r="H145"/>
  <c r="I145" s="1"/>
  <c r="K145" s="1"/>
  <c r="H146"/>
  <c r="I146" s="1"/>
  <c r="K146" s="1"/>
  <c r="H147"/>
  <c r="I147" s="1"/>
  <c r="K147" s="1"/>
  <c r="H148"/>
  <c r="H149"/>
  <c r="I149" s="1"/>
  <c r="K149" s="1"/>
  <c r="H150"/>
  <c r="I150" s="1"/>
  <c r="K150" s="1"/>
  <c r="H151"/>
  <c r="I151" s="1"/>
  <c r="K151" s="1"/>
  <c r="H152"/>
  <c r="I152" s="1"/>
  <c r="K152" s="1"/>
  <c r="H153"/>
  <c r="I153" s="1"/>
  <c r="K153" s="1"/>
  <c r="H154"/>
  <c r="I154" s="1"/>
  <c r="K154" s="1"/>
  <c r="H155"/>
  <c r="I155" s="1"/>
  <c r="K155" s="1"/>
  <c r="H156"/>
  <c r="I156" s="1"/>
  <c r="K156" s="1"/>
  <c r="H157"/>
  <c r="I157" s="1"/>
  <c r="K157" s="1"/>
  <c r="H158"/>
  <c r="I158" s="1"/>
  <c r="K158" s="1"/>
  <c r="H159"/>
  <c r="I159" s="1"/>
  <c r="K159" s="1"/>
  <c r="H160"/>
  <c r="I160" s="1"/>
  <c r="K160" s="1"/>
  <c r="H161"/>
  <c r="I161" s="1"/>
  <c r="K161" s="1"/>
  <c r="H162"/>
  <c r="I162" s="1"/>
  <c r="K162" s="1"/>
  <c r="I2"/>
  <c r="I3"/>
  <c r="K3" s="1"/>
  <c r="I4"/>
  <c r="K4" s="1"/>
  <c r="I5"/>
  <c r="K5" s="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K64" s="1"/>
  <c r="I65"/>
  <c r="K65" s="1"/>
  <c r="I66"/>
  <c r="K66" s="1"/>
  <c r="I68"/>
  <c r="K68" s="1"/>
  <c r="I84"/>
  <c r="K84" s="1"/>
  <c r="I100"/>
  <c r="K100" s="1"/>
  <c r="I116"/>
  <c r="K116" s="1"/>
  <c r="I132"/>
  <c r="K132" s="1"/>
  <c r="I148"/>
  <c r="K148" s="1"/>
  <c r="J4"/>
  <c r="L4" s="1"/>
  <c r="J36"/>
  <c r="L36" s="1"/>
  <c r="J67"/>
  <c r="L67" s="1"/>
  <c r="J68"/>
  <c r="L68" s="1"/>
  <c r="J69"/>
  <c r="L69" s="1"/>
  <c r="J70"/>
  <c r="L70" s="1"/>
  <c r="J71"/>
  <c r="L71" s="1"/>
  <c r="J72"/>
  <c r="L72" s="1"/>
  <c r="J73"/>
  <c r="L73" s="1"/>
  <c r="J74"/>
  <c r="L74" s="1"/>
  <c r="J75"/>
  <c r="L75" s="1"/>
  <c r="J76"/>
  <c r="L76" s="1"/>
  <c r="J77"/>
  <c r="L77" s="1"/>
  <c r="J78"/>
  <c r="L78" s="1"/>
  <c r="J79"/>
  <c r="L79" s="1"/>
  <c r="J80"/>
  <c r="L80" s="1"/>
  <c r="J81"/>
  <c r="L81" s="1"/>
  <c r="J82"/>
  <c r="L82" s="1"/>
  <c r="J83"/>
  <c r="L83" s="1"/>
  <c r="J84"/>
  <c r="L84" s="1"/>
  <c r="J85"/>
  <c r="L85" s="1"/>
  <c r="J86"/>
  <c r="L86" s="1"/>
  <c r="J87"/>
  <c r="L87" s="1"/>
  <c r="J88"/>
  <c r="L88" s="1"/>
  <c r="J89"/>
  <c r="L89" s="1"/>
  <c r="J90"/>
  <c r="L90" s="1"/>
  <c r="J91"/>
  <c r="L91" s="1"/>
  <c r="J92"/>
  <c r="L92" s="1"/>
  <c r="J93"/>
  <c r="L93" s="1"/>
  <c r="J94"/>
  <c r="L94" s="1"/>
  <c r="J95"/>
  <c r="L95" s="1"/>
  <c r="J96"/>
  <c r="L96" s="1"/>
  <c r="J97"/>
  <c r="L97" s="1"/>
  <c r="J98"/>
  <c r="L98" s="1"/>
  <c r="J99"/>
  <c r="L99" s="1"/>
  <c r="J100"/>
  <c r="L100" s="1"/>
  <c r="J101"/>
  <c r="L101" s="1"/>
  <c r="J102"/>
  <c r="L102" s="1"/>
  <c r="J103"/>
  <c r="L103" s="1"/>
  <c r="J104"/>
  <c r="L104" s="1"/>
  <c r="J105"/>
  <c r="L105" s="1"/>
  <c r="J106"/>
  <c r="L106" s="1"/>
  <c r="J107"/>
  <c r="L107" s="1"/>
  <c r="J108"/>
  <c r="L108" s="1"/>
  <c r="J109"/>
  <c r="L109" s="1"/>
  <c r="J110"/>
  <c r="L110" s="1"/>
  <c r="J111"/>
  <c r="L111" s="1"/>
  <c r="J112"/>
  <c r="L112" s="1"/>
  <c r="J113"/>
  <c r="L113" s="1"/>
  <c r="J114"/>
  <c r="L114" s="1"/>
  <c r="J115"/>
  <c r="L115" s="1"/>
  <c r="J116"/>
  <c r="L116" s="1"/>
  <c r="J117"/>
  <c r="L117" s="1"/>
  <c r="J118"/>
  <c r="L118" s="1"/>
  <c r="J119"/>
  <c r="L119" s="1"/>
  <c r="J120"/>
  <c r="L120" s="1"/>
  <c r="J121"/>
  <c r="L121" s="1"/>
  <c r="J122"/>
  <c r="L122" s="1"/>
  <c r="J123"/>
  <c r="L123" s="1"/>
  <c r="J124"/>
  <c r="L124" s="1"/>
  <c r="J125"/>
  <c r="L125" s="1"/>
  <c r="J126"/>
  <c r="L126" s="1"/>
  <c r="J127"/>
  <c r="L127" s="1"/>
  <c r="J128"/>
  <c r="L128" s="1"/>
  <c r="J129"/>
  <c r="L129" s="1"/>
  <c r="J130"/>
  <c r="L130" s="1"/>
  <c r="J131"/>
  <c r="L131" s="1"/>
  <c r="J132"/>
  <c r="L132" s="1"/>
  <c r="J133"/>
  <c r="L133" s="1"/>
  <c r="J134"/>
  <c r="L134" s="1"/>
  <c r="J135"/>
  <c r="L135" s="1"/>
  <c r="J136"/>
  <c r="L136" s="1"/>
  <c r="J137"/>
  <c r="L137" s="1"/>
  <c r="J138"/>
  <c r="L138" s="1"/>
  <c r="J139"/>
  <c r="L139" s="1"/>
  <c r="J140"/>
  <c r="L140" s="1"/>
  <c r="J141"/>
  <c r="L141" s="1"/>
  <c r="J142"/>
  <c r="L142" s="1"/>
  <c r="J143"/>
  <c r="L143" s="1"/>
  <c r="J144"/>
  <c r="L144" s="1"/>
  <c r="J145"/>
  <c r="L145" s="1"/>
  <c r="J146"/>
  <c r="L146" s="1"/>
  <c r="J147"/>
  <c r="L147" s="1"/>
  <c r="J148"/>
  <c r="L148" s="1"/>
  <c r="J149"/>
  <c r="L149" s="1"/>
  <c r="J150"/>
  <c r="L150" s="1"/>
  <c r="J151"/>
  <c r="L151" s="1"/>
  <c r="J152"/>
  <c r="L152" s="1"/>
  <c r="J153"/>
  <c r="L153" s="1"/>
  <c r="J154"/>
  <c r="L154" s="1"/>
  <c r="J155"/>
  <c r="L155" s="1"/>
  <c r="J156"/>
  <c r="L156" s="1"/>
  <c r="J157"/>
  <c r="L157" s="1"/>
  <c r="J158"/>
  <c r="L158" s="1"/>
  <c r="J159"/>
  <c r="L159" s="1"/>
  <c r="J160"/>
  <c r="L160" s="1"/>
  <c r="J161"/>
  <c r="L161" s="1"/>
  <c r="J162"/>
  <c r="L162" s="1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B166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I166" i="17"/>
  <c r="I167"/>
  <c r="H167"/>
  <c r="H166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1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B167"/>
  <c r="B166"/>
  <c r="K104"/>
  <c r="I104"/>
  <c r="M103"/>
  <c r="I103"/>
  <c r="M102"/>
  <c r="I102"/>
  <c r="M101"/>
  <c r="I101"/>
  <c r="M100"/>
  <c r="I100"/>
  <c r="M99"/>
  <c r="I99"/>
  <c r="M98"/>
  <c r="M97"/>
  <c r="M96"/>
  <c r="M95"/>
  <c r="M94"/>
  <c r="M93"/>
  <c r="K92"/>
  <c r="M91"/>
  <c r="L91"/>
  <c r="K90"/>
  <c r="M89"/>
  <c r="L89"/>
  <c r="K88"/>
  <c r="M87"/>
  <c r="L87"/>
  <c r="K86"/>
  <c r="M85"/>
  <c r="L85"/>
  <c r="K84"/>
  <c r="M83"/>
  <c r="L83"/>
  <c r="K82"/>
  <c r="M81"/>
  <c r="L81"/>
  <c r="K80"/>
  <c r="M79"/>
  <c r="L79"/>
  <c r="K78"/>
  <c r="M77"/>
  <c r="L77"/>
  <c r="K76"/>
  <c r="M75"/>
  <c r="L75"/>
  <c r="K74"/>
  <c r="M73"/>
  <c r="L73"/>
  <c r="K72"/>
  <c r="M71"/>
  <c r="L71"/>
  <c r="K70"/>
  <c r="M69"/>
  <c r="L69"/>
  <c r="K68"/>
  <c r="M67"/>
  <c r="L67"/>
  <c r="K66"/>
  <c r="M65"/>
  <c r="L65"/>
  <c r="K64"/>
  <c r="M63"/>
  <c r="L63"/>
  <c r="K62"/>
  <c r="M61"/>
  <c r="L61"/>
  <c r="K60"/>
  <c r="M59"/>
  <c r="L59"/>
  <c r="K58"/>
  <c r="M57"/>
  <c r="L57"/>
  <c r="K56"/>
  <c r="M55"/>
  <c r="L55"/>
  <c r="K54"/>
  <c r="M53"/>
  <c r="L53"/>
  <c r="K52"/>
  <c r="M51"/>
  <c r="L51"/>
  <c r="K50"/>
  <c r="M49"/>
  <c r="L49"/>
  <c r="K48"/>
  <c r="M47"/>
  <c r="L47"/>
  <c r="K46"/>
  <c r="M45"/>
  <c r="K44"/>
  <c r="M43"/>
  <c r="K42"/>
  <c r="M41"/>
  <c r="M40"/>
  <c r="M39"/>
  <c r="M38"/>
  <c r="M37"/>
  <c r="K36"/>
  <c r="M36"/>
  <c r="I36"/>
  <c r="I35"/>
  <c r="M34"/>
  <c r="J33"/>
  <c r="M32"/>
  <c r="M30"/>
  <c r="J29"/>
  <c r="M28"/>
  <c r="M26"/>
  <c r="J25"/>
  <c r="M24"/>
  <c r="M22"/>
  <c r="J21"/>
  <c r="K20"/>
  <c r="M20"/>
  <c r="I19"/>
  <c r="M18"/>
  <c r="J17"/>
  <c r="M16"/>
  <c r="M14"/>
  <c r="J13"/>
  <c r="M12"/>
  <c r="M10"/>
  <c r="J9"/>
  <c r="M8"/>
  <c r="M6"/>
  <c r="L6"/>
  <c r="M5"/>
  <c r="L5"/>
  <c r="M4"/>
  <c r="M3"/>
  <c r="L3"/>
  <c r="M2"/>
  <c r="H2" i="16"/>
  <c r="G2"/>
  <c r="E2"/>
  <c r="D2"/>
  <c r="I2" i="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2" i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J2" i="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2" i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K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2" i="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D34" i="15"/>
  <c r="C36" i="12"/>
  <c r="B36"/>
  <c r="C27"/>
  <c r="B27"/>
  <c r="C35"/>
  <c r="B35"/>
  <c r="C26"/>
  <c r="B26"/>
  <c r="C34"/>
  <c r="B34"/>
  <c r="C25"/>
  <c r="B25"/>
  <c r="C36" i="9"/>
  <c r="B36"/>
  <c r="C27"/>
  <c r="B27"/>
  <c r="C35"/>
  <c r="B35"/>
  <c r="C26"/>
  <c r="B26"/>
  <c r="C34"/>
  <c r="B34"/>
  <c r="C25"/>
  <c r="B25"/>
  <c r="B119" i="7"/>
  <c r="B118"/>
  <c r="O107"/>
  <c r="B171" i="8"/>
  <c r="B170"/>
  <c r="O159"/>
  <c r="B119" i="10"/>
  <c r="B118"/>
  <c r="O107"/>
  <c r="B171" i="11"/>
  <c r="B170"/>
  <c r="O159"/>
  <c r="B119" i="13"/>
  <c r="B118"/>
  <c r="O107"/>
  <c r="B171" i="14"/>
  <c r="B170"/>
  <c r="O159"/>
  <c r="C34" i="15"/>
  <c r="I26"/>
  <c r="I25"/>
  <c r="I24"/>
  <c r="H26"/>
  <c r="H25"/>
  <c r="H24"/>
  <c r="C26"/>
  <c r="C25"/>
  <c r="C24"/>
  <c r="B26"/>
  <c r="B25"/>
  <c r="B24"/>
  <c r="A166" i="14"/>
  <c r="B163"/>
  <c r="B162"/>
  <c r="K128"/>
  <c r="J128"/>
  <c r="I128"/>
  <c r="H128"/>
  <c r="K127"/>
  <c r="I127"/>
  <c r="H127"/>
  <c r="K126"/>
  <c r="J126"/>
  <c r="I126"/>
  <c r="H126"/>
  <c r="K125"/>
  <c r="J125"/>
  <c r="I125"/>
  <c r="H125"/>
  <c r="K124"/>
  <c r="J124"/>
  <c r="I124"/>
  <c r="H124"/>
  <c r="K123"/>
  <c r="I123"/>
  <c r="H123"/>
  <c r="K122"/>
  <c r="J122"/>
  <c r="I122"/>
  <c r="H122"/>
  <c r="K121"/>
  <c r="J121"/>
  <c r="N122" s="1"/>
  <c r="O122" s="1"/>
  <c r="I121"/>
  <c r="H121"/>
  <c r="K120"/>
  <c r="J120"/>
  <c r="I120"/>
  <c r="H120"/>
  <c r="K119"/>
  <c r="I119"/>
  <c r="H119"/>
  <c r="K118"/>
  <c r="J118"/>
  <c r="I118"/>
  <c r="H118"/>
  <c r="K117"/>
  <c r="J117"/>
  <c r="I117"/>
  <c r="H117"/>
  <c r="K116"/>
  <c r="J116"/>
  <c r="I116"/>
  <c r="H116"/>
  <c r="K115"/>
  <c r="I115"/>
  <c r="H115"/>
  <c r="K114"/>
  <c r="J114"/>
  <c r="I114"/>
  <c r="H114"/>
  <c r="K20"/>
  <c r="J20"/>
  <c r="I20"/>
  <c r="H20"/>
  <c r="K19"/>
  <c r="J19"/>
  <c r="I19"/>
  <c r="H19"/>
  <c r="K18"/>
  <c r="I18"/>
  <c r="H18"/>
  <c r="K17"/>
  <c r="J17"/>
  <c r="I17"/>
  <c r="H17"/>
  <c r="K16"/>
  <c r="J16"/>
  <c r="I16"/>
  <c r="H16"/>
  <c r="K15"/>
  <c r="J15"/>
  <c r="I15"/>
  <c r="H15"/>
  <c r="L14"/>
  <c r="K14"/>
  <c r="I14"/>
  <c r="H14"/>
  <c r="K13"/>
  <c r="J13"/>
  <c r="I13"/>
  <c r="H13"/>
  <c r="K12"/>
  <c r="J12"/>
  <c r="I12"/>
  <c r="H12"/>
  <c r="K11"/>
  <c r="J11"/>
  <c r="I11"/>
  <c r="H11"/>
  <c r="K10"/>
  <c r="I10"/>
  <c r="H10"/>
  <c r="K9"/>
  <c r="J9"/>
  <c r="I9"/>
  <c r="H9"/>
  <c r="K8"/>
  <c r="J8"/>
  <c r="I8"/>
  <c r="H8"/>
  <c r="K7"/>
  <c r="J7"/>
  <c r="I7"/>
  <c r="H7"/>
  <c r="K6"/>
  <c r="I6"/>
  <c r="H6"/>
  <c r="K5"/>
  <c r="J5"/>
  <c r="I5"/>
  <c r="H5"/>
  <c r="K4"/>
  <c r="J4"/>
  <c r="I4"/>
  <c r="H4"/>
  <c r="K3"/>
  <c r="J3"/>
  <c r="I3"/>
  <c r="H3"/>
  <c r="K2"/>
  <c r="J2"/>
  <c r="I2"/>
  <c r="H2"/>
  <c r="K113"/>
  <c r="J113"/>
  <c r="I113"/>
  <c r="H113"/>
  <c r="K111"/>
  <c r="J111"/>
  <c r="I111"/>
  <c r="H111"/>
  <c r="K109"/>
  <c r="J109"/>
  <c r="I109"/>
  <c r="H109"/>
  <c r="K107"/>
  <c r="J107"/>
  <c r="I107"/>
  <c r="H107"/>
  <c r="K105"/>
  <c r="J105"/>
  <c r="I105"/>
  <c r="H105"/>
  <c r="K103"/>
  <c r="J103"/>
  <c r="I103"/>
  <c r="H103"/>
  <c r="K101"/>
  <c r="J101"/>
  <c r="I101"/>
  <c r="H101"/>
  <c r="K99"/>
  <c r="J99"/>
  <c r="I99"/>
  <c r="H99"/>
  <c r="K97"/>
  <c r="J97"/>
  <c r="I97"/>
  <c r="H97"/>
  <c r="K95"/>
  <c r="J95"/>
  <c r="I95"/>
  <c r="H95"/>
  <c r="K93"/>
  <c r="J93"/>
  <c r="I93"/>
  <c r="H93"/>
  <c r="K91"/>
  <c r="J91"/>
  <c r="I91"/>
  <c r="H91"/>
  <c r="K89"/>
  <c r="J89"/>
  <c r="I89"/>
  <c r="H89"/>
  <c r="K158"/>
  <c r="J158"/>
  <c r="I158"/>
  <c r="H158"/>
  <c r="K156"/>
  <c r="J156"/>
  <c r="I156"/>
  <c r="H156"/>
  <c r="K154"/>
  <c r="J154"/>
  <c r="I154"/>
  <c r="H154"/>
  <c r="K152"/>
  <c r="J152"/>
  <c r="I152"/>
  <c r="H152"/>
  <c r="K150"/>
  <c r="J150"/>
  <c r="I150"/>
  <c r="H150"/>
  <c r="K148"/>
  <c r="J148"/>
  <c r="I148"/>
  <c r="H148"/>
  <c r="K146"/>
  <c r="J146"/>
  <c r="I146"/>
  <c r="H146"/>
  <c r="K144"/>
  <c r="J144"/>
  <c r="I144"/>
  <c r="H144"/>
  <c r="K142"/>
  <c r="J142"/>
  <c r="I142"/>
  <c r="H142"/>
  <c r="K140"/>
  <c r="J140"/>
  <c r="I140"/>
  <c r="H140"/>
  <c r="K138"/>
  <c r="J138"/>
  <c r="I138"/>
  <c r="H138"/>
  <c r="K136"/>
  <c r="J136"/>
  <c r="I136"/>
  <c r="H136"/>
  <c r="K134"/>
  <c r="J134"/>
  <c r="I134"/>
  <c r="H134"/>
  <c r="K132"/>
  <c r="J132"/>
  <c r="I132"/>
  <c r="H132"/>
  <c r="K130"/>
  <c r="J130"/>
  <c r="I130"/>
  <c r="H130"/>
  <c r="K87"/>
  <c r="J87"/>
  <c r="I87"/>
  <c r="H87"/>
  <c r="K86"/>
  <c r="J86"/>
  <c r="N87" s="1"/>
  <c r="O87" s="1"/>
  <c r="I86"/>
  <c r="H86"/>
  <c r="K85"/>
  <c r="J85"/>
  <c r="N86" s="1"/>
  <c r="O86" s="1"/>
  <c r="I85"/>
  <c r="H85"/>
  <c r="K84"/>
  <c r="J84"/>
  <c r="N85" s="1"/>
  <c r="O85" s="1"/>
  <c r="I84"/>
  <c r="H84"/>
  <c r="K80"/>
  <c r="J80"/>
  <c r="I80"/>
  <c r="H80"/>
  <c r="K78"/>
  <c r="J78"/>
  <c r="I78"/>
  <c r="H78"/>
  <c r="K76"/>
  <c r="J76"/>
  <c r="I76"/>
  <c r="H76"/>
  <c r="K74"/>
  <c r="J74"/>
  <c r="I74"/>
  <c r="H74"/>
  <c r="J72"/>
  <c r="I72"/>
  <c r="H72"/>
  <c r="K70"/>
  <c r="J70"/>
  <c r="I70"/>
  <c r="H70"/>
  <c r="K68"/>
  <c r="J68"/>
  <c r="I68"/>
  <c r="H68"/>
  <c r="K66"/>
  <c r="J66"/>
  <c r="I66"/>
  <c r="H66"/>
  <c r="K64"/>
  <c r="J64"/>
  <c r="I64"/>
  <c r="H64"/>
  <c r="K62"/>
  <c r="J62"/>
  <c r="I62"/>
  <c r="H62"/>
  <c r="K60"/>
  <c r="I60"/>
  <c r="H60"/>
  <c r="K58"/>
  <c r="J58"/>
  <c r="I58"/>
  <c r="H58"/>
  <c r="K56"/>
  <c r="J56"/>
  <c r="I56"/>
  <c r="H56"/>
  <c r="K54"/>
  <c r="I54"/>
  <c r="H54"/>
  <c r="K52"/>
  <c r="J52"/>
  <c r="I52"/>
  <c r="H52"/>
  <c r="K50"/>
  <c r="J50"/>
  <c r="I50"/>
  <c r="H50"/>
  <c r="K48"/>
  <c r="J48"/>
  <c r="I48"/>
  <c r="H48"/>
  <c r="K46"/>
  <c r="J46"/>
  <c r="I46"/>
  <c r="H46"/>
  <c r="K44"/>
  <c r="J44"/>
  <c r="I44"/>
  <c r="H44"/>
  <c r="K42"/>
  <c r="J42"/>
  <c r="I42"/>
  <c r="H42"/>
  <c r="K40"/>
  <c r="J40"/>
  <c r="I40"/>
  <c r="H40"/>
  <c r="K38"/>
  <c r="J38"/>
  <c r="I38"/>
  <c r="H38"/>
  <c r="K36"/>
  <c r="J36"/>
  <c r="I36"/>
  <c r="H36"/>
  <c r="K34"/>
  <c r="J34"/>
  <c r="I34"/>
  <c r="H34"/>
  <c r="K32"/>
  <c r="J32"/>
  <c r="I32"/>
  <c r="H32"/>
  <c r="K30"/>
  <c r="J30"/>
  <c r="I30"/>
  <c r="H30"/>
  <c r="K28"/>
  <c r="J28"/>
  <c r="I28"/>
  <c r="H28"/>
  <c r="K26"/>
  <c r="J26"/>
  <c r="I26"/>
  <c r="H26"/>
  <c r="K24"/>
  <c r="J24"/>
  <c r="I24"/>
  <c r="H24"/>
  <c r="K22"/>
  <c r="J22"/>
  <c r="I22"/>
  <c r="H22"/>
  <c r="K112"/>
  <c r="J112"/>
  <c r="I112"/>
  <c r="H112"/>
  <c r="K110"/>
  <c r="J110"/>
  <c r="I110"/>
  <c r="H110"/>
  <c r="K108"/>
  <c r="J108"/>
  <c r="I108"/>
  <c r="H108"/>
  <c r="K106"/>
  <c r="J106"/>
  <c r="I106"/>
  <c r="H106"/>
  <c r="K104"/>
  <c r="J104"/>
  <c r="I104"/>
  <c r="H104"/>
  <c r="K102"/>
  <c r="J102"/>
  <c r="I102"/>
  <c r="H102"/>
  <c r="K100"/>
  <c r="J100"/>
  <c r="I100"/>
  <c r="H100"/>
  <c r="K98"/>
  <c r="J98"/>
  <c r="I98"/>
  <c r="H98"/>
  <c r="K96"/>
  <c r="J96"/>
  <c r="I96"/>
  <c r="H96"/>
  <c r="K94"/>
  <c r="J94"/>
  <c r="I94"/>
  <c r="H94"/>
  <c r="K92"/>
  <c r="J92"/>
  <c r="I92"/>
  <c r="H92"/>
  <c r="K90"/>
  <c r="J90"/>
  <c r="I90"/>
  <c r="H90"/>
  <c r="K88"/>
  <c r="J88"/>
  <c r="I88"/>
  <c r="H88"/>
  <c r="K157"/>
  <c r="J157"/>
  <c r="I157"/>
  <c r="H157"/>
  <c r="K155"/>
  <c r="J155"/>
  <c r="I155"/>
  <c r="H155"/>
  <c r="K153"/>
  <c r="J153"/>
  <c r="I153"/>
  <c r="H153"/>
  <c r="K151"/>
  <c r="J151"/>
  <c r="I151"/>
  <c r="H151"/>
  <c r="K149"/>
  <c r="J149"/>
  <c r="I149"/>
  <c r="H149"/>
  <c r="K147"/>
  <c r="J147"/>
  <c r="I147"/>
  <c r="H147"/>
  <c r="K145"/>
  <c r="J145"/>
  <c r="I145"/>
  <c r="H145"/>
  <c r="K143"/>
  <c r="J143"/>
  <c r="I143"/>
  <c r="H143"/>
  <c r="K141"/>
  <c r="J141"/>
  <c r="I141"/>
  <c r="H141"/>
  <c r="K139"/>
  <c r="J139"/>
  <c r="I139"/>
  <c r="H139"/>
  <c r="K137"/>
  <c r="J137"/>
  <c r="I137"/>
  <c r="H137"/>
  <c r="K135"/>
  <c r="J135"/>
  <c r="I135"/>
  <c r="H135"/>
  <c r="K133"/>
  <c r="J133"/>
  <c r="I133"/>
  <c r="H133"/>
  <c r="K131"/>
  <c r="J131"/>
  <c r="I131"/>
  <c r="H131"/>
  <c r="K129"/>
  <c r="J129"/>
  <c r="I129"/>
  <c r="H129"/>
  <c r="K83"/>
  <c r="J83"/>
  <c r="I83"/>
  <c r="H83"/>
  <c r="K82"/>
  <c r="J82"/>
  <c r="I82"/>
  <c r="H82"/>
  <c r="K81"/>
  <c r="J81"/>
  <c r="I81"/>
  <c r="H81"/>
  <c r="K79"/>
  <c r="J79"/>
  <c r="I79"/>
  <c r="H79"/>
  <c r="K77"/>
  <c r="J77"/>
  <c r="I77"/>
  <c r="H77"/>
  <c r="K75"/>
  <c r="J75"/>
  <c r="I75"/>
  <c r="H75"/>
  <c r="K73"/>
  <c r="J73"/>
  <c r="I73"/>
  <c r="H73"/>
  <c r="K71"/>
  <c r="J71"/>
  <c r="I71"/>
  <c r="H71"/>
  <c r="K69"/>
  <c r="J69"/>
  <c r="I69"/>
  <c r="H69"/>
  <c r="K67"/>
  <c r="J67"/>
  <c r="I67"/>
  <c r="H67"/>
  <c r="K65"/>
  <c r="J65"/>
  <c r="I65"/>
  <c r="H65"/>
  <c r="K63"/>
  <c r="J63"/>
  <c r="I63"/>
  <c r="H63"/>
  <c r="K61"/>
  <c r="L60" s="1"/>
  <c r="J61"/>
  <c r="I61"/>
  <c r="H61"/>
  <c r="K59"/>
  <c r="J59"/>
  <c r="I59"/>
  <c r="H59"/>
  <c r="K57"/>
  <c r="J57"/>
  <c r="I57"/>
  <c r="H57"/>
  <c r="K55"/>
  <c r="J55"/>
  <c r="I55"/>
  <c r="H55"/>
  <c r="K53"/>
  <c r="J53"/>
  <c r="I53"/>
  <c r="H53"/>
  <c r="K51"/>
  <c r="J51"/>
  <c r="I51"/>
  <c r="H51"/>
  <c r="K49"/>
  <c r="J49"/>
  <c r="I49"/>
  <c r="H49"/>
  <c r="K47"/>
  <c r="J47"/>
  <c r="I47"/>
  <c r="H47"/>
  <c r="K45"/>
  <c r="J45"/>
  <c r="I45"/>
  <c r="H45"/>
  <c r="K43"/>
  <c r="J43"/>
  <c r="I43"/>
  <c r="H43"/>
  <c r="K41"/>
  <c r="L123" s="1"/>
  <c r="J41"/>
  <c r="I41"/>
  <c r="H41"/>
  <c r="K39"/>
  <c r="J39"/>
  <c r="I39"/>
  <c r="H39"/>
  <c r="K37"/>
  <c r="J37"/>
  <c r="I37"/>
  <c r="H37"/>
  <c r="K35"/>
  <c r="J35"/>
  <c r="I35"/>
  <c r="H35"/>
  <c r="K33"/>
  <c r="J33"/>
  <c r="I33"/>
  <c r="H33"/>
  <c r="K31"/>
  <c r="J31"/>
  <c r="I31"/>
  <c r="H31"/>
  <c r="K29"/>
  <c r="J29"/>
  <c r="I29"/>
  <c r="H29"/>
  <c r="K27"/>
  <c r="J27"/>
  <c r="I27"/>
  <c r="H27"/>
  <c r="K25"/>
  <c r="L115" s="1"/>
  <c r="J25"/>
  <c r="I25"/>
  <c r="H25"/>
  <c r="K23"/>
  <c r="J23"/>
  <c r="I23"/>
  <c r="H23"/>
  <c r="K21"/>
  <c r="J21"/>
  <c r="I21"/>
  <c r="I159" s="1"/>
  <c r="C163" s="1"/>
  <c r="H21"/>
  <c r="H159" s="1"/>
  <c r="C162" s="1"/>
  <c r="A114" i="13"/>
  <c r="B111"/>
  <c r="B110"/>
  <c r="K25"/>
  <c r="J25"/>
  <c r="I25"/>
  <c r="H25"/>
  <c r="K24"/>
  <c r="J24"/>
  <c r="N25" s="1"/>
  <c r="O25" s="1"/>
  <c r="I24"/>
  <c r="H24"/>
  <c r="K23"/>
  <c r="J23"/>
  <c r="I23"/>
  <c r="H23"/>
  <c r="K22"/>
  <c r="J22"/>
  <c r="I22"/>
  <c r="H22"/>
  <c r="K21"/>
  <c r="J21"/>
  <c r="I21"/>
  <c r="H21"/>
  <c r="K20"/>
  <c r="J20"/>
  <c r="I20"/>
  <c r="H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K6"/>
  <c r="J6"/>
  <c r="I6"/>
  <c r="H6"/>
  <c r="K5"/>
  <c r="J5"/>
  <c r="I5"/>
  <c r="H5"/>
  <c r="K4"/>
  <c r="J4"/>
  <c r="I4"/>
  <c r="H4"/>
  <c r="K3"/>
  <c r="J3"/>
  <c r="I3"/>
  <c r="H3"/>
  <c r="K2"/>
  <c r="J2"/>
  <c r="I2"/>
  <c r="H2"/>
  <c r="K71"/>
  <c r="J71"/>
  <c r="I71"/>
  <c r="H71"/>
  <c r="K69"/>
  <c r="J69"/>
  <c r="I69"/>
  <c r="H69"/>
  <c r="K67"/>
  <c r="J67"/>
  <c r="I67"/>
  <c r="H67"/>
  <c r="K65"/>
  <c r="J65"/>
  <c r="I65"/>
  <c r="H65"/>
  <c r="K63"/>
  <c r="J63"/>
  <c r="I63"/>
  <c r="H63"/>
  <c r="K61"/>
  <c r="J61"/>
  <c r="I61"/>
  <c r="H61"/>
  <c r="K59"/>
  <c r="J59"/>
  <c r="I59"/>
  <c r="H59"/>
  <c r="K57"/>
  <c r="J57"/>
  <c r="I57"/>
  <c r="H57"/>
  <c r="K55"/>
  <c r="J55"/>
  <c r="I55"/>
  <c r="H55"/>
  <c r="K53"/>
  <c r="J53"/>
  <c r="I53"/>
  <c r="H53"/>
  <c r="K51"/>
  <c r="J51"/>
  <c r="I51"/>
  <c r="H51"/>
  <c r="K49"/>
  <c r="J49"/>
  <c r="I49"/>
  <c r="H49"/>
  <c r="K47"/>
  <c r="J47"/>
  <c r="I47"/>
  <c r="H47"/>
  <c r="K45"/>
  <c r="J45"/>
  <c r="I45"/>
  <c r="H45"/>
  <c r="K43"/>
  <c r="J43"/>
  <c r="I43"/>
  <c r="H43"/>
  <c r="K41"/>
  <c r="J41"/>
  <c r="I41"/>
  <c r="H41"/>
  <c r="K39"/>
  <c r="J39"/>
  <c r="I39"/>
  <c r="H39"/>
  <c r="K37"/>
  <c r="J37"/>
  <c r="I37"/>
  <c r="H37"/>
  <c r="K35"/>
  <c r="J35"/>
  <c r="I35"/>
  <c r="H35"/>
  <c r="K33"/>
  <c r="J33"/>
  <c r="I33"/>
  <c r="H33"/>
  <c r="K31"/>
  <c r="J31"/>
  <c r="I31"/>
  <c r="H31"/>
  <c r="K29"/>
  <c r="J29"/>
  <c r="I29"/>
  <c r="H29"/>
  <c r="K27"/>
  <c r="J27"/>
  <c r="I27"/>
  <c r="H27"/>
  <c r="K106"/>
  <c r="J106"/>
  <c r="I106"/>
  <c r="H106"/>
  <c r="K105"/>
  <c r="J105"/>
  <c r="I105"/>
  <c r="H105"/>
  <c r="K103"/>
  <c r="J103"/>
  <c r="I103"/>
  <c r="H103"/>
  <c r="K101"/>
  <c r="J101"/>
  <c r="I101"/>
  <c r="H101"/>
  <c r="K99"/>
  <c r="J99"/>
  <c r="I99"/>
  <c r="H99"/>
  <c r="K97"/>
  <c r="J97"/>
  <c r="I97"/>
  <c r="H97"/>
  <c r="K95"/>
  <c r="J95"/>
  <c r="I95"/>
  <c r="H95"/>
  <c r="K93"/>
  <c r="J93"/>
  <c r="I93"/>
  <c r="H93"/>
  <c r="K91"/>
  <c r="J91"/>
  <c r="I91"/>
  <c r="H91"/>
  <c r="K89"/>
  <c r="J89"/>
  <c r="I89"/>
  <c r="H89"/>
  <c r="K87"/>
  <c r="J87"/>
  <c r="I87"/>
  <c r="H87"/>
  <c r="K85"/>
  <c r="J85"/>
  <c r="I85"/>
  <c r="H85"/>
  <c r="K83"/>
  <c r="J83"/>
  <c r="I83"/>
  <c r="H83"/>
  <c r="K81"/>
  <c r="J81"/>
  <c r="I81"/>
  <c r="H81"/>
  <c r="K79"/>
  <c r="J79"/>
  <c r="I79"/>
  <c r="H79"/>
  <c r="K77"/>
  <c r="J77"/>
  <c r="I77"/>
  <c r="H77"/>
  <c r="K75"/>
  <c r="J75"/>
  <c r="I75"/>
  <c r="H75"/>
  <c r="K73"/>
  <c r="J73"/>
  <c r="I73"/>
  <c r="H73"/>
  <c r="K70"/>
  <c r="J70"/>
  <c r="I70"/>
  <c r="H70"/>
  <c r="K68"/>
  <c r="J68"/>
  <c r="N70" s="1"/>
  <c r="O70" s="1"/>
  <c r="I68"/>
  <c r="H68"/>
  <c r="K66"/>
  <c r="J66"/>
  <c r="N68" s="1"/>
  <c r="O68" s="1"/>
  <c r="I66"/>
  <c r="H66"/>
  <c r="K64"/>
  <c r="J64"/>
  <c r="N66" s="1"/>
  <c r="O66" s="1"/>
  <c r="I64"/>
  <c r="H64"/>
  <c r="K62"/>
  <c r="J62"/>
  <c r="N64" s="1"/>
  <c r="O64" s="1"/>
  <c r="I62"/>
  <c r="H62"/>
  <c r="K60"/>
  <c r="J60"/>
  <c r="N62" s="1"/>
  <c r="O62" s="1"/>
  <c r="I60"/>
  <c r="H60"/>
  <c r="K58"/>
  <c r="J58"/>
  <c r="N60" s="1"/>
  <c r="O60" s="1"/>
  <c r="I58"/>
  <c r="H58"/>
  <c r="K56"/>
  <c r="J56"/>
  <c r="I56"/>
  <c r="H56"/>
  <c r="K54"/>
  <c r="J54"/>
  <c r="I54"/>
  <c r="H54"/>
  <c r="K52"/>
  <c r="J52"/>
  <c r="I52"/>
  <c r="H52"/>
  <c r="K50"/>
  <c r="J50"/>
  <c r="I50"/>
  <c r="H50"/>
  <c r="K48"/>
  <c r="J48"/>
  <c r="I48"/>
  <c r="H48"/>
  <c r="K46"/>
  <c r="J46"/>
  <c r="I46"/>
  <c r="H46"/>
  <c r="K44"/>
  <c r="J44"/>
  <c r="I44"/>
  <c r="H44"/>
  <c r="K42"/>
  <c r="J42"/>
  <c r="I42"/>
  <c r="H42"/>
  <c r="K40"/>
  <c r="J40"/>
  <c r="I40"/>
  <c r="H40"/>
  <c r="K38"/>
  <c r="J38"/>
  <c r="I38"/>
  <c r="H38"/>
  <c r="K36"/>
  <c r="J36"/>
  <c r="I36"/>
  <c r="H36"/>
  <c r="K34"/>
  <c r="J34"/>
  <c r="I34"/>
  <c r="H34"/>
  <c r="K32"/>
  <c r="J32"/>
  <c r="I32"/>
  <c r="H32"/>
  <c r="K30"/>
  <c r="J30"/>
  <c r="I30"/>
  <c r="H30"/>
  <c r="K28"/>
  <c r="J28"/>
  <c r="I28"/>
  <c r="H28"/>
  <c r="K26"/>
  <c r="J26"/>
  <c r="I26"/>
  <c r="H26"/>
  <c r="K104"/>
  <c r="J104"/>
  <c r="I104"/>
  <c r="H104"/>
  <c r="K102"/>
  <c r="J102"/>
  <c r="I102"/>
  <c r="H102"/>
  <c r="K100"/>
  <c r="J100"/>
  <c r="I100"/>
  <c r="H100"/>
  <c r="K98"/>
  <c r="J98"/>
  <c r="I98"/>
  <c r="H98"/>
  <c r="K96"/>
  <c r="J96"/>
  <c r="I96"/>
  <c r="H96"/>
  <c r="K94"/>
  <c r="J94"/>
  <c r="I94"/>
  <c r="H94"/>
  <c r="K92"/>
  <c r="J92"/>
  <c r="I92"/>
  <c r="H92"/>
  <c r="K90"/>
  <c r="J90"/>
  <c r="I90"/>
  <c r="H90"/>
  <c r="K88"/>
  <c r="J88"/>
  <c r="I88"/>
  <c r="H88"/>
  <c r="K86"/>
  <c r="J86"/>
  <c r="I86"/>
  <c r="H86"/>
  <c r="K84"/>
  <c r="J84"/>
  <c r="I84"/>
  <c r="H84"/>
  <c r="K82"/>
  <c r="J82"/>
  <c r="I82"/>
  <c r="H82"/>
  <c r="K80"/>
  <c r="J80"/>
  <c r="I80"/>
  <c r="H80"/>
  <c r="K78"/>
  <c r="J78"/>
  <c r="I78"/>
  <c r="H78"/>
  <c r="K76"/>
  <c r="J76"/>
  <c r="I76"/>
  <c r="H76"/>
  <c r="K74"/>
  <c r="J74"/>
  <c r="I74"/>
  <c r="H74"/>
  <c r="K72"/>
  <c r="N72" s="1"/>
  <c r="J72"/>
  <c r="E110" s="1"/>
  <c r="I72"/>
  <c r="I107" s="1"/>
  <c r="C111" s="1"/>
  <c r="H72"/>
  <c r="H107" s="1"/>
  <c r="C110" s="1"/>
  <c r="P107" i="38" l="1"/>
  <c r="S107"/>
  <c r="C111" s="1"/>
  <c r="T107"/>
  <c r="C112" s="1"/>
  <c r="R107"/>
  <c r="O107"/>
  <c r="E111"/>
  <c r="M107"/>
  <c r="Q107"/>
  <c r="D111" s="1"/>
  <c r="N107"/>
  <c r="P60" i="37"/>
  <c r="Q60"/>
  <c r="S60" s="1"/>
  <c r="P56"/>
  <c r="Q56"/>
  <c r="S56" s="1"/>
  <c r="P52"/>
  <c r="Q52"/>
  <c r="S52" s="1"/>
  <c r="P48"/>
  <c r="Q48"/>
  <c r="S48" s="1"/>
  <c r="P44"/>
  <c r="Q44"/>
  <c r="S44" s="1"/>
  <c r="P40"/>
  <c r="Q40"/>
  <c r="S40" s="1"/>
  <c r="P36"/>
  <c r="Q36"/>
  <c r="S36" s="1"/>
  <c r="P32"/>
  <c r="Q32"/>
  <c r="S32" s="1"/>
  <c r="P28"/>
  <c r="Q28"/>
  <c r="S28" s="1"/>
  <c r="P24"/>
  <c r="Q24"/>
  <c r="S24" s="1"/>
  <c r="P112"/>
  <c r="Q112"/>
  <c r="S112" s="1"/>
  <c r="P108"/>
  <c r="Q108"/>
  <c r="S108" s="1"/>
  <c r="P104"/>
  <c r="Q104"/>
  <c r="S104" s="1"/>
  <c r="P100"/>
  <c r="Q100"/>
  <c r="S100" s="1"/>
  <c r="P96"/>
  <c r="Q96"/>
  <c r="S96" s="1"/>
  <c r="P92"/>
  <c r="Q92"/>
  <c r="S92" s="1"/>
  <c r="P88"/>
  <c r="Q88"/>
  <c r="S88" s="1"/>
  <c r="P155"/>
  <c r="Q155"/>
  <c r="S155" s="1"/>
  <c r="P151"/>
  <c r="Q151"/>
  <c r="S151" s="1"/>
  <c r="P147"/>
  <c r="Q147"/>
  <c r="S147" s="1"/>
  <c r="P143"/>
  <c r="Q143"/>
  <c r="S143" s="1"/>
  <c r="P139"/>
  <c r="Q139"/>
  <c r="S139" s="1"/>
  <c r="P135"/>
  <c r="Q135"/>
  <c r="S135" s="1"/>
  <c r="P131"/>
  <c r="Q131"/>
  <c r="S131" s="1"/>
  <c r="P83"/>
  <c r="Q83"/>
  <c r="S83" s="1"/>
  <c r="R81"/>
  <c r="T81" s="1"/>
  <c r="P81"/>
  <c r="P77"/>
  <c r="Q77"/>
  <c r="S77" s="1"/>
  <c r="R73"/>
  <c r="T73" s="1"/>
  <c r="P73"/>
  <c r="R69"/>
  <c r="P69"/>
  <c r="P65"/>
  <c r="Q65"/>
  <c r="S65" s="1"/>
  <c r="P61"/>
  <c r="P159" s="1"/>
  <c r="Q61"/>
  <c r="M159"/>
  <c r="P64"/>
  <c r="Q64"/>
  <c r="S64" s="1"/>
  <c r="O159"/>
  <c r="N159"/>
  <c r="N107" i="35"/>
  <c r="R41"/>
  <c r="T41" s="1"/>
  <c r="P41"/>
  <c r="P37"/>
  <c r="Q37"/>
  <c r="S37" s="1"/>
  <c r="P24"/>
  <c r="Q24"/>
  <c r="S24" s="1"/>
  <c r="P22"/>
  <c r="Q22"/>
  <c r="S22" s="1"/>
  <c r="P20"/>
  <c r="Q20"/>
  <c r="S20" s="1"/>
  <c r="P18"/>
  <c r="Q18"/>
  <c r="S18" s="1"/>
  <c r="P16"/>
  <c r="Q16"/>
  <c r="S16" s="1"/>
  <c r="P14"/>
  <c r="Q14"/>
  <c r="S14" s="1"/>
  <c r="P12"/>
  <c r="Q12"/>
  <c r="S12" s="1"/>
  <c r="P10"/>
  <c r="Q10"/>
  <c r="S10" s="1"/>
  <c r="P8"/>
  <c r="Q8"/>
  <c r="S8" s="1"/>
  <c r="P6"/>
  <c r="Q6"/>
  <c r="S6" s="1"/>
  <c r="P4"/>
  <c r="Q4"/>
  <c r="S4" s="1"/>
  <c r="P2"/>
  <c r="Q2"/>
  <c r="S2" s="1"/>
  <c r="P69"/>
  <c r="Q69"/>
  <c r="S69" s="1"/>
  <c r="P65"/>
  <c r="Q65"/>
  <c r="S65" s="1"/>
  <c r="P61"/>
  <c r="Q61"/>
  <c r="S61" s="1"/>
  <c r="P57"/>
  <c r="Q57"/>
  <c r="S57" s="1"/>
  <c r="P53"/>
  <c r="Q53"/>
  <c r="S53" s="1"/>
  <c r="P49"/>
  <c r="Q49"/>
  <c r="S49" s="1"/>
  <c r="P45"/>
  <c r="Q45"/>
  <c r="S45" s="1"/>
  <c r="M107"/>
  <c r="O107"/>
  <c r="P72"/>
  <c r="R33"/>
  <c r="P33"/>
  <c r="P29"/>
  <c r="Q29"/>
  <c r="S29" s="1"/>
  <c r="P106"/>
  <c r="Q106"/>
  <c r="S106" s="1"/>
  <c r="P103"/>
  <c r="Q103"/>
  <c r="S103" s="1"/>
  <c r="P99"/>
  <c r="Q99"/>
  <c r="S99" s="1"/>
  <c r="P95"/>
  <c r="Q95"/>
  <c r="S95" s="1"/>
  <c r="P91"/>
  <c r="Q91"/>
  <c r="S91" s="1"/>
  <c r="P87"/>
  <c r="Q87"/>
  <c r="S87" s="1"/>
  <c r="P83"/>
  <c r="Q83"/>
  <c r="S83" s="1"/>
  <c r="P79"/>
  <c r="Q79"/>
  <c r="S79" s="1"/>
  <c r="P75"/>
  <c r="Q75"/>
  <c r="S75" s="1"/>
  <c r="P70"/>
  <c r="Q70"/>
  <c r="S70" s="1"/>
  <c r="P66"/>
  <c r="Q66"/>
  <c r="S66" s="1"/>
  <c r="P62"/>
  <c r="Q62"/>
  <c r="S62" s="1"/>
  <c r="P58"/>
  <c r="Q58"/>
  <c r="S58" s="1"/>
  <c r="P54"/>
  <c r="Q54"/>
  <c r="S54" s="1"/>
  <c r="P50"/>
  <c r="Q50"/>
  <c r="S50" s="1"/>
  <c r="P46"/>
  <c r="Q46"/>
  <c r="S46" s="1"/>
  <c r="P42"/>
  <c r="Q42"/>
  <c r="O159" i="34"/>
  <c r="T159"/>
  <c r="C164" s="1"/>
  <c r="R159"/>
  <c r="Q64"/>
  <c r="E163" s="1"/>
  <c r="P64"/>
  <c r="P159" s="1"/>
  <c r="M159"/>
  <c r="N159"/>
  <c r="E164"/>
  <c r="E112" i="30"/>
  <c r="P74"/>
  <c r="N107"/>
  <c r="M107"/>
  <c r="O107"/>
  <c r="P72"/>
  <c r="D112"/>
  <c r="P94" i="29"/>
  <c r="T94"/>
  <c r="P90"/>
  <c r="S90"/>
  <c r="P157"/>
  <c r="T157"/>
  <c r="P153"/>
  <c r="T153"/>
  <c r="P149"/>
  <c r="S149"/>
  <c r="P145"/>
  <c r="S145"/>
  <c r="P141"/>
  <c r="T141"/>
  <c r="P137"/>
  <c r="T137"/>
  <c r="P133"/>
  <c r="T133"/>
  <c r="P129"/>
  <c r="S129"/>
  <c r="P82"/>
  <c r="S82"/>
  <c r="P79"/>
  <c r="T79"/>
  <c r="P75"/>
  <c r="S75"/>
  <c r="P71"/>
  <c r="T71"/>
  <c r="P67"/>
  <c r="S67"/>
  <c r="P63"/>
  <c r="S63"/>
  <c r="P59"/>
  <c r="T59"/>
  <c r="P55"/>
  <c r="S55"/>
  <c r="P51"/>
  <c r="S51"/>
  <c r="P47"/>
  <c r="S47"/>
  <c r="P43"/>
  <c r="S43"/>
  <c r="P39"/>
  <c r="S39"/>
  <c r="P35"/>
  <c r="S35"/>
  <c r="P31"/>
  <c r="S31"/>
  <c r="P27"/>
  <c r="S27"/>
  <c r="P23"/>
  <c r="S23"/>
  <c r="P25"/>
  <c r="S25"/>
  <c r="P98"/>
  <c r="S98"/>
  <c r="P57"/>
  <c r="S57"/>
  <c r="P53"/>
  <c r="S53"/>
  <c r="P49"/>
  <c r="S49"/>
  <c r="P45"/>
  <c r="S45"/>
  <c r="P41"/>
  <c r="S41"/>
  <c r="P37"/>
  <c r="S37"/>
  <c r="P33"/>
  <c r="S33"/>
  <c r="P29"/>
  <c r="S29"/>
  <c r="P62"/>
  <c r="S60"/>
  <c r="P60"/>
  <c r="N159"/>
  <c r="O159"/>
  <c r="P96"/>
  <c r="S96"/>
  <c r="P92"/>
  <c r="S92"/>
  <c r="P88"/>
  <c r="S88"/>
  <c r="P155"/>
  <c r="S155"/>
  <c r="P151"/>
  <c r="S151"/>
  <c r="P147"/>
  <c r="S147"/>
  <c r="P143"/>
  <c r="S143"/>
  <c r="P139"/>
  <c r="S139"/>
  <c r="P135"/>
  <c r="S135"/>
  <c r="P131"/>
  <c r="S131"/>
  <c r="P83"/>
  <c r="S83"/>
  <c r="P81"/>
  <c r="S81"/>
  <c r="P77"/>
  <c r="S77"/>
  <c r="P73"/>
  <c r="S73"/>
  <c r="P69"/>
  <c r="S69"/>
  <c r="P65"/>
  <c r="S65"/>
  <c r="P61"/>
  <c r="P159" s="1"/>
  <c r="M159"/>
  <c r="T2" i="26"/>
  <c r="S2"/>
  <c r="O21"/>
  <c r="P84" i="27"/>
  <c r="P88"/>
  <c r="P92"/>
  <c r="P96"/>
  <c r="P76"/>
  <c r="P78"/>
  <c r="P80"/>
  <c r="J107"/>
  <c r="L107"/>
  <c r="I107"/>
  <c r="I159" i="26"/>
  <c r="J159"/>
  <c r="N25"/>
  <c r="N27"/>
  <c r="N29"/>
  <c r="N31"/>
  <c r="N33"/>
  <c r="N35"/>
  <c r="N37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2"/>
  <c r="N83"/>
  <c r="N129"/>
  <c r="N131"/>
  <c r="N133"/>
  <c r="N135"/>
  <c r="N137"/>
  <c r="O139"/>
  <c r="P139" s="1"/>
  <c r="N143"/>
  <c r="N145"/>
  <c r="N147"/>
  <c r="N149"/>
  <c r="N151"/>
  <c r="N153"/>
  <c r="N155"/>
  <c r="N157"/>
  <c r="N88"/>
  <c r="N90"/>
  <c r="N92"/>
  <c r="N94"/>
  <c r="N96"/>
  <c r="N98"/>
  <c r="N100"/>
  <c r="N102"/>
  <c r="N104"/>
  <c r="N106"/>
  <c r="N108"/>
  <c r="N110"/>
  <c r="N112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N80"/>
  <c r="N84"/>
  <c r="N85"/>
  <c r="N86"/>
  <c r="N87"/>
  <c r="N130"/>
  <c r="N132"/>
  <c r="N134"/>
  <c r="N136"/>
  <c r="N138"/>
  <c r="N140"/>
  <c r="N142"/>
  <c r="N144"/>
  <c r="N146"/>
  <c r="N148"/>
  <c r="N150"/>
  <c r="N152"/>
  <c r="N154"/>
  <c r="N156"/>
  <c r="N158"/>
  <c r="N89"/>
  <c r="N91"/>
  <c r="N93"/>
  <c r="N95"/>
  <c r="N97"/>
  <c r="N99"/>
  <c r="N101"/>
  <c r="N103"/>
  <c r="N105"/>
  <c r="N107"/>
  <c r="N109"/>
  <c r="N111"/>
  <c r="N113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114"/>
  <c r="N115"/>
  <c r="N116"/>
  <c r="N117"/>
  <c r="N118"/>
  <c r="N119"/>
  <c r="N120"/>
  <c r="N121"/>
  <c r="N122"/>
  <c r="N123"/>
  <c r="N124"/>
  <c r="N125"/>
  <c r="N126"/>
  <c r="N127"/>
  <c r="N128"/>
  <c r="K159"/>
  <c r="N141"/>
  <c r="O141"/>
  <c r="P141" s="1"/>
  <c r="M139"/>
  <c r="M21"/>
  <c r="M23"/>
  <c r="O23"/>
  <c r="P23" s="1"/>
  <c r="M25"/>
  <c r="O25"/>
  <c r="P25" s="1"/>
  <c r="M27"/>
  <c r="O27"/>
  <c r="P27" s="1"/>
  <c r="M29"/>
  <c r="O29"/>
  <c r="P29" s="1"/>
  <c r="M31"/>
  <c r="O31"/>
  <c r="P31" s="1"/>
  <c r="M33"/>
  <c r="O33"/>
  <c r="P33" s="1"/>
  <c r="M35"/>
  <c r="O35"/>
  <c r="P35" s="1"/>
  <c r="M37"/>
  <c r="O37"/>
  <c r="P37" s="1"/>
  <c r="M39"/>
  <c r="O39"/>
  <c r="P39" s="1"/>
  <c r="M41"/>
  <c r="O41"/>
  <c r="P41" s="1"/>
  <c r="M43"/>
  <c r="O43"/>
  <c r="P43" s="1"/>
  <c r="M45"/>
  <c r="O45"/>
  <c r="P45" s="1"/>
  <c r="M47"/>
  <c r="O47"/>
  <c r="P47" s="1"/>
  <c r="M49"/>
  <c r="O49"/>
  <c r="P49" s="1"/>
  <c r="M51"/>
  <c r="O51"/>
  <c r="P51" s="1"/>
  <c r="M53"/>
  <c r="O53"/>
  <c r="P53" s="1"/>
  <c r="M55"/>
  <c r="O55"/>
  <c r="P55" s="1"/>
  <c r="M57"/>
  <c r="O57"/>
  <c r="P57" s="1"/>
  <c r="M59"/>
  <c r="O59"/>
  <c r="P59" s="1"/>
  <c r="M61"/>
  <c r="O61"/>
  <c r="P61" s="1"/>
  <c r="M63"/>
  <c r="O63"/>
  <c r="P63" s="1"/>
  <c r="M65"/>
  <c r="O65"/>
  <c r="P65" s="1"/>
  <c r="M67"/>
  <c r="O67"/>
  <c r="P67" s="1"/>
  <c r="M69"/>
  <c r="O69"/>
  <c r="P69" s="1"/>
  <c r="M71"/>
  <c r="O71"/>
  <c r="P71" s="1"/>
  <c r="M73"/>
  <c r="O73"/>
  <c r="P73" s="1"/>
  <c r="M75"/>
  <c r="O75"/>
  <c r="P75" s="1"/>
  <c r="M77"/>
  <c r="O77"/>
  <c r="P77" s="1"/>
  <c r="M79"/>
  <c r="O79"/>
  <c r="P79" s="1"/>
  <c r="M81"/>
  <c r="O81"/>
  <c r="P81" s="1"/>
  <c r="M82"/>
  <c r="O82"/>
  <c r="M83"/>
  <c r="O83"/>
  <c r="M129"/>
  <c r="O129"/>
  <c r="P129" s="1"/>
  <c r="M131"/>
  <c r="O131"/>
  <c r="P131" s="1"/>
  <c r="M133"/>
  <c r="O133"/>
  <c r="P133" s="1"/>
  <c r="M135"/>
  <c r="O135"/>
  <c r="P135" s="1"/>
  <c r="M137"/>
  <c r="O137"/>
  <c r="P137" s="1"/>
  <c r="N139"/>
  <c r="M128"/>
  <c r="L159"/>
  <c r="N21"/>
  <c r="P21"/>
  <c r="N23"/>
  <c r="M141"/>
  <c r="M143"/>
  <c r="O143"/>
  <c r="P143" s="1"/>
  <c r="M145"/>
  <c r="O145"/>
  <c r="P145" s="1"/>
  <c r="M147"/>
  <c r="O147"/>
  <c r="P147" s="1"/>
  <c r="M149"/>
  <c r="O149"/>
  <c r="P149" s="1"/>
  <c r="M151"/>
  <c r="O151"/>
  <c r="P151" s="1"/>
  <c r="M153"/>
  <c r="O153"/>
  <c r="P153" s="1"/>
  <c r="M155"/>
  <c r="O155"/>
  <c r="P155" s="1"/>
  <c r="M157"/>
  <c r="O157"/>
  <c r="P157" s="1"/>
  <c r="M88"/>
  <c r="O88"/>
  <c r="P88" s="1"/>
  <c r="M90"/>
  <c r="O90"/>
  <c r="P90" s="1"/>
  <c r="M92"/>
  <c r="O92"/>
  <c r="P92" s="1"/>
  <c r="M94"/>
  <c r="O94"/>
  <c r="P94" s="1"/>
  <c r="M96"/>
  <c r="O96"/>
  <c r="P96" s="1"/>
  <c r="M98"/>
  <c r="O98"/>
  <c r="P98" s="1"/>
  <c r="M100"/>
  <c r="O100"/>
  <c r="P100" s="1"/>
  <c r="M102"/>
  <c r="O102"/>
  <c r="P102" s="1"/>
  <c r="M104"/>
  <c r="O104"/>
  <c r="P104" s="1"/>
  <c r="M106"/>
  <c r="O106"/>
  <c r="P106" s="1"/>
  <c r="M108"/>
  <c r="O108"/>
  <c r="P108" s="1"/>
  <c r="M110"/>
  <c r="O110"/>
  <c r="P110" s="1"/>
  <c r="M112"/>
  <c r="O112"/>
  <c r="P112" s="1"/>
  <c r="M22"/>
  <c r="O22"/>
  <c r="M24"/>
  <c r="O24"/>
  <c r="M26"/>
  <c r="O26"/>
  <c r="M28"/>
  <c r="O28"/>
  <c r="M30"/>
  <c r="O30"/>
  <c r="M32"/>
  <c r="O32"/>
  <c r="M34"/>
  <c r="O34"/>
  <c r="M36"/>
  <c r="O36"/>
  <c r="M38"/>
  <c r="O38"/>
  <c r="M40"/>
  <c r="O40"/>
  <c r="M42"/>
  <c r="O42"/>
  <c r="M44"/>
  <c r="O44"/>
  <c r="M46"/>
  <c r="O46"/>
  <c r="M48"/>
  <c r="O48"/>
  <c r="M50"/>
  <c r="O50"/>
  <c r="M52"/>
  <c r="O52"/>
  <c r="M54"/>
  <c r="O54"/>
  <c r="M56"/>
  <c r="O56"/>
  <c r="M58"/>
  <c r="O58"/>
  <c r="M60"/>
  <c r="O60"/>
  <c r="M62"/>
  <c r="O62"/>
  <c r="M64"/>
  <c r="O64"/>
  <c r="M66"/>
  <c r="O66"/>
  <c r="M68"/>
  <c r="O68"/>
  <c r="M70"/>
  <c r="O70"/>
  <c r="M72"/>
  <c r="O72"/>
  <c r="M74"/>
  <c r="O74"/>
  <c r="M76"/>
  <c r="O76"/>
  <c r="M78"/>
  <c r="O78"/>
  <c r="M80"/>
  <c r="O80"/>
  <c r="M84"/>
  <c r="O84"/>
  <c r="M85"/>
  <c r="O85"/>
  <c r="P85" s="1"/>
  <c r="M86"/>
  <c r="O86"/>
  <c r="P86" s="1"/>
  <c r="M87"/>
  <c r="O87"/>
  <c r="P87" s="1"/>
  <c r="M130"/>
  <c r="O130"/>
  <c r="M132"/>
  <c r="O132"/>
  <c r="M134"/>
  <c r="O134"/>
  <c r="M136"/>
  <c r="O136"/>
  <c r="M138"/>
  <c r="O138"/>
  <c r="M140"/>
  <c r="O140"/>
  <c r="M142"/>
  <c r="O142"/>
  <c r="M144"/>
  <c r="O144"/>
  <c r="M146"/>
  <c r="O146"/>
  <c r="M148"/>
  <c r="O148"/>
  <c r="M150"/>
  <c r="O150"/>
  <c r="M152"/>
  <c r="O152"/>
  <c r="M154"/>
  <c r="O154"/>
  <c r="M156"/>
  <c r="O156"/>
  <c r="M158"/>
  <c r="O158"/>
  <c r="M89"/>
  <c r="O89"/>
  <c r="M91"/>
  <c r="O91"/>
  <c r="M93"/>
  <c r="O93"/>
  <c r="M95"/>
  <c r="O95"/>
  <c r="M97"/>
  <c r="O97"/>
  <c r="M99"/>
  <c r="O99"/>
  <c r="M101"/>
  <c r="O101"/>
  <c r="M103"/>
  <c r="O103"/>
  <c r="M105"/>
  <c r="O105"/>
  <c r="M107"/>
  <c r="O107"/>
  <c r="M109"/>
  <c r="O109"/>
  <c r="M111"/>
  <c r="O111"/>
  <c r="M113"/>
  <c r="O113"/>
  <c r="M2"/>
  <c r="O2"/>
  <c r="P2" s="1"/>
  <c r="M3"/>
  <c r="O3"/>
  <c r="P3" s="1"/>
  <c r="M4"/>
  <c r="O4"/>
  <c r="P4" s="1"/>
  <c r="M5"/>
  <c r="O5"/>
  <c r="P5" s="1"/>
  <c r="M6"/>
  <c r="O6"/>
  <c r="P6" s="1"/>
  <c r="M7"/>
  <c r="O7"/>
  <c r="P7" s="1"/>
  <c r="M8"/>
  <c r="O8"/>
  <c r="P8" s="1"/>
  <c r="M9"/>
  <c r="O9"/>
  <c r="P9" s="1"/>
  <c r="M10"/>
  <c r="O10"/>
  <c r="P10" s="1"/>
  <c r="M11"/>
  <c r="O11"/>
  <c r="P11" s="1"/>
  <c r="M12"/>
  <c r="O12"/>
  <c r="P12" s="1"/>
  <c r="M13"/>
  <c r="O13"/>
  <c r="P13" s="1"/>
  <c r="M14"/>
  <c r="O14"/>
  <c r="P14" s="1"/>
  <c r="M15"/>
  <c r="O15"/>
  <c r="P15" s="1"/>
  <c r="M16"/>
  <c r="O16"/>
  <c r="P16" s="1"/>
  <c r="M17"/>
  <c r="O17"/>
  <c r="P17" s="1"/>
  <c r="M18"/>
  <c r="O18"/>
  <c r="P18" s="1"/>
  <c r="M19"/>
  <c r="O19"/>
  <c r="P19" s="1"/>
  <c r="M20"/>
  <c r="O20"/>
  <c r="P20" s="1"/>
  <c r="M114"/>
  <c r="O114"/>
  <c r="P114" s="1"/>
  <c r="M115"/>
  <c r="O115"/>
  <c r="P115" s="1"/>
  <c r="M116"/>
  <c r="O116"/>
  <c r="P116" s="1"/>
  <c r="M117"/>
  <c r="O117"/>
  <c r="P117" s="1"/>
  <c r="M118"/>
  <c r="O118"/>
  <c r="P118" s="1"/>
  <c r="M119"/>
  <c r="O119"/>
  <c r="P119" s="1"/>
  <c r="M120"/>
  <c r="O120"/>
  <c r="P120" s="1"/>
  <c r="M121"/>
  <c r="O121"/>
  <c r="P121" s="1"/>
  <c r="M122"/>
  <c r="O122"/>
  <c r="P122" s="1"/>
  <c r="M123"/>
  <c r="O123"/>
  <c r="P123" s="1"/>
  <c r="M124"/>
  <c r="O124"/>
  <c r="P124" s="1"/>
  <c r="M125"/>
  <c r="O125"/>
  <c r="P125" s="1"/>
  <c r="M126"/>
  <c r="O126"/>
  <c r="P126" s="1"/>
  <c r="M127"/>
  <c r="O127"/>
  <c r="P127" s="1"/>
  <c r="O128"/>
  <c r="P128" s="1"/>
  <c r="P72" i="27"/>
  <c r="P82"/>
  <c r="P86"/>
  <c r="P90"/>
  <c r="P94"/>
  <c r="P98"/>
  <c r="P100"/>
  <c r="P102"/>
  <c r="P104"/>
  <c r="P26"/>
  <c r="P28"/>
  <c r="P30"/>
  <c r="P32"/>
  <c r="P34"/>
  <c r="P36"/>
  <c r="P38"/>
  <c r="P40"/>
  <c r="P42"/>
  <c r="P44"/>
  <c r="P46"/>
  <c r="P48"/>
  <c r="P50"/>
  <c r="P52"/>
  <c r="P54"/>
  <c r="P56"/>
  <c r="P58"/>
  <c r="P60"/>
  <c r="P62"/>
  <c r="P64"/>
  <c r="P66"/>
  <c r="P68"/>
  <c r="P70"/>
  <c r="P73"/>
  <c r="P75"/>
  <c r="P77"/>
  <c r="P79"/>
  <c r="P81"/>
  <c r="P83"/>
  <c r="P85"/>
  <c r="P87"/>
  <c r="P89"/>
  <c r="P91"/>
  <c r="P93"/>
  <c r="P95"/>
  <c r="P97"/>
  <c r="P99"/>
  <c r="P101"/>
  <c r="P103"/>
  <c r="P105"/>
  <c r="P106"/>
  <c r="P27"/>
  <c r="P29"/>
  <c r="P31"/>
  <c r="P33"/>
  <c r="P35"/>
  <c r="P37"/>
  <c r="P39"/>
  <c r="P41"/>
  <c r="P43"/>
  <c r="P45"/>
  <c r="P47"/>
  <c r="P49"/>
  <c r="P51"/>
  <c r="P53"/>
  <c r="P55"/>
  <c r="P57"/>
  <c r="P59"/>
  <c r="P61"/>
  <c r="P63"/>
  <c r="P65"/>
  <c r="P67"/>
  <c r="P69"/>
  <c r="P71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K107"/>
  <c r="P74"/>
  <c r="J66" i="23"/>
  <c r="L66" s="1"/>
  <c r="G163"/>
  <c r="C165" s="1"/>
  <c r="I163"/>
  <c r="E168"/>
  <c r="K2"/>
  <c r="K163" s="1"/>
  <c r="C168" s="1"/>
  <c r="E165"/>
  <c r="H163"/>
  <c r="D165" s="1"/>
  <c r="J2"/>
  <c r="G162" i="22"/>
  <c r="C165" s="1"/>
  <c r="I66"/>
  <c r="K66" s="1"/>
  <c r="I162"/>
  <c r="E168"/>
  <c r="K2"/>
  <c r="K162" s="1"/>
  <c r="C168" s="1"/>
  <c r="E165"/>
  <c r="H162"/>
  <c r="D165" s="1"/>
  <c r="J2"/>
  <c r="H163" i="21"/>
  <c r="O162"/>
  <c r="O160"/>
  <c r="O158"/>
  <c r="O156"/>
  <c r="O154"/>
  <c r="O152"/>
  <c r="O150"/>
  <c r="O148"/>
  <c r="O146"/>
  <c r="O144"/>
  <c r="O142"/>
  <c r="O140"/>
  <c r="O138"/>
  <c r="O136"/>
  <c r="O134"/>
  <c r="O132"/>
  <c r="O130"/>
  <c r="O128"/>
  <c r="O126"/>
  <c r="O124"/>
  <c r="O122"/>
  <c r="O120"/>
  <c r="O118"/>
  <c r="O116"/>
  <c r="O114"/>
  <c r="O112"/>
  <c r="O110"/>
  <c r="O108"/>
  <c r="O106"/>
  <c r="O104"/>
  <c r="O102"/>
  <c r="O100"/>
  <c r="O98"/>
  <c r="O96"/>
  <c r="O94"/>
  <c r="O92"/>
  <c r="O90"/>
  <c r="O88"/>
  <c r="O86"/>
  <c r="O84"/>
  <c r="O82"/>
  <c r="O80"/>
  <c r="O78"/>
  <c r="O76"/>
  <c r="O74"/>
  <c r="O72"/>
  <c r="O70"/>
  <c r="O68"/>
  <c r="O66"/>
  <c r="O64"/>
  <c r="O62"/>
  <c r="O60"/>
  <c r="O58"/>
  <c r="O56"/>
  <c r="O54"/>
  <c r="O52"/>
  <c r="O50"/>
  <c r="O48"/>
  <c r="O46"/>
  <c r="O44"/>
  <c r="O42"/>
  <c r="O40"/>
  <c r="O38"/>
  <c r="O36"/>
  <c r="O34"/>
  <c r="O32"/>
  <c r="O30"/>
  <c r="O28"/>
  <c r="O26"/>
  <c r="O24"/>
  <c r="O22"/>
  <c r="O20"/>
  <c r="O18"/>
  <c r="O16"/>
  <c r="O14"/>
  <c r="O12"/>
  <c r="O10"/>
  <c r="O8"/>
  <c r="O6"/>
  <c r="O4"/>
  <c r="O2"/>
  <c r="O161"/>
  <c r="O159"/>
  <c r="O157"/>
  <c r="O155"/>
  <c r="O153"/>
  <c r="O151"/>
  <c r="O149"/>
  <c r="O147"/>
  <c r="O145"/>
  <c r="O143"/>
  <c r="O141"/>
  <c r="O139"/>
  <c r="O137"/>
  <c r="O135"/>
  <c r="O133"/>
  <c r="O131"/>
  <c r="O129"/>
  <c r="O127"/>
  <c r="O125"/>
  <c r="O123"/>
  <c r="O121"/>
  <c r="O119"/>
  <c r="O117"/>
  <c r="O115"/>
  <c r="O113"/>
  <c r="O111"/>
  <c r="O109"/>
  <c r="O107"/>
  <c r="O105"/>
  <c r="O103"/>
  <c r="O101"/>
  <c r="O99"/>
  <c r="O97"/>
  <c r="O95"/>
  <c r="O93"/>
  <c r="O91"/>
  <c r="O89"/>
  <c r="O87"/>
  <c r="O85"/>
  <c r="O83"/>
  <c r="O81"/>
  <c r="O79"/>
  <c r="O77"/>
  <c r="O75"/>
  <c r="O73"/>
  <c r="O71"/>
  <c r="O69"/>
  <c r="O67"/>
  <c r="O65"/>
  <c r="O63"/>
  <c r="O61"/>
  <c r="O59"/>
  <c r="O57"/>
  <c r="O55"/>
  <c r="O53"/>
  <c r="O51"/>
  <c r="O49"/>
  <c r="O47"/>
  <c r="O45"/>
  <c r="O43"/>
  <c r="O41"/>
  <c r="O39"/>
  <c r="O37"/>
  <c r="O35"/>
  <c r="O33"/>
  <c r="O31"/>
  <c r="O29"/>
  <c r="O27"/>
  <c r="O25"/>
  <c r="O23"/>
  <c r="O21"/>
  <c r="O19"/>
  <c r="O17"/>
  <c r="O15"/>
  <c r="O13"/>
  <c r="O11"/>
  <c r="O9"/>
  <c r="O7"/>
  <c r="O5"/>
  <c r="O3"/>
  <c r="P162"/>
  <c r="P160"/>
  <c r="P158"/>
  <c r="P156"/>
  <c r="P154"/>
  <c r="P152"/>
  <c r="P150"/>
  <c r="P148"/>
  <c r="P146"/>
  <c r="P144"/>
  <c r="P142"/>
  <c r="P140"/>
  <c r="P138"/>
  <c r="P136"/>
  <c r="P134"/>
  <c r="P132"/>
  <c r="P130"/>
  <c r="P128"/>
  <c r="P126"/>
  <c r="P124"/>
  <c r="P122"/>
  <c r="P120"/>
  <c r="P118"/>
  <c r="P116"/>
  <c r="P114"/>
  <c r="P112"/>
  <c r="P110"/>
  <c r="P108"/>
  <c r="P106"/>
  <c r="P104"/>
  <c r="P102"/>
  <c r="P100"/>
  <c r="P98"/>
  <c r="P96"/>
  <c r="P94"/>
  <c r="P92"/>
  <c r="P90"/>
  <c r="P88"/>
  <c r="P86"/>
  <c r="P84"/>
  <c r="P82"/>
  <c r="P80"/>
  <c r="P78"/>
  <c r="P76"/>
  <c r="P74"/>
  <c r="P72"/>
  <c r="P70"/>
  <c r="P68"/>
  <c r="P66"/>
  <c r="P64"/>
  <c r="P62"/>
  <c r="P60"/>
  <c r="P58"/>
  <c r="P56"/>
  <c r="P54"/>
  <c r="P52"/>
  <c r="P50"/>
  <c r="P48"/>
  <c r="P46"/>
  <c r="P44"/>
  <c r="P42"/>
  <c r="P40"/>
  <c r="P38"/>
  <c r="P36"/>
  <c r="P34"/>
  <c r="P32"/>
  <c r="P30"/>
  <c r="P28"/>
  <c r="P26"/>
  <c r="P24"/>
  <c r="P22"/>
  <c r="P20"/>
  <c r="P18"/>
  <c r="P16"/>
  <c r="P14"/>
  <c r="P12"/>
  <c r="P10"/>
  <c r="P8"/>
  <c r="P6"/>
  <c r="P4"/>
  <c r="P2"/>
  <c r="P161"/>
  <c r="P159"/>
  <c r="P157"/>
  <c r="P155"/>
  <c r="P153"/>
  <c r="P151"/>
  <c r="P149"/>
  <c r="P147"/>
  <c r="P145"/>
  <c r="P143"/>
  <c r="P141"/>
  <c r="P139"/>
  <c r="P137"/>
  <c r="P135"/>
  <c r="P133"/>
  <c r="P131"/>
  <c r="P129"/>
  <c r="P127"/>
  <c r="P125"/>
  <c r="P123"/>
  <c r="P121"/>
  <c r="P119"/>
  <c r="P117"/>
  <c r="P115"/>
  <c r="P113"/>
  <c r="P111"/>
  <c r="P109"/>
  <c r="P107"/>
  <c r="P105"/>
  <c r="P103"/>
  <c r="P101"/>
  <c r="P99"/>
  <c r="P97"/>
  <c r="P95"/>
  <c r="P93"/>
  <c r="P91"/>
  <c r="P89"/>
  <c r="P87"/>
  <c r="P85"/>
  <c r="P83"/>
  <c r="P81"/>
  <c r="P79"/>
  <c r="P77"/>
  <c r="P75"/>
  <c r="P73"/>
  <c r="P71"/>
  <c r="P69"/>
  <c r="P67"/>
  <c r="P65"/>
  <c r="P63"/>
  <c r="P61"/>
  <c r="P59"/>
  <c r="P57"/>
  <c r="P55"/>
  <c r="P53"/>
  <c r="P51"/>
  <c r="P49"/>
  <c r="P47"/>
  <c r="P45"/>
  <c r="P43"/>
  <c r="P41"/>
  <c r="P39"/>
  <c r="P37"/>
  <c r="P35"/>
  <c r="P33"/>
  <c r="P31"/>
  <c r="P29"/>
  <c r="P27"/>
  <c r="P25"/>
  <c r="P23"/>
  <c r="P21"/>
  <c r="P19"/>
  <c r="P17"/>
  <c r="P15"/>
  <c r="P13"/>
  <c r="P11"/>
  <c r="P9"/>
  <c r="P7"/>
  <c r="P5"/>
  <c r="P3"/>
  <c r="J161"/>
  <c r="J157"/>
  <c r="J153"/>
  <c r="J149"/>
  <c r="J145"/>
  <c r="J141"/>
  <c r="J135"/>
  <c r="J131"/>
  <c r="J127"/>
  <c r="J123"/>
  <c r="J119"/>
  <c r="J117"/>
  <c r="J113"/>
  <c r="J109"/>
  <c r="J103"/>
  <c r="J99"/>
  <c r="K95"/>
  <c r="K91"/>
  <c r="K87"/>
  <c r="K83"/>
  <c r="K77"/>
  <c r="K73"/>
  <c r="K71"/>
  <c r="K67"/>
  <c r="K63"/>
  <c r="K59"/>
  <c r="K55"/>
  <c r="K53"/>
  <c r="K47"/>
  <c r="K43"/>
  <c r="K39"/>
  <c r="K37"/>
  <c r="K31"/>
  <c r="K27"/>
  <c r="K23"/>
  <c r="K19"/>
  <c r="K15"/>
  <c r="K13"/>
  <c r="K9"/>
  <c r="K5"/>
  <c r="J159"/>
  <c r="J155"/>
  <c r="J151"/>
  <c r="J147"/>
  <c r="J143"/>
  <c r="J139"/>
  <c r="J137"/>
  <c r="J133"/>
  <c r="J129"/>
  <c r="J125"/>
  <c r="J121"/>
  <c r="J115"/>
  <c r="J111"/>
  <c r="J107"/>
  <c r="J105"/>
  <c r="J101"/>
  <c r="K97"/>
  <c r="K93"/>
  <c r="K89"/>
  <c r="K85"/>
  <c r="K81"/>
  <c r="K79"/>
  <c r="K75"/>
  <c r="K69"/>
  <c r="K65"/>
  <c r="K61"/>
  <c r="K57"/>
  <c r="K51"/>
  <c r="K49"/>
  <c r="K45"/>
  <c r="K41"/>
  <c r="K35"/>
  <c r="K33"/>
  <c r="K29"/>
  <c r="K25"/>
  <c r="K21"/>
  <c r="K17"/>
  <c r="K11"/>
  <c r="K7"/>
  <c r="K3"/>
  <c r="I163"/>
  <c r="J162"/>
  <c r="J160"/>
  <c r="J158"/>
  <c r="J156"/>
  <c r="J154"/>
  <c r="J152"/>
  <c r="J150"/>
  <c r="J148"/>
  <c r="J146"/>
  <c r="J144"/>
  <c r="J142"/>
  <c r="J140"/>
  <c r="J138"/>
  <c r="J136"/>
  <c r="J134"/>
  <c r="J132"/>
  <c r="J130"/>
  <c r="J128"/>
  <c r="J126"/>
  <c r="J124"/>
  <c r="J122"/>
  <c r="J120"/>
  <c r="J118"/>
  <c r="J116"/>
  <c r="J114"/>
  <c r="J112"/>
  <c r="J110"/>
  <c r="J108"/>
  <c r="J106"/>
  <c r="J104"/>
  <c r="J102"/>
  <c r="J100"/>
  <c r="J98"/>
  <c r="J96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J44"/>
  <c r="J42"/>
  <c r="J40"/>
  <c r="J38"/>
  <c r="J36"/>
  <c r="J34"/>
  <c r="J32"/>
  <c r="J30"/>
  <c r="J28"/>
  <c r="J26"/>
  <c r="J24"/>
  <c r="J22"/>
  <c r="J20"/>
  <c r="J18"/>
  <c r="J16"/>
  <c r="J14"/>
  <c r="J12"/>
  <c r="J10"/>
  <c r="J8"/>
  <c r="J6"/>
  <c r="J4"/>
  <c r="J2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8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1"/>
  <c r="N119"/>
  <c r="N117"/>
  <c r="N115"/>
  <c r="N113"/>
  <c r="N111"/>
  <c r="N109"/>
  <c r="N107"/>
  <c r="N105"/>
  <c r="N103"/>
  <c r="N101"/>
  <c r="N99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M109"/>
  <c r="M107"/>
  <c r="M105"/>
  <c r="M103"/>
  <c r="M101"/>
  <c r="M99"/>
  <c r="L96"/>
  <c r="L94"/>
  <c r="L92"/>
  <c r="L90"/>
  <c r="L88"/>
  <c r="L86"/>
  <c r="L84"/>
  <c r="L82"/>
  <c r="L80"/>
  <c r="L78"/>
  <c r="L76"/>
  <c r="L74"/>
  <c r="L72"/>
  <c r="L70"/>
  <c r="L68"/>
  <c r="L66"/>
  <c r="L64"/>
  <c r="L62"/>
  <c r="L60"/>
  <c r="L58"/>
  <c r="L56"/>
  <c r="L54"/>
  <c r="L52"/>
  <c r="L50"/>
  <c r="L48"/>
  <c r="L46"/>
  <c r="L44"/>
  <c r="L42"/>
  <c r="L40"/>
  <c r="L38"/>
  <c r="L36"/>
  <c r="L34"/>
  <c r="L32"/>
  <c r="L30"/>
  <c r="L28"/>
  <c r="L26"/>
  <c r="L24"/>
  <c r="L22"/>
  <c r="L20"/>
  <c r="L18"/>
  <c r="L16"/>
  <c r="L14"/>
  <c r="L12"/>
  <c r="L10"/>
  <c r="L8"/>
  <c r="L6"/>
  <c r="L4"/>
  <c r="L2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61"/>
  <c r="L59"/>
  <c r="L57"/>
  <c r="L55"/>
  <c r="L53"/>
  <c r="L51"/>
  <c r="L49"/>
  <c r="L47"/>
  <c r="L45"/>
  <c r="L43"/>
  <c r="L41"/>
  <c r="L39"/>
  <c r="L37"/>
  <c r="L35"/>
  <c r="L33"/>
  <c r="L31"/>
  <c r="L29"/>
  <c r="L27"/>
  <c r="L25"/>
  <c r="L23"/>
  <c r="L21"/>
  <c r="L19"/>
  <c r="L17"/>
  <c r="L15"/>
  <c r="L13"/>
  <c r="L11"/>
  <c r="L9"/>
  <c r="L7"/>
  <c r="L5"/>
  <c r="L3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0"/>
  <c r="K8"/>
  <c r="K6"/>
  <c r="K4"/>
  <c r="K2"/>
  <c r="J97"/>
  <c r="J93"/>
  <c r="J89"/>
  <c r="J85"/>
  <c r="J81"/>
  <c r="J77"/>
  <c r="J73"/>
  <c r="J69"/>
  <c r="J65"/>
  <c r="J61"/>
  <c r="J57"/>
  <c r="J53"/>
  <c r="J49"/>
  <c r="J45"/>
  <c r="J41"/>
  <c r="J37"/>
  <c r="J33"/>
  <c r="J29"/>
  <c r="J25"/>
  <c r="J21"/>
  <c r="J17"/>
  <c r="J13"/>
  <c r="J9"/>
  <c r="J5"/>
  <c r="J95"/>
  <c r="J91"/>
  <c r="J87"/>
  <c r="J83"/>
  <c r="J79"/>
  <c r="J75"/>
  <c r="J71"/>
  <c r="J67"/>
  <c r="J63"/>
  <c r="J59"/>
  <c r="J55"/>
  <c r="J51"/>
  <c r="J47"/>
  <c r="J43"/>
  <c r="J39"/>
  <c r="J35"/>
  <c r="J31"/>
  <c r="J27"/>
  <c r="J23"/>
  <c r="J19"/>
  <c r="J15"/>
  <c r="J11"/>
  <c r="J7"/>
  <c r="J3"/>
  <c r="G163"/>
  <c r="E169" i="20"/>
  <c r="K2"/>
  <c r="K163" s="1"/>
  <c r="C169" s="1"/>
  <c r="I163"/>
  <c r="D169" s="1"/>
  <c r="H163"/>
  <c r="J2"/>
  <c r="G163"/>
  <c r="C166" s="1"/>
  <c r="D166" s="1"/>
  <c r="E166"/>
  <c r="I162" i="17"/>
  <c r="I160"/>
  <c r="I11"/>
  <c r="K12"/>
  <c r="I27"/>
  <c r="K28"/>
  <c r="I93"/>
  <c r="I94"/>
  <c r="I95"/>
  <c r="I96"/>
  <c r="I97"/>
  <c r="I98"/>
  <c r="I7"/>
  <c r="K8"/>
  <c r="I15"/>
  <c r="K16"/>
  <c r="I23"/>
  <c r="K24"/>
  <c r="I31"/>
  <c r="K32"/>
  <c r="I39"/>
  <c r="I41"/>
  <c r="I42"/>
  <c r="I43"/>
  <c r="I44"/>
  <c r="I45"/>
  <c r="K10"/>
  <c r="K14"/>
  <c r="K18"/>
  <c r="K22"/>
  <c r="K26"/>
  <c r="K30"/>
  <c r="K34"/>
  <c r="I37"/>
  <c r="I38"/>
  <c r="K38"/>
  <c r="K94"/>
  <c r="K98"/>
  <c r="K102"/>
  <c r="I40"/>
  <c r="K40"/>
  <c r="K96"/>
  <c r="K100"/>
  <c r="G163"/>
  <c r="K2"/>
  <c r="I3"/>
  <c r="J3"/>
  <c r="I4"/>
  <c r="K4"/>
  <c r="I5"/>
  <c r="J5"/>
  <c r="K6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M42"/>
  <c r="L43"/>
  <c r="M44"/>
  <c r="L45"/>
  <c r="M46"/>
  <c r="M48"/>
  <c r="M50"/>
  <c r="M52"/>
  <c r="M54"/>
  <c r="M56"/>
  <c r="M58"/>
  <c r="M60"/>
  <c r="M62"/>
  <c r="M64"/>
  <c r="M66"/>
  <c r="M68"/>
  <c r="M70"/>
  <c r="M72"/>
  <c r="M74"/>
  <c r="M76"/>
  <c r="M78"/>
  <c r="M80"/>
  <c r="M82"/>
  <c r="M84"/>
  <c r="M86"/>
  <c r="M88"/>
  <c r="M90"/>
  <c r="M92"/>
  <c r="L93"/>
  <c r="L95"/>
  <c r="L97"/>
  <c r="L99"/>
  <c r="L101"/>
  <c r="L103"/>
  <c r="M104"/>
  <c r="J7"/>
  <c r="J11"/>
  <c r="J15"/>
  <c r="J19"/>
  <c r="J23"/>
  <c r="J27"/>
  <c r="J31"/>
  <c r="J35"/>
  <c r="J37"/>
  <c r="J39"/>
  <c r="J41"/>
  <c r="J43"/>
  <c r="J45"/>
  <c r="I46"/>
  <c r="I47"/>
  <c r="J47"/>
  <c r="I48"/>
  <c r="I49"/>
  <c r="J49"/>
  <c r="I50"/>
  <c r="I51"/>
  <c r="J51"/>
  <c r="I52"/>
  <c r="I53"/>
  <c r="J53"/>
  <c r="I54"/>
  <c r="I55"/>
  <c r="J55"/>
  <c r="I56"/>
  <c r="I57"/>
  <c r="J57"/>
  <c r="I58"/>
  <c r="I59"/>
  <c r="J59"/>
  <c r="I60"/>
  <c r="I61"/>
  <c r="J61"/>
  <c r="I62"/>
  <c r="I63"/>
  <c r="J63"/>
  <c r="I64"/>
  <c r="I65"/>
  <c r="J65"/>
  <c r="I66"/>
  <c r="I67"/>
  <c r="J67"/>
  <c r="I68"/>
  <c r="I69"/>
  <c r="J69"/>
  <c r="I70"/>
  <c r="I71"/>
  <c r="J71"/>
  <c r="I72"/>
  <c r="I73"/>
  <c r="J73"/>
  <c r="I74"/>
  <c r="I75"/>
  <c r="J75"/>
  <c r="I76"/>
  <c r="I77"/>
  <c r="J77"/>
  <c r="I78"/>
  <c r="I79"/>
  <c r="J79"/>
  <c r="I80"/>
  <c r="I81"/>
  <c r="J81"/>
  <c r="I82"/>
  <c r="I83"/>
  <c r="J83"/>
  <c r="I84"/>
  <c r="I85"/>
  <c r="J85"/>
  <c r="I86"/>
  <c r="I87"/>
  <c r="J87"/>
  <c r="I88"/>
  <c r="I89"/>
  <c r="J89"/>
  <c r="I90"/>
  <c r="I91"/>
  <c r="J91"/>
  <c r="I92"/>
  <c r="J93"/>
  <c r="J95"/>
  <c r="J97"/>
  <c r="J99"/>
  <c r="J101"/>
  <c r="J103"/>
  <c r="M7"/>
  <c r="K7"/>
  <c r="L10"/>
  <c r="J10"/>
  <c r="M11"/>
  <c r="K11"/>
  <c r="L14"/>
  <c r="J14"/>
  <c r="M15"/>
  <c r="K15"/>
  <c r="L18"/>
  <c r="J18"/>
  <c r="M19"/>
  <c r="K19"/>
  <c r="L22"/>
  <c r="J22"/>
  <c r="M23"/>
  <c r="K23"/>
  <c r="L26"/>
  <c r="J26"/>
  <c r="M27"/>
  <c r="K27"/>
  <c r="L30"/>
  <c r="J30"/>
  <c r="M31"/>
  <c r="K31"/>
  <c r="L34"/>
  <c r="J34"/>
  <c r="M35"/>
  <c r="K35"/>
  <c r="H163"/>
  <c r="J2"/>
  <c r="L2"/>
  <c r="K3"/>
  <c r="J4"/>
  <c r="L4"/>
  <c r="K5"/>
  <c r="J6"/>
  <c r="I9"/>
  <c r="I10"/>
  <c r="I13"/>
  <c r="I14"/>
  <c r="I17"/>
  <c r="I18"/>
  <c r="I21"/>
  <c r="I22"/>
  <c r="I25"/>
  <c r="I26"/>
  <c r="I29"/>
  <c r="I30"/>
  <c r="I33"/>
  <c r="I34"/>
  <c r="L8"/>
  <c r="J8"/>
  <c r="M9"/>
  <c r="K9"/>
  <c r="L12"/>
  <c r="J12"/>
  <c r="M13"/>
  <c r="K13"/>
  <c r="L16"/>
  <c r="J16"/>
  <c r="M17"/>
  <c r="K17"/>
  <c r="L20"/>
  <c r="J20"/>
  <c r="M21"/>
  <c r="K21"/>
  <c r="L24"/>
  <c r="J24"/>
  <c r="M25"/>
  <c r="K25"/>
  <c r="L28"/>
  <c r="J28"/>
  <c r="M29"/>
  <c r="K29"/>
  <c r="L32"/>
  <c r="J32"/>
  <c r="M33"/>
  <c r="K33"/>
  <c r="I2"/>
  <c r="I6"/>
  <c r="I8"/>
  <c r="I12"/>
  <c r="I16"/>
  <c r="I20"/>
  <c r="I24"/>
  <c r="I28"/>
  <c r="I32"/>
  <c r="J36"/>
  <c r="L36"/>
  <c r="K37"/>
  <c r="J38"/>
  <c r="L38"/>
  <c r="K39"/>
  <c r="J40"/>
  <c r="L40"/>
  <c r="K41"/>
  <c r="J42"/>
  <c r="L42"/>
  <c r="K43"/>
  <c r="J44"/>
  <c r="L44"/>
  <c r="K45"/>
  <c r="J46"/>
  <c r="L46"/>
  <c r="K47"/>
  <c r="J48"/>
  <c r="L48"/>
  <c r="K49"/>
  <c r="J50"/>
  <c r="L50"/>
  <c r="K51"/>
  <c r="J52"/>
  <c r="L52"/>
  <c r="K53"/>
  <c r="J54"/>
  <c r="L54"/>
  <c r="K55"/>
  <c r="J56"/>
  <c r="L56"/>
  <c r="K57"/>
  <c r="J58"/>
  <c r="L58"/>
  <c r="K59"/>
  <c r="J60"/>
  <c r="L60"/>
  <c r="K61"/>
  <c r="J62"/>
  <c r="L62"/>
  <c r="K63"/>
  <c r="J64"/>
  <c r="L64"/>
  <c r="K65"/>
  <c r="J66"/>
  <c r="L66"/>
  <c r="K67"/>
  <c r="J68"/>
  <c r="L68"/>
  <c r="K69"/>
  <c r="J70"/>
  <c r="L70"/>
  <c r="K71"/>
  <c r="J72"/>
  <c r="L72"/>
  <c r="K73"/>
  <c r="J74"/>
  <c r="L74"/>
  <c r="K75"/>
  <c r="J76"/>
  <c r="L76"/>
  <c r="K77"/>
  <c r="J78"/>
  <c r="L78"/>
  <c r="K79"/>
  <c r="J80"/>
  <c r="L80"/>
  <c r="K81"/>
  <c r="J82"/>
  <c r="L82"/>
  <c r="K83"/>
  <c r="J84"/>
  <c r="L84"/>
  <c r="K85"/>
  <c r="J86"/>
  <c r="L86"/>
  <c r="K87"/>
  <c r="J88"/>
  <c r="L88"/>
  <c r="K89"/>
  <c r="J90"/>
  <c r="L90"/>
  <c r="K91"/>
  <c r="J92"/>
  <c r="L92"/>
  <c r="K93"/>
  <c r="J94"/>
  <c r="L94"/>
  <c r="K95"/>
  <c r="J96"/>
  <c r="L96"/>
  <c r="K97"/>
  <c r="J98"/>
  <c r="L98"/>
  <c r="K99"/>
  <c r="J100"/>
  <c r="L100"/>
  <c r="K101"/>
  <c r="J102"/>
  <c r="L102"/>
  <c r="K103"/>
  <c r="J104"/>
  <c r="L104"/>
  <c r="M60" i="14"/>
  <c r="M64"/>
  <c r="N62"/>
  <c r="O62" s="1"/>
  <c r="N76"/>
  <c r="O76" s="1"/>
  <c r="N78"/>
  <c r="O78" s="1"/>
  <c r="N80"/>
  <c r="O80" s="1"/>
  <c r="N84"/>
  <c r="O84" s="1"/>
  <c r="N130"/>
  <c r="O130" s="1"/>
  <c r="N136"/>
  <c r="O136" s="1"/>
  <c r="M118"/>
  <c r="N132"/>
  <c r="O132" s="1"/>
  <c r="N134"/>
  <c r="O134" s="1"/>
  <c r="N138"/>
  <c r="O138" s="1"/>
  <c r="N140"/>
  <c r="O140" s="1"/>
  <c r="N142"/>
  <c r="O142" s="1"/>
  <c r="N144"/>
  <c r="O144" s="1"/>
  <c r="N146"/>
  <c r="O146" s="1"/>
  <c r="N148"/>
  <c r="O148" s="1"/>
  <c r="N150"/>
  <c r="O150" s="1"/>
  <c r="N152"/>
  <c r="O152" s="1"/>
  <c r="N154"/>
  <c r="O154" s="1"/>
  <c r="N156"/>
  <c r="O156" s="1"/>
  <c r="N158"/>
  <c r="O158" s="1"/>
  <c r="N89"/>
  <c r="O89" s="1"/>
  <c r="N91"/>
  <c r="O91" s="1"/>
  <c r="N93"/>
  <c r="O93" s="1"/>
  <c r="N95"/>
  <c r="O95" s="1"/>
  <c r="N97"/>
  <c r="O97" s="1"/>
  <c r="N99"/>
  <c r="O99" s="1"/>
  <c r="N101"/>
  <c r="O101" s="1"/>
  <c r="N103"/>
  <c r="O103" s="1"/>
  <c r="N105"/>
  <c r="O105" s="1"/>
  <c r="N107"/>
  <c r="O107" s="1"/>
  <c r="N109"/>
  <c r="O109" s="1"/>
  <c r="N111"/>
  <c r="O111" s="1"/>
  <c r="N113"/>
  <c r="O113" s="1"/>
  <c r="N2"/>
  <c r="O2" s="1"/>
  <c r="N3"/>
  <c r="O3" s="1"/>
  <c r="N4"/>
  <c r="O4" s="1"/>
  <c r="N5"/>
  <c r="O5" s="1"/>
  <c r="M6"/>
  <c r="M7"/>
  <c r="N12"/>
  <c r="O12" s="1"/>
  <c r="N13"/>
  <c r="O13" s="1"/>
  <c r="M14"/>
  <c r="M16"/>
  <c r="N15"/>
  <c r="O15" s="1"/>
  <c r="N20"/>
  <c r="O20" s="1"/>
  <c r="N114"/>
  <c r="O114" s="1"/>
  <c r="M115"/>
  <c r="M117"/>
  <c r="N119"/>
  <c r="O119" s="1"/>
  <c r="N120"/>
  <c r="O120" s="1"/>
  <c r="M124"/>
  <c r="N25"/>
  <c r="O25" s="1"/>
  <c r="N27"/>
  <c r="O27" s="1"/>
  <c r="N29"/>
  <c r="O29" s="1"/>
  <c r="N31"/>
  <c r="O31" s="1"/>
  <c r="N33"/>
  <c r="O33" s="1"/>
  <c r="N35"/>
  <c r="O35" s="1"/>
  <c r="N37"/>
  <c r="O37" s="1"/>
  <c r="N39"/>
  <c r="O39" s="1"/>
  <c r="N41"/>
  <c r="O41" s="1"/>
  <c r="N43"/>
  <c r="O43" s="1"/>
  <c r="N45"/>
  <c r="O45" s="1"/>
  <c r="N47"/>
  <c r="O47" s="1"/>
  <c r="N49"/>
  <c r="O49" s="1"/>
  <c r="N51"/>
  <c r="O51" s="1"/>
  <c r="N53"/>
  <c r="O53" s="1"/>
  <c r="N55"/>
  <c r="O55" s="1"/>
  <c r="N57"/>
  <c r="O57" s="1"/>
  <c r="N59"/>
  <c r="O59" s="1"/>
  <c r="N61"/>
  <c r="O61" s="1"/>
  <c r="N63"/>
  <c r="O63" s="1"/>
  <c r="N65"/>
  <c r="O65" s="1"/>
  <c r="N67"/>
  <c r="O67" s="1"/>
  <c r="N69"/>
  <c r="O69" s="1"/>
  <c r="N71"/>
  <c r="O71" s="1"/>
  <c r="N73"/>
  <c r="O73" s="1"/>
  <c r="N75"/>
  <c r="O75" s="1"/>
  <c r="N77"/>
  <c r="O77" s="1"/>
  <c r="N79"/>
  <c r="O79" s="1"/>
  <c r="N81"/>
  <c r="O81" s="1"/>
  <c r="N82"/>
  <c r="O82" s="1"/>
  <c r="N83"/>
  <c r="O83" s="1"/>
  <c r="N129"/>
  <c r="O129" s="1"/>
  <c r="N131"/>
  <c r="O131" s="1"/>
  <c r="N133"/>
  <c r="O133" s="1"/>
  <c r="N135"/>
  <c r="O135" s="1"/>
  <c r="N137"/>
  <c r="O137" s="1"/>
  <c r="M141"/>
  <c r="M143"/>
  <c r="M145"/>
  <c r="M147"/>
  <c r="M149"/>
  <c r="M151"/>
  <c r="M153"/>
  <c r="M155"/>
  <c r="M157"/>
  <c r="M88"/>
  <c r="M90"/>
  <c r="M92"/>
  <c r="M94"/>
  <c r="M96"/>
  <c r="M98"/>
  <c r="M100"/>
  <c r="M102"/>
  <c r="M104"/>
  <c r="M106"/>
  <c r="M108"/>
  <c r="M110"/>
  <c r="M112"/>
  <c r="N54"/>
  <c r="O54" s="1"/>
  <c r="N56"/>
  <c r="O56" s="1"/>
  <c r="M62"/>
  <c r="N72"/>
  <c r="O72" s="1"/>
  <c r="N74"/>
  <c r="O74" s="1"/>
  <c r="M8"/>
  <c r="M9"/>
  <c r="N10"/>
  <c r="O10" s="1"/>
  <c r="N11"/>
  <c r="O11" s="1"/>
  <c r="M15"/>
  <c r="M17"/>
  <c r="N18"/>
  <c r="O18" s="1"/>
  <c r="N19"/>
  <c r="O19" s="1"/>
  <c r="M116"/>
  <c r="N121"/>
  <c r="O121" s="1"/>
  <c r="M123"/>
  <c r="M125"/>
  <c r="M126"/>
  <c r="N127"/>
  <c r="O127" s="1"/>
  <c r="N128"/>
  <c r="O128" s="1"/>
  <c r="N40" i="13"/>
  <c r="O40" s="1"/>
  <c r="N42"/>
  <c r="O42" s="1"/>
  <c r="N44"/>
  <c r="O44" s="1"/>
  <c r="N46"/>
  <c r="O46" s="1"/>
  <c r="N48"/>
  <c r="O48" s="1"/>
  <c r="N50"/>
  <c r="O50" s="1"/>
  <c r="N52"/>
  <c r="O52" s="1"/>
  <c r="N54"/>
  <c r="O54" s="1"/>
  <c r="N56"/>
  <c r="O56" s="1"/>
  <c r="N58"/>
  <c r="O58" s="1"/>
  <c r="N73"/>
  <c r="O73" s="1"/>
  <c r="N75"/>
  <c r="O75" s="1"/>
  <c r="N77"/>
  <c r="O77" s="1"/>
  <c r="N79"/>
  <c r="O79" s="1"/>
  <c r="N81"/>
  <c r="O81" s="1"/>
  <c r="N83"/>
  <c r="O83" s="1"/>
  <c r="N85"/>
  <c r="O85" s="1"/>
  <c r="N87"/>
  <c r="O87" s="1"/>
  <c r="N89"/>
  <c r="O89" s="1"/>
  <c r="N91"/>
  <c r="O91" s="1"/>
  <c r="N93"/>
  <c r="O93" s="1"/>
  <c r="N95"/>
  <c r="O95" s="1"/>
  <c r="N97"/>
  <c r="O97" s="1"/>
  <c r="N99"/>
  <c r="O99" s="1"/>
  <c r="N101"/>
  <c r="O101" s="1"/>
  <c r="N103"/>
  <c r="O103" s="1"/>
  <c r="N105"/>
  <c r="O105" s="1"/>
  <c r="N106"/>
  <c r="O106" s="1"/>
  <c r="N27"/>
  <c r="O27" s="1"/>
  <c r="N29"/>
  <c r="O29" s="1"/>
  <c r="N31"/>
  <c r="O31" s="1"/>
  <c r="N33"/>
  <c r="O33" s="1"/>
  <c r="N35"/>
  <c r="O35" s="1"/>
  <c r="N37"/>
  <c r="O37" s="1"/>
  <c r="N39"/>
  <c r="O39" s="1"/>
  <c r="N41"/>
  <c r="O41" s="1"/>
  <c r="N43"/>
  <c r="O43" s="1"/>
  <c r="N45"/>
  <c r="O45" s="1"/>
  <c r="N47"/>
  <c r="O47" s="1"/>
  <c r="N49"/>
  <c r="O49" s="1"/>
  <c r="N51"/>
  <c r="O51" s="1"/>
  <c r="N53"/>
  <c r="O53" s="1"/>
  <c r="N55"/>
  <c r="O55" s="1"/>
  <c r="N57"/>
  <c r="O57" s="1"/>
  <c r="N59"/>
  <c r="O59" s="1"/>
  <c r="N61"/>
  <c r="O61" s="1"/>
  <c r="N63"/>
  <c r="O63" s="1"/>
  <c r="N65"/>
  <c r="O65" s="1"/>
  <c r="N67"/>
  <c r="O67" s="1"/>
  <c r="N69"/>
  <c r="O69" s="1"/>
  <c r="N71"/>
  <c r="O71" s="1"/>
  <c r="N2"/>
  <c r="O2" s="1"/>
  <c r="N3"/>
  <c r="O3" s="1"/>
  <c r="N4"/>
  <c r="O4" s="1"/>
  <c r="N5"/>
  <c r="O5" s="1"/>
  <c r="N6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M22" i="14"/>
  <c r="M24"/>
  <c r="M26"/>
  <c r="M28"/>
  <c r="M30"/>
  <c r="M32"/>
  <c r="M34"/>
  <c r="M36"/>
  <c r="M38"/>
  <c r="M40"/>
  <c r="M42"/>
  <c r="M44"/>
  <c r="M46"/>
  <c r="M48"/>
  <c r="M50"/>
  <c r="M52"/>
  <c r="M58"/>
  <c r="M74" i="13"/>
  <c r="M76"/>
  <c r="M78"/>
  <c r="M80"/>
  <c r="M82"/>
  <c r="M84"/>
  <c r="M86"/>
  <c r="M88"/>
  <c r="M90"/>
  <c r="M92"/>
  <c r="M94"/>
  <c r="M96"/>
  <c r="M98"/>
  <c r="M100"/>
  <c r="M102"/>
  <c r="M104"/>
  <c r="M26"/>
  <c r="M28"/>
  <c r="M30"/>
  <c r="M32"/>
  <c r="M34"/>
  <c r="M36"/>
  <c r="M38"/>
  <c r="N6" i="14"/>
  <c r="O6" s="1"/>
  <c r="M12"/>
  <c r="M13"/>
  <c r="N115"/>
  <c r="O115" s="1"/>
  <c r="M121"/>
  <c r="M122"/>
  <c r="N124"/>
  <c r="O124" s="1"/>
  <c r="M23"/>
  <c r="M25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73"/>
  <c r="M75"/>
  <c r="M77"/>
  <c r="M79"/>
  <c r="M81"/>
  <c r="M82"/>
  <c r="M83"/>
  <c r="M129"/>
  <c r="M131"/>
  <c r="M133"/>
  <c r="M135"/>
  <c r="M137"/>
  <c r="N58"/>
  <c r="O58" s="1"/>
  <c r="N60"/>
  <c r="O60" s="1"/>
  <c r="M66"/>
  <c r="M68"/>
  <c r="M70"/>
  <c r="M76"/>
  <c r="M78"/>
  <c r="M80"/>
  <c r="M84"/>
  <c r="M85"/>
  <c r="M86"/>
  <c r="M87"/>
  <c r="M130"/>
  <c r="M132"/>
  <c r="M134"/>
  <c r="M136"/>
  <c r="M138"/>
  <c r="M140"/>
  <c r="M142"/>
  <c r="M144"/>
  <c r="M146"/>
  <c r="M148"/>
  <c r="M150"/>
  <c r="M152"/>
  <c r="M154"/>
  <c r="M156"/>
  <c r="M158"/>
  <c r="M89"/>
  <c r="M91"/>
  <c r="M93"/>
  <c r="M95"/>
  <c r="M97"/>
  <c r="M99"/>
  <c r="M101"/>
  <c r="M103"/>
  <c r="M105"/>
  <c r="M107"/>
  <c r="M109"/>
  <c r="M111"/>
  <c r="M113"/>
  <c r="M2"/>
  <c r="M3"/>
  <c r="M4"/>
  <c r="M5"/>
  <c r="L6"/>
  <c r="N7"/>
  <c r="O7" s="1"/>
  <c r="N14"/>
  <c r="O14" s="1"/>
  <c r="M20"/>
  <c r="M114"/>
  <c r="N116"/>
  <c r="O116" s="1"/>
  <c r="N123"/>
  <c r="O123" s="1"/>
  <c r="M40" i="13"/>
  <c r="M42"/>
  <c r="M44"/>
  <c r="M46"/>
  <c r="M48"/>
  <c r="M50"/>
  <c r="M52"/>
  <c r="M54"/>
  <c r="M56"/>
  <c r="M58"/>
  <c r="M60"/>
  <c r="M62"/>
  <c r="M64"/>
  <c r="M66"/>
  <c r="M68"/>
  <c r="M70"/>
  <c r="M73"/>
  <c r="M75"/>
  <c r="M77"/>
  <c r="M79"/>
  <c r="M81"/>
  <c r="M83"/>
  <c r="M85"/>
  <c r="M87"/>
  <c r="M89"/>
  <c r="M91"/>
  <c r="M93"/>
  <c r="M95"/>
  <c r="M97"/>
  <c r="M99"/>
  <c r="M101"/>
  <c r="M103"/>
  <c r="M105"/>
  <c r="M106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2"/>
  <c r="M3"/>
  <c r="M4"/>
  <c r="M5"/>
  <c r="M6"/>
  <c r="M7"/>
  <c r="M8"/>
  <c r="M9"/>
  <c r="M10"/>
  <c r="M11"/>
  <c r="M12"/>
  <c r="M13"/>
  <c r="M14"/>
  <c r="N76"/>
  <c r="O76" s="1"/>
  <c r="N78"/>
  <c r="O78" s="1"/>
  <c r="N80"/>
  <c r="O80" s="1"/>
  <c r="N82"/>
  <c r="O82" s="1"/>
  <c r="N84"/>
  <c r="O84" s="1"/>
  <c r="N86"/>
  <c r="O86" s="1"/>
  <c r="N88"/>
  <c r="O88" s="1"/>
  <c r="N90"/>
  <c r="O90" s="1"/>
  <c r="N92"/>
  <c r="O92" s="1"/>
  <c r="N94"/>
  <c r="O94" s="1"/>
  <c r="N96"/>
  <c r="O96" s="1"/>
  <c r="N98"/>
  <c r="O98" s="1"/>
  <c r="N100"/>
  <c r="O100" s="1"/>
  <c r="N102"/>
  <c r="O102" s="1"/>
  <c r="N104"/>
  <c r="O104" s="1"/>
  <c r="N26"/>
  <c r="O26" s="1"/>
  <c r="N28"/>
  <c r="O28" s="1"/>
  <c r="N30"/>
  <c r="O30" s="1"/>
  <c r="N32"/>
  <c r="O32" s="1"/>
  <c r="N34"/>
  <c r="O34" s="1"/>
  <c r="N36"/>
  <c r="O36" s="1"/>
  <c r="N38"/>
  <c r="O38" s="1"/>
  <c r="E163" i="14"/>
  <c r="K159"/>
  <c r="D163" s="1"/>
  <c r="M21"/>
  <c r="L128"/>
  <c r="E162"/>
  <c r="J159"/>
  <c r="D162" s="1"/>
  <c r="M139"/>
  <c r="N139"/>
  <c r="O139" s="1"/>
  <c r="L21"/>
  <c r="N21"/>
  <c r="L23"/>
  <c r="N23"/>
  <c r="O23" s="1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2"/>
  <c r="L83"/>
  <c r="L129"/>
  <c r="L131"/>
  <c r="L133"/>
  <c r="L135"/>
  <c r="L137"/>
  <c r="L139"/>
  <c r="L141"/>
  <c r="N141"/>
  <c r="O141" s="1"/>
  <c r="L143"/>
  <c r="N143"/>
  <c r="O143" s="1"/>
  <c r="L145"/>
  <c r="N145"/>
  <c r="O145" s="1"/>
  <c r="L147"/>
  <c r="N147"/>
  <c r="O147" s="1"/>
  <c r="L149"/>
  <c r="N149"/>
  <c r="O149" s="1"/>
  <c r="L151"/>
  <c r="N151"/>
  <c r="O151" s="1"/>
  <c r="L153"/>
  <c r="N153"/>
  <c r="O153" s="1"/>
  <c r="L155"/>
  <c r="N155"/>
  <c r="O155" s="1"/>
  <c r="L157"/>
  <c r="N157"/>
  <c r="O157" s="1"/>
  <c r="L88"/>
  <c r="N88"/>
  <c r="O88" s="1"/>
  <c r="L90"/>
  <c r="N90"/>
  <c r="O90" s="1"/>
  <c r="L92"/>
  <c r="N92"/>
  <c r="O92" s="1"/>
  <c r="L94"/>
  <c r="N94"/>
  <c r="O94" s="1"/>
  <c r="L96"/>
  <c r="N96"/>
  <c r="O96" s="1"/>
  <c r="L98"/>
  <c r="N98"/>
  <c r="O98" s="1"/>
  <c r="L100"/>
  <c r="N100"/>
  <c r="O100" s="1"/>
  <c r="L102"/>
  <c r="N102"/>
  <c r="O102" s="1"/>
  <c r="L104"/>
  <c r="N104"/>
  <c r="O104" s="1"/>
  <c r="L106"/>
  <c r="N106"/>
  <c r="O106" s="1"/>
  <c r="L108"/>
  <c r="N108"/>
  <c r="O108" s="1"/>
  <c r="L110"/>
  <c r="N110"/>
  <c r="O110" s="1"/>
  <c r="L112"/>
  <c r="N112"/>
  <c r="O112" s="1"/>
  <c r="L22"/>
  <c r="N22"/>
  <c r="O22" s="1"/>
  <c r="L24"/>
  <c r="N24"/>
  <c r="O24" s="1"/>
  <c r="L26"/>
  <c r="N26"/>
  <c r="O26" s="1"/>
  <c r="L28"/>
  <c r="N28"/>
  <c r="O28" s="1"/>
  <c r="L30"/>
  <c r="N30"/>
  <c r="O30" s="1"/>
  <c r="L32"/>
  <c r="N32"/>
  <c r="O32" s="1"/>
  <c r="L34"/>
  <c r="N34"/>
  <c r="O34" s="1"/>
  <c r="L36"/>
  <c r="N36"/>
  <c r="O36" s="1"/>
  <c r="L38"/>
  <c r="N38"/>
  <c r="O38" s="1"/>
  <c r="L40"/>
  <c r="N40"/>
  <c r="O40" s="1"/>
  <c r="L42"/>
  <c r="N42"/>
  <c r="O42" s="1"/>
  <c r="L44"/>
  <c r="N44"/>
  <c r="O44" s="1"/>
  <c r="L46"/>
  <c r="N46"/>
  <c r="O46" s="1"/>
  <c r="L48"/>
  <c r="N48"/>
  <c r="O48" s="1"/>
  <c r="L50"/>
  <c r="N50"/>
  <c r="O50" s="1"/>
  <c r="L52"/>
  <c r="N52"/>
  <c r="O52" s="1"/>
  <c r="M54"/>
  <c r="M56"/>
  <c r="L62"/>
  <c r="L64"/>
  <c r="N64"/>
  <c r="O64" s="1"/>
  <c r="L66"/>
  <c r="N66"/>
  <c r="O66" s="1"/>
  <c r="L68"/>
  <c r="N68"/>
  <c r="O68" s="1"/>
  <c r="L70"/>
  <c r="N70"/>
  <c r="O70" s="1"/>
  <c r="M72"/>
  <c r="M74"/>
  <c r="L7"/>
  <c r="L8"/>
  <c r="N8"/>
  <c r="O8" s="1"/>
  <c r="L9"/>
  <c r="N9"/>
  <c r="O9" s="1"/>
  <c r="M10"/>
  <c r="M11"/>
  <c r="L15"/>
  <c r="L16"/>
  <c r="N16"/>
  <c r="O16" s="1"/>
  <c r="L17"/>
  <c r="N17"/>
  <c r="O17" s="1"/>
  <c r="M18"/>
  <c r="M19"/>
  <c r="L116"/>
  <c r="L117"/>
  <c r="N117"/>
  <c r="O117" s="1"/>
  <c r="L118"/>
  <c r="N118"/>
  <c r="O118" s="1"/>
  <c r="M119"/>
  <c r="M120"/>
  <c r="L124"/>
  <c r="L125"/>
  <c r="N125"/>
  <c r="O125" s="1"/>
  <c r="L126"/>
  <c r="N126"/>
  <c r="O126" s="1"/>
  <c r="M127"/>
  <c r="M128"/>
  <c r="L54"/>
  <c r="L56"/>
  <c r="L58"/>
  <c r="L72"/>
  <c r="L74"/>
  <c r="L76"/>
  <c r="L78"/>
  <c r="L80"/>
  <c r="L84"/>
  <c r="L85"/>
  <c r="L86"/>
  <c r="L87"/>
  <c r="L130"/>
  <c r="L132"/>
  <c r="L134"/>
  <c r="L136"/>
  <c r="L138"/>
  <c r="L140"/>
  <c r="L142"/>
  <c r="L144"/>
  <c r="L146"/>
  <c r="L148"/>
  <c r="L150"/>
  <c r="L152"/>
  <c r="L154"/>
  <c r="L156"/>
  <c r="L158"/>
  <c r="L89"/>
  <c r="L91"/>
  <c r="L93"/>
  <c r="L95"/>
  <c r="L97"/>
  <c r="L99"/>
  <c r="L101"/>
  <c r="L103"/>
  <c r="L105"/>
  <c r="L107"/>
  <c r="L109"/>
  <c r="L111"/>
  <c r="L113"/>
  <c r="L2"/>
  <c r="L3"/>
  <c r="L4"/>
  <c r="L5"/>
  <c r="L10"/>
  <c r="L11"/>
  <c r="L12"/>
  <c r="L13"/>
  <c r="L18"/>
  <c r="L19"/>
  <c r="L20"/>
  <c r="L114"/>
  <c r="L119"/>
  <c r="L120"/>
  <c r="L121"/>
  <c r="L122"/>
  <c r="L127"/>
  <c r="O72" i="13"/>
  <c r="M72"/>
  <c r="M15"/>
  <c r="M16"/>
  <c r="M17"/>
  <c r="M18"/>
  <c r="M19"/>
  <c r="M20"/>
  <c r="M21"/>
  <c r="M22"/>
  <c r="M23"/>
  <c r="M24"/>
  <c r="M25"/>
  <c r="K107"/>
  <c r="D111" s="1"/>
  <c r="E111"/>
  <c r="L72"/>
  <c r="L74"/>
  <c r="N74"/>
  <c r="O74" s="1"/>
  <c r="L76"/>
  <c r="L78"/>
  <c r="L80"/>
  <c r="L82"/>
  <c r="L84"/>
  <c r="L86"/>
  <c r="L88"/>
  <c r="L90"/>
  <c r="L92"/>
  <c r="L94"/>
  <c r="L96"/>
  <c r="L98"/>
  <c r="L100"/>
  <c r="L102"/>
  <c r="L10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64"/>
  <c r="L66"/>
  <c r="L68"/>
  <c r="L70"/>
  <c r="L73"/>
  <c r="L75"/>
  <c r="L77"/>
  <c r="L79"/>
  <c r="L81"/>
  <c r="L83"/>
  <c r="L85"/>
  <c r="L87"/>
  <c r="L89"/>
  <c r="L91"/>
  <c r="L93"/>
  <c r="L95"/>
  <c r="L97"/>
  <c r="L99"/>
  <c r="L101"/>
  <c r="L103"/>
  <c r="L105"/>
  <c r="L106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J107"/>
  <c r="D110" s="1"/>
  <c r="J3" i="8"/>
  <c r="E162" s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N30" s="1"/>
  <c r="O30" s="1"/>
  <c r="J30"/>
  <c r="J31"/>
  <c r="J32"/>
  <c r="J33"/>
  <c r="J34"/>
  <c r="J35"/>
  <c r="J36"/>
  <c r="J37"/>
  <c r="J38"/>
  <c r="J39"/>
  <c r="J40"/>
  <c r="J41"/>
  <c r="J42"/>
  <c r="J43"/>
  <c r="J44"/>
  <c r="J45"/>
  <c r="N46" s="1"/>
  <c r="O46" s="1"/>
  <c r="J46"/>
  <c r="J47"/>
  <c r="J48"/>
  <c r="J49"/>
  <c r="J50"/>
  <c r="J51"/>
  <c r="J52"/>
  <c r="J53"/>
  <c r="J54"/>
  <c r="J55"/>
  <c r="J56"/>
  <c r="J57"/>
  <c r="N58" s="1"/>
  <c r="O58" s="1"/>
  <c r="J58"/>
  <c r="J59"/>
  <c r="J60"/>
  <c r="J61"/>
  <c r="J62"/>
  <c r="J63"/>
  <c r="J64"/>
  <c r="J65"/>
  <c r="N66" s="1"/>
  <c r="O66" s="1"/>
  <c r="J66"/>
  <c r="J67"/>
  <c r="J68"/>
  <c r="J69"/>
  <c r="J70"/>
  <c r="J71"/>
  <c r="J72"/>
  <c r="J73"/>
  <c r="N74" s="1"/>
  <c r="O74" s="1"/>
  <c r="J74"/>
  <c r="J75"/>
  <c r="J76"/>
  <c r="J77"/>
  <c r="J78"/>
  <c r="J79"/>
  <c r="J80"/>
  <c r="J81"/>
  <c r="N82" s="1"/>
  <c r="O82" s="1"/>
  <c r="J82"/>
  <c r="J83"/>
  <c r="N84" s="1"/>
  <c r="O84" s="1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N120" s="1"/>
  <c r="O120" s="1"/>
  <c r="J120"/>
  <c r="J121"/>
  <c r="J122"/>
  <c r="J123"/>
  <c r="J124"/>
  <c r="J125"/>
  <c r="J126"/>
  <c r="J127"/>
  <c r="N128" s="1"/>
  <c r="O128" s="1"/>
  <c r="J128"/>
  <c r="J129"/>
  <c r="J130"/>
  <c r="J131"/>
  <c r="J132"/>
  <c r="J133"/>
  <c r="J134"/>
  <c r="J135"/>
  <c r="N136" s="1"/>
  <c r="O136" s="1"/>
  <c r="J136"/>
  <c r="J137"/>
  <c r="J138"/>
  <c r="J139"/>
  <c r="J140"/>
  <c r="J141"/>
  <c r="J142"/>
  <c r="J143"/>
  <c r="N144" s="1"/>
  <c r="O144" s="1"/>
  <c r="J144"/>
  <c r="J145"/>
  <c r="J146"/>
  <c r="J147"/>
  <c r="J148"/>
  <c r="J149"/>
  <c r="J150"/>
  <c r="J151"/>
  <c r="N152" s="1"/>
  <c r="O152" s="1"/>
  <c r="J152"/>
  <c r="J153"/>
  <c r="J154"/>
  <c r="J155"/>
  <c r="J156"/>
  <c r="J157"/>
  <c r="J158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J3" i="10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A166" i="11"/>
  <c r="B163"/>
  <c r="B162"/>
  <c r="K128"/>
  <c r="J128"/>
  <c r="I128"/>
  <c r="H128"/>
  <c r="K127"/>
  <c r="J127"/>
  <c r="I127"/>
  <c r="H127"/>
  <c r="K126"/>
  <c r="J126"/>
  <c r="I126"/>
  <c r="H126"/>
  <c r="K125"/>
  <c r="J125"/>
  <c r="I125"/>
  <c r="H125"/>
  <c r="K124"/>
  <c r="J124"/>
  <c r="I124"/>
  <c r="H124"/>
  <c r="K123"/>
  <c r="J123"/>
  <c r="I123"/>
  <c r="H123"/>
  <c r="K122"/>
  <c r="J122"/>
  <c r="I122"/>
  <c r="H122"/>
  <c r="K121"/>
  <c r="J121"/>
  <c r="I121"/>
  <c r="H121"/>
  <c r="K120"/>
  <c r="J120"/>
  <c r="I120"/>
  <c r="H120"/>
  <c r="K119"/>
  <c r="J119"/>
  <c r="I119"/>
  <c r="H119"/>
  <c r="K118"/>
  <c r="J118"/>
  <c r="I118"/>
  <c r="H118"/>
  <c r="K117"/>
  <c r="J117"/>
  <c r="I117"/>
  <c r="H117"/>
  <c r="K116"/>
  <c r="J116"/>
  <c r="I116"/>
  <c r="H116"/>
  <c r="K115"/>
  <c r="J115"/>
  <c r="I115"/>
  <c r="H115"/>
  <c r="K114"/>
  <c r="J114"/>
  <c r="I114"/>
  <c r="H114"/>
  <c r="K20"/>
  <c r="J20"/>
  <c r="I20"/>
  <c r="H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K6"/>
  <c r="J6"/>
  <c r="I6"/>
  <c r="H6"/>
  <c r="K5"/>
  <c r="J5"/>
  <c r="I5"/>
  <c r="H5"/>
  <c r="K4"/>
  <c r="J4"/>
  <c r="I4"/>
  <c r="H4"/>
  <c r="K3"/>
  <c r="J3"/>
  <c r="I3"/>
  <c r="H3"/>
  <c r="K2"/>
  <c r="J2"/>
  <c r="I2"/>
  <c r="H2"/>
  <c r="K113"/>
  <c r="J113"/>
  <c r="I113"/>
  <c r="H113"/>
  <c r="K111"/>
  <c r="J111"/>
  <c r="I111"/>
  <c r="H111"/>
  <c r="K109"/>
  <c r="J109"/>
  <c r="I109"/>
  <c r="H109"/>
  <c r="K107"/>
  <c r="J107"/>
  <c r="I107"/>
  <c r="H107"/>
  <c r="K105"/>
  <c r="J105"/>
  <c r="I105"/>
  <c r="H105"/>
  <c r="K103"/>
  <c r="J103"/>
  <c r="I103"/>
  <c r="H103"/>
  <c r="K101"/>
  <c r="J101"/>
  <c r="I101"/>
  <c r="H101"/>
  <c r="K99"/>
  <c r="J99"/>
  <c r="I99"/>
  <c r="H99"/>
  <c r="K97"/>
  <c r="J97"/>
  <c r="I97"/>
  <c r="H97"/>
  <c r="K95"/>
  <c r="J95"/>
  <c r="I95"/>
  <c r="H95"/>
  <c r="K93"/>
  <c r="J93"/>
  <c r="I93"/>
  <c r="H93"/>
  <c r="K91"/>
  <c r="J91"/>
  <c r="I91"/>
  <c r="H91"/>
  <c r="K89"/>
  <c r="J89"/>
  <c r="I89"/>
  <c r="H89"/>
  <c r="K158"/>
  <c r="J158"/>
  <c r="I158"/>
  <c r="H158"/>
  <c r="K156"/>
  <c r="J156"/>
  <c r="I156"/>
  <c r="H156"/>
  <c r="K154"/>
  <c r="J154"/>
  <c r="I154"/>
  <c r="H154"/>
  <c r="K152"/>
  <c r="J152"/>
  <c r="I152"/>
  <c r="H152"/>
  <c r="K150"/>
  <c r="J150"/>
  <c r="I150"/>
  <c r="H150"/>
  <c r="K148"/>
  <c r="J148"/>
  <c r="I148"/>
  <c r="H148"/>
  <c r="K146"/>
  <c r="J146"/>
  <c r="I146"/>
  <c r="H146"/>
  <c r="K144"/>
  <c r="J144"/>
  <c r="I144"/>
  <c r="H144"/>
  <c r="K142"/>
  <c r="J142"/>
  <c r="I142"/>
  <c r="H142"/>
  <c r="K140"/>
  <c r="J140"/>
  <c r="I140"/>
  <c r="H140"/>
  <c r="K138"/>
  <c r="J138"/>
  <c r="I138"/>
  <c r="H138"/>
  <c r="K136"/>
  <c r="J136"/>
  <c r="I136"/>
  <c r="H136"/>
  <c r="K134"/>
  <c r="J134"/>
  <c r="I134"/>
  <c r="H134"/>
  <c r="K132"/>
  <c r="J132"/>
  <c r="I132"/>
  <c r="H132"/>
  <c r="K130"/>
  <c r="J130"/>
  <c r="I130"/>
  <c r="H130"/>
  <c r="K87"/>
  <c r="J87"/>
  <c r="I87"/>
  <c r="H87"/>
  <c r="K86"/>
  <c r="J86"/>
  <c r="N87" s="1"/>
  <c r="O87" s="1"/>
  <c r="I86"/>
  <c r="H86"/>
  <c r="K85"/>
  <c r="J85"/>
  <c r="N86" s="1"/>
  <c r="O86" s="1"/>
  <c r="I85"/>
  <c r="H85"/>
  <c r="K84"/>
  <c r="J84"/>
  <c r="N85" s="1"/>
  <c r="O85" s="1"/>
  <c r="I84"/>
  <c r="H84"/>
  <c r="K80"/>
  <c r="J80"/>
  <c r="I80"/>
  <c r="H80"/>
  <c r="K78"/>
  <c r="J78"/>
  <c r="I78"/>
  <c r="H78"/>
  <c r="K76"/>
  <c r="J76"/>
  <c r="I76"/>
  <c r="H76"/>
  <c r="K74"/>
  <c r="J74"/>
  <c r="I74"/>
  <c r="H74"/>
  <c r="K72"/>
  <c r="J72"/>
  <c r="I72"/>
  <c r="H72"/>
  <c r="K70"/>
  <c r="J70"/>
  <c r="I70"/>
  <c r="H70"/>
  <c r="K68"/>
  <c r="J68"/>
  <c r="I68"/>
  <c r="H68"/>
  <c r="K66"/>
  <c r="J66"/>
  <c r="I66"/>
  <c r="H66"/>
  <c r="K64"/>
  <c r="J64"/>
  <c r="I64"/>
  <c r="H64"/>
  <c r="K62"/>
  <c r="J62"/>
  <c r="I62"/>
  <c r="H62"/>
  <c r="K60"/>
  <c r="J60"/>
  <c r="I60"/>
  <c r="H60"/>
  <c r="K58"/>
  <c r="J58"/>
  <c r="I58"/>
  <c r="H58"/>
  <c r="K56"/>
  <c r="J56"/>
  <c r="I56"/>
  <c r="H56"/>
  <c r="K54"/>
  <c r="J54"/>
  <c r="I54"/>
  <c r="H54"/>
  <c r="K52"/>
  <c r="J52"/>
  <c r="I52"/>
  <c r="H52"/>
  <c r="K50"/>
  <c r="J50"/>
  <c r="I50"/>
  <c r="H50"/>
  <c r="K48"/>
  <c r="J48"/>
  <c r="I48"/>
  <c r="H48"/>
  <c r="K46"/>
  <c r="J46"/>
  <c r="I46"/>
  <c r="H46"/>
  <c r="K44"/>
  <c r="J44"/>
  <c r="I44"/>
  <c r="H44"/>
  <c r="K42"/>
  <c r="J42"/>
  <c r="I42"/>
  <c r="H42"/>
  <c r="K40"/>
  <c r="J40"/>
  <c r="I40"/>
  <c r="H40"/>
  <c r="K38"/>
  <c r="J38"/>
  <c r="I38"/>
  <c r="H38"/>
  <c r="K36"/>
  <c r="J36"/>
  <c r="I36"/>
  <c r="H36"/>
  <c r="K34"/>
  <c r="J34"/>
  <c r="I34"/>
  <c r="H34"/>
  <c r="K32"/>
  <c r="J32"/>
  <c r="I32"/>
  <c r="H32"/>
  <c r="K30"/>
  <c r="J30"/>
  <c r="I30"/>
  <c r="H30"/>
  <c r="K28"/>
  <c r="J28"/>
  <c r="I28"/>
  <c r="H28"/>
  <c r="K26"/>
  <c r="J26"/>
  <c r="I26"/>
  <c r="H26"/>
  <c r="K24"/>
  <c r="J24"/>
  <c r="I24"/>
  <c r="H24"/>
  <c r="K22"/>
  <c r="J22"/>
  <c r="I22"/>
  <c r="H22"/>
  <c r="K112"/>
  <c r="J112"/>
  <c r="I112"/>
  <c r="H112"/>
  <c r="K110"/>
  <c r="J110"/>
  <c r="N112" s="1"/>
  <c r="O112" s="1"/>
  <c r="I110"/>
  <c r="H110"/>
  <c r="K108"/>
  <c r="J108"/>
  <c r="I108"/>
  <c r="H108"/>
  <c r="K106"/>
  <c r="J106"/>
  <c r="N108" s="1"/>
  <c r="O108" s="1"/>
  <c r="I106"/>
  <c r="H106"/>
  <c r="K104"/>
  <c r="J104"/>
  <c r="N106" s="1"/>
  <c r="O106" s="1"/>
  <c r="I104"/>
  <c r="H104"/>
  <c r="K102"/>
  <c r="J102"/>
  <c r="N104" s="1"/>
  <c r="O104" s="1"/>
  <c r="I102"/>
  <c r="H102"/>
  <c r="K100"/>
  <c r="J100"/>
  <c r="I100"/>
  <c r="H100"/>
  <c r="K98"/>
  <c r="J98"/>
  <c r="N100" s="1"/>
  <c r="O100" s="1"/>
  <c r="I98"/>
  <c r="H98"/>
  <c r="K96"/>
  <c r="J96"/>
  <c r="N98" s="1"/>
  <c r="O98" s="1"/>
  <c r="I96"/>
  <c r="H96"/>
  <c r="K94"/>
  <c r="J94"/>
  <c r="N96" s="1"/>
  <c r="O96" s="1"/>
  <c r="I94"/>
  <c r="H94"/>
  <c r="K92"/>
  <c r="J92"/>
  <c r="I92"/>
  <c r="H92"/>
  <c r="K90"/>
  <c r="J90"/>
  <c r="N92" s="1"/>
  <c r="O92" s="1"/>
  <c r="I90"/>
  <c r="H90"/>
  <c r="N88"/>
  <c r="O88" s="1"/>
  <c r="M88"/>
  <c r="J88"/>
  <c r="I88"/>
  <c r="H88"/>
  <c r="L157"/>
  <c r="K157"/>
  <c r="I157"/>
  <c r="H157"/>
  <c r="K155"/>
  <c r="N155" s="1"/>
  <c r="O155" s="1"/>
  <c r="J155"/>
  <c r="I155"/>
  <c r="H155"/>
  <c r="K153"/>
  <c r="I153"/>
  <c r="H153"/>
  <c r="K151"/>
  <c r="J151"/>
  <c r="I151"/>
  <c r="H151"/>
  <c r="K149"/>
  <c r="I149"/>
  <c r="H149"/>
  <c r="K147"/>
  <c r="M147" s="1"/>
  <c r="J147"/>
  <c r="I147"/>
  <c r="H147"/>
  <c r="K145"/>
  <c r="I145"/>
  <c r="H145"/>
  <c r="K143"/>
  <c r="J143"/>
  <c r="I143"/>
  <c r="H143"/>
  <c r="L141"/>
  <c r="K141"/>
  <c r="I141"/>
  <c r="H141"/>
  <c r="K139"/>
  <c r="J139"/>
  <c r="I139"/>
  <c r="H139"/>
  <c r="K137"/>
  <c r="I137"/>
  <c r="H137"/>
  <c r="K135"/>
  <c r="J135"/>
  <c r="N137" s="1"/>
  <c r="O137" s="1"/>
  <c r="I135"/>
  <c r="H135"/>
  <c r="K133"/>
  <c r="I133"/>
  <c r="H133"/>
  <c r="K131"/>
  <c r="M131" s="1"/>
  <c r="J131"/>
  <c r="I131"/>
  <c r="H131"/>
  <c r="L129"/>
  <c r="K129"/>
  <c r="I129"/>
  <c r="H129"/>
  <c r="K83"/>
  <c r="N83" s="1"/>
  <c r="O83" s="1"/>
  <c r="J83"/>
  <c r="I83"/>
  <c r="H83"/>
  <c r="K82"/>
  <c r="I82"/>
  <c r="H82"/>
  <c r="K81"/>
  <c r="J81"/>
  <c r="I81"/>
  <c r="H81"/>
  <c r="K79"/>
  <c r="I79"/>
  <c r="H79"/>
  <c r="K77"/>
  <c r="J77"/>
  <c r="I77"/>
  <c r="H77"/>
  <c r="K75"/>
  <c r="J75"/>
  <c r="I75"/>
  <c r="H75"/>
  <c r="K73"/>
  <c r="J73"/>
  <c r="I73"/>
  <c r="H73"/>
  <c r="K71"/>
  <c r="J71"/>
  <c r="I71"/>
  <c r="H71"/>
  <c r="K69"/>
  <c r="J69"/>
  <c r="I69"/>
  <c r="H69"/>
  <c r="K67"/>
  <c r="J67"/>
  <c r="I67"/>
  <c r="H67"/>
  <c r="K65"/>
  <c r="J65"/>
  <c r="I65"/>
  <c r="H65"/>
  <c r="K63"/>
  <c r="J63"/>
  <c r="M139" s="1"/>
  <c r="I63"/>
  <c r="H63"/>
  <c r="K61"/>
  <c r="J61"/>
  <c r="I61"/>
  <c r="H61"/>
  <c r="K59"/>
  <c r="J59"/>
  <c r="I59"/>
  <c r="H59"/>
  <c r="K57"/>
  <c r="J57"/>
  <c r="I57"/>
  <c r="H57"/>
  <c r="K55"/>
  <c r="J55"/>
  <c r="I55"/>
  <c r="H55"/>
  <c r="K53"/>
  <c r="J53"/>
  <c r="I53"/>
  <c r="H53"/>
  <c r="K51"/>
  <c r="J51"/>
  <c r="I51"/>
  <c r="H51"/>
  <c r="K49"/>
  <c r="J49"/>
  <c r="I49"/>
  <c r="H49"/>
  <c r="K47"/>
  <c r="J47"/>
  <c r="I47"/>
  <c r="H47"/>
  <c r="K45"/>
  <c r="J45"/>
  <c r="I45"/>
  <c r="H45"/>
  <c r="K43"/>
  <c r="J43"/>
  <c r="I43"/>
  <c r="H43"/>
  <c r="K41"/>
  <c r="J41"/>
  <c r="I41"/>
  <c r="H41"/>
  <c r="K39"/>
  <c r="J39"/>
  <c r="I39"/>
  <c r="H39"/>
  <c r="K37"/>
  <c r="J37"/>
  <c r="I37"/>
  <c r="H37"/>
  <c r="K35"/>
  <c r="J35"/>
  <c r="I35"/>
  <c r="H35"/>
  <c r="K33"/>
  <c r="J33"/>
  <c r="I33"/>
  <c r="H33"/>
  <c r="K31"/>
  <c r="J31"/>
  <c r="I31"/>
  <c r="H31"/>
  <c r="K29"/>
  <c r="J29"/>
  <c r="I29"/>
  <c r="H29"/>
  <c r="K27"/>
  <c r="J27"/>
  <c r="I27"/>
  <c r="H27"/>
  <c r="K25"/>
  <c r="J25"/>
  <c r="I25"/>
  <c r="H25"/>
  <c r="K23"/>
  <c r="J23"/>
  <c r="I23"/>
  <c r="H23"/>
  <c r="K21"/>
  <c r="J21"/>
  <c r="I21"/>
  <c r="H21"/>
  <c r="A114" i="10"/>
  <c r="B111"/>
  <c r="B110"/>
  <c r="K25"/>
  <c r="I25"/>
  <c r="H25"/>
  <c r="K24"/>
  <c r="I24"/>
  <c r="H24"/>
  <c r="K23"/>
  <c r="I23"/>
  <c r="H23"/>
  <c r="K22"/>
  <c r="I22"/>
  <c r="H22"/>
  <c r="K21"/>
  <c r="I21"/>
  <c r="H21"/>
  <c r="K20"/>
  <c r="I20"/>
  <c r="H20"/>
  <c r="K19"/>
  <c r="I19"/>
  <c r="H19"/>
  <c r="K18"/>
  <c r="I18"/>
  <c r="H18"/>
  <c r="K17"/>
  <c r="I17"/>
  <c r="H17"/>
  <c r="K16"/>
  <c r="I16"/>
  <c r="H16"/>
  <c r="K15"/>
  <c r="I15"/>
  <c r="H15"/>
  <c r="K14"/>
  <c r="I14"/>
  <c r="H14"/>
  <c r="K13"/>
  <c r="I13"/>
  <c r="H13"/>
  <c r="K12"/>
  <c r="I12"/>
  <c r="H12"/>
  <c r="K11"/>
  <c r="I11"/>
  <c r="H11"/>
  <c r="K10"/>
  <c r="I10"/>
  <c r="H10"/>
  <c r="K9"/>
  <c r="I9"/>
  <c r="H9"/>
  <c r="K8"/>
  <c r="I8"/>
  <c r="H8"/>
  <c r="K7"/>
  <c r="I7"/>
  <c r="H7"/>
  <c r="K6"/>
  <c r="I6"/>
  <c r="H6"/>
  <c r="K5"/>
  <c r="I5"/>
  <c r="H5"/>
  <c r="K4"/>
  <c r="I4"/>
  <c r="H4"/>
  <c r="K3"/>
  <c r="I3"/>
  <c r="H3"/>
  <c r="K2"/>
  <c r="J2"/>
  <c r="I2"/>
  <c r="H2"/>
  <c r="K71"/>
  <c r="I71"/>
  <c r="H71"/>
  <c r="K69"/>
  <c r="I69"/>
  <c r="H69"/>
  <c r="K67"/>
  <c r="I67"/>
  <c r="H67"/>
  <c r="K65"/>
  <c r="I65"/>
  <c r="H65"/>
  <c r="K63"/>
  <c r="I63"/>
  <c r="H63"/>
  <c r="K61"/>
  <c r="I61"/>
  <c r="H61"/>
  <c r="K59"/>
  <c r="I59"/>
  <c r="H59"/>
  <c r="K57"/>
  <c r="I57"/>
  <c r="H57"/>
  <c r="K55"/>
  <c r="I55"/>
  <c r="H55"/>
  <c r="K53"/>
  <c r="I53"/>
  <c r="H53"/>
  <c r="K51"/>
  <c r="I51"/>
  <c r="H51"/>
  <c r="K49"/>
  <c r="I49"/>
  <c r="H49"/>
  <c r="K47"/>
  <c r="I47"/>
  <c r="H47"/>
  <c r="K45"/>
  <c r="I45"/>
  <c r="H45"/>
  <c r="K43"/>
  <c r="I43"/>
  <c r="H43"/>
  <c r="K41"/>
  <c r="I41"/>
  <c r="H41"/>
  <c r="K39"/>
  <c r="I39"/>
  <c r="H39"/>
  <c r="K37"/>
  <c r="I37"/>
  <c r="H37"/>
  <c r="K35"/>
  <c r="I35"/>
  <c r="H35"/>
  <c r="K33"/>
  <c r="I33"/>
  <c r="H33"/>
  <c r="K31"/>
  <c r="I31"/>
  <c r="H31"/>
  <c r="K29"/>
  <c r="I29"/>
  <c r="H29"/>
  <c r="K27"/>
  <c r="I27"/>
  <c r="H27"/>
  <c r="K106"/>
  <c r="I106"/>
  <c r="H106"/>
  <c r="K105"/>
  <c r="I105"/>
  <c r="H105"/>
  <c r="K103"/>
  <c r="I103"/>
  <c r="H103"/>
  <c r="K101"/>
  <c r="I101"/>
  <c r="H101"/>
  <c r="K99"/>
  <c r="I99"/>
  <c r="H99"/>
  <c r="K97"/>
  <c r="I97"/>
  <c r="H97"/>
  <c r="K95"/>
  <c r="I95"/>
  <c r="H95"/>
  <c r="K93"/>
  <c r="I93"/>
  <c r="H93"/>
  <c r="K91"/>
  <c r="I91"/>
  <c r="H91"/>
  <c r="K89"/>
  <c r="I89"/>
  <c r="H89"/>
  <c r="K87"/>
  <c r="I87"/>
  <c r="H87"/>
  <c r="K85"/>
  <c r="L84" s="1"/>
  <c r="I85"/>
  <c r="H85"/>
  <c r="K83"/>
  <c r="I83"/>
  <c r="H83"/>
  <c r="K81"/>
  <c r="I81"/>
  <c r="H81"/>
  <c r="K79"/>
  <c r="I79"/>
  <c r="H79"/>
  <c r="K77"/>
  <c r="I77"/>
  <c r="H77"/>
  <c r="K75"/>
  <c r="I75"/>
  <c r="H75"/>
  <c r="K73"/>
  <c r="I73"/>
  <c r="H73"/>
  <c r="K70"/>
  <c r="I70"/>
  <c r="H70"/>
  <c r="K68"/>
  <c r="I68"/>
  <c r="H68"/>
  <c r="K66"/>
  <c r="I66"/>
  <c r="H66"/>
  <c r="K64"/>
  <c r="I64"/>
  <c r="H64"/>
  <c r="K62"/>
  <c r="I62"/>
  <c r="H62"/>
  <c r="K60"/>
  <c r="I60"/>
  <c r="H60"/>
  <c r="K58"/>
  <c r="I58"/>
  <c r="H58"/>
  <c r="K56"/>
  <c r="I56"/>
  <c r="H56"/>
  <c r="K54"/>
  <c r="I54"/>
  <c r="H54"/>
  <c r="K52"/>
  <c r="I52"/>
  <c r="H52"/>
  <c r="K50"/>
  <c r="I50"/>
  <c r="H50"/>
  <c r="K48"/>
  <c r="I48"/>
  <c r="H48"/>
  <c r="K46"/>
  <c r="I46"/>
  <c r="H46"/>
  <c r="K44"/>
  <c r="I44"/>
  <c r="H44"/>
  <c r="K42"/>
  <c r="I42"/>
  <c r="H42"/>
  <c r="K40"/>
  <c r="I40"/>
  <c r="H40"/>
  <c r="K38"/>
  <c r="I38"/>
  <c r="H38"/>
  <c r="K36"/>
  <c r="I36"/>
  <c r="H36"/>
  <c r="K34"/>
  <c r="I34"/>
  <c r="H34"/>
  <c r="K32"/>
  <c r="I32"/>
  <c r="H32"/>
  <c r="K30"/>
  <c r="I30"/>
  <c r="H30"/>
  <c r="K28"/>
  <c r="I28"/>
  <c r="H28"/>
  <c r="K26"/>
  <c r="I26"/>
  <c r="H26"/>
  <c r="K104"/>
  <c r="I104"/>
  <c r="H104"/>
  <c r="K102"/>
  <c r="I102"/>
  <c r="H102"/>
  <c r="K100"/>
  <c r="N100" s="1"/>
  <c r="O100" s="1"/>
  <c r="I100"/>
  <c r="H100"/>
  <c r="K98"/>
  <c r="N98" s="1"/>
  <c r="O98" s="1"/>
  <c r="I98"/>
  <c r="H98"/>
  <c r="K96"/>
  <c r="M96" s="1"/>
  <c r="I96"/>
  <c r="H96"/>
  <c r="K94"/>
  <c r="N94" s="1"/>
  <c r="O94" s="1"/>
  <c r="I94"/>
  <c r="H94"/>
  <c r="K92"/>
  <c r="M92" s="1"/>
  <c r="I92"/>
  <c r="H92"/>
  <c r="K90"/>
  <c r="N90" s="1"/>
  <c r="O90" s="1"/>
  <c r="I90"/>
  <c r="H90"/>
  <c r="K88"/>
  <c r="M88" s="1"/>
  <c r="I88"/>
  <c r="H88"/>
  <c r="K86"/>
  <c r="N86" s="1"/>
  <c r="O86" s="1"/>
  <c r="I86"/>
  <c r="H86"/>
  <c r="K84"/>
  <c r="M84" s="1"/>
  <c r="I84"/>
  <c r="H84"/>
  <c r="K82"/>
  <c r="I82"/>
  <c r="H82"/>
  <c r="K80"/>
  <c r="N82"/>
  <c r="O82" s="1"/>
  <c r="I80"/>
  <c r="H80"/>
  <c r="K78"/>
  <c r="I78"/>
  <c r="H78"/>
  <c r="K76"/>
  <c r="I76"/>
  <c r="H76"/>
  <c r="K74"/>
  <c r="I74"/>
  <c r="H74"/>
  <c r="K72"/>
  <c r="M72" s="1"/>
  <c r="I72"/>
  <c r="H72"/>
  <c r="M2" i="8"/>
  <c r="M3"/>
  <c r="M5"/>
  <c r="M7"/>
  <c r="M9"/>
  <c r="M11"/>
  <c r="M13"/>
  <c r="M15"/>
  <c r="M17"/>
  <c r="M19"/>
  <c r="M21"/>
  <c r="M23"/>
  <c r="M25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73"/>
  <c r="M75"/>
  <c r="M77"/>
  <c r="M79"/>
  <c r="M81"/>
  <c r="M83"/>
  <c r="M85"/>
  <c r="M87"/>
  <c r="M89"/>
  <c r="M91"/>
  <c r="M93"/>
  <c r="M95"/>
  <c r="M97"/>
  <c r="M99"/>
  <c r="M101"/>
  <c r="M103"/>
  <c r="M105"/>
  <c r="M107"/>
  <c r="M109"/>
  <c r="M111"/>
  <c r="M113"/>
  <c r="M115"/>
  <c r="M117"/>
  <c r="M119"/>
  <c r="M121"/>
  <c r="M123"/>
  <c r="M125"/>
  <c r="M127"/>
  <c r="M129"/>
  <c r="M131"/>
  <c r="M133"/>
  <c r="M135"/>
  <c r="M137"/>
  <c r="M139"/>
  <c r="M141"/>
  <c r="M143"/>
  <c r="M145"/>
  <c r="M147"/>
  <c r="M149"/>
  <c r="M151"/>
  <c r="M153"/>
  <c r="M155"/>
  <c r="M157"/>
  <c r="L2"/>
  <c r="L4"/>
  <c r="L6"/>
  <c r="L8"/>
  <c r="L10"/>
  <c r="L12"/>
  <c r="L14"/>
  <c r="L16"/>
  <c r="L18"/>
  <c r="L20"/>
  <c r="L22"/>
  <c r="L2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64"/>
  <c r="L66"/>
  <c r="L68"/>
  <c r="L70"/>
  <c r="L72"/>
  <c r="L74"/>
  <c r="L76"/>
  <c r="L78"/>
  <c r="L80"/>
  <c r="L82"/>
  <c r="L84"/>
  <c r="L86"/>
  <c r="L88"/>
  <c r="L90"/>
  <c r="L92"/>
  <c r="L94"/>
  <c r="L96"/>
  <c r="L98"/>
  <c r="L100"/>
  <c r="L102"/>
  <c r="L104"/>
  <c r="L106"/>
  <c r="L108"/>
  <c r="L110"/>
  <c r="L112"/>
  <c r="L114"/>
  <c r="L116"/>
  <c r="L118"/>
  <c r="L120"/>
  <c r="L122"/>
  <c r="L124"/>
  <c r="L126"/>
  <c r="L128"/>
  <c r="L130"/>
  <c r="L132"/>
  <c r="L134"/>
  <c r="L136"/>
  <c r="L138"/>
  <c r="L140"/>
  <c r="L142"/>
  <c r="L144"/>
  <c r="L146"/>
  <c r="L148"/>
  <c r="L150"/>
  <c r="L152"/>
  <c r="L154"/>
  <c r="L156"/>
  <c r="E119" i="7"/>
  <c r="E118"/>
  <c r="D119"/>
  <c r="D118"/>
  <c r="H150" i="8"/>
  <c r="H152"/>
  <c r="H154"/>
  <c r="H156"/>
  <c r="H158"/>
  <c r="H89"/>
  <c r="H91"/>
  <c r="H93"/>
  <c r="H95"/>
  <c r="H97"/>
  <c r="H99"/>
  <c r="H101"/>
  <c r="H103"/>
  <c r="H105"/>
  <c r="H107"/>
  <c r="H109"/>
  <c r="H111"/>
  <c r="H113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114"/>
  <c r="H115"/>
  <c r="H116"/>
  <c r="H117"/>
  <c r="H118"/>
  <c r="H119"/>
  <c r="H120"/>
  <c r="H121"/>
  <c r="H122"/>
  <c r="H123"/>
  <c r="H124"/>
  <c r="H125"/>
  <c r="H126"/>
  <c r="H127"/>
  <c r="H128"/>
  <c r="I150"/>
  <c r="I152"/>
  <c r="I154"/>
  <c r="I156"/>
  <c r="I158"/>
  <c r="I89"/>
  <c r="I91"/>
  <c r="I93"/>
  <c r="I95"/>
  <c r="I97"/>
  <c r="I99"/>
  <c r="I101"/>
  <c r="I103"/>
  <c r="I105"/>
  <c r="I107"/>
  <c r="I109"/>
  <c r="I111"/>
  <c r="I113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114"/>
  <c r="I115"/>
  <c r="I116"/>
  <c r="I117"/>
  <c r="I118"/>
  <c r="I119"/>
  <c r="I120"/>
  <c r="I121"/>
  <c r="I122"/>
  <c r="I123"/>
  <c r="I124"/>
  <c r="I125"/>
  <c r="I126"/>
  <c r="I127"/>
  <c r="I128"/>
  <c r="J2"/>
  <c r="K2"/>
  <c r="N2" s="1"/>
  <c r="O2" s="1"/>
  <c r="N116"/>
  <c r="O116" s="1"/>
  <c r="N124"/>
  <c r="O124" s="1"/>
  <c r="A166"/>
  <c r="B163"/>
  <c r="B162"/>
  <c r="I148"/>
  <c r="H148"/>
  <c r="I146"/>
  <c r="H146"/>
  <c r="I144"/>
  <c r="H144"/>
  <c r="I142"/>
  <c r="H142"/>
  <c r="I140"/>
  <c r="H140"/>
  <c r="I138"/>
  <c r="H138"/>
  <c r="I136"/>
  <c r="H136"/>
  <c r="I134"/>
  <c r="H134"/>
  <c r="I132"/>
  <c r="H132"/>
  <c r="I130"/>
  <c r="H130"/>
  <c r="I87"/>
  <c r="H87"/>
  <c r="I86"/>
  <c r="H86"/>
  <c r="I85"/>
  <c r="H85"/>
  <c r="I84"/>
  <c r="H84"/>
  <c r="I80"/>
  <c r="H80"/>
  <c r="I78"/>
  <c r="H78"/>
  <c r="I76"/>
  <c r="H76"/>
  <c r="I74"/>
  <c r="H74"/>
  <c r="I72"/>
  <c r="H72"/>
  <c r="I70"/>
  <c r="H70"/>
  <c r="I68"/>
  <c r="H68"/>
  <c r="I66"/>
  <c r="H66"/>
  <c r="I64"/>
  <c r="H64"/>
  <c r="I62"/>
  <c r="H62"/>
  <c r="I60"/>
  <c r="H60"/>
  <c r="I58"/>
  <c r="H58"/>
  <c r="I56"/>
  <c r="H56"/>
  <c r="I54"/>
  <c r="H54"/>
  <c r="I52"/>
  <c r="H52"/>
  <c r="I50"/>
  <c r="H50"/>
  <c r="I48"/>
  <c r="H48"/>
  <c r="I46"/>
  <c r="H46"/>
  <c r="I44"/>
  <c r="H44"/>
  <c r="I42"/>
  <c r="H42"/>
  <c r="I40"/>
  <c r="H40"/>
  <c r="N38"/>
  <c r="O38" s="1"/>
  <c r="I38"/>
  <c r="H38"/>
  <c r="I36"/>
  <c r="H36"/>
  <c r="I34"/>
  <c r="H34"/>
  <c r="I32"/>
  <c r="H32"/>
  <c r="I30"/>
  <c r="H30"/>
  <c r="I28"/>
  <c r="H28"/>
  <c r="I26"/>
  <c r="H26"/>
  <c r="I24"/>
  <c r="H24"/>
  <c r="I22"/>
  <c r="H22"/>
  <c r="N113"/>
  <c r="O113" s="1"/>
  <c r="I112"/>
  <c r="H112"/>
  <c r="N111"/>
  <c r="O111" s="1"/>
  <c r="I110"/>
  <c r="H110"/>
  <c r="N109"/>
  <c r="O109" s="1"/>
  <c r="I108"/>
  <c r="H108"/>
  <c r="N107"/>
  <c r="O107" s="1"/>
  <c r="I106"/>
  <c r="H106"/>
  <c r="N105"/>
  <c r="O105" s="1"/>
  <c r="I104"/>
  <c r="H104"/>
  <c r="N103"/>
  <c r="O103" s="1"/>
  <c r="I102"/>
  <c r="H102"/>
  <c r="N101"/>
  <c r="O101" s="1"/>
  <c r="I100"/>
  <c r="H100"/>
  <c r="N99"/>
  <c r="O99" s="1"/>
  <c r="I98"/>
  <c r="H98"/>
  <c r="N97"/>
  <c r="O97" s="1"/>
  <c r="I96"/>
  <c r="H96"/>
  <c r="N95"/>
  <c r="O95" s="1"/>
  <c r="I94"/>
  <c r="H94"/>
  <c r="N93"/>
  <c r="O93" s="1"/>
  <c r="I92"/>
  <c r="H92"/>
  <c r="N91"/>
  <c r="O91" s="1"/>
  <c r="I90"/>
  <c r="H90"/>
  <c r="N89"/>
  <c r="O89" s="1"/>
  <c r="I88"/>
  <c r="H88"/>
  <c r="I157"/>
  <c r="H157"/>
  <c r="N156"/>
  <c r="O156" s="1"/>
  <c r="I155"/>
  <c r="H155"/>
  <c r="I153"/>
  <c r="H153"/>
  <c r="I151"/>
  <c r="H151"/>
  <c r="I149"/>
  <c r="H149"/>
  <c r="N148"/>
  <c r="O148" s="1"/>
  <c r="I147"/>
  <c r="H147"/>
  <c r="I145"/>
  <c r="H145"/>
  <c r="I143"/>
  <c r="H143"/>
  <c r="I141"/>
  <c r="H141"/>
  <c r="N140"/>
  <c r="O140" s="1"/>
  <c r="I139"/>
  <c r="H139"/>
  <c r="I137"/>
  <c r="H137"/>
  <c r="I135"/>
  <c r="H135"/>
  <c r="I133"/>
  <c r="H133"/>
  <c r="N132"/>
  <c r="O132" s="1"/>
  <c r="I131"/>
  <c r="H131"/>
  <c r="I129"/>
  <c r="H129"/>
  <c r="I83"/>
  <c r="H83"/>
  <c r="N83"/>
  <c r="O83" s="1"/>
  <c r="I82"/>
  <c r="H82"/>
  <c r="I81"/>
  <c r="H81"/>
  <c r="I79"/>
  <c r="H79"/>
  <c r="N78"/>
  <c r="O78" s="1"/>
  <c r="I77"/>
  <c r="H77"/>
  <c r="I75"/>
  <c r="H75"/>
  <c r="I73"/>
  <c r="H73"/>
  <c r="I71"/>
  <c r="H71"/>
  <c r="N70"/>
  <c r="O70" s="1"/>
  <c r="I69"/>
  <c r="H69"/>
  <c r="I67"/>
  <c r="H67"/>
  <c r="I65"/>
  <c r="H65"/>
  <c r="I63"/>
  <c r="H63"/>
  <c r="N62"/>
  <c r="O62" s="1"/>
  <c r="I61"/>
  <c r="H61"/>
  <c r="I59"/>
  <c r="H59"/>
  <c r="I57"/>
  <c r="H57"/>
  <c r="I55"/>
  <c r="H55"/>
  <c r="N54"/>
  <c r="O54" s="1"/>
  <c r="I53"/>
  <c r="H53"/>
  <c r="I51"/>
  <c r="H51"/>
  <c r="I49"/>
  <c r="H49"/>
  <c r="I47"/>
  <c r="H47"/>
  <c r="I45"/>
  <c r="H45"/>
  <c r="I43"/>
  <c r="H43"/>
  <c r="I41"/>
  <c r="H41"/>
  <c r="I39"/>
  <c r="H39"/>
  <c r="I37"/>
  <c r="H37"/>
  <c r="I35"/>
  <c r="H35"/>
  <c r="I33"/>
  <c r="H33"/>
  <c r="I31"/>
  <c r="H31"/>
  <c r="I29"/>
  <c r="H29"/>
  <c r="I27"/>
  <c r="H27"/>
  <c r="N26"/>
  <c r="O26" s="1"/>
  <c r="I25"/>
  <c r="H25"/>
  <c r="I23"/>
  <c r="H23"/>
  <c r="I21"/>
  <c r="H21"/>
  <c r="H159" s="1"/>
  <c r="C162" s="1"/>
  <c r="A114" i="7"/>
  <c r="J60"/>
  <c r="L60" s="1"/>
  <c r="J62"/>
  <c r="L62" s="1"/>
  <c r="J64"/>
  <c r="L64" s="1"/>
  <c r="J66"/>
  <c r="L66" s="1"/>
  <c r="J68"/>
  <c r="L68" s="1"/>
  <c r="J70"/>
  <c r="L70" s="1"/>
  <c r="K72"/>
  <c r="K74"/>
  <c r="K76"/>
  <c r="K78"/>
  <c r="K80"/>
  <c r="K82"/>
  <c r="K84"/>
  <c r="K86"/>
  <c r="K88"/>
  <c r="K90"/>
  <c r="K92"/>
  <c r="K94"/>
  <c r="K96"/>
  <c r="K98"/>
  <c r="K100"/>
  <c r="K102"/>
  <c r="K104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3"/>
  <c r="K75"/>
  <c r="K77"/>
  <c r="K79"/>
  <c r="K81"/>
  <c r="K83"/>
  <c r="K85"/>
  <c r="K87"/>
  <c r="K89"/>
  <c r="K91"/>
  <c r="K93"/>
  <c r="K95"/>
  <c r="K97"/>
  <c r="K99"/>
  <c r="K101"/>
  <c r="K103"/>
  <c r="K105"/>
  <c r="K106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2"/>
  <c r="N2" s="1"/>
  <c r="O2" s="1"/>
  <c r="K3"/>
  <c r="K4"/>
  <c r="K5"/>
  <c r="K6"/>
  <c r="K7"/>
  <c r="K8"/>
  <c r="N8" s="1"/>
  <c r="O8" s="1"/>
  <c r="K9"/>
  <c r="N9" s="1"/>
  <c r="O9" s="1"/>
  <c r="K10"/>
  <c r="N10" s="1"/>
  <c r="O10" s="1"/>
  <c r="K11"/>
  <c r="N11" s="1"/>
  <c r="O11" s="1"/>
  <c r="K12"/>
  <c r="N12" s="1"/>
  <c r="O12" s="1"/>
  <c r="K13"/>
  <c r="N13" s="1"/>
  <c r="O13" s="1"/>
  <c r="K14"/>
  <c r="N14" s="1"/>
  <c r="O14" s="1"/>
  <c r="K15"/>
  <c r="N15" s="1"/>
  <c r="O15" s="1"/>
  <c r="K16"/>
  <c r="N16" s="1"/>
  <c r="O16" s="1"/>
  <c r="K17"/>
  <c r="K18"/>
  <c r="K19"/>
  <c r="K20"/>
  <c r="K21"/>
  <c r="K22"/>
  <c r="K23"/>
  <c r="K24"/>
  <c r="K25"/>
  <c r="J72"/>
  <c r="L72" s="1"/>
  <c r="J74"/>
  <c r="L74" s="1"/>
  <c r="J76"/>
  <c r="L76" s="1"/>
  <c r="J78"/>
  <c r="L78" s="1"/>
  <c r="J80"/>
  <c r="L80" s="1"/>
  <c r="J82"/>
  <c r="L82" s="1"/>
  <c r="J84"/>
  <c r="L84" s="1"/>
  <c r="J86"/>
  <c r="L86" s="1"/>
  <c r="J88"/>
  <c r="L88" s="1"/>
  <c r="J90"/>
  <c r="L90" s="1"/>
  <c r="J92"/>
  <c r="L92" s="1"/>
  <c r="J94"/>
  <c r="L94" s="1"/>
  <c r="J96"/>
  <c r="L96" s="1"/>
  <c r="J98"/>
  <c r="L98" s="1"/>
  <c r="J100"/>
  <c r="L100" s="1"/>
  <c r="J102"/>
  <c r="L102" s="1"/>
  <c r="J104"/>
  <c r="L104" s="1"/>
  <c r="J26"/>
  <c r="N27" s="1"/>
  <c r="O27" s="1"/>
  <c r="J28"/>
  <c r="N29" s="1"/>
  <c r="O29" s="1"/>
  <c r="J30"/>
  <c r="N31" s="1"/>
  <c r="O31" s="1"/>
  <c r="J32"/>
  <c r="N33" s="1"/>
  <c r="O33" s="1"/>
  <c r="J34"/>
  <c r="N35" s="1"/>
  <c r="O35" s="1"/>
  <c r="J36"/>
  <c r="N37" s="1"/>
  <c r="O37" s="1"/>
  <c r="J38"/>
  <c r="N39" s="1"/>
  <c r="O39" s="1"/>
  <c r="J40"/>
  <c r="N41" s="1"/>
  <c r="O41" s="1"/>
  <c r="J42"/>
  <c r="N43" s="1"/>
  <c r="O43" s="1"/>
  <c r="J44"/>
  <c r="N45" s="1"/>
  <c r="O45" s="1"/>
  <c r="J46"/>
  <c r="N47" s="1"/>
  <c r="O47" s="1"/>
  <c r="J48"/>
  <c r="N49" s="1"/>
  <c r="O49" s="1"/>
  <c r="J50"/>
  <c r="N51" s="1"/>
  <c r="O51" s="1"/>
  <c r="J52"/>
  <c r="N53" s="1"/>
  <c r="O53" s="1"/>
  <c r="J54"/>
  <c r="N55" s="1"/>
  <c r="O55" s="1"/>
  <c r="J56"/>
  <c r="N57" s="1"/>
  <c r="O57" s="1"/>
  <c r="J58"/>
  <c r="N59" s="1"/>
  <c r="O59" s="1"/>
  <c r="J73"/>
  <c r="N74" s="1"/>
  <c r="O74" s="1"/>
  <c r="J75"/>
  <c r="N76" s="1"/>
  <c r="O76" s="1"/>
  <c r="J77"/>
  <c r="N78" s="1"/>
  <c r="O78" s="1"/>
  <c r="J79"/>
  <c r="N80" s="1"/>
  <c r="O80" s="1"/>
  <c r="J81"/>
  <c r="N82" s="1"/>
  <c r="O82" s="1"/>
  <c r="J83"/>
  <c r="N84" s="1"/>
  <c r="O84" s="1"/>
  <c r="J85"/>
  <c r="N86" s="1"/>
  <c r="O86" s="1"/>
  <c r="J87"/>
  <c r="N88" s="1"/>
  <c r="O88" s="1"/>
  <c r="J89"/>
  <c r="N90" s="1"/>
  <c r="O90" s="1"/>
  <c r="J91"/>
  <c r="N92" s="1"/>
  <c r="O92" s="1"/>
  <c r="J93"/>
  <c r="N94" s="1"/>
  <c r="O94" s="1"/>
  <c r="J95"/>
  <c r="N96" s="1"/>
  <c r="O96" s="1"/>
  <c r="J97"/>
  <c r="N98" s="1"/>
  <c r="O98" s="1"/>
  <c r="J99"/>
  <c r="N100" s="1"/>
  <c r="O100" s="1"/>
  <c r="J101"/>
  <c r="N102" s="1"/>
  <c r="O102" s="1"/>
  <c r="J103"/>
  <c r="N104" s="1"/>
  <c r="O104" s="1"/>
  <c r="J105"/>
  <c r="N106" s="1"/>
  <c r="O106" s="1"/>
  <c r="J106"/>
  <c r="J27"/>
  <c r="L27" s="1"/>
  <c r="J29"/>
  <c r="L29" s="1"/>
  <c r="J31"/>
  <c r="L31" s="1"/>
  <c r="J33"/>
  <c r="L33" s="1"/>
  <c r="J35"/>
  <c r="L35" s="1"/>
  <c r="J37"/>
  <c r="L37" s="1"/>
  <c r="J39"/>
  <c r="L39" s="1"/>
  <c r="J41"/>
  <c r="L41" s="1"/>
  <c r="J43"/>
  <c r="L43" s="1"/>
  <c r="J45"/>
  <c r="L45" s="1"/>
  <c r="J47"/>
  <c r="L47" s="1"/>
  <c r="J49"/>
  <c r="L49" s="1"/>
  <c r="J51"/>
  <c r="L51" s="1"/>
  <c r="J53"/>
  <c r="L53" s="1"/>
  <c r="J55"/>
  <c r="L55" s="1"/>
  <c r="J57"/>
  <c r="L57" s="1"/>
  <c r="J59"/>
  <c r="L59" s="1"/>
  <c r="J61"/>
  <c r="L61" s="1"/>
  <c r="J63"/>
  <c r="L63" s="1"/>
  <c r="J65"/>
  <c r="L65" s="1"/>
  <c r="J67"/>
  <c r="L67" s="1"/>
  <c r="J69"/>
  <c r="L69" s="1"/>
  <c r="J71"/>
  <c r="L71" s="1"/>
  <c r="J2"/>
  <c r="N3" s="1"/>
  <c r="O3" s="1"/>
  <c r="J3"/>
  <c r="N4" s="1"/>
  <c r="O4" s="1"/>
  <c r="J4"/>
  <c r="N5" s="1"/>
  <c r="O5" s="1"/>
  <c r="J5"/>
  <c r="N6" s="1"/>
  <c r="O6" s="1"/>
  <c r="J6"/>
  <c r="N7" s="1"/>
  <c r="O7" s="1"/>
  <c r="J16"/>
  <c r="L16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I72"/>
  <c r="I74"/>
  <c r="I76"/>
  <c r="I78"/>
  <c r="I80"/>
  <c r="I82"/>
  <c r="I84"/>
  <c r="I86"/>
  <c r="I88"/>
  <c r="I90"/>
  <c r="I92"/>
  <c r="I94"/>
  <c r="I96"/>
  <c r="I98"/>
  <c r="I100"/>
  <c r="I102"/>
  <c r="I104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3"/>
  <c r="I75"/>
  <c r="I77"/>
  <c r="I79"/>
  <c r="I81"/>
  <c r="I83"/>
  <c r="I85"/>
  <c r="I87"/>
  <c r="I89"/>
  <c r="I91"/>
  <c r="I93"/>
  <c r="I95"/>
  <c r="I97"/>
  <c r="I99"/>
  <c r="I101"/>
  <c r="I103"/>
  <c r="I105"/>
  <c r="I106"/>
  <c r="I27"/>
  <c r="I29"/>
  <c r="I31"/>
  <c r="I33"/>
  <c r="I35"/>
  <c r="I37"/>
  <c r="I39"/>
  <c r="I41"/>
  <c r="I43"/>
  <c r="I45"/>
  <c r="I47"/>
  <c r="I49"/>
  <c r="I51"/>
  <c r="I53"/>
  <c r="I55"/>
  <c r="I57"/>
  <c r="I59"/>
  <c r="I61"/>
  <c r="I63"/>
  <c r="I65"/>
  <c r="I67"/>
  <c r="I69"/>
  <c r="I71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H72"/>
  <c r="H74"/>
  <c r="H76"/>
  <c r="H78"/>
  <c r="H80"/>
  <c r="H82"/>
  <c r="H84"/>
  <c r="H86"/>
  <c r="H88"/>
  <c r="H90"/>
  <c r="H92"/>
  <c r="H94"/>
  <c r="H96"/>
  <c r="H98"/>
  <c r="H100"/>
  <c r="H102"/>
  <c r="H10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3"/>
  <c r="H75"/>
  <c r="H77"/>
  <c r="H79"/>
  <c r="H81"/>
  <c r="H83"/>
  <c r="H85"/>
  <c r="H87"/>
  <c r="H89"/>
  <c r="H91"/>
  <c r="H93"/>
  <c r="H95"/>
  <c r="H97"/>
  <c r="H99"/>
  <c r="H101"/>
  <c r="H103"/>
  <c r="H105"/>
  <c r="H106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B111"/>
  <c r="B110"/>
  <c r="B109" i="6"/>
  <c r="B108"/>
  <c r="G44"/>
  <c r="L44" s="1"/>
  <c r="G45"/>
  <c r="L45" s="1"/>
  <c r="G46"/>
  <c r="L46" s="1"/>
  <c r="G47"/>
  <c r="L47" s="1"/>
  <c r="G48"/>
  <c r="L48" s="1"/>
  <c r="G49"/>
  <c r="L49" s="1"/>
  <c r="G50"/>
  <c r="L50" s="1"/>
  <c r="G51"/>
  <c r="L51" s="1"/>
  <c r="G52"/>
  <c r="L52" s="1"/>
  <c r="G53"/>
  <c r="L53" s="1"/>
  <c r="G54"/>
  <c r="L54" s="1"/>
  <c r="G55"/>
  <c r="L55" s="1"/>
  <c r="G56"/>
  <c r="L56" s="1"/>
  <c r="G57"/>
  <c r="L57" s="1"/>
  <c r="G58"/>
  <c r="L58" s="1"/>
  <c r="G59"/>
  <c r="L59" s="1"/>
  <c r="G60"/>
  <c r="L60" s="1"/>
  <c r="G61"/>
  <c r="L61" s="1"/>
  <c r="G62"/>
  <c r="L62" s="1"/>
  <c r="G63"/>
  <c r="L63" s="1"/>
  <c r="G64"/>
  <c r="L64" s="1"/>
  <c r="G65"/>
  <c r="L65" s="1"/>
  <c r="G66"/>
  <c r="L66" s="1"/>
  <c r="G67"/>
  <c r="L67" s="1"/>
  <c r="G68"/>
  <c r="L68" s="1"/>
  <c r="G69"/>
  <c r="L69" s="1"/>
  <c r="G70"/>
  <c r="L70" s="1"/>
  <c r="G71"/>
  <c r="L71" s="1"/>
  <c r="G72"/>
  <c r="L72" s="1"/>
  <c r="G73"/>
  <c r="L73" s="1"/>
  <c r="G74"/>
  <c r="L74" s="1"/>
  <c r="G75"/>
  <c r="L75" s="1"/>
  <c r="G76"/>
  <c r="L76" s="1"/>
  <c r="G77"/>
  <c r="L77" s="1"/>
  <c r="G78"/>
  <c r="L78" s="1"/>
  <c r="G79"/>
  <c r="L79" s="1"/>
  <c r="G80"/>
  <c r="L80" s="1"/>
  <c r="G81"/>
  <c r="L81" s="1"/>
  <c r="G82"/>
  <c r="L82" s="1"/>
  <c r="G83"/>
  <c r="L83" s="1"/>
  <c r="G84"/>
  <c r="L84" s="1"/>
  <c r="G85"/>
  <c r="L85" s="1"/>
  <c r="G86"/>
  <c r="L86" s="1"/>
  <c r="G87"/>
  <c r="L87" s="1"/>
  <c r="G88"/>
  <c r="L88" s="1"/>
  <c r="G89"/>
  <c r="L89" s="1"/>
  <c r="G90"/>
  <c r="L90" s="1"/>
  <c r="G91"/>
  <c r="L91" s="1"/>
  <c r="G92"/>
  <c r="L92" s="1"/>
  <c r="G93"/>
  <c r="L93" s="1"/>
  <c r="G94"/>
  <c r="L94" s="1"/>
  <c r="G95"/>
  <c r="L95" s="1"/>
  <c r="G96"/>
  <c r="L96" s="1"/>
  <c r="G97"/>
  <c r="L97" s="1"/>
  <c r="G98"/>
  <c r="L98" s="1"/>
  <c r="G99"/>
  <c r="L99" s="1"/>
  <c r="G100"/>
  <c r="L100" s="1"/>
  <c r="G101"/>
  <c r="L101" s="1"/>
  <c r="G102"/>
  <c r="L102" s="1"/>
  <c r="G103"/>
  <c r="L103" s="1"/>
  <c r="G104"/>
  <c r="L104" s="1"/>
  <c r="H44"/>
  <c r="M44" s="1"/>
  <c r="H45"/>
  <c r="M45" s="1"/>
  <c r="H46"/>
  <c r="M46" s="1"/>
  <c r="H47"/>
  <c r="M47" s="1"/>
  <c r="H48"/>
  <c r="M48" s="1"/>
  <c r="H49"/>
  <c r="M49" s="1"/>
  <c r="H50"/>
  <c r="M50" s="1"/>
  <c r="H51"/>
  <c r="M51" s="1"/>
  <c r="H52"/>
  <c r="M52" s="1"/>
  <c r="H53"/>
  <c r="M53" s="1"/>
  <c r="H54"/>
  <c r="M54" s="1"/>
  <c r="H55"/>
  <c r="M55" s="1"/>
  <c r="H56"/>
  <c r="M56" s="1"/>
  <c r="H57"/>
  <c r="M57" s="1"/>
  <c r="H58"/>
  <c r="M58" s="1"/>
  <c r="H59"/>
  <c r="M59" s="1"/>
  <c r="H60"/>
  <c r="M60" s="1"/>
  <c r="H61"/>
  <c r="M61" s="1"/>
  <c r="H62"/>
  <c r="M62" s="1"/>
  <c r="H63"/>
  <c r="M63" s="1"/>
  <c r="H64"/>
  <c r="M64" s="1"/>
  <c r="H65"/>
  <c r="M65" s="1"/>
  <c r="H66"/>
  <c r="M66" s="1"/>
  <c r="H67"/>
  <c r="M67" s="1"/>
  <c r="H68"/>
  <c r="M68" s="1"/>
  <c r="H69"/>
  <c r="M69" s="1"/>
  <c r="H70"/>
  <c r="M70" s="1"/>
  <c r="H71"/>
  <c r="M71" s="1"/>
  <c r="H72"/>
  <c r="M72" s="1"/>
  <c r="H73"/>
  <c r="M73" s="1"/>
  <c r="H74"/>
  <c r="M74" s="1"/>
  <c r="H75"/>
  <c r="M75" s="1"/>
  <c r="H76"/>
  <c r="M76" s="1"/>
  <c r="H77"/>
  <c r="M77" s="1"/>
  <c r="H78"/>
  <c r="M78" s="1"/>
  <c r="H79"/>
  <c r="M79" s="1"/>
  <c r="H80"/>
  <c r="M80" s="1"/>
  <c r="H81"/>
  <c r="M81" s="1"/>
  <c r="H82"/>
  <c r="M82" s="1"/>
  <c r="H83"/>
  <c r="M83" s="1"/>
  <c r="H84"/>
  <c r="M84" s="1"/>
  <c r="H85"/>
  <c r="M85" s="1"/>
  <c r="H86"/>
  <c r="M86" s="1"/>
  <c r="H87"/>
  <c r="M87" s="1"/>
  <c r="H88"/>
  <c r="M88" s="1"/>
  <c r="H89"/>
  <c r="M89" s="1"/>
  <c r="H90"/>
  <c r="M90" s="1"/>
  <c r="H91"/>
  <c r="M91" s="1"/>
  <c r="H92"/>
  <c r="M92" s="1"/>
  <c r="H93"/>
  <c r="M93" s="1"/>
  <c r="H94"/>
  <c r="M94" s="1"/>
  <c r="H95"/>
  <c r="M95" s="1"/>
  <c r="H96"/>
  <c r="M96" s="1"/>
  <c r="H97"/>
  <c r="M97" s="1"/>
  <c r="H98"/>
  <c r="M98" s="1"/>
  <c r="H99"/>
  <c r="M99" s="1"/>
  <c r="H100"/>
  <c r="M100" s="1"/>
  <c r="H101"/>
  <c r="M101" s="1"/>
  <c r="H102"/>
  <c r="M102" s="1"/>
  <c r="H103"/>
  <c r="M103" s="1"/>
  <c r="H104"/>
  <c r="M104" s="1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G43"/>
  <c r="L43" s="1"/>
  <c r="H43"/>
  <c r="H42"/>
  <c r="M42" s="1"/>
  <c r="G42"/>
  <c r="L42" s="1"/>
  <c r="H41"/>
  <c r="M41" s="1"/>
  <c r="G41"/>
  <c r="L41" s="1"/>
  <c r="H40"/>
  <c r="M40" s="1"/>
  <c r="G40"/>
  <c r="L40" s="1"/>
  <c r="H39"/>
  <c r="M39" s="1"/>
  <c r="G39"/>
  <c r="L39" s="1"/>
  <c r="H38"/>
  <c r="M38" s="1"/>
  <c r="G38"/>
  <c r="L38" s="1"/>
  <c r="H37"/>
  <c r="M37" s="1"/>
  <c r="G37"/>
  <c r="L37" s="1"/>
  <c r="H36"/>
  <c r="M36" s="1"/>
  <c r="G36"/>
  <c r="L36" s="1"/>
  <c r="H35"/>
  <c r="M35" s="1"/>
  <c r="G35"/>
  <c r="L35" s="1"/>
  <c r="H34"/>
  <c r="M34" s="1"/>
  <c r="G34"/>
  <c r="L34" s="1"/>
  <c r="H33"/>
  <c r="M33" s="1"/>
  <c r="G33"/>
  <c r="L33" s="1"/>
  <c r="H32"/>
  <c r="M32" s="1"/>
  <c r="G32"/>
  <c r="L32" s="1"/>
  <c r="H31"/>
  <c r="M31" s="1"/>
  <c r="G31"/>
  <c r="L31" s="1"/>
  <c r="H30"/>
  <c r="M30" s="1"/>
  <c r="G30"/>
  <c r="L30" s="1"/>
  <c r="H29"/>
  <c r="M29" s="1"/>
  <c r="G29"/>
  <c r="L29" s="1"/>
  <c r="H28"/>
  <c r="M28" s="1"/>
  <c r="G28"/>
  <c r="L28" s="1"/>
  <c r="H27"/>
  <c r="M27" s="1"/>
  <c r="G27"/>
  <c r="L27" s="1"/>
  <c r="H26"/>
  <c r="M26" s="1"/>
  <c r="G26"/>
  <c r="L26" s="1"/>
  <c r="H25"/>
  <c r="M25" s="1"/>
  <c r="G25"/>
  <c r="L25" s="1"/>
  <c r="H24"/>
  <c r="M24" s="1"/>
  <c r="G24"/>
  <c r="L24" s="1"/>
  <c r="H23"/>
  <c r="M23" s="1"/>
  <c r="G23"/>
  <c r="L23" s="1"/>
  <c r="H22"/>
  <c r="M22" s="1"/>
  <c r="G22"/>
  <c r="L22" s="1"/>
  <c r="H21"/>
  <c r="M21" s="1"/>
  <c r="G21"/>
  <c r="L21" s="1"/>
  <c r="H20"/>
  <c r="M20" s="1"/>
  <c r="G20"/>
  <c r="L20" s="1"/>
  <c r="H19"/>
  <c r="M19" s="1"/>
  <c r="G19"/>
  <c r="L19" s="1"/>
  <c r="H18"/>
  <c r="M18" s="1"/>
  <c r="G18"/>
  <c r="L18" s="1"/>
  <c r="H17"/>
  <c r="M17" s="1"/>
  <c r="G17"/>
  <c r="L17" s="1"/>
  <c r="H16"/>
  <c r="M16" s="1"/>
  <c r="G16"/>
  <c r="L16" s="1"/>
  <c r="H15"/>
  <c r="M15" s="1"/>
  <c r="G15"/>
  <c r="L15" s="1"/>
  <c r="H14"/>
  <c r="M14" s="1"/>
  <c r="G14"/>
  <c r="L14" s="1"/>
  <c r="H13"/>
  <c r="M13" s="1"/>
  <c r="G13"/>
  <c r="L13" s="1"/>
  <c r="H12"/>
  <c r="M12" s="1"/>
  <c r="G12"/>
  <c r="L12" s="1"/>
  <c r="H11"/>
  <c r="M11" s="1"/>
  <c r="G11"/>
  <c r="L11" s="1"/>
  <c r="H10"/>
  <c r="M10" s="1"/>
  <c r="G10"/>
  <c r="L10" s="1"/>
  <c r="H9"/>
  <c r="M9" s="1"/>
  <c r="G9"/>
  <c r="L9" s="1"/>
  <c r="H8"/>
  <c r="M8" s="1"/>
  <c r="G8"/>
  <c r="L8" s="1"/>
  <c r="H7"/>
  <c r="M7" s="1"/>
  <c r="G7"/>
  <c r="L7" s="1"/>
  <c r="H6"/>
  <c r="M6" s="1"/>
  <c r="G6"/>
  <c r="L6" s="1"/>
  <c r="H5"/>
  <c r="M5" s="1"/>
  <c r="G5"/>
  <c r="L5" s="1"/>
  <c r="H4"/>
  <c r="M4" s="1"/>
  <c r="G4"/>
  <c r="L4" s="1"/>
  <c r="H3"/>
  <c r="M3" s="1"/>
  <c r="G3"/>
  <c r="L3" s="1"/>
  <c r="H2"/>
  <c r="H105" s="1"/>
  <c r="G2"/>
  <c r="L2" s="1"/>
  <c r="C3" i="5"/>
  <c r="F2"/>
  <c r="E2"/>
  <c r="D2"/>
  <c r="C2"/>
  <c r="F114" i="3"/>
  <c r="G114" s="1"/>
  <c r="F166" i="4"/>
  <c r="H150"/>
  <c r="H152"/>
  <c r="H154"/>
  <c r="H156"/>
  <c r="H158"/>
  <c r="H89"/>
  <c r="H91"/>
  <c r="H93"/>
  <c r="H95"/>
  <c r="H97"/>
  <c r="H99"/>
  <c r="H101"/>
  <c r="H103"/>
  <c r="H105"/>
  <c r="H107"/>
  <c r="H109"/>
  <c r="H111"/>
  <c r="H113"/>
  <c r="H2"/>
  <c r="H3"/>
  <c r="H4"/>
  <c r="H5"/>
  <c r="H6"/>
  <c r="H7"/>
  <c r="H8"/>
  <c r="H9"/>
  <c r="H10"/>
  <c r="H11"/>
  <c r="H12"/>
  <c r="H13"/>
  <c r="H14"/>
  <c r="H15"/>
  <c r="H16"/>
  <c r="H17"/>
  <c r="H18"/>
  <c r="H19"/>
  <c r="H20"/>
  <c r="H114"/>
  <c r="H115"/>
  <c r="H116"/>
  <c r="H117"/>
  <c r="H118"/>
  <c r="H119"/>
  <c r="H120"/>
  <c r="H121"/>
  <c r="H122"/>
  <c r="H123"/>
  <c r="H124"/>
  <c r="H125"/>
  <c r="H126"/>
  <c r="H127"/>
  <c r="H128"/>
  <c r="I150"/>
  <c r="I152"/>
  <c r="I154"/>
  <c r="I156"/>
  <c r="I158"/>
  <c r="I89"/>
  <c r="I91"/>
  <c r="I93"/>
  <c r="I95"/>
  <c r="I97"/>
  <c r="I99"/>
  <c r="I101"/>
  <c r="I103"/>
  <c r="I105"/>
  <c r="I107"/>
  <c r="I109"/>
  <c r="I111"/>
  <c r="I113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114"/>
  <c r="I115"/>
  <c r="I116"/>
  <c r="I117"/>
  <c r="I118"/>
  <c r="I119"/>
  <c r="I120"/>
  <c r="I121"/>
  <c r="I122"/>
  <c r="I123"/>
  <c r="I124"/>
  <c r="I125"/>
  <c r="I126"/>
  <c r="I127"/>
  <c r="I128"/>
  <c r="J150"/>
  <c r="J152"/>
  <c r="J154"/>
  <c r="J156"/>
  <c r="J158"/>
  <c r="J89"/>
  <c r="J91"/>
  <c r="J93"/>
  <c r="J95"/>
  <c r="J97"/>
  <c r="J99"/>
  <c r="J101"/>
  <c r="J103"/>
  <c r="J105"/>
  <c r="J107"/>
  <c r="J109"/>
  <c r="J111"/>
  <c r="J113"/>
  <c r="J2"/>
  <c r="J3"/>
  <c r="J4"/>
  <c r="J5"/>
  <c r="J6"/>
  <c r="J7"/>
  <c r="J8"/>
  <c r="J9"/>
  <c r="J10"/>
  <c r="J11"/>
  <c r="J12"/>
  <c r="J13"/>
  <c r="J14"/>
  <c r="J15"/>
  <c r="J16"/>
  <c r="J17"/>
  <c r="J18"/>
  <c r="J19"/>
  <c r="J20"/>
  <c r="J114"/>
  <c r="J115"/>
  <c r="J116"/>
  <c r="J117"/>
  <c r="J118"/>
  <c r="J119"/>
  <c r="J120"/>
  <c r="J121"/>
  <c r="J122"/>
  <c r="J123"/>
  <c r="J124"/>
  <c r="J125"/>
  <c r="J126"/>
  <c r="J127"/>
  <c r="J128"/>
  <c r="K150"/>
  <c r="K152"/>
  <c r="K154"/>
  <c r="K156"/>
  <c r="K158"/>
  <c r="K89"/>
  <c r="K91"/>
  <c r="K93"/>
  <c r="K95"/>
  <c r="K97"/>
  <c r="K99"/>
  <c r="K101"/>
  <c r="K103"/>
  <c r="K105"/>
  <c r="K107"/>
  <c r="K109"/>
  <c r="K111"/>
  <c r="K113"/>
  <c r="K2"/>
  <c r="K3"/>
  <c r="K4"/>
  <c r="K5"/>
  <c r="K6"/>
  <c r="K7"/>
  <c r="K8"/>
  <c r="K9"/>
  <c r="K10"/>
  <c r="K11"/>
  <c r="K12"/>
  <c r="K13"/>
  <c r="K14"/>
  <c r="K15"/>
  <c r="K16"/>
  <c r="K17"/>
  <c r="K18"/>
  <c r="K19"/>
  <c r="K20"/>
  <c r="K114"/>
  <c r="K115"/>
  <c r="K116"/>
  <c r="K117"/>
  <c r="K118"/>
  <c r="K119"/>
  <c r="K120"/>
  <c r="K121"/>
  <c r="K122"/>
  <c r="K123"/>
  <c r="K124"/>
  <c r="K125"/>
  <c r="K126"/>
  <c r="K127"/>
  <c r="K128"/>
  <c r="L150"/>
  <c r="L152"/>
  <c r="L154"/>
  <c r="L156"/>
  <c r="L158"/>
  <c r="L89"/>
  <c r="L91"/>
  <c r="L93"/>
  <c r="L95"/>
  <c r="L97"/>
  <c r="L99"/>
  <c r="L101"/>
  <c r="L103"/>
  <c r="L105"/>
  <c r="L107"/>
  <c r="L109"/>
  <c r="L111"/>
  <c r="L113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114"/>
  <c r="L115"/>
  <c r="L116"/>
  <c r="L117"/>
  <c r="L118"/>
  <c r="L119"/>
  <c r="L120"/>
  <c r="L121"/>
  <c r="L122"/>
  <c r="L123"/>
  <c r="L124"/>
  <c r="L125"/>
  <c r="L126"/>
  <c r="L127"/>
  <c r="L128"/>
  <c r="M150"/>
  <c r="M152"/>
  <c r="M154"/>
  <c r="M156"/>
  <c r="M158"/>
  <c r="M89"/>
  <c r="M91"/>
  <c r="M93"/>
  <c r="M95"/>
  <c r="M97"/>
  <c r="M99"/>
  <c r="M101"/>
  <c r="M103"/>
  <c r="M105"/>
  <c r="M107"/>
  <c r="M109"/>
  <c r="M111"/>
  <c r="M113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114"/>
  <c r="M115"/>
  <c r="M116"/>
  <c r="M117"/>
  <c r="M118"/>
  <c r="M119"/>
  <c r="M120"/>
  <c r="M121"/>
  <c r="M122"/>
  <c r="M123"/>
  <c r="M124"/>
  <c r="M125"/>
  <c r="M126"/>
  <c r="M127"/>
  <c r="M128"/>
  <c r="N150"/>
  <c r="N152"/>
  <c r="N154"/>
  <c r="N156"/>
  <c r="N158"/>
  <c r="N89"/>
  <c r="N91"/>
  <c r="N93"/>
  <c r="N95"/>
  <c r="N97"/>
  <c r="N99"/>
  <c r="N101"/>
  <c r="N103"/>
  <c r="N105"/>
  <c r="N107"/>
  <c r="N109"/>
  <c r="N111"/>
  <c r="N113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114"/>
  <c r="N115"/>
  <c r="N116"/>
  <c r="N117"/>
  <c r="N118"/>
  <c r="N119"/>
  <c r="N120"/>
  <c r="N121"/>
  <c r="N122"/>
  <c r="N123"/>
  <c r="N124"/>
  <c r="N125"/>
  <c r="N126"/>
  <c r="N127"/>
  <c r="N128"/>
  <c r="C166"/>
  <c r="D166" s="1"/>
  <c r="B163"/>
  <c r="B162"/>
  <c r="I148"/>
  <c r="N148" s="1"/>
  <c r="H148"/>
  <c r="M148" s="1"/>
  <c r="I146"/>
  <c r="N146" s="1"/>
  <c r="H146"/>
  <c r="I144"/>
  <c r="N144" s="1"/>
  <c r="H144"/>
  <c r="M144" s="1"/>
  <c r="I142"/>
  <c r="N142" s="1"/>
  <c r="H142"/>
  <c r="I140"/>
  <c r="N140" s="1"/>
  <c r="H140"/>
  <c r="M140" s="1"/>
  <c r="I138"/>
  <c r="N138" s="1"/>
  <c r="H138"/>
  <c r="I136"/>
  <c r="N136" s="1"/>
  <c r="H136"/>
  <c r="M136" s="1"/>
  <c r="I134"/>
  <c r="N134" s="1"/>
  <c r="H134"/>
  <c r="I132"/>
  <c r="N132" s="1"/>
  <c r="H132"/>
  <c r="M132" s="1"/>
  <c r="I130"/>
  <c r="N130" s="1"/>
  <c r="H130"/>
  <c r="I87"/>
  <c r="N87" s="1"/>
  <c r="H87"/>
  <c r="M87" s="1"/>
  <c r="I86"/>
  <c r="N86" s="1"/>
  <c r="H86"/>
  <c r="I85"/>
  <c r="N85" s="1"/>
  <c r="H85"/>
  <c r="M85" s="1"/>
  <c r="I84"/>
  <c r="N84" s="1"/>
  <c r="H84"/>
  <c r="I80"/>
  <c r="N80" s="1"/>
  <c r="H80"/>
  <c r="M80" s="1"/>
  <c r="I78"/>
  <c r="N78" s="1"/>
  <c r="H78"/>
  <c r="I76"/>
  <c r="N76" s="1"/>
  <c r="H76"/>
  <c r="M76" s="1"/>
  <c r="I74"/>
  <c r="N74" s="1"/>
  <c r="H74"/>
  <c r="I72"/>
  <c r="N72" s="1"/>
  <c r="H72"/>
  <c r="M72" s="1"/>
  <c r="I70"/>
  <c r="N70" s="1"/>
  <c r="H70"/>
  <c r="I68"/>
  <c r="N68" s="1"/>
  <c r="H68"/>
  <c r="M68" s="1"/>
  <c r="I66"/>
  <c r="N66" s="1"/>
  <c r="H66"/>
  <c r="I64"/>
  <c r="N64" s="1"/>
  <c r="H64"/>
  <c r="M64" s="1"/>
  <c r="I62"/>
  <c r="N62" s="1"/>
  <c r="H62"/>
  <c r="I60"/>
  <c r="N60" s="1"/>
  <c r="H60"/>
  <c r="M60" s="1"/>
  <c r="I58"/>
  <c r="N58" s="1"/>
  <c r="H58"/>
  <c r="I56"/>
  <c r="N56" s="1"/>
  <c r="H56"/>
  <c r="M56" s="1"/>
  <c r="I54"/>
  <c r="N54" s="1"/>
  <c r="H54"/>
  <c r="I52"/>
  <c r="N52" s="1"/>
  <c r="H52"/>
  <c r="M52" s="1"/>
  <c r="I50"/>
  <c r="N50" s="1"/>
  <c r="H50"/>
  <c r="I48"/>
  <c r="N48" s="1"/>
  <c r="H48"/>
  <c r="M48" s="1"/>
  <c r="I46"/>
  <c r="N46" s="1"/>
  <c r="H46"/>
  <c r="I44"/>
  <c r="N44" s="1"/>
  <c r="H44"/>
  <c r="M44" s="1"/>
  <c r="I42"/>
  <c r="N42" s="1"/>
  <c r="H42"/>
  <c r="I40"/>
  <c r="N40" s="1"/>
  <c r="H40"/>
  <c r="M40" s="1"/>
  <c r="I38"/>
  <c r="N38" s="1"/>
  <c r="H38"/>
  <c r="I36"/>
  <c r="N36" s="1"/>
  <c r="H36"/>
  <c r="M36" s="1"/>
  <c r="I34"/>
  <c r="N34" s="1"/>
  <c r="H34"/>
  <c r="I32"/>
  <c r="N32" s="1"/>
  <c r="H32"/>
  <c r="M32" s="1"/>
  <c r="I30"/>
  <c r="N30" s="1"/>
  <c r="H30"/>
  <c r="I28"/>
  <c r="N28" s="1"/>
  <c r="H28"/>
  <c r="M28" s="1"/>
  <c r="I26"/>
  <c r="N26" s="1"/>
  <c r="H26"/>
  <c r="I24"/>
  <c r="N24" s="1"/>
  <c r="H24"/>
  <c r="M24" s="1"/>
  <c r="I22"/>
  <c r="N22" s="1"/>
  <c r="H22"/>
  <c r="I112"/>
  <c r="N112" s="1"/>
  <c r="H112"/>
  <c r="M112" s="1"/>
  <c r="I110"/>
  <c r="N110" s="1"/>
  <c r="H110"/>
  <c r="I108"/>
  <c r="N108" s="1"/>
  <c r="H108"/>
  <c r="M108" s="1"/>
  <c r="I106"/>
  <c r="N106" s="1"/>
  <c r="H106"/>
  <c r="I104"/>
  <c r="N104" s="1"/>
  <c r="H104"/>
  <c r="M104" s="1"/>
  <c r="I102"/>
  <c r="N102" s="1"/>
  <c r="H102"/>
  <c r="I100"/>
  <c r="N100" s="1"/>
  <c r="H100"/>
  <c r="M100" s="1"/>
  <c r="I98"/>
  <c r="N98" s="1"/>
  <c r="H98"/>
  <c r="I96"/>
  <c r="N96" s="1"/>
  <c r="H96"/>
  <c r="M96" s="1"/>
  <c r="I94"/>
  <c r="N94" s="1"/>
  <c r="H94"/>
  <c r="I92"/>
  <c r="N92" s="1"/>
  <c r="H92"/>
  <c r="M92" s="1"/>
  <c r="I90"/>
  <c r="N90" s="1"/>
  <c r="H90"/>
  <c r="I88"/>
  <c r="N88" s="1"/>
  <c r="H88"/>
  <c r="M88" s="1"/>
  <c r="I157"/>
  <c r="N157" s="1"/>
  <c r="H157"/>
  <c r="I155"/>
  <c r="N155" s="1"/>
  <c r="H155"/>
  <c r="M155" s="1"/>
  <c r="I153"/>
  <c r="N153" s="1"/>
  <c r="H153"/>
  <c r="I151"/>
  <c r="N151" s="1"/>
  <c r="H151"/>
  <c r="M151" s="1"/>
  <c r="I149"/>
  <c r="N149" s="1"/>
  <c r="H149"/>
  <c r="I147"/>
  <c r="N147" s="1"/>
  <c r="H147"/>
  <c r="M147" s="1"/>
  <c r="I145"/>
  <c r="N145" s="1"/>
  <c r="H145"/>
  <c r="I143"/>
  <c r="N143" s="1"/>
  <c r="H143"/>
  <c r="M143" s="1"/>
  <c r="I141"/>
  <c r="H141"/>
  <c r="I139"/>
  <c r="N139" s="1"/>
  <c r="H139"/>
  <c r="I137"/>
  <c r="H137"/>
  <c r="M137" s="1"/>
  <c r="I135"/>
  <c r="N135" s="1"/>
  <c r="H135"/>
  <c r="I133"/>
  <c r="H133"/>
  <c r="I131"/>
  <c r="N131" s="1"/>
  <c r="H131"/>
  <c r="I129"/>
  <c r="H129"/>
  <c r="M129" s="1"/>
  <c r="I83"/>
  <c r="N83" s="1"/>
  <c r="H83"/>
  <c r="I82"/>
  <c r="H82"/>
  <c r="I81"/>
  <c r="N81" s="1"/>
  <c r="H81"/>
  <c r="I79"/>
  <c r="H79"/>
  <c r="M79" s="1"/>
  <c r="I77"/>
  <c r="N77" s="1"/>
  <c r="H77"/>
  <c r="I75"/>
  <c r="H75"/>
  <c r="I73"/>
  <c r="N73" s="1"/>
  <c r="H73"/>
  <c r="I71"/>
  <c r="H71"/>
  <c r="M71" s="1"/>
  <c r="I69"/>
  <c r="N69" s="1"/>
  <c r="H69"/>
  <c r="I67"/>
  <c r="H67"/>
  <c r="I65"/>
  <c r="N65" s="1"/>
  <c r="H65"/>
  <c r="I63"/>
  <c r="H63"/>
  <c r="M63" s="1"/>
  <c r="I61"/>
  <c r="N61" s="1"/>
  <c r="H61"/>
  <c r="I59"/>
  <c r="H59"/>
  <c r="I57"/>
  <c r="N57" s="1"/>
  <c r="H57"/>
  <c r="I55"/>
  <c r="H55"/>
  <c r="M55" s="1"/>
  <c r="I53"/>
  <c r="N53" s="1"/>
  <c r="H53"/>
  <c r="I51"/>
  <c r="H51"/>
  <c r="I49"/>
  <c r="N49" s="1"/>
  <c r="H49"/>
  <c r="I47"/>
  <c r="H47"/>
  <c r="M47" s="1"/>
  <c r="I45"/>
  <c r="N45" s="1"/>
  <c r="H45"/>
  <c r="I43"/>
  <c r="H43"/>
  <c r="I41"/>
  <c r="N41" s="1"/>
  <c r="H41"/>
  <c r="I39"/>
  <c r="H39"/>
  <c r="M39" s="1"/>
  <c r="I37"/>
  <c r="N37" s="1"/>
  <c r="H37"/>
  <c r="I35"/>
  <c r="H35"/>
  <c r="I33"/>
  <c r="N33" s="1"/>
  <c r="H33"/>
  <c r="I31"/>
  <c r="N31" s="1"/>
  <c r="H31"/>
  <c r="M31" s="1"/>
  <c r="I29"/>
  <c r="N29" s="1"/>
  <c r="H29"/>
  <c r="I27"/>
  <c r="N27" s="1"/>
  <c r="H27"/>
  <c r="M27" s="1"/>
  <c r="I25"/>
  <c r="N25" s="1"/>
  <c r="H25"/>
  <c r="I23"/>
  <c r="N23" s="1"/>
  <c r="H23"/>
  <c r="M23" s="1"/>
  <c r="I21"/>
  <c r="H21"/>
  <c r="M21" s="1"/>
  <c r="D112" i="38" l="1"/>
  <c r="S61" i="37"/>
  <c r="S159" s="1"/>
  <c r="C163" s="1"/>
  <c r="Q159"/>
  <c r="E163"/>
  <c r="T69"/>
  <c r="T159" s="1"/>
  <c r="C164" s="1"/>
  <c r="E164"/>
  <c r="R159"/>
  <c r="D164" s="1"/>
  <c r="S42" i="35"/>
  <c r="S107" s="1"/>
  <c r="C111" s="1"/>
  <c r="E111"/>
  <c r="Q107"/>
  <c r="D111" s="1"/>
  <c r="P107"/>
  <c r="T33"/>
  <c r="T107" s="1"/>
  <c r="C112" s="1"/>
  <c r="R107"/>
  <c r="E112"/>
  <c r="D164" i="34"/>
  <c r="S64"/>
  <c r="S159" s="1"/>
  <c r="C163" s="1"/>
  <c r="Q159"/>
  <c r="P107" i="30"/>
  <c r="S74"/>
  <c r="S107" s="1"/>
  <c r="C111" s="1"/>
  <c r="E111"/>
  <c r="Q107"/>
  <c r="D111" s="1"/>
  <c r="S61" i="29"/>
  <c r="S159" s="1"/>
  <c r="C163" s="1"/>
  <c r="E163"/>
  <c r="Q159"/>
  <c r="D163" s="1"/>
  <c r="T62"/>
  <c r="T159" s="1"/>
  <c r="C164" s="1"/>
  <c r="E164"/>
  <c r="R159"/>
  <c r="D164" s="1"/>
  <c r="P113" i="26"/>
  <c r="Q113"/>
  <c r="S113" s="1"/>
  <c r="P111"/>
  <c r="Q111"/>
  <c r="S111" s="1"/>
  <c r="P109"/>
  <c r="R109"/>
  <c r="T109" s="1"/>
  <c r="P107"/>
  <c r="R107"/>
  <c r="T107" s="1"/>
  <c r="P105"/>
  <c r="R105"/>
  <c r="T105" s="1"/>
  <c r="P103"/>
  <c r="Q103"/>
  <c r="S103" s="1"/>
  <c r="P101"/>
  <c r="Q101"/>
  <c r="S101" s="1"/>
  <c r="P99"/>
  <c r="Q99"/>
  <c r="S99" s="1"/>
  <c r="P97"/>
  <c r="Q97"/>
  <c r="S97" s="1"/>
  <c r="P95"/>
  <c r="Q95"/>
  <c r="S95" s="1"/>
  <c r="P93"/>
  <c r="R93"/>
  <c r="T93" s="1"/>
  <c r="P91"/>
  <c r="R91"/>
  <c r="T91" s="1"/>
  <c r="P89"/>
  <c r="Q89"/>
  <c r="S89" s="1"/>
  <c r="P158"/>
  <c r="R158"/>
  <c r="T158" s="1"/>
  <c r="P156"/>
  <c r="R156"/>
  <c r="T156" s="1"/>
  <c r="P154"/>
  <c r="R154"/>
  <c r="T154" s="1"/>
  <c r="P152"/>
  <c r="R152"/>
  <c r="T152" s="1"/>
  <c r="P150"/>
  <c r="R150"/>
  <c r="T150" s="1"/>
  <c r="P148"/>
  <c r="Q148"/>
  <c r="S148" s="1"/>
  <c r="P146"/>
  <c r="Q146"/>
  <c r="S146" s="1"/>
  <c r="P144"/>
  <c r="Q144"/>
  <c r="S144" s="1"/>
  <c r="P142"/>
  <c r="Q142"/>
  <c r="S142" s="1"/>
  <c r="P140"/>
  <c r="R140"/>
  <c r="T140" s="1"/>
  <c r="P138"/>
  <c r="Q138"/>
  <c r="S138" s="1"/>
  <c r="P136"/>
  <c r="R136"/>
  <c r="T136" s="1"/>
  <c r="P134"/>
  <c r="R134"/>
  <c r="T134" s="1"/>
  <c r="P132"/>
  <c r="R132"/>
  <c r="T132" s="1"/>
  <c r="P130"/>
  <c r="R130"/>
  <c r="T130" s="1"/>
  <c r="P84"/>
  <c r="Q84"/>
  <c r="S84" s="1"/>
  <c r="P80"/>
  <c r="Q80"/>
  <c r="S80" s="1"/>
  <c r="P78"/>
  <c r="R78"/>
  <c r="T78" s="1"/>
  <c r="P76"/>
  <c r="R76"/>
  <c r="T76" s="1"/>
  <c r="P74"/>
  <c r="Q74"/>
  <c r="S74" s="1"/>
  <c r="P72"/>
  <c r="R72"/>
  <c r="T72" s="1"/>
  <c r="P70"/>
  <c r="R70"/>
  <c r="T70" s="1"/>
  <c r="P68"/>
  <c r="Q68"/>
  <c r="S68" s="1"/>
  <c r="P66"/>
  <c r="Q66"/>
  <c r="S66" s="1"/>
  <c r="P64"/>
  <c r="R64"/>
  <c r="T64" s="1"/>
  <c r="P62"/>
  <c r="Q62"/>
  <c r="S62" s="1"/>
  <c r="P60"/>
  <c r="Q60"/>
  <c r="S60" s="1"/>
  <c r="P58"/>
  <c r="R58"/>
  <c r="P56"/>
  <c r="Q56"/>
  <c r="S56" s="1"/>
  <c r="P54"/>
  <c r="Q54"/>
  <c r="S54" s="1"/>
  <c r="P52"/>
  <c r="Q52"/>
  <c r="S52" s="1"/>
  <c r="P50"/>
  <c r="Q50"/>
  <c r="S50" s="1"/>
  <c r="P48"/>
  <c r="Q48"/>
  <c r="S48" s="1"/>
  <c r="P46"/>
  <c r="Q46"/>
  <c r="S46" s="1"/>
  <c r="P44"/>
  <c r="Q44"/>
  <c r="S44" s="1"/>
  <c r="P42"/>
  <c r="Q42"/>
  <c r="S42" s="1"/>
  <c r="P40"/>
  <c r="Q40"/>
  <c r="S40" s="1"/>
  <c r="P38"/>
  <c r="Q38"/>
  <c r="S38" s="1"/>
  <c r="P36"/>
  <c r="Q36"/>
  <c r="S36" s="1"/>
  <c r="P34"/>
  <c r="Q34"/>
  <c r="S34" s="1"/>
  <c r="P32"/>
  <c r="Q32"/>
  <c r="S32" s="1"/>
  <c r="P30"/>
  <c r="Q30"/>
  <c r="S30" s="1"/>
  <c r="P28"/>
  <c r="Q28"/>
  <c r="S28" s="1"/>
  <c r="P26"/>
  <c r="Q26"/>
  <c r="S26" s="1"/>
  <c r="P24"/>
  <c r="Q24"/>
  <c r="S24" s="1"/>
  <c r="P22"/>
  <c r="Q22"/>
  <c r="P83"/>
  <c r="R83"/>
  <c r="T83" s="1"/>
  <c r="P82"/>
  <c r="Q82"/>
  <c r="S82" s="1"/>
  <c r="N159"/>
  <c r="P159"/>
  <c r="M159"/>
  <c r="O159"/>
  <c r="M107" i="27"/>
  <c r="P107"/>
  <c r="O107"/>
  <c r="N107"/>
  <c r="D168" i="23"/>
  <c r="E169"/>
  <c r="J163"/>
  <c r="L2"/>
  <c r="L163" s="1"/>
  <c r="C169" s="1"/>
  <c r="D168" i="22"/>
  <c r="E169"/>
  <c r="J162"/>
  <c r="L2"/>
  <c r="L162" s="1"/>
  <c r="C169" s="1"/>
  <c r="O163" i="21"/>
  <c r="C166" s="1"/>
  <c r="P163"/>
  <c r="C167" s="1"/>
  <c r="M163"/>
  <c r="D167" s="1"/>
  <c r="F167" s="1"/>
  <c r="K163"/>
  <c r="D166" s="1"/>
  <c r="F166" s="1"/>
  <c r="L163"/>
  <c r="E166" s="1"/>
  <c r="G166" s="1"/>
  <c r="N163"/>
  <c r="E167" s="1"/>
  <c r="G167" s="1"/>
  <c r="J163"/>
  <c r="J163" i="20"/>
  <c r="E170"/>
  <c r="L2"/>
  <c r="L163" s="1"/>
  <c r="C170" s="1"/>
  <c r="D170" s="1"/>
  <c r="M163" i="17"/>
  <c r="E167" s="1"/>
  <c r="K163"/>
  <c r="E166" s="1"/>
  <c r="I163"/>
  <c r="L163"/>
  <c r="J163"/>
  <c r="E114" i="13"/>
  <c r="C119"/>
  <c r="N107"/>
  <c r="H114"/>
  <c r="F110"/>
  <c r="I114"/>
  <c r="D114"/>
  <c r="C118"/>
  <c r="E170" i="14"/>
  <c r="L159"/>
  <c r="D170" s="1"/>
  <c r="E171"/>
  <c r="M159"/>
  <c r="D171" s="1"/>
  <c r="C170"/>
  <c r="J166"/>
  <c r="H166"/>
  <c r="F166"/>
  <c r="D166"/>
  <c r="F163"/>
  <c r="N159"/>
  <c r="C171"/>
  <c r="M166"/>
  <c r="I166"/>
  <c r="G166"/>
  <c r="L166" s="1"/>
  <c r="E166"/>
  <c r="C166"/>
  <c r="K166" s="1"/>
  <c r="F162"/>
  <c r="O21"/>
  <c r="B166" s="1"/>
  <c r="E119" i="13"/>
  <c r="M107"/>
  <c r="D119" s="1"/>
  <c r="C114"/>
  <c r="G114"/>
  <c r="M114"/>
  <c r="B114"/>
  <c r="F111"/>
  <c r="F114"/>
  <c r="J114"/>
  <c r="L25"/>
  <c r="L107" s="1"/>
  <c r="D118" s="1"/>
  <c r="N158" i="8"/>
  <c r="O158" s="1"/>
  <c r="N154"/>
  <c r="O154" s="1"/>
  <c r="N150"/>
  <c r="O150" s="1"/>
  <c r="N146"/>
  <c r="O146" s="1"/>
  <c r="N142"/>
  <c r="O142" s="1"/>
  <c r="N138"/>
  <c r="O138" s="1"/>
  <c r="N134"/>
  <c r="O134" s="1"/>
  <c r="N130"/>
  <c r="O130" s="1"/>
  <c r="N126"/>
  <c r="O126" s="1"/>
  <c r="N122"/>
  <c r="O122" s="1"/>
  <c r="N118"/>
  <c r="O118" s="1"/>
  <c r="N80"/>
  <c r="O80" s="1"/>
  <c r="N76"/>
  <c r="O76" s="1"/>
  <c r="N72"/>
  <c r="O72" s="1"/>
  <c r="N68"/>
  <c r="O68" s="1"/>
  <c r="N64"/>
  <c r="O64" s="1"/>
  <c r="N60"/>
  <c r="O60" s="1"/>
  <c r="N56"/>
  <c r="O56" s="1"/>
  <c r="N52"/>
  <c r="O52" s="1"/>
  <c r="N42"/>
  <c r="O42" s="1"/>
  <c r="N34"/>
  <c r="O34" s="1"/>
  <c r="N28"/>
  <c r="O28" s="1"/>
  <c r="N24"/>
  <c r="O24" s="1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  <c r="E171"/>
  <c r="M159"/>
  <c r="N32"/>
  <c r="O32" s="1"/>
  <c r="N36"/>
  <c r="O36" s="1"/>
  <c r="N40"/>
  <c r="O40" s="1"/>
  <c r="N44"/>
  <c r="O44" s="1"/>
  <c r="N48"/>
  <c r="O48" s="1"/>
  <c r="N50"/>
  <c r="O50" s="1"/>
  <c r="L157"/>
  <c r="L155"/>
  <c r="L153"/>
  <c r="L151"/>
  <c r="L149"/>
  <c r="L147"/>
  <c r="L145"/>
  <c r="L143"/>
  <c r="L141"/>
  <c r="L139"/>
  <c r="L137"/>
  <c r="L135"/>
  <c r="L133"/>
  <c r="L131"/>
  <c r="L129"/>
  <c r="L127"/>
  <c r="L125"/>
  <c r="L123"/>
  <c r="L121"/>
  <c r="L119"/>
  <c r="L117"/>
  <c r="L115"/>
  <c r="L113"/>
  <c r="L111"/>
  <c r="L109"/>
  <c r="L107"/>
  <c r="L105"/>
  <c r="L103"/>
  <c r="L101"/>
  <c r="L99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61"/>
  <c r="L59"/>
  <c r="L57"/>
  <c r="L55"/>
  <c r="L53"/>
  <c r="L51"/>
  <c r="L49"/>
  <c r="L47"/>
  <c r="L45"/>
  <c r="L43"/>
  <c r="L41"/>
  <c r="L39"/>
  <c r="L37"/>
  <c r="L35"/>
  <c r="L33"/>
  <c r="L31"/>
  <c r="L29"/>
  <c r="L27"/>
  <c r="L25"/>
  <c r="L23"/>
  <c r="L21"/>
  <c r="L19"/>
  <c r="L17"/>
  <c r="L15"/>
  <c r="L13"/>
  <c r="L11"/>
  <c r="L9"/>
  <c r="L7"/>
  <c r="L5"/>
  <c r="L3"/>
  <c r="L96" i="10"/>
  <c r="L82"/>
  <c r="N72"/>
  <c r="N22" i="11"/>
  <c r="O22" s="1"/>
  <c r="N48"/>
  <c r="O48" s="1"/>
  <c r="N50"/>
  <c r="O50" s="1"/>
  <c r="N52"/>
  <c r="O52" s="1"/>
  <c r="N84"/>
  <c r="O84" s="1"/>
  <c r="N94"/>
  <c r="O94" s="1"/>
  <c r="N102"/>
  <c r="O102" s="1"/>
  <c r="N110"/>
  <c r="O110" s="1"/>
  <c r="N24"/>
  <c r="O24" s="1"/>
  <c r="N26"/>
  <c r="O26" s="1"/>
  <c r="N28"/>
  <c r="O28" s="1"/>
  <c r="N30"/>
  <c r="O30" s="1"/>
  <c r="N32"/>
  <c r="O32" s="1"/>
  <c r="N34"/>
  <c r="O34" s="1"/>
  <c r="N36"/>
  <c r="O36" s="1"/>
  <c r="N38"/>
  <c r="O38" s="1"/>
  <c r="N40"/>
  <c r="O40" s="1"/>
  <c r="N42"/>
  <c r="O42" s="1"/>
  <c r="N44"/>
  <c r="O44" s="1"/>
  <c r="N46"/>
  <c r="O46" s="1"/>
  <c r="N54"/>
  <c r="O54" s="1"/>
  <c r="N56"/>
  <c r="O56" s="1"/>
  <c r="N58"/>
  <c r="O58" s="1"/>
  <c r="N60"/>
  <c r="O60" s="1"/>
  <c r="N62"/>
  <c r="O62" s="1"/>
  <c r="N64"/>
  <c r="O64" s="1"/>
  <c r="N66"/>
  <c r="O66" s="1"/>
  <c r="N68"/>
  <c r="O68" s="1"/>
  <c r="N70"/>
  <c r="O70" s="1"/>
  <c r="N72"/>
  <c r="O72" s="1"/>
  <c r="N74"/>
  <c r="O74" s="1"/>
  <c r="N76"/>
  <c r="O76" s="1"/>
  <c r="N78"/>
  <c r="O78" s="1"/>
  <c r="N80"/>
  <c r="O80" s="1"/>
  <c r="N130"/>
  <c r="O130" s="1"/>
  <c r="N132"/>
  <c r="O132" s="1"/>
  <c r="N134"/>
  <c r="O134" s="1"/>
  <c r="N136"/>
  <c r="O136" s="1"/>
  <c r="N138"/>
  <c r="O138" s="1"/>
  <c r="N140"/>
  <c r="O140" s="1"/>
  <c r="N142"/>
  <c r="O142" s="1"/>
  <c r="N144"/>
  <c r="O144" s="1"/>
  <c r="N146"/>
  <c r="O146" s="1"/>
  <c r="N148"/>
  <c r="O148" s="1"/>
  <c r="N150"/>
  <c r="O150" s="1"/>
  <c r="N152"/>
  <c r="O152" s="1"/>
  <c r="N154"/>
  <c r="O154" s="1"/>
  <c r="N156"/>
  <c r="O156" s="1"/>
  <c r="N158"/>
  <c r="O158" s="1"/>
  <c r="N89"/>
  <c r="O89" s="1"/>
  <c r="N91"/>
  <c r="O91" s="1"/>
  <c r="N93"/>
  <c r="O93" s="1"/>
  <c r="N95"/>
  <c r="O95" s="1"/>
  <c r="N97"/>
  <c r="O97" s="1"/>
  <c r="N99"/>
  <c r="O99" s="1"/>
  <c r="N101"/>
  <c r="O101" s="1"/>
  <c r="N103"/>
  <c r="O103" s="1"/>
  <c r="N105"/>
  <c r="O105" s="1"/>
  <c r="N107"/>
  <c r="O107" s="1"/>
  <c r="N109"/>
  <c r="O109" s="1"/>
  <c r="N111"/>
  <c r="O111" s="1"/>
  <c r="N113"/>
  <c r="O113" s="1"/>
  <c r="N2"/>
  <c r="O2" s="1"/>
  <c r="N3"/>
  <c r="O3" s="1"/>
  <c r="N4"/>
  <c r="O4" s="1"/>
  <c r="N5"/>
  <c r="O5" s="1"/>
  <c r="N6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114"/>
  <c r="O114" s="1"/>
  <c r="N115"/>
  <c r="O115" s="1"/>
  <c r="N116"/>
  <c r="O116" s="1"/>
  <c r="N117"/>
  <c r="O117" s="1"/>
  <c r="N118"/>
  <c r="O118" s="1"/>
  <c r="N119"/>
  <c r="O119" s="1"/>
  <c r="N120"/>
  <c r="O120" s="1"/>
  <c r="N121"/>
  <c r="O121" s="1"/>
  <c r="N122"/>
  <c r="O122" s="1"/>
  <c r="N123"/>
  <c r="O123" s="1"/>
  <c r="N124"/>
  <c r="O124" s="1"/>
  <c r="N125"/>
  <c r="O125" s="1"/>
  <c r="N126"/>
  <c r="O126" s="1"/>
  <c r="N127"/>
  <c r="O127" s="1"/>
  <c r="N128"/>
  <c r="O128" s="1"/>
  <c r="N25"/>
  <c r="O25" s="1"/>
  <c r="N27"/>
  <c r="O27" s="1"/>
  <c r="N29"/>
  <c r="O29" s="1"/>
  <c r="N31"/>
  <c r="O31" s="1"/>
  <c r="N33"/>
  <c r="O33" s="1"/>
  <c r="N35"/>
  <c r="O35" s="1"/>
  <c r="N37"/>
  <c r="O37" s="1"/>
  <c r="N39"/>
  <c r="O39" s="1"/>
  <c r="N41"/>
  <c r="O41" s="1"/>
  <c r="N43"/>
  <c r="O43" s="1"/>
  <c r="N45"/>
  <c r="O45" s="1"/>
  <c r="N47"/>
  <c r="O47" s="1"/>
  <c r="N49"/>
  <c r="O49" s="1"/>
  <c r="N51"/>
  <c r="O51" s="1"/>
  <c r="N53"/>
  <c r="O53" s="1"/>
  <c r="M79"/>
  <c r="M81"/>
  <c r="M129"/>
  <c r="N135"/>
  <c r="O135" s="1"/>
  <c r="M141"/>
  <c r="M143"/>
  <c r="M151"/>
  <c r="M157"/>
  <c r="N90"/>
  <c r="O90" s="1"/>
  <c r="N102" i="10"/>
  <c r="O102" s="1"/>
  <c r="N104"/>
  <c r="O104" s="1"/>
  <c r="N26"/>
  <c r="O26" s="1"/>
  <c r="N28"/>
  <c r="O28" s="1"/>
  <c r="N30"/>
  <c r="O30" s="1"/>
  <c r="N32"/>
  <c r="O32" s="1"/>
  <c r="N34"/>
  <c r="O34" s="1"/>
  <c r="N36"/>
  <c r="O36" s="1"/>
  <c r="N38"/>
  <c r="O38" s="1"/>
  <c r="N40"/>
  <c r="O40" s="1"/>
  <c r="N42"/>
  <c r="O42" s="1"/>
  <c r="N44"/>
  <c r="O44" s="1"/>
  <c r="N46"/>
  <c r="O46" s="1"/>
  <c r="N48"/>
  <c r="O48" s="1"/>
  <c r="N50"/>
  <c r="O50" s="1"/>
  <c r="N52"/>
  <c r="O52" s="1"/>
  <c r="N54"/>
  <c r="O54" s="1"/>
  <c r="N56"/>
  <c r="O56" s="1"/>
  <c r="N58"/>
  <c r="O58" s="1"/>
  <c r="N60"/>
  <c r="O60" s="1"/>
  <c r="N62"/>
  <c r="O62" s="1"/>
  <c r="N64"/>
  <c r="O64" s="1"/>
  <c r="N66"/>
  <c r="O66" s="1"/>
  <c r="N68"/>
  <c r="O68" s="1"/>
  <c r="N70"/>
  <c r="O70" s="1"/>
  <c r="N73"/>
  <c r="O73" s="1"/>
  <c r="N75"/>
  <c r="O75" s="1"/>
  <c r="N77"/>
  <c r="O77" s="1"/>
  <c r="N79"/>
  <c r="O79" s="1"/>
  <c r="N81"/>
  <c r="O81" s="1"/>
  <c r="N83"/>
  <c r="O83" s="1"/>
  <c r="N85"/>
  <c r="O85" s="1"/>
  <c r="N87"/>
  <c r="O87" s="1"/>
  <c r="N89"/>
  <c r="O89" s="1"/>
  <c r="N91"/>
  <c r="O91" s="1"/>
  <c r="N93"/>
  <c r="O93" s="1"/>
  <c r="N95"/>
  <c r="O95" s="1"/>
  <c r="N97"/>
  <c r="O97" s="1"/>
  <c r="N99"/>
  <c r="O99" s="1"/>
  <c r="N101"/>
  <c r="O101" s="1"/>
  <c r="N103"/>
  <c r="O103" s="1"/>
  <c r="N105"/>
  <c r="O105" s="1"/>
  <c r="N106"/>
  <c r="O106" s="1"/>
  <c r="N27"/>
  <c r="O27" s="1"/>
  <c r="N29"/>
  <c r="O29" s="1"/>
  <c r="N31"/>
  <c r="O31" s="1"/>
  <c r="N33"/>
  <c r="O33" s="1"/>
  <c r="N35"/>
  <c r="O35" s="1"/>
  <c r="N37"/>
  <c r="O37" s="1"/>
  <c r="N39"/>
  <c r="O39" s="1"/>
  <c r="N41"/>
  <c r="O41" s="1"/>
  <c r="N43"/>
  <c r="O43" s="1"/>
  <c r="N45"/>
  <c r="O45" s="1"/>
  <c r="N47"/>
  <c r="O47" s="1"/>
  <c r="N49"/>
  <c r="O49" s="1"/>
  <c r="N51"/>
  <c r="O51" s="1"/>
  <c r="N53"/>
  <c r="O53" s="1"/>
  <c r="N55"/>
  <c r="O55" s="1"/>
  <c r="N57"/>
  <c r="O57" s="1"/>
  <c r="N59"/>
  <c r="O59" s="1"/>
  <c r="N61"/>
  <c r="O61" s="1"/>
  <c r="N63"/>
  <c r="O63" s="1"/>
  <c r="N65"/>
  <c r="O65" s="1"/>
  <c r="N67"/>
  <c r="O67" s="1"/>
  <c r="N69"/>
  <c r="O69" s="1"/>
  <c r="N71"/>
  <c r="O71" s="1"/>
  <c r="N2"/>
  <c r="O2" s="1"/>
  <c r="N3"/>
  <c r="O3" s="1"/>
  <c r="N4"/>
  <c r="O4" s="1"/>
  <c r="N5"/>
  <c r="O5" s="1"/>
  <c r="N6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H159" i="11"/>
  <c r="C162" s="1"/>
  <c r="N55"/>
  <c r="O55" s="1"/>
  <c r="N57"/>
  <c r="O57" s="1"/>
  <c r="N59"/>
  <c r="O59" s="1"/>
  <c r="N61"/>
  <c r="O61" s="1"/>
  <c r="N63"/>
  <c r="O63" s="1"/>
  <c r="N65"/>
  <c r="O65" s="1"/>
  <c r="N67"/>
  <c r="O67" s="1"/>
  <c r="N69"/>
  <c r="O69" s="1"/>
  <c r="N71"/>
  <c r="O71" s="1"/>
  <c r="N73"/>
  <c r="O73" s="1"/>
  <c r="N75"/>
  <c r="O75" s="1"/>
  <c r="N77"/>
  <c r="O77" s="1"/>
  <c r="N133"/>
  <c r="O133" s="1"/>
  <c r="N131"/>
  <c r="O131" s="1"/>
  <c r="N145"/>
  <c r="O145" s="1"/>
  <c r="N143"/>
  <c r="O143" s="1"/>
  <c r="N149"/>
  <c r="O149" s="1"/>
  <c r="H107" i="10"/>
  <c r="C110" s="1"/>
  <c r="E110"/>
  <c r="L88"/>
  <c r="L90"/>
  <c r="L92"/>
  <c r="N79" i="11"/>
  <c r="O79" s="1"/>
  <c r="M145"/>
  <c r="I159"/>
  <c r="C163" s="1"/>
  <c r="M23"/>
  <c r="M25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73"/>
  <c r="M75"/>
  <c r="M77"/>
  <c r="L79"/>
  <c r="N82"/>
  <c r="O82" s="1"/>
  <c r="N81"/>
  <c r="O81" s="1"/>
  <c r="N129"/>
  <c r="O129" s="1"/>
  <c r="M137"/>
  <c r="N141"/>
  <c r="O141" s="1"/>
  <c r="M149"/>
  <c r="L149"/>
  <c r="N153"/>
  <c r="O153" s="1"/>
  <c r="N151"/>
  <c r="O151" s="1"/>
  <c r="N157"/>
  <c r="O157" s="1"/>
  <c r="M92"/>
  <c r="M94"/>
  <c r="M96"/>
  <c r="M98"/>
  <c r="M100"/>
  <c r="M102"/>
  <c r="M104"/>
  <c r="M106"/>
  <c r="M108"/>
  <c r="M110"/>
  <c r="M112"/>
  <c r="M22"/>
  <c r="M2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M70"/>
  <c r="M72"/>
  <c r="M74"/>
  <c r="M76"/>
  <c r="M78"/>
  <c r="M80"/>
  <c r="M84"/>
  <c r="M85"/>
  <c r="M86"/>
  <c r="M87"/>
  <c r="M130"/>
  <c r="M132"/>
  <c r="M134"/>
  <c r="M136"/>
  <c r="M138"/>
  <c r="M140"/>
  <c r="M142"/>
  <c r="M144"/>
  <c r="M146"/>
  <c r="M148"/>
  <c r="M150"/>
  <c r="M152"/>
  <c r="M154"/>
  <c r="M156"/>
  <c r="M158"/>
  <c r="M89"/>
  <c r="M91"/>
  <c r="M93"/>
  <c r="M95"/>
  <c r="M97"/>
  <c r="M99"/>
  <c r="M101"/>
  <c r="M103"/>
  <c r="M105"/>
  <c r="M107"/>
  <c r="M109"/>
  <c r="M111"/>
  <c r="M113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114"/>
  <c r="M115"/>
  <c r="M116"/>
  <c r="M117"/>
  <c r="M118"/>
  <c r="M119"/>
  <c r="M120"/>
  <c r="M121"/>
  <c r="M122"/>
  <c r="M123"/>
  <c r="M124"/>
  <c r="M125"/>
  <c r="M126"/>
  <c r="M127"/>
  <c r="M128"/>
  <c r="I107" i="10"/>
  <c r="C111" s="1"/>
  <c r="M76"/>
  <c r="M78"/>
  <c r="M80"/>
  <c r="N84"/>
  <c r="O84" s="1"/>
  <c r="L86"/>
  <c r="N92"/>
  <c r="O92" s="1"/>
  <c r="L94"/>
  <c r="M102"/>
  <c r="M104"/>
  <c r="M26"/>
  <c r="M28"/>
  <c r="M30"/>
  <c r="M32"/>
  <c r="M34"/>
  <c r="M36"/>
  <c r="M38"/>
  <c r="M40"/>
  <c r="M42"/>
  <c r="M44"/>
  <c r="M46"/>
  <c r="M48"/>
  <c r="M50"/>
  <c r="M52"/>
  <c r="M54"/>
  <c r="M56"/>
  <c r="M58"/>
  <c r="M60"/>
  <c r="M62"/>
  <c r="M64"/>
  <c r="M66"/>
  <c r="M68"/>
  <c r="M70"/>
  <c r="M73"/>
  <c r="M75"/>
  <c r="M77"/>
  <c r="M79"/>
  <c r="M81"/>
  <c r="M83"/>
  <c r="M85"/>
  <c r="M87"/>
  <c r="M89"/>
  <c r="M91"/>
  <c r="M93"/>
  <c r="M95"/>
  <c r="M97"/>
  <c r="M99"/>
  <c r="M101"/>
  <c r="M103"/>
  <c r="M105"/>
  <c r="M106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N88"/>
  <c r="O88" s="1"/>
  <c r="N96"/>
  <c r="O96" s="1"/>
  <c r="E163" i="11"/>
  <c r="K159"/>
  <c r="D163" s="1"/>
  <c r="M21"/>
  <c r="L81"/>
  <c r="M82"/>
  <c r="M83"/>
  <c r="L131"/>
  <c r="M133"/>
  <c r="M135"/>
  <c r="L128"/>
  <c r="E162"/>
  <c r="J159"/>
  <c r="D162" s="1"/>
  <c r="N139"/>
  <c r="O139" s="1"/>
  <c r="L137"/>
  <c r="N147"/>
  <c r="O147" s="1"/>
  <c r="L145"/>
  <c r="L21"/>
  <c r="N21"/>
  <c r="L23"/>
  <c r="N23"/>
  <c r="O23" s="1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82"/>
  <c r="L83"/>
  <c r="L133"/>
  <c r="L135"/>
  <c r="L143"/>
  <c r="L151"/>
  <c r="M153"/>
  <c r="M155"/>
  <c r="M90"/>
  <c r="L139"/>
  <c r="L147"/>
  <c r="L153"/>
  <c r="L155"/>
  <c r="L88"/>
  <c r="L90"/>
  <c r="L92"/>
  <c r="L94"/>
  <c r="L96"/>
  <c r="L98"/>
  <c r="L100"/>
  <c r="L102"/>
  <c r="L104"/>
  <c r="L106"/>
  <c r="L108"/>
  <c r="L110"/>
  <c r="L112"/>
  <c r="L22"/>
  <c r="L2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64"/>
  <c r="L66"/>
  <c r="L68"/>
  <c r="L70"/>
  <c r="L72"/>
  <c r="L74"/>
  <c r="L76"/>
  <c r="L78"/>
  <c r="L80"/>
  <c r="L84"/>
  <c r="L85"/>
  <c r="L86"/>
  <c r="L87"/>
  <c r="L130"/>
  <c r="L132"/>
  <c r="L134"/>
  <c r="L136"/>
  <c r="L138"/>
  <c r="L140"/>
  <c r="L142"/>
  <c r="L144"/>
  <c r="L146"/>
  <c r="L148"/>
  <c r="L150"/>
  <c r="L152"/>
  <c r="L154"/>
  <c r="L156"/>
  <c r="L158"/>
  <c r="L89"/>
  <c r="L91"/>
  <c r="L93"/>
  <c r="L95"/>
  <c r="L97"/>
  <c r="L99"/>
  <c r="L101"/>
  <c r="L103"/>
  <c r="L105"/>
  <c r="L107"/>
  <c r="L109"/>
  <c r="L111"/>
  <c r="L113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114"/>
  <c r="L115"/>
  <c r="L116"/>
  <c r="L117"/>
  <c r="L118"/>
  <c r="L119"/>
  <c r="L120"/>
  <c r="L121"/>
  <c r="L122"/>
  <c r="L123"/>
  <c r="L124"/>
  <c r="L125"/>
  <c r="L126"/>
  <c r="L127"/>
  <c r="L72" i="10"/>
  <c r="L74"/>
  <c r="N74"/>
  <c r="O74" s="1"/>
  <c r="L76"/>
  <c r="N76"/>
  <c r="O76" s="1"/>
  <c r="L78"/>
  <c r="N78"/>
  <c r="O78" s="1"/>
  <c r="L80"/>
  <c r="N80"/>
  <c r="O80" s="1"/>
  <c r="M82"/>
  <c r="M86"/>
  <c r="M90"/>
  <c r="M94"/>
  <c r="M98"/>
  <c r="M100"/>
  <c r="K107"/>
  <c r="D111" s="1"/>
  <c r="E111"/>
  <c r="O72"/>
  <c r="M74"/>
  <c r="L98"/>
  <c r="L100"/>
  <c r="L102"/>
  <c r="L10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64"/>
  <c r="L66"/>
  <c r="L68"/>
  <c r="L70"/>
  <c r="L73"/>
  <c r="L75"/>
  <c r="L77"/>
  <c r="L79"/>
  <c r="L81"/>
  <c r="L83"/>
  <c r="L85"/>
  <c r="L87"/>
  <c r="L89"/>
  <c r="L91"/>
  <c r="L93"/>
  <c r="L95"/>
  <c r="L97"/>
  <c r="L99"/>
  <c r="L101"/>
  <c r="L103"/>
  <c r="L105"/>
  <c r="L106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J107"/>
  <c r="D110" s="1"/>
  <c r="F114"/>
  <c r="M105" i="7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7"/>
  <c r="M5"/>
  <c r="M3"/>
  <c r="L58"/>
  <c r="L56"/>
  <c r="L54"/>
  <c r="L52"/>
  <c r="L50"/>
  <c r="L48"/>
  <c r="L46"/>
  <c r="L44"/>
  <c r="L42"/>
  <c r="L40"/>
  <c r="L38"/>
  <c r="L36"/>
  <c r="L34"/>
  <c r="L32"/>
  <c r="L30"/>
  <c r="L28"/>
  <c r="L26"/>
  <c r="L14"/>
  <c r="L12"/>
  <c r="L10"/>
  <c r="L8"/>
  <c r="L6"/>
  <c r="L4"/>
  <c r="L2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  <c r="M2"/>
  <c r="M107" s="1"/>
  <c r="L105"/>
  <c r="L103"/>
  <c r="L101"/>
  <c r="L99"/>
  <c r="L97"/>
  <c r="L95"/>
  <c r="L93"/>
  <c r="L91"/>
  <c r="L89"/>
  <c r="L87"/>
  <c r="L85"/>
  <c r="L83"/>
  <c r="L81"/>
  <c r="L79"/>
  <c r="L77"/>
  <c r="L75"/>
  <c r="L73"/>
  <c r="L15"/>
  <c r="L13"/>
  <c r="L11"/>
  <c r="L9"/>
  <c r="L7"/>
  <c r="L5"/>
  <c r="L3"/>
  <c r="N26"/>
  <c r="O26" s="1"/>
  <c r="N24"/>
  <c r="O24" s="1"/>
  <c r="N22"/>
  <c r="O22" s="1"/>
  <c r="N20"/>
  <c r="O20" s="1"/>
  <c r="N18"/>
  <c r="O18" s="1"/>
  <c r="N70"/>
  <c r="O70" s="1"/>
  <c r="N66"/>
  <c r="O66" s="1"/>
  <c r="N62"/>
  <c r="O62" s="1"/>
  <c r="N58"/>
  <c r="O58" s="1"/>
  <c r="N54"/>
  <c r="O54" s="1"/>
  <c r="N50"/>
  <c r="O50" s="1"/>
  <c r="N46"/>
  <c r="O46" s="1"/>
  <c r="N42"/>
  <c r="O42" s="1"/>
  <c r="N38"/>
  <c r="O38" s="1"/>
  <c r="N34"/>
  <c r="O34" s="1"/>
  <c r="N30"/>
  <c r="O30" s="1"/>
  <c r="N103"/>
  <c r="O103" s="1"/>
  <c r="N99"/>
  <c r="O99" s="1"/>
  <c r="N95"/>
  <c r="O95" s="1"/>
  <c r="N91"/>
  <c r="O91" s="1"/>
  <c r="N87"/>
  <c r="O87" s="1"/>
  <c r="N83"/>
  <c r="O83" s="1"/>
  <c r="N79"/>
  <c r="O79" s="1"/>
  <c r="N75"/>
  <c r="O75" s="1"/>
  <c r="N69"/>
  <c r="O69" s="1"/>
  <c r="N65"/>
  <c r="O65" s="1"/>
  <c r="N61"/>
  <c r="O61" s="1"/>
  <c r="N25"/>
  <c r="O25" s="1"/>
  <c r="N23"/>
  <c r="O23" s="1"/>
  <c r="N21"/>
  <c r="O21" s="1"/>
  <c r="N19"/>
  <c r="O19" s="1"/>
  <c r="N17"/>
  <c r="N72"/>
  <c r="O72" s="1"/>
  <c r="N68"/>
  <c r="O68" s="1"/>
  <c r="N64"/>
  <c r="O64" s="1"/>
  <c r="N60"/>
  <c r="O60" s="1"/>
  <c r="N56"/>
  <c r="O56" s="1"/>
  <c r="N52"/>
  <c r="O52" s="1"/>
  <c r="N48"/>
  <c r="O48" s="1"/>
  <c r="N44"/>
  <c r="O44" s="1"/>
  <c r="N40"/>
  <c r="O40" s="1"/>
  <c r="N36"/>
  <c r="O36" s="1"/>
  <c r="N32"/>
  <c r="O32" s="1"/>
  <c r="N28"/>
  <c r="O28" s="1"/>
  <c r="N105"/>
  <c r="O105" s="1"/>
  <c r="N101"/>
  <c r="O101" s="1"/>
  <c r="N97"/>
  <c r="O97" s="1"/>
  <c r="N93"/>
  <c r="O93" s="1"/>
  <c r="N89"/>
  <c r="O89" s="1"/>
  <c r="N85"/>
  <c r="O85" s="1"/>
  <c r="N81"/>
  <c r="O81" s="1"/>
  <c r="N77"/>
  <c r="O77" s="1"/>
  <c r="N73"/>
  <c r="O73" s="1"/>
  <c r="N71"/>
  <c r="O71" s="1"/>
  <c r="N67"/>
  <c r="O67" s="1"/>
  <c r="N63"/>
  <c r="O63" s="1"/>
  <c r="D114"/>
  <c r="I114"/>
  <c r="E114"/>
  <c r="N153" i="8"/>
  <c r="O153" s="1"/>
  <c r="N85"/>
  <c r="O85" s="1"/>
  <c r="N87"/>
  <c r="O87" s="1"/>
  <c r="N88"/>
  <c r="O88" s="1"/>
  <c r="N112"/>
  <c r="O112" s="1"/>
  <c r="N108"/>
  <c r="O108" s="1"/>
  <c r="N104"/>
  <c r="O104" s="1"/>
  <c r="N100"/>
  <c r="O100" s="1"/>
  <c r="N96"/>
  <c r="O96" s="1"/>
  <c r="N92"/>
  <c r="O92" s="1"/>
  <c r="N53"/>
  <c r="O53" s="1"/>
  <c r="N55"/>
  <c r="O55" s="1"/>
  <c r="N57"/>
  <c r="O57" s="1"/>
  <c r="N59"/>
  <c r="O59" s="1"/>
  <c r="N61"/>
  <c r="O61" s="1"/>
  <c r="N63"/>
  <c r="O63" s="1"/>
  <c r="N65"/>
  <c r="O65" s="1"/>
  <c r="N67"/>
  <c r="O67" s="1"/>
  <c r="N69"/>
  <c r="O69" s="1"/>
  <c r="N71"/>
  <c r="O71" s="1"/>
  <c r="N73"/>
  <c r="O73" s="1"/>
  <c r="N75"/>
  <c r="O75" s="1"/>
  <c r="N77"/>
  <c r="O77" s="1"/>
  <c r="N79"/>
  <c r="O79" s="1"/>
  <c r="N81"/>
  <c r="O81" s="1"/>
  <c r="N131"/>
  <c r="O131" s="1"/>
  <c r="N133"/>
  <c r="O133" s="1"/>
  <c r="N135"/>
  <c r="O135" s="1"/>
  <c r="N137"/>
  <c r="O137" s="1"/>
  <c r="N139"/>
  <c r="O139" s="1"/>
  <c r="N141"/>
  <c r="O141" s="1"/>
  <c r="N143"/>
  <c r="O143" s="1"/>
  <c r="N145"/>
  <c r="O145" s="1"/>
  <c r="N147"/>
  <c r="O147" s="1"/>
  <c r="N149"/>
  <c r="O149" s="1"/>
  <c r="N21"/>
  <c r="O21" s="1"/>
  <c r="N19"/>
  <c r="O19" s="1"/>
  <c r="N17"/>
  <c r="O17" s="1"/>
  <c r="N15"/>
  <c r="O15" s="1"/>
  <c r="N13"/>
  <c r="O13" s="1"/>
  <c r="N11"/>
  <c r="O11" s="1"/>
  <c r="N9"/>
  <c r="O9" s="1"/>
  <c r="N7"/>
  <c r="O7" s="1"/>
  <c r="N5"/>
  <c r="O5" s="1"/>
  <c r="N3"/>
  <c r="O3" s="1"/>
  <c r="N155"/>
  <c r="O155" s="1"/>
  <c r="N151"/>
  <c r="O151" s="1"/>
  <c r="N23"/>
  <c r="O23" s="1"/>
  <c r="N25"/>
  <c r="O25" s="1"/>
  <c r="N27"/>
  <c r="O27" s="1"/>
  <c r="N29"/>
  <c r="O29" s="1"/>
  <c r="N31"/>
  <c r="O31" s="1"/>
  <c r="N33"/>
  <c r="O33" s="1"/>
  <c r="N35"/>
  <c r="O35" s="1"/>
  <c r="N37"/>
  <c r="O37" s="1"/>
  <c r="N39"/>
  <c r="O39" s="1"/>
  <c r="N41"/>
  <c r="O41" s="1"/>
  <c r="N43"/>
  <c r="O43" s="1"/>
  <c r="N45"/>
  <c r="O45" s="1"/>
  <c r="N47"/>
  <c r="O47" s="1"/>
  <c r="N49"/>
  <c r="O49" s="1"/>
  <c r="N51"/>
  <c r="O51" s="1"/>
  <c r="N86"/>
  <c r="O86" s="1"/>
  <c r="N129"/>
  <c r="O129" s="1"/>
  <c r="N127"/>
  <c r="O127" s="1"/>
  <c r="N125"/>
  <c r="O125" s="1"/>
  <c r="N123"/>
  <c r="O123" s="1"/>
  <c r="N121"/>
  <c r="O121" s="1"/>
  <c r="N119"/>
  <c r="O119" s="1"/>
  <c r="N117"/>
  <c r="O117" s="1"/>
  <c r="N115"/>
  <c r="O115" s="1"/>
  <c r="N20"/>
  <c r="O20" s="1"/>
  <c r="N18"/>
  <c r="O18" s="1"/>
  <c r="N16"/>
  <c r="O16" s="1"/>
  <c r="N14"/>
  <c r="O14" s="1"/>
  <c r="N12"/>
  <c r="O12" s="1"/>
  <c r="N10"/>
  <c r="O10" s="1"/>
  <c r="N8"/>
  <c r="O8" s="1"/>
  <c r="N6"/>
  <c r="O6" s="1"/>
  <c r="N4"/>
  <c r="N114"/>
  <c r="O114" s="1"/>
  <c r="N110"/>
  <c r="O110" s="1"/>
  <c r="N106"/>
  <c r="O106" s="1"/>
  <c r="N102"/>
  <c r="O102" s="1"/>
  <c r="N98"/>
  <c r="O98" s="1"/>
  <c r="N94"/>
  <c r="O94" s="1"/>
  <c r="N90"/>
  <c r="O90" s="1"/>
  <c r="N157"/>
  <c r="O157" s="1"/>
  <c r="N22"/>
  <c r="I159"/>
  <c r="C163" s="1"/>
  <c r="K159"/>
  <c r="L158" s="1"/>
  <c r="E163"/>
  <c r="J159"/>
  <c r="D162" s="1"/>
  <c r="I107" i="7"/>
  <c r="C111" s="1"/>
  <c r="E111"/>
  <c r="E110"/>
  <c r="H107"/>
  <c r="C110" s="1"/>
  <c r="I43" i="6"/>
  <c r="J103"/>
  <c r="J101"/>
  <c r="J99"/>
  <c r="J97"/>
  <c r="J95"/>
  <c r="J93"/>
  <c r="J91"/>
  <c r="J89"/>
  <c r="J87"/>
  <c r="J85"/>
  <c r="J83"/>
  <c r="J81"/>
  <c r="J79"/>
  <c r="J77"/>
  <c r="J75"/>
  <c r="J73"/>
  <c r="J71"/>
  <c r="J69"/>
  <c r="J67"/>
  <c r="J65"/>
  <c r="J63"/>
  <c r="J61"/>
  <c r="J59"/>
  <c r="J57"/>
  <c r="J55"/>
  <c r="J53"/>
  <c r="J51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  <c r="J9"/>
  <c r="J7"/>
  <c r="J5"/>
  <c r="J3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0"/>
  <c r="K8"/>
  <c r="K6"/>
  <c r="K4"/>
  <c r="K2"/>
  <c r="M2"/>
  <c r="J104"/>
  <c r="J102"/>
  <c r="J100"/>
  <c r="J98"/>
  <c r="J96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J44"/>
  <c r="J42"/>
  <c r="J40"/>
  <c r="J38"/>
  <c r="J36"/>
  <c r="J34"/>
  <c r="J32"/>
  <c r="J30"/>
  <c r="J28"/>
  <c r="J26"/>
  <c r="J24"/>
  <c r="J22"/>
  <c r="J20"/>
  <c r="J18"/>
  <c r="J16"/>
  <c r="J14"/>
  <c r="J12"/>
  <c r="J10"/>
  <c r="J8"/>
  <c r="J6"/>
  <c r="J4"/>
  <c r="J2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27"/>
  <c r="K25"/>
  <c r="K23"/>
  <c r="K21"/>
  <c r="K19"/>
  <c r="K17"/>
  <c r="K15"/>
  <c r="K13"/>
  <c r="K11"/>
  <c r="K9"/>
  <c r="K7"/>
  <c r="K5"/>
  <c r="K3"/>
  <c r="M43"/>
  <c r="G105"/>
  <c r="I3"/>
  <c r="I5"/>
  <c r="I7"/>
  <c r="I13"/>
  <c r="I17"/>
  <c r="I21"/>
  <c r="I25"/>
  <c r="I29"/>
  <c r="I33"/>
  <c r="I37"/>
  <c r="I41"/>
  <c r="I2"/>
  <c r="I4"/>
  <c r="I6"/>
  <c r="I8"/>
  <c r="I10"/>
  <c r="I14"/>
  <c r="I18"/>
  <c r="I22"/>
  <c r="I26"/>
  <c r="I30"/>
  <c r="I34"/>
  <c r="I38"/>
  <c r="I42"/>
  <c r="I9"/>
  <c r="I11"/>
  <c r="I12"/>
  <c r="I15"/>
  <c r="I16"/>
  <c r="I19"/>
  <c r="I20"/>
  <c r="I23"/>
  <c r="I24"/>
  <c r="I27"/>
  <c r="I28"/>
  <c r="I31"/>
  <c r="I32"/>
  <c r="I35"/>
  <c r="I36"/>
  <c r="I39"/>
  <c r="I40"/>
  <c r="G2" i="5"/>
  <c r="H2"/>
  <c r="I114" i="3"/>
  <c r="H114"/>
  <c r="G166" i="4"/>
  <c r="J106"/>
  <c r="L108"/>
  <c r="J84"/>
  <c r="L85"/>
  <c r="J50"/>
  <c r="L52"/>
  <c r="J145"/>
  <c r="L147"/>
  <c r="J34"/>
  <c r="L36"/>
  <c r="J66"/>
  <c r="L68"/>
  <c r="J138"/>
  <c r="L140"/>
  <c r="J59"/>
  <c r="L61"/>
  <c r="J90"/>
  <c r="L92"/>
  <c r="J26"/>
  <c r="L28"/>
  <c r="J42"/>
  <c r="L44"/>
  <c r="J58"/>
  <c r="L60"/>
  <c r="J74"/>
  <c r="L76"/>
  <c r="J130"/>
  <c r="L132"/>
  <c r="J146"/>
  <c r="L148"/>
  <c r="J25"/>
  <c r="L27"/>
  <c r="J133"/>
  <c r="L135"/>
  <c r="J153"/>
  <c r="L155"/>
  <c r="J98"/>
  <c r="L100"/>
  <c r="J22"/>
  <c r="L24"/>
  <c r="J30"/>
  <c r="L32"/>
  <c r="J38"/>
  <c r="L40"/>
  <c r="J46"/>
  <c r="L48"/>
  <c r="J54"/>
  <c r="L56"/>
  <c r="J62"/>
  <c r="L64"/>
  <c r="J70"/>
  <c r="L72"/>
  <c r="J78"/>
  <c r="L80"/>
  <c r="J86"/>
  <c r="L87"/>
  <c r="J134"/>
  <c r="L136"/>
  <c r="J142"/>
  <c r="L144"/>
  <c r="J43"/>
  <c r="L45"/>
  <c r="J75"/>
  <c r="L77"/>
  <c r="L143"/>
  <c r="J149"/>
  <c r="L151"/>
  <c r="J157"/>
  <c r="L88"/>
  <c r="J94"/>
  <c r="L96"/>
  <c r="J102"/>
  <c r="L104"/>
  <c r="J110"/>
  <c r="L112"/>
  <c r="I159"/>
  <c r="J33"/>
  <c r="J35"/>
  <c r="L37"/>
  <c r="J51"/>
  <c r="L53"/>
  <c r="J67"/>
  <c r="L69"/>
  <c r="J82"/>
  <c r="L83"/>
  <c r="J141"/>
  <c r="L23"/>
  <c r="J29"/>
  <c r="L31"/>
  <c r="L41"/>
  <c r="L49"/>
  <c r="L57"/>
  <c r="L65"/>
  <c r="L73"/>
  <c r="L81"/>
  <c r="L131"/>
  <c r="L139"/>
  <c r="K46"/>
  <c r="K50"/>
  <c r="K54"/>
  <c r="K58"/>
  <c r="K62"/>
  <c r="K66"/>
  <c r="K70"/>
  <c r="K74"/>
  <c r="K78"/>
  <c r="K84"/>
  <c r="K86"/>
  <c r="K130"/>
  <c r="K134"/>
  <c r="K138"/>
  <c r="K142"/>
  <c r="K146"/>
  <c r="K21"/>
  <c r="K25"/>
  <c r="K29"/>
  <c r="K33"/>
  <c r="K39"/>
  <c r="K43"/>
  <c r="K47"/>
  <c r="K51"/>
  <c r="K55"/>
  <c r="K59"/>
  <c r="K63"/>
  <c r="K67"/>
  <c r="K71"/>
  <c r="K75"/>
  <c r="K79"/>
  <c r="K82"/>
  <c r="K129"/>
  <c r="K133"/>
  <c r="K137"/>
  <c r="K141"/>
  <c r="K145"/>
  <c r="K149"/>
  <c r="K153"/>
  <c r="K157"/>
  <c r="K90"/>
  <c r="K94"/>
  <c r="K98"/>
  <c r="K102"/>
  <c r="K106"/>
  <c r="K110"/>
  <c r="K22"/>
  <c r="K26"/>
  <c r="K30"/>
  <c r="K34"/>
  <c r="K38"/>
  <c r="K42"/>
  <c r="M25"/>
  <c r="M29"/>
  <c r="M33"/>
  <c r="M43"/>
  <c r="M51"/>
  <c r="M59"/>
  <c r="M67"/>
  <c r="M75"/>
  <c r="M82"/>
  <c r="M133"/>
  <c r="M141"/>
  <c r="M145"/>
  <c r="M149"/>
  <c r="M153"/>
  <c r="M157"/>
  <c r="M90"/>
  <c r="M94"/>
  <c r="M98"/>
  <c r="M102"/>
  <c r="M106"/>
  <c r="M110"/>
  <c r="M22"/>
  <c r="M26"/>
  <c r="M30"/>
  <c r="M34"/>
  <c r="M38"/>
  <c r="M42"/>
  <c r="M46"/>
  <c r="M50"/>
  <c r="M54"/>
  <c r="M58"/>
  <c r="M62"/>
  <c r="M66"/>
  <c r="M70"/>
  <c r="M74"/>
  <c r="M78"/>
  <c r="M84"/>
  <c r="M86"/>
  <c r="M130"/>
  <c r="M134"/>
  <c r="M138"/>
  <c r="M142"/>
  <c r="M146"/>
  <c r="M37"/>
  <c r="K37"/>
  <c r="N39"/>
  <c r="L39"/>
  <c r="M45"/>
  <c r="K45"/>
  <c r="N47"/>
  <c r="L47"/>
  <c r="M53"/>
  <c r="K53"/>
  <c r="N55"/>
  <c r="L55"/>
  <c r="M61"/>
  <c r="K61"/>
  <c r="N63"/>
  <c r="L63"/>
  <c r="M69"/>
  <c r="K69"/>
  <c r="N71"/>
  <c r="L71"/>
  <c r="M77"/>
  <c r="K77"/>
  <c r="N79"/>
  <c r="L79"/>
  <c r="M83"/>
  <c r="K83"/>
  <c r="N129"/>
  <c r="L129"/>
  <c r="M135"/>
  <c r="K135"/>
  <c r="N137"/>
  <c r="L137"/>
  <c r="J23"/>
  <c r="J27"/>
  <c r="K35"/>
  <c r="J37"/>
  <c r="J45"/>
  <c r="J53"/>
  <c r="J61"/>
  <c r="J69"/>
  <c r="J77"/>
  <c r="J83"/>
  <c r="J135"/>
  <c r="N35"/>
  <c r="L35"/>
  <c r="M41"/>
  <c r="K41"/>
  <c r="N43"/>
  <c r="L43"/>
  <c r="M49"/>
  <c r="K49"/>
  <c r="N51"/>
  <c r="L51"/>
  <c r="M57"/>
  <c r="K57"/>
  <c r="N59"/>
  <c r="L59"/>
  <c r="M65"/>
  <c r="K65"/>
  <c r="N67"/>
  <c r="L67"/>
  <c r="M73"/>
  <c r="K73"/>
  <c r="N75"/>
  <c r="L75"/>
  <c r="M81"/>
  <c r="K81"/>
  <c r="N82"/>
  <c r="L82"/>
  <c r="M131"/>
  <c r="K131"/>
  <c r="N133"/>
  <c r="L133"/>
  <c r="M139"/>
  <c r="K139"/>
  <c r="N141"/>
  <c r="L141"/>
  <c r="J31"/>
  <c r="H159"/>
  <c r="J21"/>
  <c r="L21"/>
  <c r="N21"/>
  <c r="K23"/>
  <c r="L25"/>
  <c r="K27"/>
  <c r="L29"/>
  <c r="K31"/>
  <c r="L33"/>
  <c r="M35"/>
  <c r="J39"/>
  <c r="J41"/>
  <c r="J47"/>
  <c r="J49"/>
  <c r="J55"/>
  <c r="J57"/>
  <c r="J63"/>
  <c r="J65"/>
  <c r="J71"/>
  <c r="J73"/>
  <c r="J79"/>
  <c r="J81"/>
  <c r="J129"/>
  <c r="J131"/>
  <c r="J137"/>
  <c r="J139"/>
  <c r="J143"/>
  <c r="J147"/>
  <c r="J151"/>
  <c r="J155"/>
  <c r="J88"/>
  <c r="J92"/>
  <c r="J96"/>
  <c r="J100"/>
  <c r="J104"/>
  <c r="J108"/>
  <c r="J112"/>
  <c r="J24"/>
  <c r="J28"/>
  <c r="J32"/>
  <c r="J36"/>
  <c r="J40"/>
  <c r="J44"/>
  <c r="J48"/>
  <c r="J52"/>
  <c r="J56"/>
  <c r="J60"/>
  <c r="J64"/>
  <c r="J68"/>
  <c r="J72"/>
  <c r="J76"/>
  <c r="J80"/>
  <c r="J85"/>
  <c r="J87"/>
  <c r="J132"/>
  <c r="J136"/>
  <c r="J140"/>
  <c r="J144"/>
  <c r="J148"/>
  <c r="E166"/>
  <c r="K143"/>
  <c r="L145"/>
  <c r="K147"/>
  <c r="L149"/>
  <c r="K151"/>
  <c r="L153"/>
  <c r="K155"/>
  <c r="L157"/>
  <c r="K88"/>
  <c r="L90"/>
  <c r="K92"/>
  <c r="L94"/>
  <c r="K96"/>
  <c r="L98"/>
  <c r="K100"/>
  <c r="L102"/>
  <c r="K104"/>
  <c r="L106"/>
  <c r="K108"/>
  <c r="L110"/>
  <c r="K112"/>
  <c r="L22"/>
  <c r="K24"/>
  <c r="L26"/>
  <c r="K28"/>
  <c r="L30"/>
  <c r="K32"/>
  <c r="L34"/>
  <c r="K36"/>
  <c r="L38"/>
  <c r="K40"/>
  <c r="L42"/>
  <c r="K44"/>
  <c r="L46"/>
  <c r="K48"/>
  <c r="L50"/>
  <c r="K52"/>
  <c r="L54"/>
  <c r="K56"/>
  <c r="L58"/>
  <c r="K60"/>
  <c r="L62"/>
  <c r="K64"/>
  <c r="L66"/>
  <c r="K68"/>
  <c r="L70"/>
  <c r="K72"/>
  <c r="L74"/>
  <c r="K76"/>
  <c r="L78"/>
  <c r="K80"/>
  <c r="L84"/>
  <c r="K85"/>
  <c r="L86"/>
  <c r="K87"/>
  <c r="L130"/>
  <c r="K132"/>
  <c r="L134"/>
  <c r="K136"/>
  <c r="L138"/>
  <c r="K140"/>
  <c r="L142"/>
  <c r="K144"/>
  <c r="L146"/>
  <c r="K148"/>
  <c r="C114" i="3"/>
  <c r="D114" s="1"/>
  <c r="B110"/>
  <c r="B111"/>
  <c r="I2"/>
  <c r="L2" s="1"/>
  <c r="I3"/>
  <c r="L3" s="1"/>
  <c r="I4"/>
  <c r="L4" s="1"/>
  <c r="I5"/>
  <c r="L5" s="1"/>
  <c r="I6"/>
  <c r="L6" s="1"/>
  <c r="I7"/>
  <c r="L7" s="1"/>
  <c r="I8"/>
  <c r="L8" s="1"/>
  <c r="I9"/>
  <c r="L9" s="1"/>
  <c r="I10"/>
  <c r="L10" s="1"/>
  <c r="I1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0"/>
  <c r="L40" s="1"/>
  <c r="I41"/>
  <c r="L41" s="1"/>
  <c r="I42"/>
  <c r="L42" s="1"/>
  <c r="I43"/>
  <c r="L43" s="1"/>
  <c r="I44"/>
  <c r="L44" s="1"/>
  <c r="I45"/>
  <c r="L45" s="1"/>
  <c r="I46"/>
  <c r="L46" s="1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8"/>
  <c r="L58" s="1"/>
  <c r="I59"/>
  <c r="L59" s="1"/>
  <c r="I60"/>
  <c r="L60" s="1"/>
  <c r="I61"/>
  <c r="L61" s="1"/>
  <c r="I62"/>
  <c r="L62" s="1"/>
  <c r="I63"/>
  <c r="L63" s="1"/>
  <c r="I64"/>
  <c r="L64" s="1"/>
  <c r="I65"/>
  <c r="L65" s="1"/>
  <c r="I66"/>
  <c r="L66" s="1"/>
  <c r="I67"/>
  <c r="L67" s="1"/>
  <c r="I68"/>
  <c r="L68" s="1"/>
  <c r="I69"/>
  <c r="L69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87"/>
  <c r="L87" s="1"/>
  <c r="I88"/>
  <c r="L88" s="1"/>
  <c r="I89"/>
  <c r="L89" s="1"/>
  <c r="I90"/>
  <c r="L90" s="1"/>
  <c r="I91"/>
  <c r="L91" s="1"/>
  <c r="I92"/>
  <c r="L92" s="1"/>
  <c r="I93"/>
  <c r="L93" s="1"/>
  <c r="I94"/>
  <c r="L94" s="1"/>
  <c r="I95"/>
  <c r="L95" s="1"/>
  <c r="I96"/>
  <c r="L96" s="1"/>
  <c r="I97"/>
  <c r="L97" s="1"/>
  <c r="I98"/>
  <c r="L98" s="1"/>
  <c r="I99"/>
  <c r="L99" s="1"/>
  <c r="I100"/>
  <c r="L100" s="1"/>
  <c r="I101"/>
  <c r="L101" s="1"/>
  <c r="I102"/>
  <c r="L102" s="1"/>
  <c r="I103"/>
  <c r="L103" s="1"/>
  <c r="I104"/>
  <c r="L104" s="1"/>
  <c r="I105"/>
  <c r="L105" s="1"/>
  <c r="I106"/>
  <c r="L106" s="1"/>
  <c r="H2"/>
  <c r="J2" s="1"/>
  <c r="H3"/>
  <c r="K3" s="1"/>
  <c r="H4"/>
  <c r="J4" s="1"/>
  <c r="H5"/>
  <c r="K5" s="1"/>
  <c r="H6"/>
  <c r="J6" s="1"/>
  <c r="H7"/>
  <c r="K7" s="1"/>
  <c r="H8"/>
  <c r="J8" s="1"/>
  <c r="H9"/>
  <c r="K9" s="1"/>
  <c r="H10"/>
  <c r="J10" s="1"/>
  <c r="H11"/>
  <c r="K11" s="1"/>
  <c r="H12"/>
  <c r="J12" s="1"/>
  <c r="H13"/>
  <c r="K13" s="1"/>
  <c r="H14"/>
  <c r="J14" s="1"/>
  <c r="H15"/>
  <c r="K15" s="1"/>
  <c r="H16"/>
  <c r="J16" s="1"/>
  <c r="H17"/>
  <c r="K17" s="1"/>
  <c r="H18"/>
  <c r="J18" s="1"/>
  <c r="H19"/>
  <c r="K19" s="1"/>
  <c r="H20"/>
  <c r="J20" s="1"/>
  <c r="H21"/>
  <c r="K21" s="1"/>
  <c r="H22"/>
  <c r="J22" s="1"/>
  <c r="H23"/>
  <c r="K23" s="1"/>
  <c r="H24"/>
  <c r="J24" s="1"/>
  <c r="H25"/>
  <c r="K25" s="1"/>
  <c r="H26"/>
  <c r="J26" s="1"/>
  <c r="H27"/>
  <c r="K27" s="1"/>
  <c r="H28"/>
  <c r="J28" s="1"/>
  <c r="H29"/>
  <c r="K29" s="1"/>
  <c r="H30"/>
  <c r="J30" s="1"/>
  <c r="H31"/>
  <c r="K31" s="1"/>
  <c r="H32"/>
  <c r="J32" s="1"/>
  <c r="H33"/>
  <c r="K33" s="1"/>
  <c r="H34"/>
  <c r="J34" s="1"/>
  <c r="H35"/>
  <c r="K35" s="1"/>
  <c r="H36"/>
  <c r="J36" s="1"/>
  <c r="H37"/>
  <c r="K37" s="1"/>
  <c r="H38"/>
  <c r="J38" s="1"/>
  <c r="H39"/>
  <c r="K39" s="1"/>
  <c r="H40"/>
  <c r="J40" s="1"/>
  <c r="H41"/>
  <c r="K41" s="1"/>
  <c r="H42"/>
  <c r="J42" s="1"/>
  <c r="H43"/>
  <c r="K43" s="1"/>
  <c r="H44"/>
  <c r="J44" s="1"/>
  <c r="H45"/>
  <c r="K45" s="1"/>
  <c r="H46"/>
  <c r="J46" s="1"/>
  <c r="H47"/>
  <c r="K47" s="1"/>
  <c r="H48"/>
  <c r="J48" s="1"/>
  <c r="H49"/>
  <c r="K49" s="1"/>
  <c r="H50"/>
  <c r="J50" s="1"/>
  <c r="H51"/>
  <c r="K51" s="1"/>
  <c r="H52"/>
  <c r="J52" s="1"/>
  <c r="H53"/>
  <c r="K53" s="1"/>
  <c r="H54"/>
  <c r="J54" s="1"/>
  <c r="H55"/>
  <c r="K55" s="1"/>
  <c r="H56"/>
  <c r="J56" s="1"/>
  <c r="H57"/>
  <c r="K57" s="1"/>
  <c r="H58"/>
  <c r="J58" s="1"/>
  <c r="H59"/>
  <c r="K59" s="1"/>
  <c r="H60"/>
  <c r="J60" s="1"/>
  <c r="H61"/>
  <c r="K61" s="1"/>
  <c r="H62"/>
  <c r="J62" s="1"/>
  <c r="H63"/>
  <c r="K63" s="1"/>
  <c r="H64"/>
  <c r="J64" s="1"/>
  <c r="H65"/>
  <c r="K65" s="1"/>
  <c r="H66"/>
  <c r="J66" s="1"/>
  <c r="H67"/>
  <c r="K67" s="1"/>
  <c r="H68"/>
  <c r="J68" s="1"/>
  <c r="H69"/>
  <c r="K69" s="1"/>
  <c r="H70"/>
  <c r="J70" s="1"/>
  <c r="H71"/>
  <c r="K71" s="1"/>
  <c r="H72"/>
  <c r="J72" s="1"/>
  <c r="H73"/>
  <c r="K73" s="1"/>
  <c r="H74"/>
  <c r="J74" s="1"/>
  <c r="H75"/>
  <c r="K75" s="1"/>
  <c r="H76"/>
  <c r="J76" s="1"/>
  <c r="H77"/>
  <c r="K77" s="1"/>
  <c r="H78"/>
  <c r="J78" s="1"/>
  <c r="H79"/>
  <c r="K79" s="1"/>
  <c r="H80"/>
  <c r="J80" s="1"/>
  <c r="H81"/>
  <c r="K81" s="1"/>
  <c r="H82"/>
  <c r="J82" s="1"/>
  <c r="H83"/>
  <c r="K83" s="1"/>
  <c r="H84"/>
  <c r="J84" s="1"/>
  <c r="H85"/>
  <c r="K85" s="1"/>
  <c r="H86"/>
  <c r="J86" s="1"/>
  <c r="H87"/>
  <c r="K87" s="1"/>
  <c r="H88"/>
  <c r="J88" s="1"/>
  <c r="H89"/>
  <c r="K89" s="1"/>
  <c r="H90"/>
  <c r="J90" s="1"/>
  <c r="H91"/>
  <c r="K91" s="1"/>
  <c r="H92"/>
  <c r="J92" s="1"/>
  <c r="H93"/>
  <c r="K93" s="1"/>
  <c r="H94"/>
  <c r="J94" s="1"/>
  <c r="H95"/>
  <c r="K95" s="1"/>
  <c r="H96"/>
  <c r="J96" s="1"/>
  <c r="H97"/>
  <c r="K97" s="1"/>
  <c r="H98"/>
  <c r="J98" s="1"/>
  <c r="H99"/>
  <c r="K99" s="1"/>
  <c r="H100"/>
  <c r="J100" s="1"/>
  <c r="H101"/>
  <c r="K101" s="1"/>
  <c r="H102"/>
  <c r="J102" s="1"/>
  <c r="H103"/>
  <c r="K103" s="1"/>
  <c r="H104"/>
  <c r="J104" s="1"/>
  <c r="H105"/>
  <c r="K105" s="1"/>
  <c r="H106"/>
  <c r="J106" s="1"/>
  <c r="D163" i="37" l="1"/>
  <c r="D112" i="35"/>
  <c r="D163" i="34"/>
  <c r="S22" i="26"/>
  <c r="S159" s="1"/>
  <c r="C163" s="1"/>
  <c r="E163"/>
  <c r="T58"/>
  <c r="T159" s="1"/>
  <c r="C164" s="1"/>
  <c r="E164"/>
  <c r="Q159"/>
  <c r="D163" s="1"/>
  <c r="R159"/>
  <c r="D169" i="23"/>
  <c r="D169" i="22"/>
  <c r="D166" i="17"/>
  <c r="C166"/>
  <c r="G166" s="1"/>
  <c r="D167"/>
  <c r="C167"/>
  <c r="G167" s="1"/>
  <c r="K114" i="13"/>
  <c r="E118"/>
  <c r="L114"/>
  <c r="E170" i="8"/>
  <c r="L159"/>
  <c r="D171"/>
  <c r="O4"/>
  <c r="C171"/>
  <c r="C170"/>
  <c r="E114" i="10"/>
  <c r="M107"/>
  <c r="D119" s="1"/>
  <c r="C119"/>
  <c r="J114"/>
  <c r="F111"/>
  <c r="I114"/>
  <c r="H114"/>
  <c r="D114"/>
  <c r="N107"/>
  <c r="B114"/>
  <c r="M114"/>
  <c r="G114"/>
  <c r="C114"/>
  <c r="F110"/>
  <c r="E170" i="11"/>
  <c r="L159"/>
  <c r="D170" s="1"/>
  <c r="E171"/>
  <c r="M159"/>
  <c r="D171" s="1"/>
  <c r="C170"/>
  <c r="J166"/>
  <c r="H166"/>
  <c r="F166"/>
  <c r="D166"/>
  <c r="F163"/>
  <c r="N159"/>
  <c r="C171"/>
  <c r="M166"/>
  <c r="I166"/>
  <c r="G166"/>
  <c r="E166"/>
  <c r="C166"/>
  <c r="F162"/>
  <c r="O21"/>
  <c r="B166" s="1"/>
  <c r="E119" i="10"/>
  <c r="C118"/>
  <c r="L25"/>
  <c r="L107" s="1"/>
  <c r="D118" s="1"/>
  <c r="G166" i="8"/>
  <c r="H114" i="7"/>
  <c r="F111"/>
  <c r="C119"/>
  <c r="C118"/>
  <c r="F110"/>
  <c r="J114"/>
  <c r="O17"/>
  <c r="B114" s="1"/>
  <c r="F166" i="8"/>
  <c r="G114" i="7"/>
  <c r="M114"/>
  <c r="F114"/>
  <c r="M166" i="8"/>
  <c r="C166"/>
  <c r="J166"/>
  <c r="O22"/>
  <c r="B166" s="1"/>
  <c r="H166"/>
  <c r="D166"/>
  <c r="I166"/>
  <c r="E166"/>
  <c r="N159"/>
  <c r="D163"/>
  <c r="F162"/>
  <c r="F163"/>
  <c r="K166"/>
  <c r="C114" i="7"/>
  <c r="K114" s="1"/>
  <c r="N107"/>
  <c r="K107"/>
  <c r="J107"/>
  <c r="D110" s="1"/>
  <c r="K105" i="6"/>
  <c r="E108" s="1"/>
  <c r="J105"/>
  <c r="I105"/>
  <c r="L105"/>
  <c r="D109" s="1"/>
  <c r="M105"/>
  <c r="E109" s="1"/>
  <c r="L107" i="3"/>
  <c r="E110" s="1"/>
  <c r="H166" i="4"/>
  <c r="I166"/>
  <c r="M159"/>
  <c r="K159"/>
  <c r="D163"/>
  <c r="D162"/>
  <c r="L159"/>
  <c r="N159"/>
  <c r="E163" s="1"/>
  <c r="J159"/>
  <c r="M106" i="3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  <c r="M2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25"/>
  <c r="N23"/>
  <c r="N21"/>
  <c r="N19"/>
  <c r="N17"/>
  <c r="N15"/>
  <c r="N13"/>
  <c r="N11"/>
  <c r="N9"/>
  <c r="N7"/>
  <c r="N5"/>
  <c r="N3"/>
  <c r="E114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25"/>
  <c r="M23"/>
  <c r="M21"/>
  <c r="M19"/>
  <c r="M17"/>
  <c r="M15"/>
  <c r="M13"/>
  <c r="M11"/>
  <c r="M9"/>
  <c r="M7"/>
  <c r="M5"/>
  <c r="M3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26"/>
  <c r="N24"/>
  <c r="N22"/>
  <c r="N20"/>
  <c r="N18"/>
  <c r="N16"/>
  <c r="N14"/>
  <c r="N12"/>
  <c r="N10"/>
  <c r="N8"/>
  <c r="N6"/>
  <c r="N4"/>
  <c r="N2"/>
  <c r="N107" s="1"/>
  <c r="E111" s="1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K14"/>
  <c r="K12"/>
  <c r="K10"/>
  <c r="K8"/>
  <c r="K6"/>
  <c r="K4"/>
  <c r="K2"/>
  <c r="J105"/>
  <c r="J103"/>
  <c r="J101"/>
  <c r="J99"/>
  <c r="J97"/>
  <c r="J95"/>
  <c r="J93"/>
  <c r="J91"/>
  <c r="J89"/>
  <c r="J87"/>
  <c r="J85"/>
  <c r="J83"/>
  <c r="J81"/>
  <c r="J79"/>
  <c r="J77"/>
  <c r="J75"/>
  <c r="J73"/>
  <c r="J71"/>
  <c r="J69"/>
  <c r="J67"/>
  <c r="J65"/>
  <c r="J63"/>
  <c r="J61"/>
  <c r="J59"/>
  <c r="J57"/>
  <c r="J55"/>
  <c r="J53"/>
  <c r="J51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  <c r="J9"/>
  <c r="J7"/>
  <c r="J5"/>
  <c r="J3"/>
  <c r="H107"/>
  <c r="I107"/>
  <c r="D164" i="26" l="1"/>
  <c r="F167" i="17"/>
  <c r="F166"/>
  <c r="D170" i="8"/>
  <c r="K114" i="10"/>
  <c r="K166" i="11"/>
  <c r="L166"/>
  <c r="L114" i="10"/>
  <c r="E118"/>
  <c r="D111" i="7"/>
  <c r="L106"/>
  <c r="L107" s="1"/>
  <c r="L114"/>
  <c r="L166" i="8"/>
  <c r="C109" i="6"/>
  <c r="G109" s="1"/>
  <c r="C108"/>
  <c r="G108" s="1"/>
  <c r="D108"/>
  <c r="E3" i="5"/>
  <c r="D3"/>
  <c r="E162" i="4"/>
  <c r="F3" i="5"/>
  <c r="H3" s="1"/>
  <c r="C162" i="4"/>
  <c r="G162" s="1"/>
  <c r="C163"/>
  <c r="G163" s="1"/>
  <c r="K107" i="3"/>
  <c r="M107"/>
  <c r="J107"/>
  <c r="F109" i="6" l="1"/>
  <c r="F108"/>
  <c r="G3" i="5"/>
  <c r="F163" i="4"/>
  <c r="F162"/>
  <c r="D111" i="3"/>
  <c r="C111"/>
  <c r="G111" s="1"/>
  <c r="D110"/>
  <c r="C110"/>
  <c r="G110" s="1"/>
  <c r="F110" l="1"/>
  <c r="F111"/>
</calcChain>
</file>

<file path=xl/sharedStrings.xml><?xml version="1.0" encoding="utf-8"?>
<sst xmlns="http://schemas.openxmlformats.org/spreadsheetml/2006/main" count="26009" uniqueCount="221">
  <si>
    <t>Session</t>
  </si>
  <si>
    <t>Student Number</t>
  </si>
  <si>
    <t>Question Number</t>
  </si>
  <si>
    <t>Response</t>
  </si>
  <si>
    <t>Pre or Post</t>
  </si>
  <si>
    <t>Alpha</t>
  </si>
  <si>
    <t>Pre</t>
  </si>
  <si>
    <t>Male</t>
  </si>
  <si>
    <t>Yes</t>
  </si>
  <si>
    <t>No</t>
  </si>
  <si>
    <t>Theta</t>
  </si>
  <si>
    <t>Old or New?</t>
  </si>
  <si>
    <t>Old</t>
  </si>
  <si>
    <t>Female</t>
  </si>
  <si>
    <t>m</t>
  </si>
  <si>
    <t>Low Vision</t>
  </si>
  <si>
    <t>Post</t>
  </si>
  <si>
    <t>Crossman</t>
  </si>
  <si>
    <t>Sight</t>
  </si>
  <si>
    <t>Both</t>
  </si>
  <si>
    <t>Pre and Post?</t>
  </si>
  <si>
    <t>Iota</t>
  </si>
  <si>
    <t>Georgiou</t>
  </si>
  <si>
    <t>Delta</t>
  </si>
  <si>
    <t>New</t>
  </si>
  <si>
    <t>Epsilon</t>
  </si>
  <si>
    <t>Zeta</t>
  </si>
  <si>
    <t>Zammitt</t>
  </si>
  <si>
    <t>Eta</t>
  </si>
  <si>
    <t>Touch</t>
  </si>
  <si>
    <t>Beta</t>
  </si>
  <si>
    <t>Gamma</t>
  </si>
  <si>
    <t>Smythe</t>
  </si>
  <si>
    <t>If Yes</t>
  </si>
  <si>
    <t>If No</t>
  </si>
  <si>
    <t>Answered?</t>
  </si>
  <si>
    <t>Total Surveys</t>
  </si>
  <si>
    <t>Total Answers</t>
  </si>
  <si>
    <t>Pre Yes</t>
  </si>
  <si>
    <t>Post Yes</t>
  </si>
  <si>
    <t>Pre No</t>
  </si>
  <si>
    <t>Post No</t>
  </si>
  <si>
    <t>% Yes</t>
  </si>
  <si>
    <t>% No</t>
  </si>
  <si>
    <t>Changed to Yes</t>
  </si>
  <si>
    <t>Changed to No</t>
  </si>
  <si>
    <t>Pre and Post</t>
  </si>
  <si>
    <t>Total Changed</t>
  </si>
  <si>
    <t>Total % Changed</t>
  </si>
  <si>
    <t>% Total Changed to Yes</t>
  </si>
  <si>
    <t>% Total Changed to No</t>
  </si>
  <si>
    <t>Of Changed, % Changed to No</t>
  </si>
  <si>
    <t>Of Changed, % Changed to Yes</t>
  </si>
  <si>
    <t>Type</t>
  </si>
  <si>
    <t>2-PropZTest testing if P1 not equal to P2 for changed to yes responses over total Pre and Post responses</t>
  </si>
  <si>
    <t>P1: N=40, x=18 P2: N=58, x=22 --&gt; p = 0.484 which is &gt; 0.05</t>
  </si>
  <si>
    <t>New Yes</t>
  </si>
  <si>
    <t>New No</t>
  </si>
  <si>
    <t>Old Yes</t>
  </si>
  <si>
    <t>Old No</t>
  </si>
  <si>
    <t>2-PropZTest testing if New P1 &gt; Old P2 for No over Total Answers</t>
  </si>
  <si>
    <t>P1: N=49, x=45 P2: N=40, x=35 --&gt; p = 0.250 which is &gt; 0.05</t>
  </si>
  <si>
    <t>2-PropZTest testing if New P1 not equal to Old P2 for No over Total Answers</t>
  </si>
  <si>
    <t>P1: N=49, x=45 P2: N=40, x=35 --&gt; p = 0.500 which is &gt; 0.05</t>
  </si>
  <si>
    <t>Pre Answers</t>
  </si>
  <si>
    <t>Post Answers</t>
  </si>
  <si>
    <t>Pre Total</t>
  </si>
  <si>
    <t>Post Total</t>
  </si>
  <si>
    <t>Sample Mean</t>
  </si>
  <si>
    <t>Sample Standard Deviation</t>
  </si>
  <si>
    <t>Increased by 1</t>
  </si>
  <si>
    <t>Increased by 2</t>
  </si>
  <si>
    <t>Change</t>
  </si>
  <si>
    <t>Increased by 3</t>
  </si>
  <si>
    <t>Increased by 4</t>
  </si>
  <si>
    <t>Decreased by 1</t>
  </si>
  <si>
    <t>Decreased by 2</t>
  </si>
  <si>
    <t>Decreased by 3</t>
  </si>
  <si>
    <t>Decreased by 4</t>
  </si>
  <si>
    <t>Number Increased</t>
  </si>
  <si>
    <t>Number Decreased</t>
  </si>
  <si>
    <t>No Change</t>
  </si>
  <si>
    <t>Responded to Both Pre and Post</t>
  </si>
  <si>
    <t>Number 2 Resp</t>
  </si>
  <si>
    <t>Sample Standard Deviation of Change</t>
  </si>
  <si>
    <t>Difference betweeen New Pre and New Post</t>
  </si>
  <si>
    <t>Difference between Old Pre and Old Post</t>
  </si>
  <si>
    <t>Just for kids answering the question for both pre and post</t>
  </si>
  <si>
    <t>Pre Total (Pooled)</t>
  </si>
  <si>
    <t>Post Total (Pooled)</t>
  </si>
  <si>
    <t>2-SampTTest w/Pooled Data</t>
  </si>
  <si>
    <t>New Pre</t>
  </si>
  <si>
    <t>New Post</t>
  </si>
  <si>
    <t>N</t>
  </si>
  <si>
    <t>Xbar</t>
  </si>
  <si>
    <t>Sigma</t>
  </si>
  <si>
    <t>Old Post</t>
  </si>
  <si>
    <t>Old Pre</t>
  </si>
  <si>
    <t>p = 0.0096554667</t>
  </si>
  <si>
    <t>Since p values are both &lt; .05 calculate if there is statistically significant difference between the two samples using change data</t>
  </si>
  <si>
    <t>Mean Change</t>
  </si>
  <si>
    <t>Standard Deviation of Change</t>
  </si>
  <si>
    <t>p=0.0341014993</t>
  </si>
  <si>
    <t>p = 1</t>
  </si>
  <si>
    <t>p = 5.3032254E-5</t>
  </si>
  <si>
    <t>p = 0.8348712544</t>
  </si>
  <si>
    <t>p = 1.8509209E-8</t>
  </si>
  <si>
    <t>One Tailed guessing that New &gt; Old</t>
  </si>
  <si>
    <t>p = 0.06301</t>
  </si>
  <si>
    <t>Since p&gt;.05 we cannot say that the mean change in the new is statistically significantly different from the mean change in the old</t>
  </si>
  <si>
    <t>Gender of Group</t>
  </si>
  <si>
    <t>Time of Day</t>
  </si>
  <si>
    <t>Presenter</t>
  </si>
  <si>
    <t>Gemma</t>
  </si>
  <si>
    <t>Rosemary</t>
  </si>
  <si>
    <t>Mean Gemma</t>
  </si>
  <si>
    <t>Mean Rosemary</t>
  </si>
  <si>
    <t>StDev Gemma</t>
  </si>
  <si>
    <t>StDev Rosemary</t>
  </si>
  <si>
    <t>p = 0.5013</t>
  </si>
  <si>
    <t>If Crossman</t>
  </si>
  <si>
    <t>If Other</t>
  </si>
  <si>
    <t>New Crossman</t>
  </si>
  <si>
    <t>New Other</t>
  </si>
  <si>
    <t>Old Crossman</t>
  </si>
  <si>
    <t>Old Other</t>
  </si>
  <si>
    <t>Other</t>
  </si>
  <si>
    <t>% Crossman</t>
  </si>
  <si>
    <t>% Other</t>
  </si>
  <si>
    <t>% CM incl Blanks</t>
  </si>
  <si>
    <t>% Other incl Blanks</t>
  </si>
  <si>
    <t>2 Prop Z Test Crossman New vs. Crossman Old</t>
  </si>
  <si>
    <t>p = 0.61576</t>
  </si>
  <si>
    <t>2 Prop Z Test Crossman New vs. Crossman Old w/ Blanks</t>
  </si>
  <si>
    <t>p = 0.28925</t>
  </si>
  <si>
    <t>Old or New</t>
  </si>
  <si>
    <t>Count New</t>
  </si>
  <si>
    <t>Count Old</t>
  </si>
  <si>
    <t>2 Sample T Test</t>
  </si>
  <si>
    <t>p = 0.4046671694</t>
  </si>
  <si>
    <t>If Sight</t>
  </si>
  <si>
    <t>If Touch</t>
  </si>
  <si>
    <t>If Both</t>
  </si>
  <si>
    <t>New Sight (w/Both)</t>
  </si>
  <si>
    <t>New Touch (w/Both)</t>
  </si>
  <si>
    <t>Old Sight (w/Both)</t>
  </si>
  <si>
    <t>Old Touch (w/Both)</t>
  </si>
  <si>
    <t>Count New Answers</t>
  </si>
  <si>
    <t>Count Old Answers</t>
  </si>
  <si>
    <t>Touch (w/Both)</t>
  </si>
  <si>
    <t>Sight (w/Both)</t>
  </si>
  <si>
    <t>% Sight w/ Both</t>
  </si>
  <si>
    <t>% Touch w/ Both</t>
  </si>
  <si>
    <t>p = 0.0056256092</t>
  </si>
  <si>
    <t>2 Prop Z Test Touch New vs Touch Old w/ Both (p1&gt;p2)</t>
  </si>
  <si>
    <t>(Identifyed tyre using at least the sence of touch (could be other senses such as sight too))</t>
  </si>
  <si>
    <t>p = 0.0305217098</t>
  </si>
  <si>
    <t>Kids found the old tyre track activity more useful than the new tyre track activity</t>
  </si>
  <si>
    <t>p = 0.303135837</t>
  </si>
  <si>
    <t>(Identifyed tyre using at least the sence of sight (could be other senses such as touch too))</t>
  </si>
  <si>
    <t>2 Prop Z Test Sight New vs Sight Old w/ Both (p1not=p2)</t>
  </si>
  <si>
    <t>p = 0.4559264793</t>
  </si>
  <si>
    <t># Males Pre and Post</t>
  </si>
  <si>
    <t># Females Pre and Post</t>
  </si>
  <si>
    <t>Column1</t>
  </si>
  <si>
    <t>Total</t>
  </si>
  <si>
    <t>2-Prop-Z-Test for Males</t>
  </si>
  <si>
    <t>P = 0.0036220276</t>
  </si>
  <si>
    <t>If Male</t>
  </si>
  <si>
    <t>If Female</t>
  </si>
  <si>
    <t>Gender</t>
  </si>
  <si>
    <t/>
  </si>
  <si>
    <t>Male or Female</t>
  </si>
  <si>
    <t>Male Answers</t>
  </si>
  <si>
    <t>Female Answers</t>
  </si>
  <si>
    <t>Change Table</t>
  </si>
  <si>
    <t>New Male vs Old Male</t>
  </si>
  <si>
    <t>New Female vs Old Female</t>
  </si>
  <si>
    <t>New Male vs New Female</t>
  </si>
  <si>
    <t>Old Male vs Old Female</t>
  </si>
  <si>
    <t>New or Old</t>
  </si>
  <si>
    <t>2-Sample T Test (No Pooled)</t>
  </si>
  <si>
    <t>p = .2734873974</t>
  </si>
  <si>
    <t>p = .0447842388</t>
  </si>
  <si>
    <t>p = .9130312263</t>
  </si>
  <si>
    <t>p = .3260528751</t>
  </si>
  <si>
    <t>Pre3 Yes or No</t>
  </si>
  <si>
    <t>If Pre3 Yes</t>
  </si>
  <si>
    <t>If Pre3 No</t>
  </si>
  <si>
    <t>Pre3 Yes Answers</t>
  </si>
  <si>
    <t>Pre3 No Answers</t>
  </si>
  <si>
    <t>Pre3 Yes or no</t>
  </si>
  <si>
    <t>New Yes vs. Old Yes</t>
  </si>
  <si>
    <t>New No vs. Old No</t>
  </si>
  <si>
    <t>New Yes vs. New No</t>
  </si>
  <si>
    <t>Old Yes vs. Old No</t>
  </si>
  <si>
    <t>p = 0.1919751129</t>
  </si>
  <si>
    <t>Not Valid Too Small Sample Size</t>
  </si>
  <si>
    <t>p = 0.9161959847</t>
  </si>
  <si>
    <t>If Pre5 Yes</t>
  </si>
  <si>
    <t>If Pre5 No</t>
  </si>
  <si>
    <t>Pre5 Yes or No</t>
  </si>
  <si>
    <t>Pre5 Yes Answers</t>
  </si>
  <si>
    <t>Pre5 No Answers</t>
  </si>
  <si>
    <t>Pre5 Yes or no</t>
  </si>
  <si>
    <t>p = 0.0258689479</t>
  </si>
  <si>
    <t>p = 0.7963951099</t>
  </si>
  <si>
    <t>Pre6 Yes or No</t>
  </si>
  <si>
    <t>If Pre6 Yes</t>
  </si>
  <si>
    <t>If Pre6 No</t>
  </si>
  <si>
    <t>Pre6 Yes Answers</t>
  </si>
  <si>
    <t>Pre6 No Answers</t>
  </si>
  <si>
    <t>p = 1.7491953E-4</t>
  </si>
  <si>
    <t>Student's Perceived Usefulness</t>
  </si>
  <si>
    <t>Understanding of TT at Crime Scene</t>
  </si>
  <si>
    <t>New Usefulness</t>
  </si>
  <si>
    <t>Old Usefulness</t>
  </si>
  <si>
    <t>New Understanding</t>
  </si>
  <si>
    <t>Old Understanding</t>
  </si>
  <si>
    <t>For Students Answering Both the Pre and Post Surveys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</si>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</sst>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/>
        <bgColor theme="6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wrapText="1"/>
    </xf>
    <xf numFmtId="0" fontId="1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3" fillId="5" borderId="0" xfId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Bad" xfId="1" builtinId="27"/>
    <cellStyle name="Normal" xfId="0" builtinId="0"/>
  </cellStyles>
  <dxfs count="1623"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general" vertical="bottom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font>
        <b/>
      </font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font>
        <b/>
      </font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font>
        <b/>
      </font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6"/>
          <bgColor theme="6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numFmt numFmtId="0" formatCode="General"/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font>
        <b/>
      </font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1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numFmt numFmtId="0" formatCode="General"/>
      <alignment horizontal="left" vertical="center" textRotation="0" wrapText="0" indent="0" relativeInden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Student's</a:t>
            </a:r>
            <a:r>
              <a:rPr lang="en-US" baseline="0"/>
              <a:t> Perceived Usefulness of the Tyre Track Activity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Student's Perceived Usefulness of TT for Modified Activity</c:v>
          </c:tx>
          <c:marker>
            <c:symbol val="none"/>
          </c:marker>
          <c:xVal>
            <c:numRef>
              <c:f>'Graph - Use vs TT Understanding'!$A$13:$A$63</c:f>
              <c:numCache>
                <c:formatCode>General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</c:numCache>
            </c:numRef>
          </c:xVal>
          <c:yVal>
            <c:numRef>
              <c:f>'Graph - Use vs TT Understanding'!$B$13:$B$63</c:f>
              <c:numCache>
                <c:formatCode>General</c:formatCode>
                <c:ptCount val="51"/>
                <c:pt idx="0">
                  <c:v>1.4759579093546172E-3</c:v>
                </c:pt>
                <c:pt idx="1">
                  <c:v>2.0292144777432253E-3</c:v>
                </c:pt>
                <c:pt idx="2">
                  <c:v>2.7638331255623589E-3</c:v>
                </c:pt>
                <c:pt idx="3">
                  <c:v>3.7292849556908206E-3</c:v>
                </c:pt>
                <c:pt idx="4">
                  <c:v>4.9850464188605885E-3</c:v>
                </c:pt>
                <c:pt idx="5">
                  <c:v>6.6015015576252577E-3</c:v>
                </c:pt>
                <c:pt idx="6">
                  <c:v>8.6605632841692589E-3</c:v>
                </c:pt>
                <c:pt idx="7">
                  <c:v>1.1255879494639728E-2</c:v>
                </c:pt>
                <c:pt idx="8">
                  <c:v>1.4492476881949859E-2</c:v>
                </c:pt>
                <c:pt idx="9">
                  <c:v>1.8485690759870527E-2</c:v>
                </c:pt>
                <c:pt idx="10">
                  <c:v>2.335923613646625E-2</c:v>
                </c:pt>
                <c:pt idx="11">
                  <c:v>2.9242296496175834E-2</c:v>
                </c:pt>
                <c:pt idx="12">
                  <c:v>3.626554442141542E-2</c:v>
                </c:pt>
                <c:pt idx="13">
                  <c:v>4.4556063350976019E-2</c:v>
                </c:pt>
                <c:pt idx="14">
                  <c:v>5.4231211938978639E-2</c:v>
                </c:pt>
                <c:pt idx="15">
                  <c:v>6.5391559256389259E-2</c:v>
                </c:pt>
                <c:pt idx="16">
                  <c:v>7.8113115973286851E-2</c:v>
                </c:pt>
                <c:pt idx="17">
                  <c:v>9.2439187070435927E-2</c:v>
                </c:pt>
                <c:pt idx="18">
                  <c:v>0.10837226709330165</c:v>
                </c:pt>
                <c:pt idx="19">
                  <c:v>0.12586647970268935</c:v>
                </c:pt>
                <c:pt idx="20">
                  <c:v>0.14482111901261921</c:v>
                </c:pt>
                <c:pt idx="21">
                  <c:v>0.16507587119489298</c:v>
                </c:pt>
                <c:pt idx="22">
                  <c:v>0.18640827304327462</c:v>
                </c:pt>
                <c:pt idx="23">
                  <c:v>0.20853389450053117</c:v>
                </c:pt>
                <c:pt idx="24">
                  <c:v>0.23110961337163236</c:v>
                </c:pt>
                <c:pt idx="25">
                  <c:v>0.2537401860680587</c:v>
                </c:pt>
                <c:pt idx="26">
                  <c:v>0.2759881167170703</c:v>
                </c:pt>
                <c:pt idx="27">
                  <c:v>0.29738660151518909</c:v>
                </c:pt>
                <c:pt idx="28">
                  <c:v>0.31745509288406615</c:v>
                </c:pt>
                <c:pt idx="29">
                  <c:v>0.33571680837647522</c:v>
                </c:pt>
                <c:pt idx="30">
                  <c:v>0.35171732263097338</c:v>
                </c:pt>
                <c:pt idx="31">
                  <c:v>0.36504324582821773</c:v>
                </c:pt>
                <c:pt idx="32">
                  <c:v>0.37533992439384029</c:v>
                </c:pt>
                <c:pt idx="33">
                  <c:v>0.38232710908742218</c:v>
                </c:pt>
                <c:pt idx="34">
                  <c:v>0.38581162533853669</c:v>
                </c:pt>
                <c:pt idx="35">
                  <c:v>0.3856962465356592</c:v>
                </c:pt>
                <c:pt idx="36">
                  <c:v>0.38198420143091427</c:v>
                </c:pt>
                <c:pt idx="37">
                  <c:v>0.37477902401969249</c:v>
                </c:pt>
                <c:pt idx="38">
                  <c:v>0.364279755636567</c:v>
                </c:pt>
                <c:pt idx="39">
                  <c:v>0.35077180958111848</c:v>
                </c:pt>
                <c:pt idx="40">
                  <c:v>0.33461408343478799</c:v>
                </c:pt>
                <c:pt idx="41">
                  <c:v>0.31622313103668853</c:v>
                </c:pt>
                <c:pt idx="42">
                  <c:v>0.29605536734184035</c:v>
                </c:pt>
                <c:pt idx="43">
                  <c:v>0.27458836402521275</c:v>
                </c:pt>
                <c:pt idx="44">
                  <c:v>0.25230229799525256</c:v>
                </c:pt>
                <c:pt idx="45">
                  <c:v>0.2296625426242048</c:v>
                </c:pt>
                <c:pt idx="46">
                  <c:v>0.20710425284472125</c:v>
                </c:pt>
                <c:pt idx="47">
                  <c:v>0.18501960592026656</c:v>
                </c:pt>
                <c:pt idx="48">
                  <c:v>0.16374813866681032</c:v>
                </c:pt>
                <c:pt idx="49">
                  <c:v>0.14357038945346046</c:v>
                </c:pt>
                <c:pt idx="50">
                  <c:v>0.12470482890835372</c:v>
                </c:pt>
              </c:numCache>
            </c:numRef>
          </c:yVal>
          <c:smooth val="1"/>
        </c:ser>
        <c:ser>
          <c:idx val="1"/>
          <c:order val="1"/>
          <c:tx>
            <c:v>Student's Perceived Usefulness of TT for Original Activity</c:v>
          </c:tx>
          <c:marker>
            <c:symbol val="none"/>
          </c:marker>
          <c:xVal>
            <c:numRef>
              <c:f>'Graph - Use vs TT Understanding'!$D$13:$D$63</c:f>
              <c:numCache>
                <c:formatCode>General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</c:numCache>
            </c:numRef>
          </c:xVal>
          <c:yVal>
            <c:numRef>
              <c:f>'Graph - Use vs TT Understanding'!$E$13:$E$63</c:f>
              <c:numCache>
                <c:formatCode>General</c:formatCode>
                <c:ptCount val="51"/>
                <c:pt idx="0">
                  <c:v>9.9092065344520328E-4</c:v>
                </c:pt>
                <c:pt idx="1">
                  <c:v>1.3403983319882488E-3</c:v>
                </c:pt>
                <c:pt idx="2">
                  <c:v>1.7987535799779298E-3</c:v>
                </c:pt>
                <c:pt idx="3">
                  <c:v>2.3947063075391737E-3</c:v>
                </c:pt>
                <c:pt idx="4">
                  <c:v>3.1628284680395562E-3</c:v>
                </c:pt>
                <c:pt idx="5">
                  <c:v>4.1442105731830711E-3</c:v>
                </c:pt>
                <c:pt idx="6">
                  <c:v>5.3870472391970127E-3</c:v>
                </c:pt>
                <c:pt idx="7">
                  <c:v>6.9470839598449888E-3</c:v>
                </c:pt>
                <c:pt idx="8">
                  <c:v>8.8878579640845369E-3</c:v>
                </c:pt>
                <c:pt idx="9">
                  <c:v>1.1280658649292796E-2</c:v>
                </c:pt>
                <c:pt idx="10">
                  <c:v>1.4204128879068583E-2</c:v>
                </c:pt>
                <c:pt idx="11">
                  <c:v>1.7743428663163731E-2</c:v>
                </c:pt>
                <c:pt idx="12">
                  <c:v>2.1988888629601286E-2</c:v>
                </c:pt>
                <c:pt idx="13">
                  <c:v>2.7034093327216662E-2</c:v>
                </c:pt>
                <c:pt idx="14">
                  <c:v>3.2973354522137219E-2</c:v>
                </c:pt>
                <c:pt idx="15">
                  <c:v>3.989856256998283E-2</c:v>
                </c:pt>
                <c:pt idx="16">
                  <c:v>4.7895439341195702E-2</c:v>
                </c:pt>
                <c:pt idx="17">
                  <c:v>5.7039258005024185E-2</c:v>
                </c:pt>
                <c:pt idx="18">
                  <c:v>6.7390141394876979E-2</c:v>
                </c:pt>
                <c:pt idx="19">
                  <c:v>7.8988099040298618E-2</c:v>
                </c:pt>
                <c:pt idx="20">
                  <c:v>9.1848009895600977E-2</c:v>
                </c:pt>
                <c:pt idx="21">
                  <c:v>0.10595479941195719</c:v>
                </c:pt>
                <c:pt idx="22">
                  <c:v>0.12125909169393782</c:v>
                </c:pt>
                <c:pt idx="23">
                  <c:v>0.13767363591578979</c:v>
                </c:pt>
                <c:pt idx="24">
                  <c:v>0.15507080726468708</c:v>
                </c:pt>
                <c:pt idx="25">
                  <c:v>0.17328146361869787</c:v>
                </c:pt>
                <c:pt idx="26">
                  <c:v>0.19209539841877632</c:v>
                </c:pt>
                <c:pt idx="27">
                  <c:v>0.2112635678207595</c:v>
                </c:pt>
                <c:pt idx="28">
                  <c:v>0.23050218809727083</c:v>
                </c:pt>
                <c:pt idx="29">
                  <c:v>0.24949870116418071</c:v>
                </c:pt>
                <c:pt idx="30">
                  <c:v>0.26791949756064115</c:v>
                </c:pt>
                <c:pt idx="31">
                  <c:v>0.28541917420449586</c:v>
                </c:pt>
                <c:pt idx="32">
                  <c:v>0.3016509967424375</c:v>
                </c:pt>
                <c:pt idx="33">
                  <c:v>0.31627814163402806</c:v>
                </c:pt>
                <c:pt idx="34">
                  <c:v>0.32898521920145657</c:v>
                </c:pt>
                <c:pt idx="35">
                  <c:v>0.33948953258659048</c:v>
                </c:pt>
                <c:pt idx="36">
                  <c:v>0.347551513933617</c:v>
                </c:pt>
                <c:pt idx="37">
                  <c:v>0.35298380085836611</c:v>
                </c:pt>
                <c:pt idx="38">
                  <c:v>0.35565847336037681</c:v>
                </c:pt>
                <c:pt idx="39">
                  <c:v>0.35551206093604915</c:v>
                </c:pt>
                <c:pt idx="40">
                  <c:v>0.35254804623335256</c:v>
                </c:pt>
                <c:pt idx="41">
                  <c:v>0.34683672734970333</c:v>
                </c:pt>
                <c:pt idx="42">
                  <c:v>0.33851244637543743</c:v>
                </c:pt>
                <c:pt idx="43">
                  <c:v>0.32776833674789563</c:v>
                </c:pt>
                <c:pt idx="44">
                  <c:v>0.31484887617405616</c:v>
                </c:pt>
                <c:pt idx="45">
                  <c:v>0.30004064599818991</c:v>
                </c:pt>
                <c:pt idx="46">
                  <c:v>0.28366178434348743</c:v>
                </c:pt>
                <c:pt idx="47">
                  <c:v>0.26605067387838616</c:v>
                </c:pt>
                <c:pt idx="48">
                  <c:v>0.24755442309508555</c:v>
                </c:pt>
                <c:pt idx="49">
                  <c:v>0.22851768281617735</c:v>
                </c:pt>
                <c:pt idx="50">
                  <c:v>0.20927229022822672</c:v>
                </c:pt>
              </c:numCache>
            </c:numRef>
          </c:yVal>
          <c:smooth val="1"/>
        </c:ser>
        <c:axId val="196146688"/>
        <c:axId val="196148608"/>
      </c:scatterChart>
      <c:valAx>
        <c:axId val="196146688"/>
        <c:scaling>
          <c:orientation val="minMax"/>
          <c:max val="5"/>
          <c:min val="1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Rating Scale (1</a:t>
                </a:r>
                <a:r>
                  <a:rPr lang="en-US" baseline="0"/>
                  <a:t> = No Knowledge, 5 = Advanced Knowledge) 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96148608"/>
        <c:crosses val="autoZero"/>
        <c:crossBetween val="midCat"/>
        <c:majorUnit val="0.2"/>
      </c:valAx>
      <c:valAx>
        <c:axId val="1961486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(Integral Sums</a:t>
                </a:r>
                <a:r>
                  <a:rPr lang="en-US" baseline="0"/>
                  <a:t> to 1)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96146688"/>
        <c:crosses val="autoZero"/>
        <c:crossBetween val="midCat"/>
        <c:majorUnit val="2.5000000000000012E-2"/>
      </c:valAx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Student's</a:t>
            </a:r>
            <a:r>
              <a:rPr lang="en-US" baseline="0"/>
              <a:t> Change in Understanding of Matching Tyre Tracks at a Crime Scene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Student's Difference in Understanding of Matching TT after Modified Activity</c:v>
          </c:tx>
          <c:marker>
            <c:symbol val="none"/>
          </c:marker>
          <c:xVal>
            <c:numRef>
              <c:f>'Graph - Use vs TT Understanding'!$G$13:$G$63</c:f>
              <c:numCache>
                <c:formatCode>General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</c:numCache>
            </c:numRef>
          </c:xVal>
          <c:yVal>
            <c:numRef>
              <c:f>'Graph - Use vs TT Understanding'!$H$13:$H$63</c:f>
              <c:numCache>
                <c:formatCode>General</c:formatCode>
                <c:ptCount val="51"/>
                <c:pt idx="0">
                  <c:v>0.20499264011289914</c:v>
                </c:pt>
                <c:pt idx="1">
                  <c:v>0.21784370822356089</c:v>
                </c:pt>
                <c:pt idx="2">
                  <c:v>0.2302302552302386</c:v>
                </c:pt>
                <c:pt idx="3">
                  <c:v>0.24198608327970683</c:v>
                </c:pt>
                <c:pt idx="4">
                  <c:v>0.25294669366871148</c:v>
                </c:pt>
                <c:pt idx="5">
                  <c:v>0.26295306978131983</c:v>
                </c:pt>
                <c:pt idx="6">
                  <c:v>0.27185548821238753</c:v>
                </c:pt>
                <c:pt idx="7">
                  <c:v>0.27951723148608842</c:v>
                </c:pt>
                <c:pt idx="8">
                  <c:v>0.28581807426856704</c:v>
                </c:pt>
                <c:pt idx="9">
                  <c:v>0.29065741910845655</c:v>
                </c:pt>
                <c:pt idx="10">
                  <c:v>0.29395696751793277</c:v>
                </c:pt>
                <c:pt idx="11">
                  <c:v>0.295662827317069</c:v>
                </c:pt>
                <c:pt idx="12">
                  <c:v>0.29574697698910585</c:v>
                </c:pt>
                <c:pt idx="13">
                  <c:v>0.29420803144382845</c:v>
                </c:pt>
                <c:pt idx="14">
                  <c:v>0.29107127994534893</c:v>
                </c:pt>
                <c:pt idx="15">
                  <c:v>0.28638799475294774</c:v>
                </c:pt>
                <c:pt idx="16">
                  <c:v>0.28023403688726212</c:v>
                </c:pt>
                <c:pt idx="17">
                  <c:v>0.27270781200276573</c:v>
                </c:pt>
                <c:pt idx="18">
                  <c:v>0.26392765333238699</c:v>
                </c:pt>
                <c:pt idx="19">
                  <c:v>0.25402872893619094</c:v>
                </c:pt>
                <c:pt idx="20">
                  <c:v>0.24315958611743432</c:v>
                </c:pt>
                <c:pt idx="21">
                  <c:v>0.23147845621957205</c:v>
                </c:pt>
                <c:pt idx="22">
                  <c:v>0.21914944774169276</c:v>
                </c:pt>
                <c:pt idx="23">
                  <c:v>0.20633875477488275</c:v>
                </c:pt>
                <c:pt idx="24">
                  <c:v>0.19321100143941281</c:v>
                </c:pt>
                <c:pt idx="25">
                  <c:v>0.17992583183940619</c:v>
                </c:pt>
                <c:pt idx="26">
                  <c:v>0.16663483982601981</c:v>
                </c:pt>
                <c:pt idx="27">
                  <c:v>0.15347891452457821</c:v>
                </c:pt>
                <c:pt idx="28">
                  <c:v>0.14058605719702763</c:v>
                </c:pt>
                <c:pt idx="29">
                  <c:v>0.12806970368081244</c:v>
                </c:pt>
                <c:pt idx="30">
                  <c:v>0.11602756544544779</c:v>
                </c:pt>
                <c:pt idx="31">
                  <c:v>0.1045409822292425</c:v>
                </c:pt>
                <c:pt idx="32">
                  <c:v>9.3674761114908439E-2</c:v>
                </c:pt>
                <c:pt idx="33">
                  <c:v>8.3477461453743851E-2</c:v>
                </c:pt>
                <c:pt idx="34">
                  <c:v>7.3982072734904036E-2</c:v>
                </c:pt>
                <c:pt idx="35">
                  <c:v>6.5207023592366797E-2</c:v>
                </c:pt>
                <c:pt idx="36">
                  <c:v>5.7157454717549121E-2</c:v>
                </c:pt>
                <c:pt idx="37">
                  <c:v>4.9826686383275781E-2</c:v>
                </c:pt>
                <c:pt idx="38">
                  <c:v>4.3197812307648943E-2</c:v>
                </c:pt>
                <c:pt idx="39">
                  <c:v>3.7245355290018614E-2</c:v>
                </c:pt>
                <c:pt idx="40">
                  <c:v>3.1936925941899896E-2</c:v>
                </c:pt>
                <c:pt idx="41">
                  <c:v>2.723483336850293E-2</c:v>
                </c:pt>
                <c:pt idx="42">
                  <c:v>2.3097605272669849E-2</c:v>
                </c:pt>
                <c:pt idx="43">
                  <c:v>1.9481384112581063E-2</c:v>
                </c:pt>
                <c:pt idx="44">
                  <c:v>1.6341175154272782E-2</c:v>
                </c:pt>
                <c:pt idx="45">
                  <c:v>1.3631931093965965E-2</c:v>
                </c:pt>
                <c:pt idx="46">
                  <c:v>1.1309466038959572E-2</c:v>
                </c:pt>
                <c:pt idx="47">
                  <c:v>9.3311987732245614E-3</c:v>
                </c:pt>
                <c:pt idx="48">
                  <c:v>7.656731227551462E-3</c:v>
                </c:pt>
                <c:pt idx="49">
                  <c:v>6.2482728408906956E-3</c:v>
                </c:pt>
                <c:pt idx="50">
                  <c:v>5.0709250310341228E-3</c:v>
                </c:pt>
              </c:numCache>
            </c:numRef>
          </c:yVal>
          <c:smooth val="1"/>
        </c:ser>
        <c:ser>
          <c:idx val="1"/>
          <c:order val="1"/>
          <c:tx>
            <c:v>Student's Difference in Understanding of Matching TT after Original Activity</c:v>
          </c:tx>
          <c:marker>
            <c:symbol val="none"/>
          </c:marker>
          <c:xVal>
            <c:numRef>
              <c:f>'Graph - Use vs TT Understanding'!$J$13:$J$63</c:f>
              <c:numCache>
                <c:formatCode>General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</c:numCache>
            </c:numRef>
          </c:xVal>
          <c:yVal>
            <c:numRef>
              <c:f>'Graph - Use vs TT Understanding'!$K$13:$K$63</c:f>
              <c:numCache>
                <c:formatCode>General</c:formatCode>
                <c:ptCount val="51"/>
                <c:pt idx="0">
                  <c:v>0.25468613226083553</c:v>
                </c:pt>
                <c:pt idx="1">
                  <c:v>0.26417377701829692</c:v>
                </c:pt>
                <c:pt idx="2">
                  <c:v>0.27253411106622233</c:v>
                </c:pt>
                <c:pt idx="3">
                  <c:v>0.27963967180300131</c:v>
                </c:pt>
                <c:pt idx="4">
                  <c:v>0.28537994803251854</c:v>
                </c:pt>
                <c:pt idx="5">
                  <c:v>0.28966423756117737</c:v>
                </c:pt>
                <c:pt idx="6">
                  <c:v>0.29242403100686609</c:v>
                </c:pt>
                <c:pt idx="7">
                  <c:v>0.29361483428704493</c:v>
                </c:pt>
                <c:pt idx="8">
                  <c:v>0.29321736203701299</c:v>
                </c:pt>
                <c:pt idx="9">
                  <c:v>0.29123805722535856</c:v>
                </c:pt>
                <c:pt idx="10">
                  <c:v>0.28770891740146365</c:v>
                </c:pt>
                <c:pt idx="11">
                  <c:v>0.28268663412326384</c:v>
                </c:pt>
                <c:pt idx="12">
                  <c:v>0.27625107791007741</c:v>
                </c:pt>
                <c:pt idx="13">
                  <c:v>0.26850318530170936</c:v>
                </c:pt>
                <c:pt idx="14">
                  <c:v>0.25956232612952751</c:v>
                </c:pt>
                <c:pt idx="15">
                  <c:v>0.24956324692469423</c:v>
                </c:pt>
                <c:pt idx="16">
                  <c:v>0.23865269972451156</c:v>
                </c:pt>
                <c:pt idx="17">
                  <c:v>0.22698587386675825</c:v>
                </c:pt>
                <c:pt idx="18">
                  <c:v>0.21472275144042147</c:v>
                </c:pt>
                <c:pt idx="19">
                  <c:v>0.20202450493098709</c:v>
                </c:pt>
                <c:pt idx="20">
                  <c:v>0.18905004857368682</c:v>
                </c:pt>
                <c:pt idx="21">
                  <c:v>0.17595284356631788</c:v>
                </c:pt>
                <c:pt idx="22">
                  <c:v>0.16287804235190059</c:v>
                </c:pt>
                <c:pt idx="23">
                  <c:v>0.1499600395641614</c:v>
                </c:pt>
                <c:pt idx="24">
                  <c:v>0.13732047792540009</c:v>
                </c:pt>
                <c:pt idx="25">
                  <c:v>0.12506673741080476</c:v>
                </c:pt>
                <c:pt idx="26">
                  <c:v>0.11329091632465385</c:v>
                </c:pt>
                <c:pt idx="27">
                  <c:v>0.10206929446275337</c:v>
                </c:pt>
                <c:pt idx="28">
                  <c:v>9.1462252020519261E-2</c:v>
                </c:pt>
                <c:pt idx="29">
                  <c:v>8.1514603941754221E-2</c:v>
                </c:pt>
                <c:pt idx="30">
                  <c:v>7.2256298400275906E-2</c:v>
                </c:pt>
                <c:pt idx="31">
                  <c:v>6.3703420286100668E-2</c:v>
                </c:pt>
                <c:pt idx="32">
                  <c:v>5.5859435966813926E-2</c:v>
                </c:pt>
                <c:pt idx="33">
                  <c:v>4.8716614082474685E-2</c:v>
                </c:pt>
                <c:pt idx="34">
                  <c:v>4.2257558435822795E-2</c:v>
                </c:pt>
                <c:pt idx="35">
                  <c:v>3.6456792774063426E-2</c:v>
                </c:pt>
                <c:pt idx="36">
                  <c:v>3.1282342962169377E-2</c:v>
                </c:pt>
                <c:pt idx="37">
                  <c:v>2.669726921611152E-2</c:v>
                </c:pt>
                <c:pt idx="38">
                  <c:v>2.2661109184054038E-2</c:v>
                </c:pt>
                <c:pt idx="39">
                  <c:v>1.9131201240905622E-2</c:v>
                </c:pt>
                <c:pt idx="40">
                  <c:v>1.6063865947870917E-2</c:v>
                </c:pt>
                <c:pt idx="41">
                  <c:v>1.341543183796322E-2</c:v>
                </c:pt>
                <c:pt idx="42">
                  <c:v>1.1143099210022439E-2</c:v>
                </c:pt>
                <c:pt idx="43">
                  <c:v>9.205642217682419E-3</c:v>
                </c:pt>
                <c:pt idx="44">
                  <c:v>7.5639550770025777E-3</c:v>
                </c:pt>
                <c:pt idx="45">
                  <c:v>6.1814526145062207E-3</c:v>
                </c:pt>
                <c:pt idx="46">
                  <c:v>5.0243386314359068E-3</c:v>
                </c:pt>
                <c:pt idx="47">
                  <c:v>4.0617577222943572E-3</c:v>
                </c:pt>
                <c:pt idx="48">
                  <c:v>3.2658473526708991E-3</c:v>
                </c:pt>
                <c:pt idx="49">
                  <c:v>2.611707300834939E-3</c:v>
                </c:pt>
                <c:pt idx="50">
                  <c:v>2.0773031463887605E-3</c:v>
                </c:pt>
              </c:numCache>
            </c:numRef>
          </c:yVal>
          <c:smooth val="1"/>
        </c:ser>
        <c:axId val="196174208"/>
        <c:axId val="196176128"/>
      </c:scatterChart>
      <c:valAx>
        <c:axId val="196174208"/>
        <c:scaling>
          <c:orientation val="minMax"/>
          <c:max val="2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Change in Rating Scale (1</a:t>
                </a:r>
                <a:r>
                  <a:rPr lang="en-US" baseline="0"/>
                  <a:t> = No Knowledge, 5 = Advanced Knowledge) 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96176128"/>
        <c:crosses val="autoZero"/>
        <c:crossBetween val="midCat"/>
        <c:majorUnit val="0.1"/>
      </c:valAx>
      <c:valAx>
        <c:axId val="1961761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 (Integral Sums</a:t>
                </a:r>
                <a:r>
                  <a:rPr lang="en-US" baseline="0"/>
                  <a:t> to 1)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96174208"/>
        <c:crosses val="autoZero"/>
        <c:crossBetween val="midCat"/>
        <c:majorUnit val="2.5000000000000012E-2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95</xdr:row>
      <xdr:rowOff>47625</xdr:rowOff>
    </xdr:from>
    <xdr:to>
      <xdr:col>11</xdr:col>
      <xdr:colOff>133350</xdr:colOff>
      <xdr:row>125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64</xdr:row>
      <xdr:rowOff>19050</xdr:rowOff>
    </xdr:from>
    <xdr:to>
      <xdr:col>11</xdr:col>
      <xdr:colOff>133350</xdr:colOff>
      <xdr:row>94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0.63448</cdr:x>
      <cdr:y>0.15863</cdr:y>
    </cdr:from>
    <cdr:to>
      <cdr:x>0.63466</cdr:x>
      <cdr:y>0.83184</cdr:y>
    </cdr:to>
    <cdr:sp macro="" textlink="">
      <cdr:nvSpPr>
        <cdr:cNvPr id="3" name="Straight Connector 2"/>
        <cdr:cNvSpPr/>
      </cdr:nvSpPr>
      <cdr:spPr>
        <a:xfrm xmlns:a="http://schemas.openxmlformats.org/drawingml/2006/main" rot="5400000">
          <a:off x="5523706" y="924719"/>
          <a:ext cx="1589" cy="3924300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0.72967</cdr:x>
      <cdr:y>0.21092</cdr:y>
    </cdr:from>
    <cdr:to>
      <cdr:x>0.72985</cdr:x>
      <cdr:y>0.8302</cdr:y>
    </cdr:to>
    <cdr:sp macro="" textlink="">
      <cdr:nvSpPr>
        <cdr:cNvPr id="5" name="Straight Connector 4"/>
        <cdr:cNvSpPr/>
      </cdr:nvSpPr>
      <cdr:spPr>
        <a:xfrm xmlns:a="http://schemas.openxmlformats.org/drawingml/2006/main" rot="5400000">
          <a:off x="6352381" y="1229518"/>
          <a:ext cx="1589" cy="360997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0.41348</cdr:x>
      <cdr:y>0.20112</cdr:y>
    </cdr:from>
    <cdr:to>
      <cdr:x>0.41366</cdr:x>
      <cdr:y>0.79425</cdr:y>
    </cdr:to>
    <cdr:sp macro="" textlink="">
      <cdr:nvSpPr>
        <cdr:cNvPr id="6" name="Straight Connector 5"/>
        <cdr:cNvSpPr/>
      </cdr:nvSpPr>
      <cdr:spPr>
        <a:xfrm xmlns:a="http://schemas.openxmlformats.org/drawingml/2006/main" rot="5400000">
          <a:off x="3599656" y="1172368"/>
          <a:ext cx="1589" cy="345757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0.60385</cdr:x>
      <cdr:y>0.19785</cdr:y>
    </cdr:from>
    <cdr:to>
      <cdr:x>0.60403</cdr:x>
      <cdr:y>0.79589</cdr:y>
    </cdr:to>
    <cdr:sp macro="" textlink="">
      <cdr:nvSpPr>
        <cdr:cNvPr id="8" name="Straight Connector 7"/>
        <cdr:cNvSpPr/>
      </cdr:nvSpPr>
      <cdr:spPr>
        <a:xfrm xmlns:a="http://schemas.openxmlformats.org/drawingml/2006/main" rot="5400000">
          <a:off x="5257006" y="1153319"/>
          <a:ext cx="1588" cy="3486150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1:K1171" totalsRowShown="0" dataDxfId="1622">
  <autoFilter ref="A1:K1171">
    <filterColumn colId="0"/>
    <filterColumn colId="4"/>
    <filterColumn colId="7"/>
    <filterColumn colId="8"/>
    <filterColumn colId="9"/>
    <filterColumn colId="10"/>
  </autoFilter>
  <tableColumns count="11">
    <tableColumn id="6" name="Old or New?" dataDxfId="1621"/>
    <tableColumn id="1" name="Session" dataDxfId="1620"/>
    <tableColumn id="2" name="Student Number" dataDxfId="1619"/>
    <tableColumn id="3" name="Pre or Post" dataDxfId="1618"/>
    <tableColumn id="11" name="Gender" dataDxfId="1617">
      <calculatedColumnFormula>IF(Table1[[#This Row],[Pre or Post]]="Pre",IF(IF(Table1[[#This Row],[Response]]="Male",0,1)+IF(Table1[[#This Row],[Response]]="Female",0,1)=2,E1,Table1[[#This Row],[Response]]),"")</calculatedColumnFormula>
    </tableColumn>
    <tableColumn id="4" name="Question Number" dataDxfId="1616"/>
    <tableColumn id="5" name="Response" dataDxfId="1615"/>
    <tableColumn id="7" name="Pre and Post?" dataDxfId="1614"/>
    <tableColumn id="8" name="Gender of Group" dataDxfId="1613">
      <calculatedColumnFormula>IF(Table1[[#This Row],[Session]]="Alpha","Girls",IF(Table1[[#This Row],[Session]]="Beta","Boys",IF(Table1[[#This Row],[Session]]="Gamma","Boys",IF(Table1[[#This Row],[Session]]="Delta","Boys","Mixed"))))</calculatedColumnFormula>
    </tableColumn>
    <tableColumn id="9" name="Time of Day" dataDxfId="1612">
      <calculatedColumnFormula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calculatedColumnFormula>
    </tableColumn>
    <tableColumn id="10" name="Presenter" dataDxfId="1611">
      <calculatedColumnFormula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3" name="Table614" displayName="Table614" ref="A9:J11" totalsRowShown="0" headerRowDxfId="1436" dataDxfId="1435">
  <autoFilter ref="A9:J11">
    <filterColumn colId="0"/>
  </autoFilter>
  <tableColumns count="10">
    <tableColumn id="10" name="Type" dataDxfId="1434"/>
    <tableColumn id="1" name="Changed to Yes" dataDxfId="1433"/>
    <tableColumn id="2" name="Changed to No" dataDxfId="1432"/>
    <tableColumn id="3" name="Pre and Post" dataDxfId="1431">
      <calculatedColumnFormula>COUNTIF(Table4[Pre and Post?],"Yes")/2</calculatedColumnFormula>
    </tableColumn>
    <tableColumn id="4" name="% Total Changed to Yes" dataDxfId="1430">
      <calculatedColumnFormula>B10/D10*100</calculatedColumnFormula>
    </tableColumn>
    <tableColumn id="5" name="% Total Changed to No" dataDxfId="1429">
      <calculatedColumnFormula>C10/D10*100</calculatedColumnFormula>
    </tableColumn>
    <tableColumn id="6" name="Total Changed" dataDxfId="1428">
      <calculatedColumnFormula>SUM(Table6[[Changed to Yes]:[Changed to No]])</calculatedColumnFormula>
    </tableColumn>
    <tableColumn id="7" name="Total % Changed" dataDxfId="1427">
      <calculatedColumnFormula>Table6[Total Changed]/Table6[Pre and Post]*100</calculatedColumnFormula>
    </tableColumn>
    <tableColumn id="8" name="Of Changed, % Changed to Yes" dataDxfId="1426">
      <calculatedColumnFormula>Table6[Changed to Yes]/Table6[Total Changed]*100</calculatedColumnFormula>
    </tableColumn>
    <tableColumn id="9" name="Of Changed, % Changed to No" dataDxfId="1425">
      <calculatedColumnFormula>Table6[Changed to No]/Table6[Total Changed]*100</calculatedColumnFormula>
    </tableColumn>
  </tableColumns>
  <tableStyleInfo name="TableStyleMedium10" showFirstColumn="1" showLastColumn="0" showRowStripes="1" showColumnStripes="0"/>
</table>
</file>

<file path=xl/tables/table11.xml><?xml version="1.0" encoding="utf-8"?>
<table xmlns="http://schemas.openxmlformats.org/spreadsheetml/2006/main" id="14" name="Table14" displayName="Table14" ref="A5:H7" totalsRowShown="0" headerRowDxfId="1424" headerRowBorderDxfId="1423">
  <autoFilter ref="A5:H7"/>
  <tableColumns count="8">
    <tableColumn id="1" name="Type"/>
    <tableColumn id="2" name="Pre or Post"/>
    <tableColumn id="3" name="Total Surveys" dataDxfId="1422"/>
    <tableColumn id="4" name="Total Answers" dataDxfId="1421"/>
    <tableColumn id="5" name="Yes" dataDxfId="1420"/>
    <tableColumn id="6" name="No" dataDxfId="1419"/>
    <tableColumn id="7" name="% Yes" dataDxfId="1418">
      <calculatedColumnFormula>E6/D6*100</calculatedColumnFormula>
    </tableColumn>
    <tableColumn id="8" name="% No" dataDxfId="1417">
      <calculatedColumnFormula>F6/D6*100</calculatedColumnFormula>
    </tableColumn>
  </tableColumns>
  <tableStyleInfo name="TableStyleMedium11" showFirstColumn="1" showLastColumn="0" showRowStripes="1" showColumnStripes="0"/>
</table>
</file>

<file path=xl/tables/table12.xml><?xml version="1.0" encoding="utf-8"?>
<table xmlns="http://schemas.openxmlformats.org/spreadsheetml/2006/main" id="15" name="Table416" displayName="Table416" ref="A1:M105" totalsRowCount="1" headerRowDxfId="1414" dataDxfId="1413" totalsRowDxfId="1412">
  <autoFilter ref="A1:M104"/>
  <sortState ref="A2:G106">
    <sortCondition ref="B1:B106"/>
  </sortState>
  <tableColumns count="13">
    <tableColumn id="1" name="Old or New?" dataDxfId="1411" totalsRowDxfId="1410"/>
    <tableColumn id="2" name="Session" dataDxfId="1409" totalsRowDxfId="1408"/>
    <tableColumn id="3" name="Student Number" dataDxfId="1407" totalsRowDxfId="1406"/>
    <tableColumn id="4" name="Pre or Post" dataDxfId="1405" totalsRowDxfId="1404"/>
    <tableColumn id="5" name="Question Number" dataDxfId="1403" totalsRowDxfId="1402"/>
    <tableColumn id="6" name="Response" dataDxfId="1401" totalsRowDxfId="1400"/>
    <tableColumn id="8" name="If Yes" totalsRowFunction="custom" dataDxfId="1399" totalsRowDxfId="1398">
      <calculatedColumnFormula>IF(Table416[[#This Row],[Response]]="Yes",1,"")</calculatedColumnFormula>
      <totalsRowFormula>SUM([If Yes])</totalsRowFormula>
    </tableColumn>
    <tableColumn id="9" name="If No" totalsRowFunction="custom" dataDxfId="1397" totalsRowDxfId="1396">
      <calculatedColumnFormula>IF(Table416[[#This Row],[Response]]="No",1,"")</calculatedColumnFormula>
      <totalsRowFormula>SUM([If No])</totalsRowFormula>
    </tableColumn>
    <tableColumn id="10" name="Answered?" totalsRowFunction="custom" dataDxfId="1395" totalsRowDxfId="1394">
      <calculatedColumnFormula>IF(SUM(Table416[[#This Row],[If Yes]:[If No]])=1,1,"")</calculatedColumnFormula>
      <totalsRowFormula>SUM([Answered?])</totalsRowFormula>
    </tableColumn>
    <tableColumn id="11" name="New Yes" totalsRowFunction="custom" dataDxfId="1393" totalsRowDxfId="1392">
      <calculatedColumnFormula>IF(IF(Table416[[#This Row],[Old or New?]]="New",1,0)+IF(Table416[[#This Row],[If Yes]]=1,1,0)=2,1,"")</calculatedColumnFormula>
      <totalsRowFormula>SUM([New Yes])</totalsRowFormula>
    </tableColumn>
    <tableColumn id="12" name="New No" totalsRowFunction="custom" dataDxfId="1391" totalsRowDxfId="1390">
      <calculatedColumnFormula>IF(IF(Table416[[#This Row],[Old or New?]]="New",1,0)+IF(Table416[[#This Row],[If No]]=1,1,0)=2,1,"")</calculatedColumnFormula>
      <totalsRowFormula>SUM([New No])</totalsRowFormula>
    </tableColumn>
    <tableColumn id="13" name="Old Yes" totalsRowFunction="custom" dataDxfId="1389" totalsRowDxfId="1388">
      <calculatedColumnFormula>IF(IF(Table416[[#This Row],[Old or New?]]="Old",1,0)+IF(Table416[[#This Row],[If Yes]]=1,1,0)=2,1,"")</calculatedColumnFormula>
      <totalsRowFormula>SUM([Old Yes])</totalsRowFormula>
    </tableColumn>
    <tableColumn id="14" name="Old No" totalsRowFunction="custom" dataDxfId="1387" totalsRowDxfId="1386">
      <calculatedColumnFormula>IF(IF(Table416[[#This Row],[Old or New?]]="Old",1,0)+IF(Table416[[#This Row],[If No]]=1,1,0)=2,1,"")</calculatedColumnFormula>
      <totalsRowFormula>SUM([Old No])</totalsRow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6" name="Table517" displayName="Table517" ref="A107:G109" totalsRowShown="0" headerRowDxfId="1385" dataDxfId="1384">
  <autoFilter ref="A107:G109"/>
  <tableColumns count="7">
    <tableColumn id="1" name="Pre or Post" dataDxfId="1383"/>
    <tableColumn id="2" name="Total Surveys" dataDxfId="1382"/>
    <tableColumn id="3" name="Total Answers" dataDxfId="1381"/>
    <tableColumn id="4" name="Yes" dataDxfId="1380"/>
    <tableColumn id="5" name="No" dataDxfId="1379"/>
    <tableColumn id="6" name="% Yes" dataDxfId="1378"/>
    <tableColumn id="7" name="% No" dataDxfId="1377">
      <calculatedColumnFormula>E108/C108*100</calculatedColumnFormula>
    </tableColumn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id="3" name="Table44" displayName="Table44" ref="A1:O107" totalsRowCount="1" headerRowDxfId="1374" dataDxfId="1373" totalsRowDxfId="1372">
  <autoFilter ref="A1:O106">
    <filterColumn colId="9"/>
    <filterColumn colId="10"/>
    <filterColumn colId="11"/>
    <filterColumn colId="12"/>
    <filterColumn colId="13"/>
    <filterColumn colId="14"/>
  </autoFilter>
  <sortState ref="A2:L106">
    <sortCondition ref="C1:C107"/>
  </sortState>
  <tableColumns count="15">
    <tableColumn id="1" name="Old or New?" dataDxfId="1371" totalsRowDxfId="1370"/>
    <tableColumn id="2" name="Session" dataDxfId="1369" totalsRowDxfId="1368"/>
    <tableColumn id="3" name="Student Number" dataDxfId="1367" totalsRowDxfId="1366"/>
    <tableColumn id="4" name="Pre or Post" dataDxfId="1365" totalsRowDxfId="1364"/>
    <tableColumn id="5" name="Question Number" dataDxfId="1363" totalsRowDxfId="1362"/>
    <tableColumn id="6" name="Response" dataDxfId="1361" totalsRowDxfId="1360"/>
    <tableColumn id="7" name="Pre and Post?" dataDxfId="1359" totalsRowDxfId="1358"/>
    <tableColumn id="8" name="Pre Answers" totalsRowFunction="custom" dataDxfId="1357" totalsRowDxfId="1356">
      <calculatedColumnFormula>IF(IF(Table44[[#This Row],[Pre or Post]]="Pre",1,0)+IF(ISNUMBER(Table44[[#This Row],[Response]])=TRUE,1,0)=2,1,"")</calculatedColumnFormula>
      <totalsRowFormula>SUM([Pre Answers])</totalsRowFormula>
    </tableColumn>
    <tableColumn id="9" name="Post Answers" totalsRowFunction="custom" dataDxfId="1355" totalsRowDxfId="1354">
      <calculatedColumnFormula>IF(IF(Table44[[#This Row],[Pre or Post]]="Post",1,0)+IF(ISNUMBER(Table44[[#This Row],[Response]])=TRUE,1,0)=2,1,"")</calculatedColumnFormula>
      <totalsRowFormula>SUM([Post Answers])</totalsRowFormula>
    </tableColumn>
    <tableColumn id="10" name="Pre Total" totalsRowFunction="custom" dataDxfId="1353" totalsRowDxfId="1352">
      <calculatedColumnFormula>IF(IF(Table44[[#This Row],[Pre or Post]]="Pre",1,0)+IF(ISNUMBER(Table44[[#This Row],[Response]])=TRUE,1,0)=2,Table44[[#This Row],[Response]],"")</calculatedColumnFormula>
      <totalsRowFormula>SUM([Pre Total])</totalsRowFormula>
    </tableColumn>
    <tableColumn id="11" name="Post Total" totalsRowFunction="custom" dataDxfId="1351" totalsRowDxfId="1350">
      <calculatedColumnFormula>IF(IF(Table44[[#This Row],[Pre or Post]]="Post",1,0)+IF(ISNUMBER(Table44[[#This Row],[Response]])=TRUE,1,0)=2,Table44[[#This Row],[Response]],"")</calculatedColumnFormula>
      <totalsRowFormula>SUM([Post Total])</totalsRowFormula>
    </tableColumn>
    <tableColumn id="15" name="Pre Total (Pooled)" totalsRowFunction="custom" dataDxfId="1349" totalsRowDxfId="1348">
      <calculatedColumnFormula>IF(IF(ISNUMBER(J2),1,0)+IF(ISNUMBER(K3),1,0)=2,IF(IF(C3=C2,1,0)+IF(B3=B2,1,0)+IF(D3="Post",1,0)+IF(D2="Pre",1,0)=4,Table44[[#This Row],[Pre Total]],""),"")</calculatedColumnFormula>
      <totalsRowFormula>SUM(Table44[[#Headers],[#Data],[Pre Total (Pooled)]])</totalsRowFormula>
    </tableColumn>
    <tableColumn id="12" name="Post Total (Pooled)" totalsRowFunction="custom" dataDxfId="1347" totalsRowDxfId="1346">
      <calculatedColumnFormula>IF(IF(ISNUMBER(J1),1,0)+IF(ISNUMBER(Table44[[#This Row],[Post Total]]),1,0)=2,IF(IF(Table44[[#This Row],[Student Number]]=C1,1,0)+IF(Table44[[#This Row],[Session]]=B1,1,0)+IF(Table44[[#This Row],[Pre or Post]]="Post",1,0)+IF(D1="Pre",1,0)=4,Table44[[#This Row],[Post Total]],""),"")</calculatedColumnFormula>
      <totalsRowFormula>SUM([Post Total (Pooled)])</totalsRowFormula>
    </tableColumn>
    <tableColumn id="13" name="Change" totalsRowFunction="custom" dataDxfId="1345" totalsRowDxfId="1344">
      <calculatedColumnFormula>IF(IF(ISNUMBER(J1),1,0)+IF(ISNUMBER(Table44[[#This Row],[Post Total]]),1,0)=2,IF(IF(Table44[[#This Row],[Student Number]]=C1,1,0)+IF(Table44[[#This Row],[Session]]=B1,1,0)+IF(Table44[[#This Row],[Pre or Post]]="Post",1,0)+IF(D1="Pre",1,0)=4,Table44[[#This Row],[Post Total]]-J1,""),"")</calculatedColumnFormula>
      <totalsRowFormula>SUM([Change])</totalsRowFormula>
    </tableColumn>
    <tableColumn id="14" name="Number 2 Resp" totalsRowFunction="custom" dataDxfId="1343" totalsRowDxfId="1342">
      <calculatedColumnFormula>ISNUMBER(Table44[[#This Row],[Change]])</calculatedColumnFormula>
      <totalsRowFormula>COUNTIF([Number 2 Resp],TRUE)</totalsRow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1" name="Table512" displayName="Table512" ref="A109:F111" totalsRowShown="0" headerRowDxfId="1341" dataDxfId="1340">
  <autoFilter ref="A109:F111">
    <filterColumn colId="5"/>
  </autoFilter>
  <tableColumns count="6">
    <tableColumn id="1" name="Pre or Post" dataDxfId="1339"/>
    <tableColumn id="2" name="Total Surveys" dataDxfId="1338">
      <calculatedColumnFormula>COUNTIF(Table4[Pre or Post],"Post")</calculatedColumnFormula>
    </tableColumn>
    <tableColumn id="3" name="Total Answers" dataDxfId="1337">
      <calculatedColumnFormula>SUM(Table4[[#Totals],[Post Yes]:[Post No]])</calculatedColumnFormula>
    </tableColumn>
    <tableColumn id="4" name="Sample Mean" dataDxfId="1336">
      <calculatedColumnFormula>Table4[[#Totals],[Post Yes]]</calculatedColumnFormula>
    </tableColumn>
    <tableColumn id="5" name="Sample Standard Deviation" dataDxfId="1335">
      <calculatedColumnFormula>Table4[[#Totals],[Post No]]</calculatedColumnFormula>
    </tableColumn>
    <tableColumn id="6" name="Sample Standard Deviation of Change" dataDxfId="1334">
      <calculatedColumnFormula>STDEV(Table44[Change])</calculatedColumnFormula>
    </tableColumn>
  </tableColumns>
  <tableStyleInfo name="TableStyleMedium11" showFirstColumn="0" showLastColumn="0" showRowStripes="1" showColumnStripes="0"/>
</table>
</file>

<file path=xl/tables/table16.xml><?xml version="1.0" encoding="utf-8"?>
<table xmlns="http://schemas.openxmlformats.org/spreadsheetml/2006/main" id="12" name="Table613" displayName="Table613" ref="A113:M114" totalsRowShown="0" headerRowDxfId="1333" dataDxfId="1332">
  <autoFilter ref="A113:M114">
    <filterColumn colId="1"/>
    <filterColumn colId="10"/>
    <filterColumn colId="11"/>
    <filterColumn colId="12"/>
  </autoFilter>
  <tableColumns count="13">
    <tableColumn id="1" name="Pre and Post" dataDxfId="1331">
      <calculatedColumnFormula>COUNTIF(Table44[Pre and Post?],"Yes")/2</calculatedColumnFormula>
    </tableColumn>
    <tableColumn id="13" name="Responded to Both Pre and Post" dataDxfId="1330">
      <calculatedColumnFormula>COUNTIF(Table44[Number 2 Resp],TRUE)</calculatedColumnFormula>
    </tableColumn>
    <tableColumn id="2" name="Increased by 1" dataDxfId="1329">
      <calculatedColumnFormula>COUNTIF(Table44[Change],1)</calculatedColumnFormula>
    </tableColumn>
    <tableColumn id="3" name="Increased by 2" dataDxfId="1328">
      <calculatedColumnFormula>COUNTIF(Table44[Change],2)</calculatedColumnFormula>
    </tableColumn>
    <tableColumn id="4" name="Increased by 3" dataDxfId="1327">
      <calculatedColumnFormula>COUNTIF(Table44[Change],3)</calculatedColumnFormula>
    </tableColumn>
    <tableColumn id="5" name="Increased by 4" dataDxfId="1326">
      <calculatedColumnFormula>COUNTIF(Table44[Change],4)</calculatedColumnFormula>
    </tableColumn>
    <tableColumn id="6" name="Decreased by 1" dataDxfId="1325">
      <calculatedColumnFormula>COUNTIF(Table44[Change],-1)</calculatedColumnFormula>
    </tableColumn>
    <tableColumn id="7" name="Decreased by 2" dataDxfId="1324">
      <calculatedColumnFormula>COUNTIF(Table44[Change],-2)</calculatedColumnFormula>
    </tableColumn>
    <tableColumn id="8" name="Decreased by 3" dataDxfId="1323">
      <calculatedColumnFormula>COUNTIF(Table44[Change],-3)</calculatedColumnFormula>
    </tableColumn>
    <tableColumn id="9" name="Decreased by 4" dataDxfId="1322">
      <calculatedColumnFormula>COUNTIF(Table44[Change],-4)</calculatedColumnFormula>
    </tableColumn>
    <tableColumn id="10" name="Number Increased" dataDxfId="1321">
      <calculatedColumnFormula>SUM(Table613[[Increased by 1]:[Increased by 4]])</calculatedColumnFormula>
    </tableColumn>
    <tableColumn id="11" name="Number Decreased" dataDxfId="1320">
      <calculatedColumnFormula>SUM(Table613[[Decreased by 1]:[Decreased by 4]])</calculatedColumnFormula>
    </tableColumn>
    <tableColumn id="12" name="No Change" dataDxfId="1319">
      <calculatedColumnFormula>COUNTIF(Table44[Change],0)</calculatedColumnFormula>
    </tableColumn>
  </tableColumns>
  <tableStyleInfo name="TableStyleMedium10" showFirstColumn="0" showLastColumn="0" showRowStripes="1" showColumnStripes="0"/>
</table>
</file>

<file path=xl/tables/table17.xml><?xml version="1.0" encoding="utf-8"?>
<table xmlns="http://schemas.openxmlformats.org/spreadsheetml/2006/main" id="23" name="Table4424" displayName="Table4424" ref="A1:O159" totalsRowCount="1" headerRowDxfId="1312" dataDxfId="1311" totalsRowDxfId="1310">
  <autoFilter ref="A1:O158">
    <filterColumn colId="11"/>
    <filterColumn colId="12"/>
    <filterColumn colId="14"/>
  </autoFilter>
  <sortState ref="A2:M158">
    <sortCondition ref="C1:C159"/>
  </sortState>
  <tableColumns count="15">
    <tableColumn id="1" name="Old or New?" dataDxfId="1309" totalsRowDxfId="1308"/>
    <tableColumn id="2" name="Session" dataDxfId="1307" totalsRowDxfId="1306"/>
    <tableColumn id="3" name="Student Number" dataDxfId="1305" totalsRowDxfId="1304"/>
    <tableColumn id="4" name="Pre or Post" dataDxfId="1303" totalsRowDxfId="1302"/>
    <tableColumn id="5" name="Question Number" dataDxfId="1301" totalsRowDxfId="1300"/>
    <tableColumn id="6" name="Response" dataDxfId="1299" totalsRowDxfId="1298"/>
    <tableColumn id="7" name="Pre and Post?" dataDxfId="1297" totalsRowDxfId="1296"/>
    <tableColumn id="8" name="Pre Answers" totalsRowFunction="custom" dataDxfId="1295" totalsRowDxfId="1294">
      <calculatedColumnFormula>IF(IF(Table4424[[#This Row],[Pre or Post]]="Pre",1,0)+IF(ISNUMBER(Table4424[[#This Row],[Response]])=TRUE,1,0)=2,1,"")</calculatedColumnFormula>
      <totalsRowFormula>SUM([Pre Answers])</totalsRowFormula>
    </tableColumn>
    <tableColumn id="9" name="Post Answers" totalsRowFunction="custom" dataDxfId="1293" totalsRowDxfId="1292">
      <calculatedColumnFormula>IF(IF(Table4424[[#This Row],[Pre or Post]]="Post",1,0)+IF(ISNUMBER(Table4424[[#This Row],[Response]])=TRUE,1,0)=2,1,"")</calculatedColumnFormula>
      <totalsRowFormula>SUM([Post Answers])</totalsRowFormula>
    </tableColumn>
    <tableColumn id="10" name="Pre Total" totalsRowFunction="custom" dataDxfId="1291" totalsRowDxfId="1290">
      <calculatedColumnFormula>IF(IF(Table4424[[#This Row],[Pre or Post]]="Pre",1,0)+IF(ISNUMBER(Table4424[[#This Row],[Response]])=TRUE,1,0)=2,Table4424[[#This Row],[Response]],"")</calculatedColumnFormula>
      <totalsRowFormula>SUM([Pre Total])</totalsRowFormula>
    </tableColumn>
    <tableColumn id="11" name="Post Total" totalsRowFunction="custom" dataDxfId="1289" totalsRowDxfId="1288">
      <calculatedColumnFormula>IF(IF(Table4424[[#This Row],[Pre or Post]]="Post",1,0)+IF(ISNUMBER(Table4424[[#This Row],[Response]])=TRUE,1,0)=2,Table4424[[#This Row],[Response]],"")</calculatedColumnFormula>
      <totalsRowFormula>SUM([Post Total])</totalsRowFormula>
    </tableColumn>
    <tableColumn id="15" name="Pre Total (Pooled)" totalsRowFunction="custom" dataDxfId="1287" totalsRowDxfId="1286">
      <calculatedColumnFormula>IF(IF(ISNUMBER(J2),1,0)+IF(ISNUMBER(K3),1,0)=2,IF(IF(C3=C2,1,0)+IF(B3=B2,1,0)+IF(D3="Post",1,0)+IF(D2="Pre",1,0)=4,Table4424[[#This Row],[Pre Total]],""),"")</calculatedColumnFormula>
      <totalsRowFormula>SUM([Pre Total (Pooled)])</totalsRowFormula>
    </tableColumn>
    <tableColumn id="12" name="Post Total (Pooled)" totalsRowFunction="custom" dataDxfId="1285" totalsRowDxfId="1284">
      <calculatedColumnFormula>IF(IF(ISNUMBER(J1),1,0)+IF(ISNUMBER(Table4424[[#This Row],[Post Total]]),1,0)=2,IF(IF(Table4424[[#This Row],[Student Number]]=C1,1,0)+IF(Table4424[[#This Row],[Session]]=B1,1,0)+IF(Table4424[[#This Row],[Pre or Post]]="Post",1,0)+IF(D1="Pre",1,0)=4,Table4424[[#This Row],[Post Total]],""),"")</calculatedColumnFormula>
      <totalsRowFormula>SUM([Post Total (Pooled)])</totalsRowFormula>
    </tableColumn>
    <tableColumn id="13" name="Change" totalsRowFunction="custom" dataDxfId="1283" totalsRowDxfId="1282">
      <calculatedColumnFormula>IF(IF(ISNUMBER(J1),1,0)+IF(ISNUMBER(Table4424[[#This Row],[Post Total]]),1,0)=2,IF(IF(Table4424[[#This Row],[Student Number]]=C1,1,0)+IF(Table4424[[#This Row],[Session]]=B1,1,0)+IF(Table4424[[#This Row],[Pre or Post]]="Post",1,0)+IF(D1="Pre",1,0)=4,Table4424[[#This Row],[Post Total]]-J1,""),"")</calculatedColumnFormula>
      <totalsRowFormula>SUM([Change])</totalsRowFormula>
    </tableColumn>
    <tableColumn id="14" name="Number 2 Resp" totalsRowFunction="custom" dataDxfId="1281" totalsRowDxfId="1280">
      <calculatedColumnFormula>ISNUMBER(Table4424[[#This Row],[Change]])</calculatedColumnFormula>
      <totalsRowFormula>COUNTIF([Number 2 Resp],TRUE)</totalsRow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24" name="Table51225" displayName="Table51225" ref="A161:F163" totalsRowShown="0" headerRowDxfId="1279" dataDxfId="1278">
  <autoFilter ref="A161:F163">
    <filterColumn colId="5"/>
  </autoFilter>
  <tableColumns count="6">
    <tableColumn id="1" name="Pre or Post" dataDxfId="1277"/>
    <tableColumn id="2" name="Total Surveys" dataDxfId="1276"/>
    <tableColumn id="3" name="Total Answers" dataDxfId="1275"/>
    <tableColumn id="4" name="Sample Mean" dataDxfId="1274"/>
    <tableColumn id="5" name="Sample Standard Deviation" dataDxfId="1273"/>
    <tableColumn id="6" name="Sample Standard Deviation of Change" dataDxfId="1272">
      <calculatedColumnFormula>STDEV(Table4424[Change])</calculatedColumnFormula>
    </tableColumn>
  </tableColumns>
  <tableStyleInfo name="TableStyleMedium11" showFirstColumn="0" showLastColumn="0" showRowStripes="1" showColumnStripes="0"/>
</table>
</file>

<file path=xl/tables/table19.xml><?xml version="1.0" encoding="utf-8"?>
<table xmlns="http://schemas.openxmlformats.org/spreadsheetml/2006/main" id="25" name="Table61326" displayName="Table61326" ref="A165:M166" totalsRowShown="0" headerRowDxfId="1271" dataDxfId="1270">
  <autoFilter ref="A165:M166">
    <filterColumn colId="1"/>
  </autoFilter>
  <tableColumns count="13">
    <tableColumn id="1" name="Pre and Post" dataDxfId="1269"/>
    <tableColumn id="13" name="Responded to Both Pre and Post" dataDxfId="1268">
      <calculatedColumnFormula>COUNTIF(Table4424[Number 2 Resp],TRUE)</calculatedColumnFormula>
    </tableColumn>
    <tableColumn id="2" name="Increased by 1" dataDxfId="1267"/>
    <tableColumn id="3" name="Increased by 2" dataDxfId="1266"/>
    <tableColumn id="4" name="Increased by 3" dataDxfId="1265"/>
    <tableColumn id="5" name="Increased by 4" dataDxfId="1264"/>
    <tableColumn id="6" name="Decreased by 1" dataDxfId="1263"/>
    <tableColumn id="7" name="Decreased by 2" dataDxfId="1262"/>
    <tableColumn id="8" name="Decreased by 3" dataDxfId="1261">
      <calculatedColumnFormula>COUNTIF(Table4424[Change],-3)</calculatedColumnFormula>
    </tableColumn>
    <tableColumn id="9" name="Decreased by 4" dataDxfId="1260">
      <calculatedColumnFormula>COUNTIF(Table4424[Change],-4)</calculatedColumnFormula>
    </tableColumn>
    <tableColumn id="10" name="Number Increased" dataDxfId="1259">
      <calculatedColumnFormula>SUM(Table61326[[Increased by 1]:[Increased by 4]])</calculatedColumnFormula>
    </tableColumn>
    <tableColumn id="11" name="Number Decreased" dataDxfId="1258">
      <calculatedColumnFormula>SUM(Table61326[[Decreased by 1]:[Decreased by 4]])</calculatedColumnFormula>
    </tableColumn>
    <tableColumn id="12" name="No Change" dataDxfId="1257">
      <calculatedColumnFormula>COUNTIF(Table4424[Change],0)</calculatedColumnFormula>
    </tableColumn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K1741" totalsRowShown="0" dataDxfId="1610">
  <autoFilter ref="A1:K1741">
    <filterColumn colId="4"/>
    <filterColumn colId="8"/>
    <filterColumn colId="9"/>
    <filterColumn colId="10"/>
  </autoFilter>
  <tableColumns count="11">
    <tableColumn id="6" name="Old or New?" dataDxfId="1609"/>
    <tableColumn id="1" name="Session" dataDxfId="1608"/>
    <tableColumn id="2" name="Student Number" dataDxfId="1607"/>
    <tableColumn id="3" name="Pre or Post" dataDxfId="1606"/>
    <tableColumn id="11" name="Gender" dataDxfId="1605">
      <calculatedColumnFormula>IF(Table13[[#This Row],[Pre or Post]]="Pre",IF(IF(Table13[[#This Row],[Response]]="Male",0,1)+IF(Table13[[#This Row],[Response]]="Female",0,1)=2,E1,Table13[[#This Row],[Response]]),"")</calculatedColumnFormula>
    </tableColumn>
    <tableColumn id="4" name="Question Number" dataDxfId="1604"/>
    <tableColumn id="5" name="Response" dataDxfId="1603"/>
    <tableColumn id="7" name="Pre and Post?" dataDxfId="1602"/>
    <tableColumn id="8" name="Gender of Group" dataDxfId="1601">
      <calculatedColumnFormula>IF(Table13[[#This Row],[Session]]="Alpha","Girls",IF(Table13[[#This Row],[Session]]="Beta","Boys",IF(Table13[[#This Row],[Session]]="Gamma","Boys",IF(Table13[[#This Row],[Session]]="Delta","Boys","Mixed"))))</calculatedColumnFormula>
    </tableColumn>
    <tableColumn id="9" name="Time of Day" dataDxfId="1600">
      <calculatedColumnFormula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calculatedColumnFormula>
    </tableColumn>
    <tableColumn id="10" name="Presenter" dataDxfId="1599">
      <calculatedColumnFormula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calculatedColumnFormula>
    </tableColumn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Table51121" displayName="Table51121" ref="A1:G3" totalsRowShown="0" headerRowDxfId="1200" dataDxfId="1199">
  <autoFilter ref="A1:G3"/>
  <sortState ref="A2:H5">
    <sortCondition descending="1" ref="B1:B5"/>
  </sortState>
  <tableColumns count="7">
    <tableColumn id="8" name="Type" dataDxfId="1198"/>
    <tableColumn id="1" name="Pre or Post" dataDxfId="1197"/>
    <tableColumn id="2" name="Total Surveys" dataDxfId="1196">
      <calculatedColumnFormula>COUNTIF(Table44[Pre or Post],"Pre")</calculatedColumnFormula>
    </tableColumn>
    <tableColumn id="3" name="Total Answers" dataDxfId="1195">
      <calculatedColumnFormula>Table44[[#Totals],[Pre Answers]]</calculatedColumnFormula>
    </tableColumn>
    <tableColumn id="4" name="Sample Mean" dataDxfId="1194">
      <calculatedColumnFormula>Table44[[#Totals],[Pre Total]]/#REF!</calculatedColumnFormula>
    </tableColumn>
    <tableColumn id="5" name="Sample Standard Deviation" dataDxfId="1193">
      <calculatedColumnFormula>STDEV(Table44[Pre Total])</calculatedColumnFormula>
    </tableColumn>
    <tableColumn id="6" name="Sample Standard Deviation of Change" dataDxfId="1192">
      <calculatedColumnFormula>STDEV(Table44[Change])</calculatedColumnFormula>
    </tableColumn>
  </tableColumns>
  <tableStyleInfo name="TableStyleMedium11" showFirstColumn="1" showLastColumn="0" showRowStripes="1" showColumnStripes="0"/>
</table>
</file>

<file path=xl/tables/table21.xml><?xml version="1.0" encoding="utf-8"?>
<table xmlns="http://schemas.openxmlformats.org/spreadsheetml/2006/main" id="21" name="Table61422" displayName="Table61422" ref="A9:N11" totalsRowShown="0" headerRowDxfId="1191" dataDxfId="1190">
  <autoFilter ref="A9:N11">
    <filterColumn colId="10"/>
    <filterColumn colId="11"/>
    <filterColumn colId="12"/>
    <filterColumn colId="13"/>
  </autoFilter>
  <tableColumns count="14">
    <tableColumn id="10" name="Type" dataDxfId="1189"/>
    <tableColumn id="1" name="Pre and Post" dataDxfId="1188">
      <calculatedColumnFormula>COUNTIF(Table44[Pre and Post?],"Yes")/2</calculatedColumnFormula>
    </tableColumn>
    <tableColumn id="2" name="Responded to Both Pre and Post" dataDxfId="1187">
      <calculatedColumnFormula>COUNTIF(Table44[Number 2 Resp],TRUE)</calculatedColumnFormula>
    </tableColumn>
    <tableColumn id="3" name="Increased by 1" dataDxfId="1186">
      <calculatedColumnFormula>COUNTIF(Table44[Change],1)</calculatedColumnFormula>
    </tableColumn>
    <tableColumn id="4" name="Increased by 2" dataDxfId="1185">
      <calculatedColumnFormula>COUNTIF(Table44[Change],2)</calculatedColumnFormula>
    </tableColumn>
    <tableColumn id="5" name="Increased by 3" dataDxfId="1184">
      <calculatedColumnFormula>COUNTIF(Table44[Change],3)</calculatedColumnFormula>
    </tableColumn>
    <tableColumn id="6" name="Increased by 4" dataDxfId="1183">
      <calculatedColumnFormula>COUNTIF(Table44[Change],4)</calculatedColumnFormula>
    </tableColumn>
    <tableColumn id="7" name="Decreased by 1" dataDxfId="1182">
      <calculatedColumnFormula>COUNTIF(Table44[Change],-1)</calculatedColumnFormula>
    </tableColumn>
    <tableColumn id="8" name="Decreased by 2" dataDxfId="1181">
      <calculatedColumnFormula>COUNTIF(Table44[Change],-2)</calculatedColumnFormula>
    </tableColumn>
    <tableColumn id="9" name="Decreased by 3" dataDxfId="1180">
      <calculatedColumnFormula>COUNTIF(Table44[Change],-3)</calculatedColumnFormula>
    </tableColumn>
    <tableColumn id="11" name="Decreased by 4" dataDxfId="1179">
      <calculatedColumnFormula>COUNTIF(Table44[Change],-4)</calculatedColumnFormula>
    </tableColumn>
    <tableColumn id="12" name="Number Increased" dataDxfId="1178">
      <calculatedColumnFormula>SUM(#REF!)</calculatedColumnFormula>
    </tableColumn>
    <tableColumn id="13" name="Number Decreased" dataDxfId="1177">
      <calculatedColumnFormula>SUM(#REF!)</calculatedColumnFormula>
    </tableColumn>
    <tableColumn id="15" name="No Change" dataDxfId="1176"/>
  </tableColumns>
  <tableStyleInfo name="TableStyleMedium10" showFirstColumn="1" showLastColumn="0" showRowStripes="1" showColumnStripes="0"/>
</table>
</file>

<file path=xl/tables/table22.xml><?xml version="1.0" encoding="utf-8"?>
<table xmlns="http://schemas.openxmlformats.org/spreadsheetml/2006/main" id="22" name="Table1423" displayName="Table1423" ref="A5:G7" totalsRowShown="0" headerRowDxfId="1175" headerRowBorderDxfId="1174">
  <autoFilter ref="A5:G7"/>
  <tableColumns count="7">
    <tableColumn id="1" name="Type"/>
    <tableColumn id="2" name="Pre or Post"/>
    <tableColumn id="3" name="Total Surveys" dataDxfId="1173"/>
    <tableColumn id="4" name="Total Answers" dataDxfId="1172"/>
    <tableColumn id="5" name="Sample Mean" dataDxfId="1171"/>
    <tableColumn id="6" name="Sample Standard Deviation" dataDxfId="1170"/>
    <tableColumn id="7" name="Sample Standard Deviation of Change" dataDxfId="1169"/>
  </tableColumns>
  <tableStyleInfo name="TableStyleMedium11" showFirstColumn="1" showLastColumn="0" showRowStripes="1" showColumnStripes="0"/>
</table>
</file>

<file path=xl/tables/table23.xml><?xml version="1.0" encoding="utf-8"?>
<table xmlns="http://schemas.openxmlformats.org/spreadsheetml/2006/main" id="19" name="Table5112120" displayName="Table5112120" ref="A15:F17" totalsRowShown="0" headerRowDxfId="1168" dataDxfId="1167">
  <autoFilter ref="A15:F17"/>
  <sortState ref="A15:H18">
    <sortCondition descending="1" ref="B1:B5"/>
  </sortState>
  <tableColumns count="6">
    <tableColumn id="8" name="Type" dataDxfId="1166"/>
    <tableColumn id="1" name="Pre or Post" dataDxfId="1165"/>
    <tableColumn id="2" name="Total Surveys" dataDxfId="1164">
      <calculatedColumnFormula>COUNTIF(Table44[Pre or Post],"Pre")</calculatedColumnFormula>
    </tableColumn>
    <tableColumn id="3" name="Sample Standard Deviation of Change" dataDxfId="1163">
      <calculatedColumnFormula>Table44[[#Totals],[Pre Answers]]</calculatedColumnFormula>
    </tableColumn>
    <tableColumn id="4" name="Sample Mean" dataDxfId="1162">
      <calculatedColumnFormula>Table44[[#Totals],[Pre Total]]/#REF!</calculatedColumnFormula>
    </tableColumn>
    <tableColumn id="5" name="Sample Standard Deviation" dataDxfId="1161">
      <calculatedColumnFormula>STDEV(Table44[Pre Total])</calculatedColumnFormula>
    </tableColumn>
  </tableColumns>
  <tableStyleInfo name="TableStyleMedium11" showFirstColumn="1" showLastColumn="0" showRowStripes="1" showColumnStripes="0"/>
</table>
</file>

<file path=xl/tables/table24.xml><?xml version="1.0" encoding="utf-8"?>
<table xmlns="http://schemas.openxmlformats.org/spreadsheetml/2006/main" id="26" name="Table142327" displayName="Table142327" ref="A19:F21" totalsRowShown="0" headerRowDxfId="1160" headerRowBorderDxfId="1159">
  <autoFilter ref="A19:F21"/>
  <tableColumns count="6">
    <tableColumn id="1" name="Type"/>
    <tableColumn id="2" name="Pre or Post"/>
    <tableColumn id="3" name="Total Surveys" dataDxfId="1158"/>
    <tableColumn id="4" name="Sample Standard Deviation of Change" dataDxfId="1157"/>
    <tableColumn id="5" name="Sample Mean" dataDxfId="1156"/>
    <tableColumn id="6" name="Sample Standard Deviation" dataDxfId="1155"/>
  </tableColumns>
  <tableStyleInfo name="TableStyleMedium11" showFirstColumn="1" showLastColumn="0" showRowStripes="1" showColumnStripes="0"/>
</table>
</file>

<file path=xl/tables/table25.xml><?xml version="1.0" encoding="utf-8"?>
<table xmlns="http://schemas.openxmlformats.org/spreadsheetml/2006/main" id="81" name="Table81" displayName="Table81" ref="A24:C27" totalsRowShown="0" headerRowDxfId="1154" dataDxfId="1153">
  <autoFilter ref="A24:C27"/>
  <tableColumns count="3">
    <tableColumn id="1" name="Column1" dataDxfId="1152"/>
    <tableColumn id="2" name="New Pre" dataDxfId="1151"/>
    <tableColumn id="3" name="New Post" dataDxfId="1150"/>
  </tableColumns>
  <tableStyleInfo name="TableStyleLight4" showFirstColumn="0" showLastColumn="0" showRowStripes="1" showColumnStripes="0"/>
</table>
</file>

<file path=xl/tables/table26.xml><?xml version="1.0" encoding="utf-8"?>
<table xmlns="http://schemas.openxmlformats.org/spreadsheetml/2006/main" id="82" name="Table82" displayName="Table82" ref="A33:C36" totalsRowShown="0" headerRowDxfId="1149" dataDxfId="1148">
  <autoFilter ref="A33:C36"/>
  <tableColumns count="3">
    <tableColumn id="1" name="Column1" dataDxfId="1147"/>
    <tableColumn id="2" name="Old Pre" dataDxfId="1146"/>
    <tableColumn id="3" name="Old Post" dataDxfId="1145"/>
  </tableColumns>
  <tableStyleInfo name="TableStyleLight4" showFirstColumn="0" showLastColumn="0" showRowStripes="1" showColumnStripes="0"/>
</table>
</file>

<file path=xl/tables/table27.xml><?xml version="1.0" encoding="utf-8"?>
<table xmlns="http://schemas.openxmlformats.org/spreadsheetml/2006/main" id="27" name="Table4428" displayName="Table4428" ref="A1:O107" totalsRowCount="1" headerRowDxfId="1142" dataDxfId="1141" totalsRowDxfId="1140">
  <autoFilter ref="A1:O106"/>
  <sortState ref="A2:O106">
    <sortCondition ref="B1:B107"/>
  </sortState>
  <tableColumns count="15">
    <tableColumn id="1" name="Old or New?" dataDxfId="1139" totalsRowDxfId="1138"/>
    <tableColumn id="2" name="Session" dataDxfId="1137" totalsRowDxfId="1136"/>
    <tableColumn id="3" name="Student Number" dataDxfId="1135" totalsRowDxfId="1134"/>
    <tableColumn id="4" name="Pre or Post" dataDxfId="1133" totalsRowDxfId="1132"/>
    <tableColumn id="5" name="Question Number" dataDxfId="1131" totalsRowDxfId="1130"/>
    <tableColumn id="6" name="Response" dataDxfId="1129" totalsRowDxfId="1128"/>
    <tableColumn id="7" name="Pre and Post?" dataDxfId="1127" totalsRowDxfId="1126"/>
    <tableColumn id="8" name="Pre Answers" totalsRowFunction="custom" dataDxfId="1125" totalsRowDxfId="1124">
      <calculatedColumnFormula>IF(IF(Table4428[[#This Row],[Pre or Post]]="Pre",1,0)+IF(ISNUMBER(Table4428[[#This Row],[Response]])=TRUE,1,0)=2,1,"")</calculatedColumnFormula>
      <totalsRowFormula>SUM([Pre Answers])</totalsRowFormula>
    </tableColumn>
    <tableColumn id="9" name="Post Answers" totalsRowFunction="custom" dataDxfId="1123" totalsRowDxfId="1122">
      <calculatedColumnFormula>IF(IF(Table4428[[#This Row],[Pre or Post]]="Post",1,0)+IF(ISNUMBER(Table4428[[#This Row],[Response]])=TRUE,1,0)=2,1,"")</calculatedColumnFormula>
      <totalsRowFormula>SUM([Post Answers])</totalsRowFormula>
    </tableColumn>
    <tableColumn id="10" name="Pre Total" totalsRowFunction="custom" dataDxfId="1121" totalsRowDxfId="1120">
      <calculatedColumnFormula>IF(IF(Table4428[[#This Row],[Pre or Post]]="Pre",1,0)+IF(ISNUMBER(Table4428[[#This Row],[Response]])=TRUE,1,0)=2,Table4428[[#This Row],[Response]],"")</calculatedColumnFormula>
      <totalsRowFormula>SUM([Pre Total])</totalsRowFormula>
    </tableColumn>
    <tableColumn id="11" name="Post Total" totalsRowFunction="custom" dataDxfId="1119" totalsRowDxfId="1118">
      <calculatedColumnFormula>IF(IF(Table4428[[#This Row],[Pre or Post]]="Post",1,0)+IF(ISNUMBER(Table4428[[#This Row],[Response]])=TRUE,1,0)=2,Table4428[[#This Row],[Response]],"")</calculatedColumnFormula>
      <totalsRowFormula>SUM([Post Total])</totalsRowFormula>
    </tableColumn>
    <tableColumn id="15" name="Pre Total (Pooled)" totalsRowFunction="custom" dataDxfId="1117" totalsRowDxfId="1116">
      <calculatedColumnFormula>IF(IF(ISNUMBER(J2),1,0)+IF(ISNUMBER(K3),1,0)=2,IF(IF(C3=C2,1,0)+IF(B3=B2,1,0)+IF(D3="Post",1,0)+IF(D2="Pre",1,0)=4,Table4428[[#This Row],[Pre Total]],""),"")</calculatedColumnFormula>
      <totalsRowFormula>SUM(Table4428[[#Headers],[#Data],[Pre Total (Pooled)]])</totalsRowFormula>
    </tableColumn>
    <tableColumn id="12" name="Post Total (Pooled)" totalsRowFunction="custom" dataDxfId="1115" totalsRowDxfId="1114">
      <calculatedColumnFormula>IF(IF(ISNUMBER(J1),1,0)+IF(ISNUMBER(Table4428[[#This Row],[Post Total]]),1,0)=2,IF(IF(Table4428[[#This Row],[Student Number]]=C1,1,0)+IF(Table4428[[#This Row],[Session]]=B1,1,0)+IF(Table4428[[#This Row],[Pre or Post]]="Post",1,0)+IF(D1="Pre",1,0)=4,Table4428[[#This Row],[Post Total]],""),"")</calculatedColumnFormula>
      <totalsRowFormula>SUM([Post Total (Pooled)])</totalsRowFormula>
    </tableColumn>
    <tableColumn id="13" name="Change" totalsRowFunction="custom" dataDxfId="1113" totalsRowDxfId="1112">
      <calculatedColumnFormula>IF(IF(ISNUMBER(J1),1,0)+IF(ISNUMBER(Table4428[[#This Row],[Post Total]]),1,0)=2,IF(IF(Table4428[[#This Row],[Student Number]]=C1,1,0)+IF(Table4428[[#This Row],[Session]]=B1,1,0)+IF(Table4428[[#This Row],[Pre or Post]]="Post",1,0)+IF(D1="Pre",1,0)=4,Table4428[[#This Row],[Post Total]]-J1,""),"")</calculatedColumnFormula>
      <totalsRowFormula>SUM([Change])</totalsRowFormula>
    </tableColumn>
    <tableColumn id="14" name="Number 2 Resp" totalsRowFunction="custom" dataDxfId="1111" totalsRowDxfId="1110">
      <calculatedColumnFormula>ISNUMBER(Table4428[[#This Row],[Change]])</calculatedColumnFormula>
      <totalsRowFormula>COUNTIF([Number 2 Resp],TRUE)</totalsRowFormula>
    </tableColumn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Table51229" displayName="Table51229" ref="A109:F111" totalsRowShown="0" headerRowDxfId="1109" dataDxfId="1108">
  <autoFilter ref="A109:F111"/>
  <tableColumns count="6">
    <tableColumn id="1" name="Pre or Post" dataDxfId="1107"/>
    <tableColumn id="2" name="Total Surveys" dataDxfId="1106">
      <calculatedColumnFormula>COUNTIF(Table4[Pre or Post],"Post")</calculatedColumnFormula>
    </tableColumn>
    <tableColumn id="3" name="Total Answers" dataDxfId="1105">
      <calculatedColumnFormula>SUM(Table4[[#Totals],[Post Yes]:[Post No]])</calculatedColumnFormula>
    </tableColumn>
    <tableColumn id="4" name="Sample Mean" dataDxfId="1104">
      <calculatedColumnFormula>Table4[[#Totals],[Post Yes]]</calculatedColumnFormula>
    </tableColumn>
    <tableColumn id="5" name="Sample Standard Deviation" dataDxfId="1103">
      <calculatedColumnFormula>Table4[[#Totals],[Post No]]</calculatedColumnFormula>
    </tableColumn>
    <tableColumn id="6" name="Sample Standard Deviation of Change" dataDxfId="1102">
      <calculatedColumnFormula>STDEV(Table4428[Change])</calculatedColumnFormula>
    </tableColumn>
  </tableColumns>
  <tableStyleInfo name="TableStyleMedium11" showFirstColumn="0" showLastColumn="0" showRowStripes="1" showColumnStripes="0"/>
</table>
</file>

<file path=xl/tables/table29.xml><?xml version="1.0" encoding="utf-8"?>
<table xmlns="http://schemas.openxmlformats.org/spreadsheetml/2006/main" id="29" name="Table61330" displayName="Table61330" ref="A113:M114" totalsRowShown="0" headerRowDxfId="1101" dataDxfId="1100">
  <autoFilter ref="A113:M114"/>
  <tableColumns count="13">
    <tableColumn id="1" name="Pre and Post" dataDxfId="1099">
      <calculatedColumnFormula>COUNTIF(Table4428[Pre and Post?],"Yes")/2</calculatedColumnFormula>
    </tableColumn>
    <tableColumn id="13" name="Responded to Both Pre and Post" dataDxfId="1098">
      <calculatedColumnFormula>COUNTIF(Table4428[Number 2 Resp],TRUE)</calculatedColumnFormula>
    </tableColumn>
    <tableColumn id="2" name="Increased by 1" dataDxfId="1097">
      <calculatedColumnFormula>COUNTIF(Table4428[Change],1)</calculatedColumnFormula>
    </tableColumn>
    <tableColumn id="3" name="Increased by 2" dataDxfId="1096">
      <calculatedColumnFormula>COUNTIF(Table4428[Change],2)</calculatedColumnFormula>
    </tableColumn>
    <tableColumn id="4" name="Increased by 3" dataDxfId="1095">
      <calculatedColumnFormula>COUNTIF(Table4428[Change],3)</calculatedColumnFormula>
    </tableColumn>
    <tableColumn id="5" name="Increased by 4" dataDxfId="1094">
      <calculatedColumnFormula>COUNTIF(Table4428[Change],4)</calculatedColumnFormula>
    </tableColumn>
    <tableColumn id="6" name="Decreased by 1" dataDxfId="1093">
      <calculatedColumnFormula>COUNTIF(Table4428[Change],-1)</calculatedColumnFormula>
    </tableColumn>
    <tableColumn id="7" name="Decreased by 2" dataDxfId="1092">
      <calculatedColumnFormula>COUNTIF(Table4428[Change],-2)</calculatedColumnFormula>
    </tableColumn>
    <tableColumn id="8" name="Decreased by 3" dataDxfId="1091">
      <calculatedColumnFormula>COUNTIF(Table4428[Change],-3)</calculatedColumnFormula>
    </tableColumn>
    <tableColumn id="9" name="Decreased by 4" dataDxfId="1090">
      <calculatedColumnFormula>COUNTIF(Table4428[Change],-4)</calculatedColumnFormula>
    </tableColumn>
    <tableColumn id="10" name="Number Increased" dataDxfId="1089">
      <calculatedColumnFormula>SUM(Table61330[[Increased by 1]:[Increased by 4]])</calculatedColumnFormula>
    </tableColumn>
    <tableColumn id="11" name="Number Decreased" dataDxfId="1088">
      <calculatedColumnFormula>SUM(Table61330[[Decreased by 1]:[Decreased by 4]])</calculatedColumnFormula>
    </tableColumn>
    <tableColumn id="12" name="No Change" dataDxfId="1087">
      <calculatedColumnFormula>COUNTIF(Table4428[Change],0)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N107" totalsRowCount="1" headerRowDxfId="1594" dataDxfId="1593" totalsRowDxfId="1592">
  <autoFilter ref="A1:N106">
    <filterColumn colId="7"/>
    <filterColumn colId="8"/>
    <filterColumn colId="9"/>
    <filterColumn colId="10"/>
    <filterColumn colId="11"/>
    <filterColumn colId="12"/>
    <filterColumn colId="13"/>
  </autoFilter>
  <sortState ref="A2:G106">
    <sortCondition ref="B1:B106"/>
  </sortState>
  <tableColumns count="14">
    <tableColumn id="1" name="Old or New?" dataDxfId="1591" totalsRowDxfId="1590"/>
    <tableColumn id="2" name="Session" dataDxfId="1589" totalsRowDxfId="1588"/>
    <tableColumn id="3" name="Student Number" dataDxfId="1587" totalsRowDxfId="1586"/>
    <tableColumn id="4" name="Pre or Post" dataDxfId="1585" totalsRowDxfId="1584"/>
    <tableColumn id="5" name="Question Number" dataDxfId="1583" totalsRowDxfId="1582"/>
    <tableColumn id="6" name="Response" dataDxfId="1581" totalsRowDxfId="1580"/>
    <tableColumn id="7" name="Pre and Post?" dataDxfId="1579" totalsRowDxfId="1578"/>
    <tableColumn id="8" name="If Yes" totalsRowFunction="custom" dataDxfId="1577" totalsRowDxfId="1576">
      <calculatedColumnFormula>IF(Table4[[#This Row],[Response]]="Yes",1,"")</calculatedColumnFormula>
      <totalsRowFormula>SUM([If Yes])</totalsRowFormula>
    </tableColumn>
    <tableColumn id="9" name="If No" totalsRowFunction="custom" dataDxfId="1575" totalsRowDxfId="1574">
      <calculatedColumnFormula>IF(Table4[[#This Row],[Response]]="No",1,"")</calculatedColumnFormula>
      <totalsRowFormula>SUM([If No])</totalsRowFormula>
    </tableColumn>
    <tableColumn id="10" name="Answered?" totalsRowFunction="custom" dataDxfId="1573" totalsRowDxfId="1572">
      <calculatedColumnFormula>IF(SUM(Table4[[#This Row],[If Yes]:[If No]])=1,1,"")</calculatedColumnFormula>
      <totalsRowFormula>SUM([Answered?])</totalsRowFormula>
    </tableColumn>
    <tableColumn id="11" name="Pre Yes" totalsRowFunction="custom" dataDxfId="1571" totalsRowDxfId="1570">
      <calculatedColumnFormula>IF(IF(Table4[[#This Row],[Pre or Post]]="Pre",1,0)+IF(Table4[[#This Row],[If Yes]]=1,1,0)=2,1,"")</calculatedColumnFormula>
      <totalsRowFormula>SUM([Pre Yes])</totalsRowFormula>
    </tableColumn>
    <tableColumn id="12" name="Pre No" totalsRowFunction="custom" dataDxfId="1569" totalsRowDxfId="1568">
      <calculatedColumnFormula>IF(IF(Table4[[#This Row],[Pre or Post]]="Pre",1,0)+IF(Table4[[#This Row],[If No]]=1,1,0)=2,1,"")</calculatedColumnFormula>
      <totalsRowFormula>SUM([Pre No])</totalsRowFormula>
    </tableColumn>
    <tableColumn id="13" name="Post Yes" totalsRowFunction="custom" dataDxfId="1567" totalsRowDxfId="1566">
      <calculatedColumnFormula>IF(IF(Table4[[#This Row],[Pre or Post]]="Post",1,0)+IF(Table4[[#This Row],[If Yes]]=1,1,0)=2,1,"")</calculatedColumnFormula>
      <totalsRowFormula>SUM([Post Yes])</totalsRowFormula>
    </tableColumn>
    <tableColumn id="14" name="Post No" totalsRowFunction="custom" dataDxfId="1565" totalsRowDxfId="1564">
      <calculatedColumnFormula>IF(IF(Table4[[#This Row],[Pre or Post]]="Post",1,0)+IF(Table4[[#This Row],[If No]]=1,1,0)=2,1,"")</calculatedColumnFormula>
      <totalsRowFormula>SUM([Post No])</totalsRowFormula>
    </tableColumn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Table442431" displayName="Table442431" ref="A1:O159" totalsRowCount="1" headerRowDxfId="1080" dataDxfId="1079" totalsRowDxfId="1078">
  <autoFilter ref="A1:O158"/>
  <sortState ref="A2:O158">
    <sortCondition ref="B1:B159"/>
  </sortState>
  <tableColumns count="15">
    <tableColumn id="1" name="Old or New?" dataDxfId="1077" totalsRowDxfId="1076"/>
    <tableColumn id="2" name="Session" dataDxfId="1075" totalsRowDxfId="1074"/>
    <tableColumn id="3" name="Student Number" dataDxfId="1073" totalsRowDxfId="1072"/>
    <tableColumn id="4" name="Pre or Post" dataDxfId="1071" totalsRowDxfId="1070"/>
    <tableColumn id="5" name="Question Number" dataDxfId="1069" totalsRowDxfId="1068"/>
    <tableColumn id="6" name="Response" dataDxfId="1067" totalsRowDxfId="1066"/>
    <tableColumn id="7" name="Pre and Post?" dataDxfId="1065" totalsRowDxfId="1064"/>
    <tableColumn id="8" name="Pre Answers" totalsRowFunction="custom" dataDxfId="1063" totalsRowDxfId="1062">
      <calculatedColumnFormula>IF(IF(Table442431[[#This Row],[Pre or Post]]="Pre",1,0)+IF(ISNUMBER(Table442431[[#This Row],[Response]])=TRUE,1,0)=2,1,"")</calculatedColumnFormula>
      <totalsRowFormula>SUM([Pre Answers])</totalsRowFormula>
    </tableColumn>
    <tableColumn id="9" name="Post Answers" totalsRowFunction="custom" dataDxfId="1061" totalsRowDxfId="1060">
      <calculatedColumnFormula>IF(IF(Table442431[[#This Row],[Pre or Post]]="Post",1,0)+IF(ISNUMBER(Table442431[[#This Row],[Response]])=TRUE,1,0)=2,1,"")</calculatedColumnFormula>
      <totalsRowFormula>SUM([Post Answers])</totalsRowFormula>
    </tableColumn>
    <tableColumn id="10" name="Pre Total" totalsRowFunction="custom" dataDxfId="1059" totalsRowDxfId="1058">
      <calculatedColumnFormula>IF(IF(Table442431[[#This Row],[Pre or Post]]="Pre",1,0)+IF(ISNUMBER(Table442431[[#This Row],[Response]])=TRUE,1,0)=2,Table442431[[#This Row],[Response]],"")</calculatedColumnFormula>
      <totalsRowFormula>SUM([Pre Total])</totalsRowFormula>
    </tableColumn>
    <tableColumn id="11" name="Post Total" totalsRowFunction="custom" dataDxfId="1057" totalsRowDxfId="1056">
      <calculatedColumnFormula>IF(IF(Table442431[[#This Row],[Pre or Post]]="Post",1,0)+IF(ISNUMBER(Table442431[[#This Row],[Response]])=TRUE,1,0)=2,Table442431[[#This Row],[Response]],"")</calculatedColumnFormula>
      <totalsRowFormula>SUM([Post Total])</totalsRowFormula>
    </tableColumn>
    <tableColumn id="15" name="Pre Total (Pooled)" totalsRowFunction="custom" dataDxfId="1055" totalsRowDxfId="1054">
      <calculatedColumnFormula>IF(IF(ISNUMBER(J2),1,0)+IF(ISNUMBER(K3),1,0)=2,IF(IF(C3=C2,1,0)+IF(B3=B2,1,0)+IF(D3="Post",1,0)+IF(D2="Pre",1,0)=4,Table442431[[#This Row],[Pre Total]],""),"")</calculatedColumnFormula>
      <totalsRowFormula>SUM([Pre Total (Pooled)])</totalsRowFormula>
    </tableColumn>
    <tableColumn id="12" name="Post Total (Pooled)" totalsRowFunction="custom" dataDxfId="1053" totalsRowDxfId="1052">
      <calculatedColumnFormula>IF(IF(ISNUMBER(J1),1,0)+IF(ISNUMBER(Table442431[[#This Row],[Post Total]]),1,0)=2,IF(IF(Table442431[[#This Row],[Student Number]]=C1,1,0)+IF(Table442431[[#This Row],[Session]]=B1,1,0)+IF(Table442431[[#This Row],[Pre or Post]]="Post",1,0)+IF(D1="Pre",1,0)=4,Table442431[[#This Row],[Post Total]],""),"")</calculatedColumnFormula>
      <totalsRowFormula>SUM([Post Total (Pooled)])</totalsRowFormula>
    </tableColumn>
    <tableColumn id="13" name="Change" totalsRowFunction="custom" dataDxfId="1051" totalsRowDxfId="1050">
      <calculatedColumnFormula>IF(IF(ISNUMBER(J1),1,0)+IF(ISNUMBER(Table442431[[#This Row],[Post Total]]),1,0)=2,IF(IF(Table442431[[#This Row],[Student Number]]=C1,1,0)+IF(Table442431[[#This Row],[Session]]=B1,1,0)+IF(Table442431[[#This Row],[Pre or Post]]="Post",1,0)+IF(D1="Pre",1,0)=4,Table442431[[#This Row],[Post Total]]-J1,""),"")</calculatedColumnFormula>
      <totalsRowFormula>SUM([Change])</totalsRowFormula>
    </tableColumn>
    <tableColumn id="14" name="Number 2 Resp" totalsRowFunction="custom" dataDxfId="1049" totalsRowDxfId="1048">
      <calculatedColumnFormula>ISNUMBER(Table442431[[#This Row],[Change]])</calculatedColumnFormula>
      <totalsRowFormula>COUNTIF([Number 2 Resp],TRUE)</totalsRowFormula>
    </tableColumn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1" name="Table5122532" displayName="Table5122532" ref="A161:F163" totalsRowShown="0" headerRowDxfId="1047" dataDxfId="1046">
  <autoFilter ref="A161:F163"/>
  <tableColumns count="6">
    <tableColumn id="1" name="Pre or Post" dataDxfId="1045"/>
    <tableColumn id="2" name="Total Surveys" dataDxfId="1044"/>
    <tableColumn id="3" name="Total Answers" dataDxfId="1043"/>
    <tableColumn id="4" name="Sample Mean" dataDxfId="1042"/>
    <tableColumn id="5" name="Sample Standard Deviation" dataDxfId="1041"/>
    <tableColumn id="6" name="Sample Standard Deviation of Change" dataDxfId="1040">
      <calculatedColumnFormula>STDEV(Table442431[Change])</calculatedColumnFormula>
    </tableColumn>
  </tableColumns>
  <tableStyleInfo name="TableStyleMedium11" showFirstColumn="0" showLastColumn="0" showRowStripes="1" showColumnStripes="0"/>
</table>
</file>

<file path=xl/tables/table32.xml><?xml version="1.0" encoding="utf-8"?>
<table xmlns="http://schemas.openxmlformats.org/spreadsheetml/2006/main" id="32" name="Table6132633" displayName="Table6132633" ref="A165:M166" totalsRowShown="0" headerRowDxfId="1039" dataDxfId="1038">
  <autoFilter ref="A165:M166"/>
  <tableColumns count="13">
    <tableColumn id="1" name="Pre and Post" dataDxfId="1037">
      <calculatedColumnFormula>COUNTIF(Table442431[Pre and Post?],"Yes")/2</calculatedColumnFormula>
    </tableColumn>
    <tableColumn id="13" name="Responded to Both Pre and Post" dataDxfId="1036">
      <calculatedColumnFormula>COUNTIF(Table442431[Number 2 Resp],TRUE)</calculatedColumnFormula>
    </tableColumn>
    <tableColumn id="2" name="Increased by 1" dataDxfId="1035">
      <calculatedColumnFormula>COUNTIF(Table442431[Change],1)</calculatedColumnFormula>
    </tableColumn>
    <tableColumn id="3" name="Increased by 2" dataDxfId="1034">
      <calculatedColumnFormula>COUNTIF(Table442431[Change],2)</calculatedColumnFormula>
    </tableColumn>
    <tableColumn id="4" name="Increased by 3" dataDxfId="1033">
      <calculatedColumnFormula>COUNTIF(Table442431[Change],3)</calculatedColumnFormula>
    </tableColumn>
    <tableColumn id="5" name="Increased by 4" dataDxfId="1032">
      <calculatedColumnFormula>COUNTIF(Table442431[Change],4)</calculatedColumnFormula>
    </tableColumn>
    <tableColumn id="6" name="Decreased by 1" dataDxfId="1031">
      <calculatedColumnFormula>COUNTIF(Table442431[Change],-1)</calculatedColumnFormula>
    </tableColumn>
    <tableColumn id="7" name="Decreased by 2" dataDxfId="1030">
      <calculatedColumnFormula>COUNTIF(Table442431[Change],-2)</calculatedColumnFormula>
    </tableColumn>
    <tableColumn id="8" name="Decreased by 3" dataDxfId="1029">
      <calculatedColumnFormula>COUNTIF(Table442431[Change],-3)</calculatedColumnFormula>
    </tableColumn>
    <tableColumn id="9" name="Decreased by 4" dataDxfId="1028">
      <calculatedColumnFormula>COUNTIF(Table442431[Change],-4)</calculatedColumnFormula>
    </tableColumn>
    <tableColumn id="10" name="Number Increased" dataDxfId="1027">
      <calculatedColumnFormula>SUM(Table6132633[[Increased by 1]:[Increased by 4]])</calculatedColumnFormula>
    </tableColumn>
    <tableColumn id="11" name="Number Decreased" dataDxfId="1026">
      <calculatedColumnFormula>SUM(Table6132633[[Decreased by 1]:[Decreased by 4]])</calculatedColumnFormula>
    </tableColumn>
    <tableColumn id="12" name="No Change" dataDxfId="1025">
      <calculatedColumnFormula>COUNTIF(Table442431[Change],0)</calculatedColumnFormula>
    </tableColumn>
  </tableColumns>
  <tableStyleInfo name="TableStyleMedium10" showFirstColumn="0" showLastColumn="0" showRowStripes="1" showColumnStripes="0"/>
</table>
</file>

<file path=xl/tables/table33.xml><?xml version="1.0" encoding="utf-8"?>
<table xmlns="http://schemas.openxmlformats.org/spreadsheetml/2006/main" id="33" name="Table5112134" displayName="Table5112134" ref="A1:G3" totalsRowShown="0" headerRowDxfId="968" dataDxfId="967">
  <autoFilter ref="A1:G3"/>
  <sortState ref="A2:H5">
    <sortCondition descending="1" ref="B1:B5"/>
  </sortState>
  <tableColumns count="7">
    <tableColumn id="8" name="Type" dataDxfId="966"/>
    <tableColumn id="1" name="Pre or Post" dataDxfId="965"/>
    <tableColumn id="2" name="Total Surveys" dataDxfId="964">
      <calculatedColumnFormula>COUNTIF(Table4428[Pre or Post],"Pre")</calculatedColumnFormula>
    </tableColumn>
    <tableColumn id="3" name="Total Answers" dataDxfId="963">
      <calculatedColumnFormula>Table4428[[#Totals],[Pre Answers]]</calculatedColumnFormula>
    </tableColumn>
    <tableColumn id="4" name="Sample Mean" dataDxfId="962">
      <calculatedColumnFormula>Table4428[[#Totals],[Pre Total]]/Table51229[[#This Row],[Total Answers]]</calculatedColumnFormula>
    </tableColumn>
    <tableColumn id="5" name="Sample Standard Deviation" dataDxfId="961">
      <calculatedColumnFormula>STDEV(Table4428[Pre Total])</calculatedColumnFormula>
    </tableColumn>
    <tableColumn id="6" name="Sample Standard Deviation of Change" dataDxfId="960">
      <calculatedColumnFormula>STDEV(Table4428[Change])</calculatedColumnFormula>
    </tableColumn>
  </tableColumns>
  <tableStyleInfo name="TableStyleMedium11" showFirstColumn="1" showLastColumn="0" showRowStripes="1" showColumnStripes="0"/>
</table>
</file>

<file path=xl/tables/table34.xml><?xml version="1.0" encoding="utf-8"?>
<table xmlns="http://schemas.openxmlformats.org/spreadsheetml/2006/main" id="34" name="Table6142235" displayName="Table6142235" ref="A9:N11" totalsRowShown="0" headerRowDxfId="959" dataDxfId="958">
  <autoFilter ref="A9:N11"/>
  <tableColumns count="14">
    <tableColumn id="10" name="Type" dataDxfId="957"/>
    <tableColumn id="1" name="Pre and Post" dataDxfId="956"/>
    <tableColumn id="2" name="Responded to Both Pre and Post" dataDxfId="955"/>
    <tableColumn id="3" name="Increased by 1" dataDxfId="954"/>
    <tableColumn id="4" name="Increased by 2" dataDxfId="953"/>
    <tableColumn id="5" name="Increased by 3" dataDxfId="952"/>
    <tableColumn id="6" name="Increased by 4" dataDxfId="951"/>
    <tableColumn id="7" name="Decreased by 1" dataDxfId="950"/>
    <tableColumn id="8" name="Decreased by 2" dataDxfId="949"/>
    <tableColumn id="9" name="Decreased by 3" dataDxfId="948"/>
    <tableColumn id="11" name="Decreased by 4" dataDxfId="947"/>
    <tableColumn id="12" name="Number Increased" dataDxfId="946"/>
    <tableColumn id="13" name="Number Decreased" dataDxfId="945"/>
    <tableColumn id="15" name="No Change" dataDxfId="944"/>
  </tableColumns>
  <tableStyleInfo name="TableStyleMedium10" showFirstColumn="1" showLastColumn="0" showRowStripes="1" showColumnStripes="0"/>
</table>
</file>

<file path=xl/tables/table35.xml><?xml version="1.0" encoding="utf-8"?>
<table xmlns="http://schemas.openxmlformats.org/spreadsheetml/2006/main" id="35" name="Table142336" displayName="Table142336" ref="A5:G7" totalsRowShown="0" headerRowDxfId="943" headerRowBorderDxfId="942">
  <autoFilter ref="A5:G7"/>
  <tableColumns count="7">
    <tableColumn id="1" name="Type"/>
    <tableColumn id="2" name="Pre or Post"/>
    <tableColumn id="3" name="Total Surveys" dataDxfId="941">
      <calculatedColumnFormula>COUNTIF(Table4428[Pre or Post],"Post")</calculatedColumnFormula>
    </tableColumn>
    <tableColumn id="4" name="Total Answers" dataDxfId="940">
      <calculatedColumnFormula>Table4428[[#Totals],[Post Answers]]</calculatedColumnFormula>
    </tableColumn>
    <tableColumn id="5" name="Sample Mean" dataDxfId="939">
      <calculatedColumnFormula>Table4428[[#Totals],[Post Total]]/Table51229[[#This Row],[Total Answers]]</calculatedColumnFormula>
    </tableColumn>
    <tableColumn id="6" name="Sample Standard Deviation" dataDxfId="938">
      <calculatedColumnFormula>STDEV(Table4428[Post Total])</calculatedColumnFormula>
    </tableColumn>
    <tableColumn id="7" name="Sample Standard Deviation of Change" dataDxfId="937">
      <calculatedColumnFormula>STDEV(Table4428[Change])</calculatedColumnFormula>
    </tableColumn>
  </tableColumns>
  <tableStyleInfo name="TableStyleMedium11" showFirstColumn="1" showLastColumn="0" showRowStripes="1" showColumnStripes="0"/>
</table>
</file>

<file path=xl/tables/table36.xml><?xml version="1.0" encoding="utf-8"?>
<table xmlns="http://schemas.openxmlformats.org/spreadsheetml/2006/main" id="36" name="Table511212037" displayName="Table511212037" ref="A15:F17" totalsRowShown="0" headerRowDxfId="936" dataDxfId="935">
  <autoFilter ref="A15:F17"/>
  <sortState ref="A15:H18">
    <sortCondition descending="1" ref="B1:B5"/>
  </sortState>
  <tableColumns count="6">
    <tableColumn id="8" name="Type" dataDxfId="934"/>
    <tableColumn id="1" name="Pre or Post" dataDxfId="933"/>
    <tableColumn id="2" name="Total Surveys" dataDxfId="932"/>
    <tableColumn id="3" name="Sample Standard Deviation of Change" dataDxfId="931"/>
    <tableColumn id="4" name="Sample Mean" dataDxfId="930"/>
    <tableColumn id="5" name="Sample Standard Deviation" dataDxfId="929"/>
  </tableColumns>
  <tableStyleInfo name="TableStyleMedium11" showFirstColumn="1" showLastColumn="0" showRowStripes="1" showColumnStripes="0"/>
</table>
</file>

<file path=xl/tables/table37.xml><?xml version="1.0" encoding="utf-8"?>
<table xmlns="http://schemas.openxmlformats.org/spreadsheetml/2006/main" id="37" name="Table14232738" displayName="Table14232738" ref="A19:F21" totalsRowShown="0" headerRowDxfId="928" headerRowBorderDxfId="927">
  <autoFilter ref="A19:F21"/>
  <tableColumns count="6">
    <tableColumn id="1" name="Type"/>
    <tableColumn id="2" name="Pre or Post"/>
    <tableColumn id="3" name="Total Surveys" dataDxfId="926"/>
    <tableColumn id="4" name="Sample Standard Deviation of Change" dataDxfId="925"/>
    <tableColumn id="5" name="Sample Mean" dataDxfId="924"/>
    <tableColumn id="6" name="Sample Standard Deviation" dataDxfId="923"/>
  </tableColumns>
  <tableStyleInfo name="TableStyleMedium11" showFirstColumn="1" showLastColumn="0" showRowStripes="1" showColumnStripes="0"/>
</table>
</file>

<file path=xl/tables/table38.xml><?xml version="1.0" encoding="utf-8"?>
<table xmlns="http://schemas.openxmlformats.org/spreadsheetml/2006/main" id="83" name="Table83" displayName="Table83" ref="A24:C27" totalsRowShown="0" headerRowDxfId="922" dataDxfId="921">
  <autoFilter ref="A24:C27"/>
  <tableColumns count="3">
    <tableColumn id="1" name="Column1" dataDxfId="920"/>
    <tableColumn id="2" name="New Pre" dataDxfId="919"/>
    <tableColumn id="3" name="New Post" dataDxfId="918"/>
  </tableColumns>
  <tableStyleInfo name="TableStyleLight4" showFirstColumn="0" showLastColumn="0" showRowStripes="1" showColumnStripes="0"/>
</table>
</file>

<file path=xl/tables/table39.xml><?xml version="1.0" encoding="utf-8"?>
<table xmlns="http://schemas.openxmlformats.org/spreadsheetml/2006/main" id="84" name="Table84" displayName="Table84" ref="A33:C36" totalsRowShown="0" headerRowDxfId="917" dataDxfId="916">
  <autoFilter ref="A33:C36"/>
  <tableColumns count="3">
    <tableColumn id="1" name="Column1" dataDxfId="915"/>
    <tableColumn id="2" name="Old Pre" dataDxfId="914"/>
    <tableColumn id="3" name="Old Post" dataDxfId="913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09:G111" totalsRowShown="0" headerRowDxfId="1563" dataDxfId="1562">
  <autoFilter ref="A109:G111"/>
  <tableColumns count="7">
    <tableColumn id="1" name="Pre or Post" dataDxfId="1561"/>
    <tableColumn id="2" name="Total Surveys" dataDxfId="1560">
      <calculatedColumnFormula>COUNTIF(Table4[Pre or Post],"Post")</calculatedColumnFormula>
    </tableColumn>
    <tableColumn id="3" name="Total Answers" dataDxfId="1559">
      <calculatedColumnFormula>SUM(Table4[[#Totals],[Post Yes]:[Post No]])</calculatedColumnFormula>
    </tableColumn>
    <tableColumn id="4" name="Yes" dataDxfId="1558">
      <calculatedColumnFormula>Table4[[#Totals],[Post Yes]]</calculatedColumnFormula>
    </tableColumn>
    <tableColumn id="5" name="No" dataDxfId="1557">
      <calculatedColumnFormula>Table4[[#Totals],[Post No]]</calculatedColumnFormula>
    </tableColumn>
    <tableColumn id="6" name="% Yes" dataDxfId="1556">
      <calculatedColumnFormula>D110/C110*100</calculatedColumnFormula>
    </tableColumn>
    <tableColumn id="7" name="% No" dataDxfId="1555">
      <calculatedColumnFormula>E110/C110*100</calculatedColumnFormula>
    </tableColumn>
  </tableColumns>
  <tableStyleInfo name="TableStyleMedium11" showFirstColumn="0" showLastColumn="0" showRowStripes="1" showColumnStripes="0"/>
</table>
</file>

<file path=xl/tables/table40.xml><?xml version="1.0" encoding="utf-8"?>
<table xmlns="http://schemas.openxmlformats.org/spreadsheetml/2006/main" id="17" name="Table442818" displayName="Table442818" ref="A1:O107" totalsRowCount="1" headerRowDxfId="910" dataDxfId="909" totalsRowDxfId="908">
  <autoFilter ref="A1:O106"/>
  <sortState ref="A2:O106">
    <sortCondition ref="B1:B107"/>
  </sortState>
  <tableColumns count="15">
    <tableColumn id="1" name="Old or New?" dataDxfId="907" totalsRowDxfId="906"/>
    <tableColumn id="2" name="Session" dataDxfId="905" totalsRowDxfId="904"/>
    <tableColumn id="3" name="Student Number" dataDxfId="903" totalsRowDxfId="902"/>
    <tableColumn id="4" name="Pre or Post" dataDxfId="901" totalsRowDxfId="900"/>
    <tableColumn id="5" name="Question Number" dataDxfId="899" totalsRowDxfId="898"/>
    <tableColumn id="6" name="Response" dataDxfId="897" totalsRowDxfId="896"/>
    <tableColumn id="7" name="Pre and Post?" dataDxfId="895" totalsRowDxfId="894"/>
    <tableColumn id="8" name="Pre Answers" totalsRowFunction="custom" dataDxfId="893" totalsRowDxfId="892">
      <calculatedColumnFormula>IF(IF(Table442818[[#This Row],[Pre or Post]]="Pre",1,0)+IF(ISNUMBER(Table442818[[#This Row],[Response]])=TRUE,1,0)=2,1,"")</calculatedColumnFormula>
      <totalsRowFormula>SUM([Pre Answers])</totalsRowFormula>
    </tableColumn>
    <tableColumn id="9" name="Post Answers" totalsRowFunction="custom" dataDxfId="891" totalsRowDxfId="890">
      <calculatedColumnFormula>IF(IF(Table442818[[#This Row],[Pre or Post]]="Post",1,0)+IF(ISNUMBER(Table442818[[#This Row],[Response]])=TRUE,1,0)=2,1,"")</calculatedColumnFormula>
      <totalsRowFormula>SUM([Post Answers])</totalsRowFormula>
    </tableColumn>
    <tableColumn id="10" name="Pre Total" totalsRowFunction="custom" dataDxfId="889" totalsRowDxfId="888">
      <calculatedColumnFormula>IF(IF(Table442818[[#This Row],[Pre or Post]]="Pre",1,0)+IF(ISNUMBER(Table442818[[#This Row],[Response]])=TRUE,1,0)=2,Table442818[[#This Row],[Response]],"")</calculatedColumnFormula>
      <totalsRowFormula>SUM([Pre Total])</totalsRowFormula>
    </tableColumn>
    <tableColumn id="11" name="Post Total" totalsRowFunction="custom" dataDxfId="887" totalsRowDxfId="886">
      <calculatedColumnFormula>IF(IF(Table442818[[#This Row],[Pre or Post]]="Post",1,0)+IF(ISNUMBER(Table442818[[#This Row],[Response]])=TRUE,1,0)=2,Table442818[[#This Row],[Response]],"")</calculatedColumnFormula>
      <totalsRowFormula>SUM([Post Total])</totalsRowFormula>
    </tableColumn>
    <tableColumn id="15" name="Pre Total (Pooled)" totalsRowFunction="custom" dataDxfId="885" totalsRowDxfId="884">
      <calculatedColumnFormula>IF(IF(ISNUMBER(J2),1,0)+IF(ISNUMBER(K3),1,0)=2,IF(IF(C3=C2,1,0)+IF(B3=B2,1,0)+IF(D3="Post",1,0)+IF(D2="Pre",1,0)=4,Table442818[[#This Row],[Pre Total]],""),"")</calculatedColumnFormula>
      <totalsRowFormula>SUM(Table442818[[#Headers],[#Data],[Pre Total (Pooled)]])</totalsRowFormula>
    </tableColumn>
    <tableColumn id="12" name="Post Total (Pooled)" totalsRowFunction="custom" dataDxfId="883" totalsRowDxfId="882">
      <calculatedColumnFormula>IF(IF(ISNUMBER(J1),1,0)+IF(ISNUMBER(Table442818[[#This Row],[Post Total]]),1,0)=2,IF(IF(Table442818[[#This Row],[Student Number]]=C1,1,0)+IF(Table442818[[#This Row],[Session]]=B1,1,0)+IF(Table442818[[#This Row],[Pre or Post]]="Post",1,0)+IF(D1="Pre",1,0)=4,Table442818[[#This Row],[Post Total]],""),"")</calculatedColumnFormula>
      <totalsRowFormula>SUM([Post Total (Pooled)])</totalsRowFormula>
    </tableColumn>
    <tableColumn id="13" name="Change" totalsRowFunction="custom" dataDxfId="881" totalsRowDxfId="880">
      <calculatedColumnFormula>IF(IF(ISNUMBER(J1),1,0)+IF(ISNUMBER(Table442818[[#This Row],[Post Total]]),1,0)=2,IF(IF(Table442818[[#This Row],[Student Number]]=C1,1,0)+IF(Table442818[[#This Row],[Session]]=B1,1,0)+IF(Table442818[[#This Row],[Pre or Post]]="Post",1,0)+IF(D1="Pre",1,0)=4,Table442818[[#This Row],[Post Total]]-J1,""),"")</calculatedColumnFormula>
      <totalsRowFormula>SUM([Change])</totalsRowFormula>
    </tableColumn>
    <tableColumn id="14" name="Number 2 Resp" totalsRowFunction="custom" dataDxfId="879" totalsRowDxfId="878">
      <calculatedColumnFormula>ISNUMBER(Table442818[[#This Row],[Change]])</calculatedColumnFormula>
      <totalsRowFormula>COUNTIF([Number 2 Resp],TRUE)</totalsRowFormula>
    </tableColumn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18" name="Table5122919" displayName="Table5122919" ref="A109:F111" totalsRowShown="0" headerRowDxfId="877" dataDxfId="876">
  <autoFilter ref="A109:F111"/>
  <tableColumns count="6">
    <tableColumn id="1" name="Pre or Post" dataDxfId="875"/>
    <tableColumn id="2" name="Total Surveys" dataDxfId="874">
      <calculatedColumnFormula>COUNTIF(Table4[Pre or Post],"Post")</calculatedColumnFormula>
    </tableColumn>
    <tableColumn id="3" name="Total Answers" dataDxfId="873">
      <calculatedColumnFormula>SUM(Table4[[#Totals],[Post Yes]:[Post No]])</calculatedColumnFormula>
    </tableColumn>
    <tableColumn id="4" name="Sample Mean" dataDxfId="872">
      <calculatedColumnFormula>Table4[[#Totals],[Post Yes]]</calculatedColumnFormula>
    </tableColumn>
    <tableColumn id="5" name="Sample Standard Deviation" dataDxfId="871">
      <calculatedColumnFormula>Table4[[#Totals],[Post No]]</calculatedColumnFormula>
    </tableColumn>
    <tableColumn id="6" name="Sample Standard Deviation of Change" dataDxfId="870">
      <calculatedColumnFormula>STDEV(Table442818[Change])</calculatedColumnFormula>
    </tableColumn>
  </tableColumns>
  <tableStyleInfo name="TableStyleMedium11" showFirstColumn="0" showLastColumn="0" showRowStripes="1" showColumnStripes="0"/>
</table>
</file>

<file path=xl/tables/table42.xml><?xml version="1.0" encoding="utf-8"?>
<table xmlns="http://schemas.openxmlformats.org/spreadsheetml/2006/main" id="38" name="Table6133039" displayName="Table6133039" ref="A113:M114" totalsRowShown="0" headerRowDxfId="869" dataDxfId="868">
  <autoFilter ref="A113:M114"/>
  <tableColumns count="13">
    <tableColumn id="1" name="Pre and Post" dataDxfId="867">
      <calculatedColumnFormula>COUNTIF(Table442818[Pre and Post?],"Yes")/2</calculatedColumnFormula>
    </tableColumn>
    <tableColumn id="13" name="Responded to Both Pre and Post" dataDxfId="866">
      <calculatedColumnFormula>COUNTIF(Table442818[Number 2 Resp],TRUE)</calculatedColumnFormula>
    </tableColumn>
    <tableColumn id="2" name="Increased by 1" dataDxfId="865">
      <calculatedColumnFormula>COUNTIF(Table442818[Change],1)</calculatedColumnFormula>
    </tableColumn>
    <tableColumn id="3" name="Increased by 2" dataDxfId="864">
      <calculatedColumnFormula>COUNTIF(Table442818[Change],2)</calculatedColumnFormula>
    </tableColumn>
    <tableColumn id="4" name="Increased by 3" dataDxfId="863">
      <calculatedColumnFormula>COUNTIF(Table442818[Change],3)</calculatedColumnFormula>
    </tableColumn>
    <tableColumn id="5" name="Increased by 4" dataDxfId="862">
      <calculatedColumnFormula>COUNTIF(Table442818[Change],4)</calculatedColumnFormula>
    </tableColumn>
    <tableColumn id="6" name="Decreased by 1" dataDxfId="861">
      <calculatedColumnFormula>COUNTIF(Table442818[Change],-1)</calculatedColumnFormula>
    </tableColumn>
    <tableColumn id="7" name="Decreased by 2" dataDxfId="860">
      <calculatedColumnFormula>COUNTIF(Table442818[Change],-2)</calculatedColumnFormula>
    </tableColumn>
    <tableColumn id="8" name="Decreased by 3" dataDxfId="859">
      <calculatedColumnFormula>COUNTIF(Table442818[Change],-3)</calculatedColumnFormula>
    </tableColumn>
    <tableColumn id="9" name="Decreased by 4" dataDxfId="858">
      <calculatedColumnFormula>COUNTIF(Table442818[Change],-4)</calculatedColumnFormula>
    </tableColumn>
    <tableColumn id="10" name="Number Increased" dataDxfId="857">
      <calculatedColumnFormula>SUM(Table6133039[[Increased by 1]:[Increased by 4]])</calculatedColumnFormula>
    </tableColumn>
    <tableColumn id="11" name="Number Decreased" dataDxfId="856">
      <calculatedColumnFormula>SUM(Table6133039[[Decreased by 1]:[Decreased by 4]])</calculatedColumnFormula>
    </tableColumn>
    <tableColumn id="12" name="No Change" dataDxfId="855">
      <calculatedColumnFormula>COUNTIF(Table442818[Change],0)</calculatedColumnFormula>
    </tableColumn>
  </tableColumns>
  <tableStyleInfo name="TableStyleMedium10" showFirstColumn="0" showLastColumn="0" showRowStripes="1" showColumnStripes="0"/>
</table>
</file>

<file path=xl/tables/table43.xml><?xml version="1.0" encoding="utf-8"?>
<table xmlns="http://schemas.openxmlformats.org/spreadsheetml/2006/main" id="39" name="Table44243140" displayName="Table44243140" ref="A1:O159" totalsRowCount="1" headerRowDxfId="848" dataDxfId="847" totalsRowDxfId="846">
  <autoFilter ref="A1:O158"/>
  <sortState ref="A2:O158">
    <sortCondition ref="B1:B159"/>
  </sortState>
  <tableColumns count="15">
    <tableColumn id="1" name="Old or New?" dataDxfId="845" totalsRowDxfId="844"/>
    <tableColumn id="2" name="Session" dataDxfId="843" totalsRowDxfId="842"/>
    <tableColumn id="3" name="Student Number" dataDxfId="841" totalsRowDxfId="840"/>
    <tableColumn id="4" name="Pre or Post" dataDxfId="839" totalsRowDxfId="838"/>
    <tableColumn id="5" name="Question Number" dataDxfId="837" totalsRowDxfId="836"/>
    <tableColumn id="6" name="Response" dataDxfId="835" totalsRowDxfId="834"/>
    <tableColumn id="7" name="Pre and Post?" dataDxfId="833" totalsRowDxfId="832"/>
    <tableColumn id="8" name="Pre Answers" totalsRowFunction="custom" dataDxfId="831" totalsRowDxfId="830">
      <calculatedColumnFormula>IF(IF(Table44243140[[#This Row],[Pre or Post]]="Pre",1,0)+IF(ISNUMBER(Table44243140[[#This Row],[Response]])=TRUE,1,0)=2,1,"")</calculatedColumnFormula>
      <totalsRowFormula>SUM([Pre Answers])</totalsRowFormula>
    </tableColumn>
    <tableColumn id="9" name="Post Answers" totalsRowFunction="custom" dataDxfId="829" totalsRowDxfId="828">
      <calculatedColumnFormula>IF(IF(Table44243140[[#This Row],[Pre or Post]]="Post",1,0)+IF(ISNUMBER(Table44243140[[#This Row],[Response]])=TRUE,1,0)=2,1,"")</calculatedColumnFormula>
      <totalsRowFormula>SUM([Post Answers])</totalsRowFormula>
    </tableColumn>
    <tableColumn id="10" name="Pre Total" totalsRowFunction="custom" dataDxfId="827" totalsRowDxfId="826">
      <calculatedColumnFormula>IF(IF(Table44243140[[#This Row],[Pre or Post]]="Pre",1,0)+IF(ISNUMBER(Table44243140[[#This Row],[Response]])=TRUE,1,0)=2,Table44243140[[#This Row],[Response]],"")</calculatedColumnFormula>
      <totalsRowFormula>SUM([Pre Total])</totalsRowFormula>
    </tableColumn>
    <tableColumn id="11" name="Post Total" totalsRowFunction="custom" dataDxfId="825" totalsRowDxfId="824">
      <calculatedColumnFormula>IF(IF(Table44243140[[#This Row],[Pre or Post]]="Post",1,0)+IF(ISNUMBER(Table44243140[[#This Row],[Response]])=TRUE,1,0)=2,Table44243140[[#This Row],[Response]],"")</calculatedColumnFormula>
      <totalsRowFormula>SUM([Post Total])</totalsRowFormula>
    </tableColumn>
    <tableColumn id="15" name="Pre Total (Pooled)" totalsRowFunction="custom" dataDxfId="823" totalsRowDxfId="822">
      <calculatedColumnFormula>IF(IF(ISNUMBER(J2),1,0)+IF(ISNUMBER(K3),1,0)=2,IF(IF(C3=C2,1,0)+IF(B3=B2,1,0)+IF(D3="Post",1,0)+IF(D2="Pre",1,0)=4,Table44243140[[#This Row],[Pre Total]],""),"")</calculatedColumnFormula>
      <totalsRowFormula>SUM([Pre Total (Pooled)])</totalsRowFormula>
    </tableColumn>
    <tableColumn id="12" name="Post Total (Pooled)" totalsRowFunction="custom" dataDxfId="821" totalsRowDxfId="820">
      <calculatedColumnFormula>IF(IF(ISNUMBER(J1),1,0)+IF(ISNUMBER(Table44243140[[#This Row],[Post Total]]),1,0)=2,IF(IF(Table44243140[[#This Row],[Student Number]]=C1,1,0)+IF(Table44243140[[#This Row],[Session]]=B1,1,0)+IF(Table44243140[[#This Row],[Pre or Post]]="Post",1,0)+IF(D1="Pre",1,0)=4,Table44243140[[#This Row],[Post Total]],""),"")</calculatedColumnFormula>
      <totalsRowFormula>SUM([Post Total (Pooled)])</totalsRowFormula>
    </tableColumn>
    <tableColumn id="13" name="Change" totalsRowFunction="custom" dataDxfId="819" totalsRowDxfId="818">
      <calculatedColumnFormula>IF(IF(ISNUMBER(J1),1,0)+IF(ISNUMBER(Table44243140[[#This Row],[Post Total]]),1,0)=2,IF(IF(Table44243140[[#This Row],[Student Number]]=C1,1,0)+IF(Table44243140[[#This Row],[Session]]=B1,1,0)+IF(Table44243140[[#This Row],[Pre or Post]]="Post",1,0)+IF(D1="Pre",1,0)=4,Table44243140[[#This Row],[Post Total]]-J1,""),"")</calculatedColumnFormula>
      <totalsRowFormula>SUM([Change])</totalsRowFormula>
    </tableColumn>
    <tableColumn id="14" name="Number 2 Resp" totalsRowFunction="custom" dataDxfId="817" totalsRowDxfId="816">
      <calculatedColumnFormula>ISNUMBER(Table44243140[[#This Row],[Change]])</calculatedColumnFormula>
      <totalsRowFormula>COUNTIF([Number 2 Resp],TRUE)</totalsRowFormula>
    </tableColumn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0" name="Table512253241" displayName="Table512253241" ref="A161:F163" totalsRowShown="0" headerRowDxfId="815" dataDxfId="814">
  <autoFilter ref="A161:F163"/>
  <tableColumns count="6">
    <tableColumn id="1" name="Pre or Post" dataDxfId="813"/>
    <tableColumn id="2" name="Total Surveys" dataDxfId="812"/>
    <tableColumn id="3" name="Total Answers" dataDxfId="811"/>
    <tableColumn id="4" name="Sample Mean" dataDxfId="810"/>
    <tableColumn id="5" name="Sample Standard Deviation" dataDxfId="809"/>
    <tableColumn id="6" name="Sample Standard Deviation of Change" dataDxfId="808">
      <calculatedColumnFormula>STDEV(Table44243140[Change])</calculatedColumnFormula>
    </tableColumn>
  </tableColumns>
  <tableStyleInfo name="TableStyleMedium11" showFirstColumn="0" showLastColumn="0" showRowStripes="1" showColumnStripes="0"/>
</table>
</file>

<file path=xl/tables/table45.xml><?xml version="1.0" encoding="utf-8"?>
<table xmlns="http://schemas.openxmlformats.org/spreadsheetml/2006/main" id="41" name="Table613263342" displayName="Table613263342" ref="A165:M166" totalsRowShown="0" headerRowDxfId="807" dataDxfId="806">
  <autoFilter ref="A165:M166"/>
  <tableColumns count="13">
    <tableColumn id="1" name="Pre and Post" dataDxfId="805">
      <calculatedColumnFormula>COUNTIF(Table44243140[Pre and Post?],"Yes")/2</calculatedColumnFormula>
    </tableColumn>
    <tableColumn id="13" name="Responded to Both Pre and Post" dataDxfId="804">
      <calculatedColumnFormula>COUNTIF(Table44243140[Number 2 Resp],TRUE)</calculatedColumnFormula>
    </tableColumn>
    <tableColumn id="2" name="Increased by 1" dataDxfId="803">
      <calculatedColumnFormula>COUNTIF(Table44243140[Change],1)</calculatedColumnFormula>
    </tableColumn>
    <tableColumn id="3" name="Increased by 2" dataDxfId="802">
      <calculatedColumnFormula>COUNTIF(Table44243140[Change],2)</calculatedColumnFormula>
    </tableColumn>
    <tableColumn id="4" name="Increased by 3" dataDxfId="801">
      <calculatedColumnFormula>COUNTIF(Table44243140[Change],3)</calculatedColumnFormula>
    </tableColumn>
    <tableColumn id="5" name="Increased by 4" dataDxfId="800">
      <calculatedColumnFormula>COUNTIF(Table44243140[Change],4)</calculatedColumnFormula>
    </tableColumn>
    <tableColumn id="6" name="Decreased by 1" dataDxfId="799">
      <calculatedColumnFormula>COUNTIF(Table44243140[Change],-1)</calculatedColumnFormula>
    </tableColumn>
    <tableColumn id="7" name="Decreased by 2" dataDxfId="798">
      <calculatedColumnFormula>COUNTIF(Table44243140[Change],-2)</calculatedColumnFormula>
    </tableColumn>
    <tableColumn id="8" name="Decreased by 3" dataDxfId="797">
      <calculatedColumnFormula>COUNTIF(Table44243140[Change],-3)</calculatedColumnFormula>
    </tableColumn>
    <tableColumn id="9" name="Decreased by 4" dataDxfId="796">
      <calculatedColumnFormula>COUNTIF(Table44243140[Change],-4)</calculatedColumnFormula>
    </tableColumn>
    <tableColumn id="10" name="Number Increased" dataDxfId="795">
      <calculatedColumnFormula>SUM(Table613263342[[Increased by 1]:[Increased by 4]])</calculatedColumnFormula>
    </tableColumn>
    <tableColumn id="11" name="Number Decreased" dataDxfId="794">
      <calculatedColumnFormula>SUM(Table613263342[[Decreased by 1]:[Decreased by 4]])</calculatedColumnFormula>
    </tableColumn>
    <tableColumn id="12" name="No Change" dataDxfId="793">
      <calculatedColumnFormula>COUNTIF(Table44243140[Change],0)</calculatedColumnFormula>
    </tableColumn>
  </tableColumns>
  <tableStyleInfo name="TableStyleMedium10" showFirstColumn="0" showLastColumn="0" showRowStripes="1" showColumnStripes="0"/>
</table>
</file>

<file path=xl/tables/table46.xml><?xml version="1.0" encoding="utf-8"?>
<table xmlns="http://schemas.openxmlformats.org/spreadsheetml/2006/main" id="42" name="Table511213443" displayName="Table511213443" ref="A1:G3" totalsRowShown="0" headerRowDxfId="736" dataDxfId="735">
  <autoFilter ref="A1:G3"/>
  <sortState ref="A2:H5">
    <sortCondition descending="1" ref="B1:B5"/>
  </sortState>
  <tableColumns count="7">
    <tableColumn id="8" name="Type" dataDxfId="734"/>
    <tableColumn id="1" name="Pre or Post" dataDxfId="733"/>
    <tableColumn id="2" name="Total Surveys" dataDxfId="732"/>
    <tableColumn id="3" name="Total Answers" dataDxfId="731"/>
    <tableColumn id="4" name="Sample Mean" dataDxfId="730"/>
    <tableColumn id="5" name="Sample Standard Deviation" dataDxfId="729"/>
    <tableColumn id="6" name="Sample Standard Deviation of Change" dataDxfId="728"/>
  </tableColumns>
  <tableStyleInfo name="TableStyleMedium11" showFirstColumn="1" showLastColumn="0" showRowStripes="1" showColumnStripes="0"/>
</table>
</file>

<file path=xl/tables/table47.xml><?xml version="1.0" encoding="utf-8"?>
<table xmlns="http://schemas.openxmlformats.org/spreadsheetml/2006/main" id="43" name="Table614223544" displayName="Table614223544" ref="A9:N11" totalsRowShown="0" headerRowDxfId="727" dataDxfId="726">
  <autoFilter ref="A9:N11"/>
  <tableColumns count="14">
    <tableColumn id="10" name="Type" dataDxfId="725"/>
    <tableColumn id="1" name="Pre and Post" dataDxfId="724"/>
    <tableColumn id="2" name="Responded to Both Pre and Post" dataDxfId="723"/>
    <tableColumn id="3" name="Increased by 1" dataDxfId="722"/>
    <tableColumn id="4" name="Increased by 2" dataDxfId="721"/>
    <tableColumn id="5" name="Increased by 3" dataDxfId="720"/>
    <tableColumn id="6" name="Increased by 4" dataDxfId="719"/>
    <tableColumn id="7" name="Decreased by 1" dataDxfId="718"/>
    <tableColumn id="8" name="Decreased by 2" dataDxfId="717"/>
    <tableColumn id="9" name="Decreased by 3" dataDxfId="716"/>
    <tableColumn id="11" name="Decreased by 4" dataDxfId="715"/>
    <tableColumn id="12" name="Number Increased" dataDxfId="714"/>
    <tableColumn id="13" name="Number Decreased" dataDxfId="713"/>
    <tableColumn id="15" name="No Change" dataDxfId="712"/>
  </tableColumns>
  <tableStyleInfo name="TableStyleMedium10" showFirstColumn="1" showLastColumn="0" showRowStripes="1" showColumnStripes="0"/>
</table>
</file>

<file path=xl/tables/table48.xml><?xml version="1.0" encoding="utf-8"?>
<table xmlns="http://schemas.openxmlformats.org/spreadsheetml/2006/main" id="44" name="Table14233645" displayName="Table14233645" ref="A5:G7" totalsRowShown="0" headerRowDxfId="711" headerRowBorderDxfId="710">
  <autoFilter ref="A5:G7"/>
  <tableColumns count="7">
    <tableColumn id="1" name="Type"/>
    <tableColumn id="2" name="Pre or Post"/>
    <tableColumn id="3" name="Total Surveys" dataDxfId="709"/>
    <tableColumn id="4" name="Total Answers" dataDxfId="708"/>
    <tableColumn id="5" name="Sample Mean" dataDxfId="707"/>
    <tableColumn id="6" name="Sample Standard Deviation" dataDxfId="706"/>
    <tableColumn id="7" name="Sample Standard Deviation of Change" dataDxfId="705"/>
  </tableColumns>
  <tableStyleInfo name="TableStyleMedium11" showFirstColumn="1" showLastColumn="0" showRowStripes="1" showColumnStripes="0"/>
</table>
</file>

<file path=xl/tables/table49.xml><?xml version="1.0" encoding="utf-8"?>
<table xmlns="http://schemas.openxmlformats.org/spreadsheetml/2006/main" id="45" name="Table51121203746" displayName="Table51121203746" ref="A14:F16" totalsRowShown="0" headerRowDxfId="704" dataDxfId="703">
  <autoFilter ref="A14:F16"/>
  <sortState ref="A15:H18">
    <sortCondition descending="1" ref="B1:B5"/>
  </sortState>
  <tableColumns count="6">
    <tableColumn id="8" name="Type" dataDxfId="702"/>
    <tableColumn id="1" name="Pre or Post" dataDxfId="701"/>
    <tableColumn id="2" name="Total Surveys" dataDxfId="700"/>
    <tableColumn id="3" name="Sample Standard Deviation of Change" dataDxfId="699"/>
    <tableColumn id="4" name="Sample Mean" dataDxfId="698"/>
    <tableColumn id="5" name="Sample Standard Deviation" dataDxfId="697"/>
  </tableColumns>
  <tableStyleInfo name="TableStyleMedium11" showFirstColumn="1" showLastColumn="0" showRowStripes="1" showColumnStripes="0"/>
</table>
</file>

<file path=xl/tables/table5.xml><?xml version="1.0" encoding="utf-8"?>
<table xmlns="http://schemas.openxmlformats.org/spreadsheetml/2006/main" id="6" name="Table6" displayName="Table6" ref="A113:I114" totalsRowShown="0" headerRowDxfId="1554" dataDxfId="1553">
  <autoFilter ref="A113:I114">
    <filterColumn colId="5"/>
    <filterColumn colId="6"/>
    <filterColumn colId="7"/>
    <filterColumn colId="8"/>
  </autoFilter>
  <tableColumns count="9">
    <tableColumn id="1" name="Changed to Yes" dataDxfId="1552"/>
    <tableColumn id="2" name="Changed to No" dataDxfId="1551"/>
    <tableColumn id="3" name="Pre and Post" dataDxfId="1550">
      <calculatedColumnFormula>COUNTIF(Table4[Pre and Post?],"Yes")/2</calculatedColumnFormula>
    </tableColumn>
    <tableColumn id="4" name="% Total Changed to Yes" dataDxfId="1549">
      <calculatedColumnFormula>A114/C114*100</calculatedColumnFormula>
    </tableColumn>
    <tableColumn id="5" name="% Total Changed to No" dataDxfId="1548">
      <calculatedColumnFormula>B114/C114*100</calculatedColumnFormula>
    </tableColumn>
    <tableColumn id="6" name="Total Changed" dataDxfId="1547">
      <calculatedColumnFormula>SUM(Table6[[Changed to Yes]:[Changed to No]])</calculatedColumnFormula>
    </tableColumn>
    <tableColumn id="7" name="Total % Changed" dataDxfId="1546">
      <calculatedColumnFormula>[Total Changed]/[Pre and Post]*100</calculatedColumnFormula>
    </tableColumn>
    <tableColumn id="8" name="Of Changed, % Changed to Yes" dataDxfId="1545">
      <calculatedColumnFormula>[Changed to Yes]/[Total Changed]*100</calculatedColumnFormula>
    </tableColumn>
    <tableColumn id="9" name="Of Changed, % Changed to No" dataDxfId="1544">
      <calculatedColumnFormula>[Changed to No]/[Total Changed]*100</calculatedColumnFormula>
    </tableColumn>
  </tableColumns>
  <tableStyleInfo name="TableStyleMedium10" showFirstColumn="0" showLastColumn="0" showRowStripes="1" showColumnStripes="0"/>
</table>
</file>

<file path=xl/tables/table50.xml><?xml version="1.0" encoding="utf-8"?>
<table xmlns="http://schemas.openxmlformats.org/spreadsheetml/2006/main" id="46" name="Table1423273847" displayName="Table1423273847" ref="A18:F20" totalsRowShown="0" headerRowDxfId="696" headerRowBorderDxfId="695">
  <autoFilter ref="A18:F20"/>
  <tableColumns count="6">
    <tableColumn id="1" name="Type"/>
    <tableColumn id="2" name="Pre or Post"/>
    <tableColumn id="3" name="Total Surveys" dataDxfId="694"/>
    <tableColumn id="4" name="Sample Standard Deviation of Change" dataDxfId="693"/>
    <tableColumn id="5" name="Sample Mean" dataDxfId="692"/>
    <tableColumn id="6" name="Sample Standard Deviation" dataDxfId="691"/>
  </tableColumns>
  <tableStyleInfo name="TableStyleMedium11" showFirstColumn="1" showLastColumn="0" showRowStripes="1" showColumnStripes="0"/>
</table>
</file>

<file path=xl/tables/table51.xml><?xml version="1.0" encoding="utf-8"?>
<table xmlns="http://schemas.openxmlformats.org/spreadsheetml/2006/main" id="85" name="Table85" displayName="Table85" ref="A23:C26" totalsRowShown="0" headerRowDxfId="690" dataDxfId="689">
  <autoFilter ref="A23:C26"/>
  <tableColumns count="3">
    <tableColumn id="1" name=" " dataDxfId="688"/>
    <tableColumn id="2" name="New Pre" dataDxfId="687"/>
    <tableColumn id="3" name="New Post" dataDxfId="686"/>
  </tableColumns>
  <tableStyleInfo name="TableStyleLight4" showFirstColumn="0" showLastColumn="0" showRowStripes="1" showColumnStripes="0"/>
</table>
</file>

<file path=xl/tables/table52.xml><?xml version="1.0" encoding="utf-8"?>
<table xmlns="http://schemas.openxmlformats.org/spreadsheetml/2006/main" id="86" name="Table86" displayName="Table86" ref="G23:I26" totalsRowShown="0" headerRowDxfId="685" dataDxfId="684">
  <autoFilter ref="G23:I26"/>
  <tableColumns count="3">
    <tableColumn id="1" name=" " dataDxfId="683"/>
    <tableColumn id="2" name="Old Pre" dataDxfId="682"/>
    <tableColumn id="3" name="Old Post" dataDxfId="681"/>
  </tableColumns>
  <tableStyleInfo name="TableStyleLight4" showFirstColumn="0" showLastColumn="0" showRowStripes="1" showColumnStripes="0"/>
</table>
</file>

<file path=xl/tables/table53.xml><?xml version="1.0" encoding="utf-8"?>
<table xmlns="http://schemas.openxmlformats.org/spreadsheetml/2006/main" id="87" name="Table87" displayName="Table87" ref="B33:D36" totalsRowShown="0">
  <autoFilter ref="B33:D36"/>
  <tableColumns count="3">
    <tableColumn id="1" name=" " dataDxfId="680"/>
    <tableColumn id="2" name="Old"/>
    <tableColumn id="3" name="New"/>
  </tableColumns>
  <tableStyleInfo name="TableStyleLight4" showFirstColumn="0" showLastColumn="0" showRowStripes="1" showColumnStripes="0"/>
</table>
</file>

<file path=xl/tables/table54.xml><?xml version="1.0" encoding="utf-8"?>
<table xmlns="http://schemas.openxmlformats.org/spreadsheetml/2006/main" id="47" name="Table41648" displayName="Table41648" ref="A1:M163" totalsRowCount="1" headerRowDxfId="677" dataDxfId="676" totalsRowDxfId="675">
  <autoFilter ref="A1:M162"/>
  <sortState ref="A2:G106">
    <sortCondition ref="B1:B106"/>
  </sortState>
  <tableColumns count="13">
    <tableColumn id="1" name="Old or New?" dataDxfId="674" totalsRowDxfId="673"/>
    <tableColumn id="2" name="Session" dataDxfId="672" totalsRowDxfId="671"/>
    <tableColumn id="3" name="Student Number" dataDxfId="670" totalsRowDxfId="669"/>
    <tableColumn id="4" name="Pre or Post" dataDxfId="668" totalsRowDxfId="667"/>
    <tableColumn id="5" name="Question Number" dataDxfId="666" totalsRowDxfId="665"/>
    <tableColumn id="6" name="Response" dataDxfId="664" totalsRowDxfId="663"/>
    <tableColumn id="8" name="If Crossman" totalsRowFunction="custom" dataDxfId="662" totalsRowDxfId="661">
      <calculatedColumnFormula>IF(Table41648[[#This Row],[Response]]="Crossman",1,"")</calculatedColumnFormula>
      <totalsRowFormula>SUM([If Crossman])</totalsRowFormula>
    </tableColumn>
    <tableColumn id="9" name="If Other" totalsRowFunction="custom" dataDxfId="660" totalsRowDxfId="659">
      <calculatedColumnFormula>IF(Table41648[[#This Row],[Response]]="","",IF(Table41648[[#This Row],[Response]]="Crossman","",1))</calculatedColumnFormula>
      <totalsRowFormula>SUM([If Other])</totalsRowFormula>
    </tableColumn>
    <tableColumn id="10" name="Answered?" totalsRowFunction="custom" dataDxfId="658" totalsRowDxfId="657">
      <calculatedColumnFormula>IF(SUM(Table41648[[#This Row],[If Crossman]:[If Other]])=1,1,"")</calculatedColumnFormula>
      <totalsRowFormula>SUM([Answered?])</totalsRowFormula>
    </tableColumn>
    <tableColumn id="11" name="New Crossman" totalsRowFunction="custom" dataDxfId="656" totalsRowDxfId="655">
      <calculatedColumnFormula>IF(IF(Table41648[[#This Row],[Old or New?]]="New",1,0)+IF(Table41648[[#This Row],[If Crossman]]=1,1,0)=2,1,"")</calculatedColumnFormula>
      <totalsRowFormula>SUM([New Crossman])</totalsRowFormula>
    </tableColumn>
    <tableColumn id="12" name="New Other" totalsRowFunction="custom" dataDxfId="654" totalsRowDxfId="653">
      <calculatedColumnFormula>IF(IF(Table41648[[#This Row],[Old or New?]]="New",1,0)+IF(Table41648[[#This Row],[If Other]]=1,1,0)=2,1,"")</calculatedColumnFormula>
      <totalsRowFormula>SUM([New Other])</totalsRowFormula>
    </tableColumn>
    <tableColumn id="13" name="Old Crossman" totalsRowFunction="custom" dataDxfId="652" totalsRowDxfId="651">
      <calculatedColumnFormula>IF(IF(Table41648[[#This Row],[Old or New?]]="Old",1,0)+IF(Table41648[[#This Row],[If Crossman]]=1,1,0)=2,1,"")</calculatedColumnFormula>
      <totalsRowFormula>SUM([Old Crossman])</totalsRowFormula>
    </tableColumn>
    <tableColumn id="14" name="Old Other" totalsRowFunction="custom" dataDxfId="650" totalsRowDxfId="649">
      <calculatedColumnFormula>IF(IF(Table41648[[#This Row],[Old or New?]]="Old",1,0)+IF(Table41648[[#This Row],[If Other]]=1,1,0)=2,1,"")</calculatedColumnFormula>
      <totalsRowFormula>SUM([Old Other])</totalsRowFormula>
    </tableColumn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id="48" name="Table51749" displayName="Table51749" ref="A165:I167" totalsRowShown="0" headerRowDxfId="648" dataDxfId="647">
  <autoFilter ref="A165:I167">
    <filterColumn colId="7"/>
    <filterColumn colId="8"/>
  </autoFilter>
  <tableColumns count="9">
    <tableColumn id="1" name="Pre or Post" dataDxfId="646"/>
    <tableColumn id="2" name="Total Surveys" dataDxfId="645"/>
    <tableColumn id="3" name="Total Answers" dataDxfId="644"/>
    <tableColumn id="4" name="Crossman" dataDxfId="643"/>
    <tableColumn id="5" name="Other" dataDxfId="642"/>
    <tableColumn id="6" name="% Crossman" dataDxfId="641"/>
    <tableColumn id="7" name="% Other" dataDxfId="640">
      <calculatedColumnFormula>E166/C166*100</calculatedColumnFormula>
    </tableColumn>
    <tableColumn id="8" name="% CM incl Blanks" dataDxfId="639">
      <calculatedColumnFormula>Table51749[[#This Row],[Crossman]]/Table51749[[#This Row],[Total Surveys]]*100</calculatedColumnFormula>
    </tableColumn>
    <tableColumn id="9" name="% Other incl Blanks" dataDxfId="638">
      <calculatedColumnFormula>100-Table51749[[#This Row],[% CM incl Blanks]]</calculatedColumnFormula>
    </tableColumn>
  </tableColumns>
  <tableStyleInfo name="TableStyleMedium11" showFirstColumn="0" showLastColumn="0" showRowStripes="1" showColumnStripes="0"/>
</table>
</file>

<file path=xl/tables/table56.xml><?xml version="1.0" encoding="utf-8"?>
<table xmlns="http://schemas.openxmlformats.org/spreadsheetml/2006/main" id="49" name="Table44281850" displayName="Table44281850" ref="A1:L163" totalsRowCount="1" headerRowDxfId="635" dataDxfId="634" totalsRowDxfId="633">
  <autoFilter ref="A1:L162">
    <filterColumn colId="7"/>
    <filterColumn colId="8"/>
    <filterColumn colId="9"/>
    <filterColumn colId="10"/>
  </autoFilter>
  <sortState ref="A2:O106">
    <sortCondition ref="B1:B107"/>
  </sortState>
  <tableColumns count="12">
    <tableColumn id="1" name="Old or New?" dataDxfId="632" totalsRowDxfId="631"/>
    <tableColumn id="2" name="Session" dataDxfId="630" totalsRowDxfId="629"/>
    <tableColumn id="3" name="Student Number" dataDxfId="628" totalsRowDxfId="627"/>
    <tableColumn id="4" name="Pre or Post" dataDxfId="626" totalsRowDxfId="625"/>
    <tableColumn id="5" name="Question Number" dataDxfId="624" totalsRowDxfId="623"/>
    <tableColumn id="6" name="Response" totalsRowFunction="custom" dataDxfId="622" totalsRowDxfId="621">
      <totalsRowFormula>SUM([Response])</totalsRowFormula>
    </tableColumn>
    <tableColumn id="9" name="Answered?" totalsRowFunction="custom" dataDxfId="620" totalsRowDxfId="619">
      <calculatedColumnFormula>IF(IF(Table44281850[[#This Row],[Pre or Post]]="Post",1,0)+IF(ISNUMBER(Table44281850[[#This Row],[Response]])=TRUE,1,0)=2,1,"")</calculatedColumnFormula>
      <totalsRowFormula>SUM([Answered?])</totalsRowFormula>
    </tableColumn>
    <tableColumn id="11" name="Post Total" totalsRowFunction="custom" dataDxfId="618" totalsRowDxfId="617">
      <calculatedColumnFormula>IF(IF(Table44281850[[#This Row],[Pre or Post]]="Post",1,0)+IF(ISNUMBER(Table44281850[[#This Row],[Response]])=TRUE,1,0)=2,Table44281850[[#This Row],[Response]],"")</calculatedColumnFormula>
      <totalsRowFormula>SUM([Post Total])</totalsRowFormula>
    </tableColumn>
    <tableColumn id="7" name="New" totalsRowFunction="custom" dataDxfId="616" totalsRowDxfId="615">
      <calculatedColumnFormula>IF(Table44281850[[#This Row],[Old or New?]]="New",Table44281850[[#This Row],[Post Total]],"")</calculatedColumnFormula>
      <totalsRowFormula>SUM([New])</totalsRowFormula>
    </tableColumn>
    <tableColumn id="8" name="Old" totalsRowFunction="custom" dataDxfId="614" totalsRowDxfId="613">
      <calculatedColumnFormula>IF(Table44281850[[#This Row],[Old or New?]]="Old",Table44281850[[#This Row],[Post Total]],"")</calculatedColumnFormula>
      <totalsRowFormula>SUM([Old])</totalsRowFormula>
    </tableColumn>
    <tableColumn id="10" name="Count New" totalsRowFunction="custom" dataDxfId="612" totalsRowDxfId="611">
      <calculatedColumnFormula>ISNUMBER(Table44281850[[#This Row],[New]])</calculatedColumnFormula>
      <totalsRowFormula>COUNTIF([Count New],"TRUE")</totalsRowFormula>
    </tableColumn>
    <tableColumn id="12" name="Count Old" totalsRowFunction="custom" dataDxfId="610" totalsRowDxfId="609">
      <calculatedColumnFormula>ISNUMBER(Table44281850[[#This Row],[Old]])</calculatedColumnFormula>
      <totalsRowFormula>COUNTIF([Count Old],"TRUE")</totalsRowFormula>
    </tableColumn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0" name="Table512291951" displayName="Table512291951" ref="A165:E166" totalsRowShown="0" headerRowDxfId="608" dataDxfId="607">
  <autoFilter ref="A165:E166"/>
  <tableColumns count="5">
    <tableColumn id="1" name="Pre or Post" dataDxfId="606"/>
    <tableColumn id="2" name="Total Surveys" dataDxfId="605"/>
    <tableColumn id="3" name="Total Answers" dataDxfId="604"/>
    <tableColumn id="4" name="Sample Mean" dataDxfId="603"/>
    <tableColumn id="5" name="Sample Standard Deviation" dataDxfId="602"/>
  </tableColumns>
  <tableStyleInfo name="TableStyleMedium11" showFirstColumn="0" showLastColumn="0" showRowStripes="1" showColumnStripes="0"/>
</table>
</file>

<file path=xl/tables/table58.xml><?xml version="1.0" encoding="utf-8"?>
<table xmlns="http://schemas.openxmlformats.org/spreadsheetml/2006/main" id="52" name="Table51229195153" displayName="Table51229195153" ref="A168:E170" totalsRowShown="0" headerRowDxfId="601" dataDxfId="600">
  <autoFilter ref="A168:E170"/>
  <tableColumns count="5">
    <tableColumn id="1" name="Old or New" dataDxfId="599"/>
    <tableColumn id="2" name="Total Surveys" dataDxfId="598">
      <calculatedColumnFormula>COUNTIF(Table44281850[Old or New?],"New")</calculatedColumnFormula>
    </tableColumn>
    <tableColumn id="3" name="Total Answers" dataDxfId="597">
      <calculatedColumnFormula>Table44281850[[#Totals],[Count New]]</calculatedColumnFormula>
    </tableColumn>
    <tableColumn id="4" name="Sample Mean" dataDxfId="596">
      <calculatedColumnFormula>Table44281850[[#Totals],[New]]/[Total Answers]</calculatedColumnFormula>
    </tableColumn>
    <tableColumn id="5" name="Sample Standard Deviation" dataDxfId="595">
      <calculatedColumnFormula>STDEV(Table44281850[New])</calculatedColumnFormula>
    </tableColumn>
  </tableColumns>
  <tableStyleInfo name="TableStyleMedium11" showFirstColumn="0" showLastColumn="0" showRowStripes="1" showColumnStripes="0"/>
</table>
</file>

<file path=xl/tables/table59.xml><?xml version="1.0" encoding="utf-8"?>
<table xmlns="http://schemas.openxmlformats.org/spreadsheetml/2006/main" id="53" name="Table4164854" displayName="Table4164854" ref="A1:P163" totalsRowCount="1" headerRowDxfId="592" dataDxfId="591" totalsRowDxfId="590">
  <autoFilter ref="A1:P162">
    <filterColumn colId="12"/>
    <filterColumn colId="13"/>
  </autoFilter>
  <sortState ref="A2:G106">
    <sortCondition ref="B1:B106"/>
  </sortState>
  <tableColumns count="16">
    <tableColumn id="1" name="Old or New?" dataDxfId="589" totalsRowDxfId="588"/>
    <tableColumn id="2" name="Session" dataDxfId="587" totalsRowDxfId="586"/>
    <tableColumn id="3" name="Student Number" dataDxfId="585" totalsRowDxfId="584"/>
    <tableColumn id="4" name="Pre or Post" dataDxfId="583" totalsRowDxfId="582"/>
    <tableColumn id="5" name="Question Number" dataDxfId="581" totalsRowDxfId="580"/>
    <tableColumn id="6" name="Response" dataDxfId="579" totalsRowDxfId="578"/>
    <tableColumn id="8" name="If Sight" totalsRowFunction="custom" dataDxfId="577" totalsRowDxfId="576">
      <calculatedColumnFormula>IF(Table4164854[[#This Row],[Response]]="Sight",1,"")</calculatedColumnFormula>
      <totalsRowFormula>SUM([If Sight])</totalsRowFormula>
    </tableColumn>
    <tableColumn id="9" name="If Touch" totalsRowFunction="custom" dataDxfId="575" totalsRowDxfId="574">
      <calculatedColumnFormula>IF(Table4164854[[#This Row],[Response]]="Touch",1,"")</calculatedColumnFormula>
      <totalsRowFormula>SUM([If Touch])</totalsRowFormula>
    </tableColumn>
    <tableColumn id="7" name="If Both" totalsRowFunction="custom" dataDxfId="573" totalsRowDxfId="572">
      <calculatedColumnFormula>IF(Table4164854[[#This Row],[Response]]="Both",1,"")</calculatedColumnFormula>
      <totalsRowFormula>SUM([If Both])</totalsRowFormula>
    </tableColumn>
    <tableColumn id="10" name="Answered?" totalsRowFunction="custom" dataDxfId="571" totalsRowDxfId="570">
      <calculatedColumnFormula>IF(SUM(Table4164854[[#This Row],[If Sight]:[If Both]])=1,1,"")</calculatedColumnFormula>
      <totalsRowFormula>SUM([Answered?])</totalsRowFormula>
    </tableColumn>
    <tableColumn id="11" name="New Sight (w/Both)" totalsRowFunction="custom" dataDxfId="569" totalsRowDxfId="568">
      <calculatedColumnFormula>IF(Table4164854[[#This Row],[Old or New?]]="New",IF(SUM(G2,I2)=1,1,""),"")</calculatedColumnFormula>
      <totalsRowFormula>SUM([New Sight (w/Both)])</totalsRowFormula>
    </tableColumn>
    <tableColumn id="12" name="New Touch (w/Both)" totalsRowFunction="custom" dataDxfId="567" totalsRowDxfId="566">
      <calculatedColumnFormula>IF(Table4164854[[#This Row],[Old or New?]]="New",IF(SUM(H2,I2)=1,1,""),"")</calculatedColumnFormula>
      <totalsRowFormula>SUM([New Touch (w/Both)])</totalsRowFormula>
    </tableColumn>
    <tableColumn id="13" name="Old Sight (w/Both)" totalsRowFunction="custom" dataDxfId="565" totalsRowDxfId="564">
      <calculatedColumnFormula>IF(Table4164854[[#This Row],[Old or New?]]="Old",IF(SUM(G2,I2)=1,1,""),"")</calculatedColumnFormula>
      <totalsRowFormula>SUM([Old Sight (w/Both)])</totalsRowFormula>
    </tableColumn>
    <tableColumn id="14" name="Old Touch (w/Both)" totalsRowFunction="custom" dataDxfId="563" totalsRowDxfId="562">
      <calculatedColumnFormula>IF(Table4164854[[#This Row],[Old or New?]]="Old",IF(SUM(H2,I2)=1,1,""),"")</calculatedColumnFormula>
      <totalsRowFormula>SUM([Old Touch (w/Both)])</totalsRowFormula>
    </tableColumn>
    <tableColumn id="15" name="Count New Answers" totalsRowFunction="custom" dataDxfId="561" totalsRowDxfId="560">
      <calculatedColumnFormula>IF(IF(Table4164854[[#This Row],[Old or New?]]="New",1,0)+IF(SUM(Table4164854[[#This Row],[If Sight]:[If Both]])=1,1,0)=2,1,"")</calculatedColumnFormula>
      <totalsRowFormula>SUM([Count New Answers])</totalsRowFormula>
    </tableColumn>
    <tableColumn id="16" name="Count Old Answers" totalsRowFunction="custom" dataDxfId="559" totalsRowDxfId="558">
      <calculatedColumnFormula>IF(IF(Table4164854[[#This Row],[Old or New?]]="Old",1,0)+IF(SUM(Table4164854[[#This Row],[If Sight]:[If Both]])=1,1,0)=2,1,"")</calculatedColumnFormula>
      <totalsRowFormula>SUM([Count Old Answers])</totalsRow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Table48" displayName="Table48" ref="A1:N159" totalsRowCount="1" headerRowDxfId="1539" dataDxfId="1538" totalsRowDxfId="1537">
  <autoFilter ref="A1:N158"/>
  <sortState ref="A2:N158">
    <sortCondition ref="B1:B159"/>
  </sortState>
  <tableColumns count="14">
    <tableColumn id="1" name="Old or New?" dataDxfId="1536" totalsRowDxfId="1535"/>
    <tableColumn id="2" name="Session" dataDxfId="1534" totalsRowDxfId="1533"/>
    <tableColumn id="3" name="Student Number" dataDxfId="1532" totalsRowDxfId="1531"/>
    <tableColumn id="4" name="Pre or Post" dataDxfId="1530" totalsRowDxfId="1529"/>
    <tableColumn id="5" name="Question Number" dataDxfId="1528" totalsRowDxfId="1527"/>
    <tableColumn id="6" name="Response" dataDxfId="1526" totalsRowDxfId="1525"/>
    <tableColumn id="7" name="Pre and Post?" dataDxfId="1524" totalsRowDxfId="1523"/>
    <tableColumn id="8" name="If Yes" totalsRowFunction="custom" dataDxfId="1522" totalsRowDxfId="1521">
      <calculatedColumnFormula>IF(Table48[[#This Row],[Response]]="Yes",1,"")</calculatedColumnFormula>
      <totalsRowFormula>SUM([If Yes])</totalsRowFormula>
    </tableColumn>
    <tableColumn id="9" name="If No" totalsRowFunction="custom" dataDxfId="1520" totalsRowDxfId="1519">
      <calculatedColumnFormula>IF(Table48[[#This Row],[Response]]="No",1,"")</calculatedColumnFormula>
      <totalsRowFormula>SUM([If No])</totalsRowFormula>
    </tableColumn>
    <tableColumn id="10" name="Answered?" totalsRowFunction="custom" dataDxfId="1518" totalsRowDxfId="1517">
      <calculatedColumnFormula>IF(SUM(Table48[[#This Row],[If Yes]:[If No]])=1,1,"")</calculatedColumnFormula>
      <totalsRowFormula>SUM([Answered?])</totalsRowFormula>
    </tableColumn>
    <tableColumn id="11" name="Pre Yes" totalsRowFunction="custom" dataDxfId="1516" totalsRowDxfId="1515">
      <calculatedColumnFormula>IF(IF(Table48[[#This Row],[Pre or Post]]="Pre",1,0)+IF(Table48[[#This Row],[If Yes]]=1,1,0)=2,1,"")</calculatedColumnFormula>
      <totalsRowFormula>SUM([Pre Yes])</totalsRowFormula>
    </tableColumn>
    <tableColumn id="12" name="Pre No" totalsRowFunction="custom" dataDxfId="1514" totalsRowDxfId="1513">
      <calculatedColumnFormula>IF(IF(Table48[[#This Row],[Pre or Post]]="Pre",1,0)+IF(Table48[[#This Row],[If No]]=1,1,0)=2,1,"")</calculatedColumnFormula>
      <totalsRowFormula>SUM([Pre No])</totalsRowFormula>
    </tableColumn>
    <tableColumn id="13" name="Post Yes" totalsRowFunction="custom" dataDxfId="1512" totalsRowDxfId="1511">
      <calculatedColumnFormula>IF(IF(Table48[[#This Row],[Pre or Post]]="Post",1,0)+IF(Table48[[#This Row],[If Yes]]=1,1,0)=2,1,"")</calculatedColumnFormula>
      <totalsRowFormula>SUM([Post Yes])</totalsRowFormula>
    </tableColumn>
    <tableColumn id="14" name="Post No" totalsRowFunction="custom" dataDxfId="1510" totalsRowDxfId="1509">
      <calculatedColumnFormula>IF(IF(Table48[[#This Row],[Pre or Post]]="Post",1,0)+IF(Table48[[#This Row],[If No]]=1,1,0)=2,1,"")</calculatedColumnFormula>
      <totalsRowFormula>SUM([Post No])</totalsRowFormula>
    </tableColumn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id="54" name="Table5174955" displayName="Table5174955" ref="A165:G167" totalsRowShown="0" headerRowDxfId="557" dataDxfId="556">
  <autoFilter ref="A165:G167"/>
  <tableColumns count="7">
    <tableColumn id="1" name="Pre or Post" dataDxfId="555"/>
    <tableColumn id="2" name="Total Surveys" dataDxfId="554"/>
    <tableColumn id="3" name="Total Answers" dataDxfId="553"/>
    <tableColumn id="4" name="Sight (w/Both)" dataDxfId="552"/>
    <tableColumn id="5" name="Touch (w/Both)" dataDxfId="551"/>
    <tableColumn id="6" name="% Sight w/ Both" dataDxfId="550">
      <calculatedColumnFormula>Table5174955[[#This Row],[Sight (w/Both)]]/Table5174955[[#This Row],[Total Answers]]*100</calculatedColumnFormula>
    </tableColumn>
    <tableColumn id="7" name="% Touch w/ Both" dataDxfId="549">
      <calculatedColumnFormula>Table5174955[[#This Row],[Touch (w/Both)]]/Table5174955[[#This Row],[Total Answers]]*100</calculatedColumnFormula>
    </tableColumn>
  </tableColumns>
  <tableStyleInfo name="TableStyleMedium11" showFirstColumn="0" showLastColumn="0" showRowStripes="1" showColumnStripes="0"/>
</table>
</file>

<file path=xl/tables/table61.xml><?xml version="1.0" encoding="utf-8"?>
<table xmlns="http://schemas.openxmlformats.org/spreadsheetml/2006/main" id="51" name="Table4428185052" displayName="Table4428185052" ref="A1:L162" totalsRowCount="1" headerRowDxfId="546" dataDxfId="545" totalsRowDxfId="544">
  <autoFilter ref="A1:L161"/>
  <sortState ref="A2:O106">
    <sortCondition ref="B1:B107"/>
  </sortState>
  <tableColumns count="12">
    <tableColumn id="1" name="Old or New?" dataDxfId="543" totalsRowDxfId="542"/>
    <tableColumn id="2" name="Session" dataDxfId="541" totalsRowDxfId="540"/>
    <tableColumn id="3" name="Student Number" dataDxfId="539" totalsRowDxfId="538"/>
    <tableColumn id="4" name="Pre or Post" dataDxfId="537" totalsRowDxfId="536"/>
    <tableColumn id="5" name="Question Number" dataDxfId="535" totalsRowDxfId="534"/>
    <tableColumn id="6" name="Response" totalsRowFunction="custom" dataDxfId="533" totalsRowDxfId="532">
      <totalsRowFormula>SUM([Response])</totalsRowFormula>
    </tableColumn>
    <tableColumn id="9" name="Answered?" totalsRowFunction="custom" dataDxfId="531" totalsRowDxfId="530">
      <calculatedColumnFormula>IF(IF(Table4428185052[[#This Row],[Pre or Post]]="Post",1,0)+IF(ISNUMBER(Table4428185052[[#This Row],[Response]])=TRUE,1,0)=2,1,"")</calculatedColumnFormula>
      <totalsRowFormula>SUM([Answered?])</totalsRowFormula>
    </tableColumn>
    <tableColumn id="11" name="Post Total" totalsRowFunction="custom" dataDxfId="529" totalsRowDxfId="528">
      <calculatedColumnFormula>IF(IF(Table4428185052[[#This Row],[Pre or Post]]="Post",1,0)+IF(ISNUMBER(Table4428185052[[#This Row],[Response]])=TRUE,1,0)=2,Table4428185052[[#This Row],[Response]],"")</calculatedColumnFormula>
      <totalsRowFormula>SUM([Post Total])</totalsRowFormula>
    </tableColumn>
    <tableColumn id="7" name="New" totalsRowFunction="custom" dataDxfId="527" totalsRowDxfId="526">
      <calculatedColumnFormula>IF(Table4428185052[[#This Row],[Old or New?]]="New",Table4428185052[[#This Row],[Post Total]],"")</calculatedColumnFormula>
      <totalsRowFormula>SUM([New])</totalsRowFormula>
    </tableColumn>
    <tableColumn id="8" name="Old" totalsRowFunction="custom" dataDxfId="525" totalsRowDxfId="524">
      <calculatedColumnFormula>IF(Table4428185052[[#This Row],[Old or New?]]="Old",Table4428185052[[#This Row],[Post Total]],"")</calculatedColumnFormula>
      <totalsRowFormula>SUM([Old])</totalsRowFormula>
    </tableColumn>
    <tableColumn id="10" name="Count New" totalsRowFunction="custom" dataDxfId="523" totalsRowDxfId="522">
      <calculatedColumnFormula>ISNUMBER(Table4428185052[[#This Row],[New]])</calculatedColumnFormula>
      <totalsRowFormula>COUNTIF([Count New],"TRUE")</totalsRowFormula>
    </tableColumn>
    <tableColumn id="12" name="Count Old" totalsRowFunction="custom" dataDxfId="521" totalsRowDxfId="520">
      <calculatedColumnFormula>ISNUMBER(Table4428185052[[#This Row],[Old]])</calculatedColumnFormula>
      <totalsRowFormula>COUNTIF([Count Old],"TRUE")</totalsRowFormula>
    </tableColumn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55" name="Table51229195156" displayName="Table51229195156" ref="A164:E165" totalsRowShown="0" headerRowDxfId="519" dataDxfId="518">
  <autoFilter ref="A164:E165"/>
  <tableColumns count="5">
    <tableColumn id="1" name="Pre or Post" dataDxfId="517"/>
    <tableColumn id="2" name="Total Surveys" dataDxfId="516">
      <calculatedColumnFormula>COUNTIF(Table4428185052[Pre or Post],"Post")</calculatedColumnFormula>
    </tableColumn>
    <tableColumn id="3" name="Total Answers" dataDxfId="515">
      <calculatedColumnFormula>Table4428185052[[#Totals],[Answered?]]</calculatedColumnFormula>
    </tableColumn>
    <tableColumn id="4" name="Sample Mean" dataDxfId="514">
      <calculatedColumnFormula>Table4428185052[[#Totals],[Post Total]]/Table51229195156[[#This Row],[Total Answers]]</calculatedColumnFormula>
    </tableColumn>
    <tableColumn id="5" name="Sample Standard Deviation" dataDxfId="513">
      <calculatedColumnFormula>STDEV(Table4428185052[Post Total])</calculatedColumnFormula>
    </tableColumn>
  </tableColumns>
  <tableStyleInfo name="TableStyleMedium11" showFirstColumn="0" showLastColumn="0" showRowStripes="1" showColumnStripes="0"/>
</table>
</file>

<file path=xl/tables/table63.xml><?xml version="1.0" encoding="utf-8"?>
<table xmlns="http://schemas.openxmlformats.org/spreadsheetml/2006/main" id="56" name="Table5122919515357" displayName="Table5122919515357" ref="A167:E169" totalsRowShown="0" headerRowDxfId="512" dataDxfId="511">
  <autoFilter ref="A167:E169"/>
  <tableColumns count="5">
    <tableColumn id="1" name="Old or New" dataDxfId="510"/>
    <tableColumn id="2" name="Total Surveys" dataDxfId="509">
      <calculatedColumnFormula>COUNTIF(Table44281850[Old or New?],"New")</calculatedColumnFormula>
    </tableColumn>
    <tableColumn id="3" name="Total Answers" dataDxfId="508">
      <calculatedColumnFormula>Table44281850[[#Totals],[Count New]]</calculatedColumnFormula>
    </tableColumn>
    <tableColumn id="4" name="Sample Mean" dataDxfId="507">
      <calculatedColumnFormula>Table44281850[[#Totals],[New]]/[Total Answers]</calculatedColumnFormula>
    </tableColumn>
    <tableColumn id="5" name="Sample Standard Deviation" dataDxfId="506">
      <calculatedColumnFormula>STDEV(Table44281850[New])</calculatedColumnFormula>
    </tableColumn>
  </tableColumns>
  <tableStyleInfo name="TableStyleMedium11" showFirstColumn="0" showLastColumn="0" showRowStripes="1" showColumnStripes="0"/>
</table>
</file>

<file path=xl/tables/table64.xml><?xml version="1.0" encoding="utf-8"?>
<table xmlns="http://schemas.openxmlformats.org/spreadsheetml/2006/main" id="57" name="Table442818505258" displayName="Table442818505258" ref="A1:L163" totalsRowCount="1" headerRowDxfId="503" dataDxfId="502" totalsRowDxfId="501">
  <autoFilter ref="A1:L162"/>
  <sortState ref="A2:O106">
    <sortCondition ref="B1:B107"/>
  </sortState>
  <tableColumns count="12">
    <tableColumn id="1" name="Old or New?" dataDxfId="500" totalsRowDxfId="499"/>
    <tableColumn id="2" name="Session" dataDxfId="498" totalsRowDxfId="497"/>
    <tableColumn id="3" name="Student Number" dataDxfId="496" totalsRowDxfId="495"/>
    <tableColumn id="4" name="Pre or Post" dataDxfId="494" totalsRowDxfId="493"/>
    <tableColumn id="5" name="Question Number" dataDxfId="492" totalsRowDxfId="491"/>
    <tableColumn id="6" name="Response" totalsRowFunction="custom" dataDxfId="490" totalsRowDxfId="489">
      <totalsRowFormula>SUM([Response])</totalsRowFormula>
    </tableColumn>
    <tableColumn id="9" name="Answered?" totalsRowFunction="custom" dataDxfId="488" totalsRowDxfId="487">
      <calculatedColumnFormula>IF(IF(Table442818505258[[#This Row],[Pre or Post]]="Post",1,0)+IF(ISNUMBER(Table442818505258[[#This Row],[Response]])=TRUE,1,0)=2,1,"")</calculatedColumnFormula>
      <totalsRowFormula>SUM([Answered?])</totalsRowFormula>
    </tableColumn>
    <tableColumn id="11" name="Post Total" totalsRowFunction="custom" dataDxfId="486" totalsRowDxfId="485">
      <calculatedColumnFormula>IF(IF(Table442818505258[[#This Row],[Pre or Post]]="Post",1,0)+IF(ISNUMBER(Table442818505258[[#This Row],[Response]])=TRUE,1,0)=2,Table442818505258[[#This Row],[Response]],"")</calculatedColumnFormula>
      <totalsRowFormula>SUM([Post Total])</totalsRowFormula>
    </tableColumn>
    <tableColumn id="7" name="New" totalsRowFunction="custom" dataDxfId="484" totalsRowDxfId="483">
      <calculatedColumnFormula>IF(Table442818505258[[#This Row],[Old or New?]]="New",Table442818505258[[#This Row],[Post Total]],"")</calculatedColumnFormula>
      <totalsRowFormula>SUM([New])</totalsRowFormula>
    </tableColumn>
    <tableColumn id="8" name="Old" totalsRowFunction="custom" dataDxfId="482" totalsRowDxfId="481">
      <calculatedColumnFormula>IF(Table442818505258[[#This Row],[Old or New?]]="Old",Table442818505258[[#This Row],[Post Total]],"")</calculatedColumnFormula>
      <totalsRowFormula>SUM([Old])</totalsRowFormula>
    </tableColumn>
    <tableColumn id="10" name="Count New" totalsRowFunction="custom" dataDxfId="480" totalsRowDxfId="479">
      <calculatedColumnFormula>ISNUMBER(Table442818505258[[#This Row],[New]])</calculatedColumnFormula>
      <totalsRowFormula>COUNTIF([Count New],"TRUE")</totalsRowFormula>
    </tableColumn>
    <tableColumn id="12" name="Count Old" totalsRowFunction="custom" dataDxfId="478" totalsRowDxfId="477">
      <calculatedColumnFormula>ISNUMBER(Table442818505258[[#This Row],[Old]])</calculatedColumnFormula>
      <totalsRowFormula>COUNTIF([Count Old],"TRUE")</totalsRowFormula>
    </tableColumn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58" name="Table5122919515659" displayName="Table5122919515659" ref="A164:E165" totalsRowShown="0" headerRowDxfId="476" dataDxfId="475">
  <autoFilter ref="A164:E165"/>
  <tableColumns count="5">
    <tableColumn id="1" name="Pre or Post" dataDxfId="474"/>
    <tableColumn id="2" name="Total Surveys" dataDxfId="473">
      <calculatedColumnFormula>COUNTIF(Table442818505258[Pre or Post],"Post")</calculatedColumnFormula>
    </tableColumn>
    <tableColumn id="3" name="Total Answers" dataDxfId="472">
      <calculatedColumnFormula>Table442818505258[[#Totals],[Answered?]]</calculatedColumnFormula>
    </tableColumn>
    <tableColumn id="4" name="Sample Mean" dataDxfId="471">
      <calculatedColumnFormula>Table442818505258[[#Totals],[Post Total]]/Table5122919515659[[#This Row],[Total Answers]]</calculatedColumnFormula>
    </tableColumn>
    <tableColumn id="5" name="Sample Standard Deviation" dataDxfId="470">
      <calculatedColumnFormula>STDEV(Table442818505258[Post Total])</calculatedColumnFormula>
    </tableColumn>
  </tableColumns>
  <tableStyleInfo name="TableStyleMedium11" showFirstColumn="0" showLastColumn="0" showRowStripes="1" showColumnStripes="0"/>
</table>
</file>

<file path=xl/tables/table66.xml><?xml version="1.0" encoding="utf-8"?>
<table xmlns="http://schemas.openxmlformats.org/spreadsheetml/2006/main" id="59" name="Table512291951535760" displayName="Table512291951535760" ref="A167:E169" totalsRowShown="0" headerRowDxfId="469" dataDxfId="468">
  <autoFilter ref="A167:E169"/>
  <tableColumns count="5">
    <tableColumn id="1" name="Old or New" dataDxfId="467"/>
    <tableColumn id="2" name="Total Surveys" dataDxfId="466">
      <calculatedColumnFormula>COUNTIF(Table44281850[Old or New?],"New")</calculatedColumnFormula>
    </tableColumn>
    <tableColumn id="3" name="Total Answers" dataDxfId="465">
      <calculatedColumnFormula>Table44281850[[#Totals],[Count New]]</calculatedColumnFormula>
    </tableColumn>
    <tableColumn id="4" name="Sample Mean" dataDxfId="464">
      <calculatedColumnFormula>Table44281850[[#Totals],[New]]/[Total Answers]</calculatedColumnFormula>
    </tableColumn>
    <tableColumn id="5" name="Sample Standard Deviation" dataDxfId="463">
      <calculatedColumnFormula>STDEV(Table44281850[New])</calculatedColumnFormula>
    </tableColumn>
  </tableColumns>
  <tableStyleInfo name="TableStyleMedium11" showFirstColumn="0" showLastColumn="0" showRowStripes="1" showColumnStripes="0"/>
</table>
</file>

<file path=xl/tables/table67.xml><?xml version="1.0" encoding="utf-8"?>
<table xmlns="http://schemas.openxmlformats.org/spreadsheetml/2006/main" id="60" name="Table60" displayName="Table60" ref="A1:D3" totalsRowShown="0">
  <autoFilter ref="A1:D3">
    <filterColumn colId="3"/>
  </autoFilter>
  <tableColumns count="4">
    <tableColumn id="1" name=" "/>
    <tableColumn id="2" name="# Males Pre and Post"/>
    <tableColumn id="3" name="# Females Pre and Post"/>
    <tableColumn id="4" name="Total" dataDxfId="462">
      <calculatedColumnFormula>SUM(Table60[[#This Row],['# Males Pre and Post]:['# Females Pre and Post]])</calculatedColumnFormula>
    </tableColumn>
  </tableColumns>
  <tableStyleInfo name="TableStyleMedium9" showFirstColumn="1" showLastColumn="0" showRowStripes="1" showColumnStripes="0"/>
</table>
</file>

<file path=xl/tables/table68.xml><?xml version="1.0" encoding="utf-8"?>
<table xmlns="http://schemas.openxmlformats.org/spreadsheetml/2006/main" id="65" name="Table442466" displayName="Table442466" ref="A1:T159" totalsRowCount="1" headerRowDxfId="457" dataDxfId="456" totalsRowDxfId="455" headerRowCellStyle="Bad">
  <autoFilter ref="A1:T158">
    <filterColumn colId="4"/>
    <filterColumn colId="16"/>
    <filterColumn colId="17"/>
    <filterColumn colId="18"/>
    <filterColumn colId="19"/>
  </autoFilter>
  <sortState ref="A2:R158">
    <sortCondition ref="B1:B158"/>
  </sortState>
  <tableColumns count="20">
    <tableColumn id="1" name="Old or New?" dataDxfId="454" totalsRowDxfId="453"/>
    <tableColumn id="2" name="Session" dataDxfId="452" totalsRowDxfId="451"/>
    <tableColumn id="3" name="Student Number" dataDxfId="450" totalsRowDxfId="449"/>
    <tableColumn id="4" name="Pre or Post" dataDxfId="448" totalsRowDxfId="447"/>
    <tableColumn id="18" name="Gender" dataDxfId="446" totalsRowDxfId="445"/>
    <tableColumn id="5" name="Question Number" dataDxfId="444" totalsRowDxfId="443"/>
    <tableColumn id="6" name="Response" dataDxfId="442" totalsRowDxfId="441"/>
    <tableColumn id="7" name="Pre and Post?" dataDxfId="440" totalsRowDxfId="439"/>
    <tableColumn id="8" name="Pre Answers" totalsRowFunction="custom" dataDxfId="438" totalsRowDxfId="437">
      <calculatedColumnFormula>IF(IF(Table442466[[#This Row],[Pre or Post]]="Pre",1,0)+IF(ISNUMBER(Table442466[[#This Row],[Response]])=TRUE,1,0)=2,1,"")</calculatedColumnFormula>
      <totalsRowFormula>SUM([Pre Answers])</totalsRowFormula>
    </tableColumn>
    <tableColumn id="9" name="Post Answers" totalsRowFunction="custom" dataDxfId="436" totalsRowDxfId="435">
      <calculatedColumnFormula>IF(IF(Table442466[[#This Row],[Pre or Post]]="Post",1,0)+IF(ISNUMBER(Table442466[[#This Row],[Response]])=TRUE,1,0)=2,1,"")</calculatedColumnFormula>
      <totalsRowFormula>SUM([Post Answers])</totalsRowFormula>
    </tableColumn>
    <tableColumn id="10" name="Pre Total" totalsRowFunction="custom" dataDxfId="434" totalsRowDxfId="433">
      <calculatedColumnFormula>IF(IF(Table442466[[#This Row],[Pre or Post]]="Pre",1,0)+IF(ISNUMBER(Table442466[[#This Row],[Response]])=TRUE,1,0)=2,Table442466[[#This Row],[Response]],"")</calculatedColumnFormula>
      <totalsRowFormula>SUM([Pre Total])</totalsRowFormula>
    </tableColumn>
    <tableColumn id="11" name="Post Total" totalsRowFunction="custom" dataDxfId="432" totalsRowDxfId="431">
      <calculatedColumnFormula>IF(IF(Table442466[[#This Row],[Pre or Post]]="Post",1,0)+IF(ISNUMBER(Table442466[[#This Row],[Response]])=TRUE,1,0)=2,Table442466[[#This Row],[Response]],"")</calculatedColumnFormula>
      <totalsRowFormula>SUM([Post Total])</totalsRowFormula>
    </tableColumn>
    <tableColumn id="15" name="Pre Total (Pooled)" totalsRowFunction="custom" dataDxfId="430" totalsRowDxfId="429">
      <calculatedColumnFormula>IF(IF(ISNUMBER(K2),1,0)+IF(ISNUMBER(L3),1,0)=2,IF(IF(C3=C2,1,0)+IF(B3=B2,1,0)+IF(D3="Post",1,0)+IF(D2="Pre",1,0)=4,Table442466[[#This Row],[Pre Total]],""),"")</calculatedColumnFormula>
      <totalsRowFormula>SUM([Pre Total (Pooled)])</totalsRowFormula>
    </tableColumn>
    <tableColumn id="12" name="Post Total (Pooled)" totalsRowFunction="custom" dataDxfId="428" totalsRowDxfId="427">
      <calculatedColumnFormula>IF(IF(ISNUMBER(K1),1,0)+IF(ISNUMBER(Table442466[[#This Row],[Post Total]]),1,0)=2,IF(IF(Table442466[[#This Row],[Student Number]]=C1,1,0)+IF(Table442466[[#This Row],[Session]]=B1,1,0)+IF(Table442466[[#This Row],[Pre or Post]]="Post",1,0)+IF(D1="Pre",1,0)=4,Table442466[[#This Row],[Post Total]],""),"")</calculatedColumnFormula>
      <totalsRowFormula>SUM([Post Total (Pooled)])</totalsRowFormula>
    </tableColumn>
    <tableColumn id="13" name="Change" totalsRowFunction="custom" dataDxfId="426" totalsRowDxfId="425">
      <calculatedColumnFormula>IF(IF(ISNUMBER(K1),1,0)+IF(ISNUMBER(Table442466[[#This Row],[Post Total]]),1,0)=2,IF(IF(Table442466[[#This Row],[Student Number]]=C1,1,0)+IF(Table442466[[#This Row],[Session]]=B1,1,0)+IF(Table442466[[#This Row],[Pre or Post]]="Post",1,0)+IF(D1="Pre",1,0)=4,Table442466[[#This Row],[Post Total]]-K1,""),"")</calculatedColumnFormula>
      <totalsRowFormula>SUM([Change])</totalsRowFormula>
    </tableColumn>
    <tableColumn id="14" name="Number 2 Resp" totalsRowFunction="custom" dataDxfId="424" totalsRowDxfId="423">
      <calculatedColumnFormula>ISNUMBER(Table442466[[#This Row],[Change]])</calculatedColumnFormula>
      <totalsRowFormula>COUNTIF([Number 2 Resp],TRUE)</totalsRowFormula>
    </tableColumn>
    <tableColumn id="16" name="If Male" totalsRowFunction="custom" dataDxfId="422" totalsRowDxfId="421">
      <calculatedColumnFormula>IF(E1="Male",Table442466[[#This Row],[Change]],"")</calculatedColumnFormula>
      <totalsRowFormula>SUM([If Male])</totalsRowFormula>
    </tableColumn>
    <tableColumn id="17" name="If Female" totalsRowFunction="custom" dataDxfId="420" totalsRowDxfId="419">
      <calculatedColumnFormula>IF(E1="Female",Table442466[[#This Row],[Change]],"")</calculatedColumnFormula>
      <totalsRowFormula>SUM([If Female])</totalsRowFormula>
    </tableColumn>
    <tableColumn id="19" name="Male Answers" totalsRowFunction="custom" dataDxfId="418" totalsRowDxfId="417">
      <calculatedColumnFormula>ISNUMBER(Table442466[[#This Row],[If Male]])</calculatedColumnFormula>
      <totalsRowFormula>COUNTIF([Male Answers],"TRUE")</totalsRowFormula>
    </tableColumn>
    <tableColumn id="20" name="Female Answers" totalsRowFunction="custom" dataDxfId="416" totalsRowDxfId="415">
      <calculatedColumnFormula>ISNUMBER(Table442466[[#This Row],[If Female]])</calculatedColumnFormula>
      <totalsRowFormula>COUNTIF([Female Answers],"TRUE")</totalsRowFormula>
    </tableColumn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6" name="Table5122567" displayName="Table5122567" ref="A162:E164" totalsRowShown="0" headerRowDxfId="414" dataDxfId="413">
  <autoFilter ref="A162:E164"/>
  <tableColumns count="5">
    <tableColumn id="1" name="Male or Female" dataDxfId="412"/>
    <tableColumn id="2" name="Total Surveys" dataDxfId="411"/>
    <tableColumn id="3" name="Total Answers" dataDxfId="410"/>
    <tableColumn id="4" name="Sample Mean" dataDxfId="409"/>
    <tableColumn id="5" name="Sample Standard Deviation" dataDxfId="408"/>
  </tableColumns>
  <tableStyleInfo name="TableStyleMedium11" showFirstColumn="0" showLastColumn="0" showRowStripes="1" showColumnStripes="0"/>
</table>
</file>

<file path=xl/tables/table7.xml><?xml version="1.0" encoding="utf-8"?>
<table xmlns="http://schemas.openxmlformats.org/spreadsheetml/2006/main" id="8" name="Table59" displayName="Table59" ref="A161:G163" totalsRowShown="0" headerRowDxfId="1508" dataDxfId="1507">
  <autoFilter ref="A161:G163"/>
  <tableColumns count="7">
    <tableColumn id="1" name="Pre or Post" dataDxfId="1506"/>
    <tableColumn id="2" name="Total Surveys" dataDxfId="1505"/>
    <tableColumn id="3" name="Total Answers" dataDxfId="1504"/>
    <tableColumn id="4" name="Yes" dataDxfId="1503"/>
    <tableColumn id="5" name="No" dataDxfId="1502"/>
    <tableColumn id="6" name="% Yes" dataDxfId="1501"/>
    <tableColumn id="7" name="% No" dataDxfId="1500"/>
  </tableColumns>
  <tableStyleInfo name="TableStyleMedium11" showFirstColumn="0" showLastColumn="0" showRowStripes="1" showColumnStripes="0"/>
</table>
</file>

<file path=xl/tables/table70.xml><?xml version="1.0" encoding="utf-8"?>
<table xmlns="http://schemas.openxmlformats.org/spreadsheetml/2006/main" id="62" name="Table4463" displayName="Table4463" ref="A1:T107" totalsRowCount="1" headerRowDxfId="405" dataDxfId="404" totalsRowDxfId="403">
  <autoFilter ref="A1:T106">
    <filterColumn colId="4"/>
    <filterColumn colId="16"/>
    <filterColumn colId="17"/>
    <filterColumn colId="18"/>
    <filterColumn colId="19"/>
  </autoFilter>
  <sortState ref="A2:P106">
    <sortCondition ref="B1:B106"/>
  </sortState>
  <tableColumns count="20">
    <tableColumn id="1" name="Old or New?" dataDxfId="402" totalsRowDxfId="401"/>
    <tableColumn id="2" name="Session" dataDxfId="400" totalsRowDxfId="399"/>
    <tableColumn id="3" name="Student Number" dataDxfId="398" totalsRowDxfId="397"/>
    <tableColumn id="4" name="Pre or Post" dataDxfId="396" totalsRowDxfId="395"/>
    <tableColumn id="16" name="Gender" dataDxfId="394" totalsRowDxfId="393"/>
    <tableColumn id="5" name="Question Number" dataDxfId="392" totalsRowDxfId="391"/>
    <tableColumn id="6" name="Response" dataDxfId="390" totalsRowDxfId="389"/>
    <tableColumn id="7" name="Pre and Post?" dataDxfId="388" totalsRowDxfId="387"/>
    <tableColumn id="8" name="Pre Answers" totalsRowFunction="custom" dataDxfId="386" totalsRowDxfId="385">
      <calculatedColumnFormula>IF(IF(Table4463[[#This Row],[Pre or Post]]="Pre",1,0)+IF(ISNUMBER(Table4463[[#This Row],[Response]])=TRUE,1,0)=2,1,"")</calculatedColumnFormula>
      <totalsRowFormula>SUM([Pre Answers])</totalsRowFormula>
    </tableColumn>
    <tableColumn id="9" name="Post Answers" totalsRowFunction="custom" dataDxfId="384" totalsRowDxfId="383">
      <calculatedColumnFormula>IF(IF(Table4463[[#This Row],[Pre or Post]]="Post",1,0)+IF(ISNUMBER(Table4463[[#This Row],[Response]])=TRUE,1,0)=2,1,"")</calculatedColumnFormula>
      <totalsRowFormula>SUM([Post Answers])</totalsRowFormula>
    </tableColumn>
    <tableColumn id="10" name="Pre Total" totalsRowFunction="custom" dataDxfId="382" totalsRowDxfId="381">
      <calculatedColumnFormula>IF(IF(Table4463[[#This Row],[Pre or Post]]="Pre",1,0)+IF(ISNUMBER(Table4463[[#This Row],[Response]])=TRUE,1,0)=2,Table4463[[#This Row],[Response]],"")</calculatedColumnFormula>
      <totalsRowFormula>SUM([Pre Total])</totalsRowFormula>
    </tableColumn>
    <tableColumn id="11" name="Post Total" totalsRowFunction="custom" dataDxfId="380" totalsRowDxfId="379">
      <calculatedColumnFormula>IF(IF(Table4463[[#This Row],[Pre or Post]]="Post",1,0)+IF(ISNUMBER(Table4463[[#This Row],[Response]])=TRUE,1,0)=2,Table4463[[#This Row],[Response]],"")</calculatedColumnFormula>
      <totalsRowFormula>SUM([Post Total])</totalsRowFormula>
    </tableColumn>
    <tableColumn id="15" name="Pre Total (Pooled)" totalsRowFunction="custom" dataDxfId="378" totalsRowDxfId="377">
      <calculatedColumnFormula>IF(IF(ISNUMBER(K2),1,0)+IF(ISNUMBER(L3),1,0)=2,IF(IF(C3=C2,1,0)+IF(B3=B2,1,0)+IF(D3="Post",1,0)+IF(D2="Pre",1,0)=4,Table4463[[#This Row],[Pre Total]],""),"")</calculatedColumnFormula>
      <totalsRowFormula>SUM(Table4463[[#Headers],[#Data],[Pre Total (Pooled)]])</totalsRowFormula>
    </tableColumn>
    <tableColumn id="12" name="Post Total (Pooled)" totalsRowFunction="custom" dataDxfId="376" totalsRowDxfId="375">
      <calculatedColumnFormula>IF(IF(ISNUMBER(K1),1,0)+IF(ISNUMBER(Table4463[[#This Row],[Post Total]]),1,0)=2,IF(IF(Table4463[[#This Row],[Student Number]]=C1,1,0)+IF(Table4463[[#This Row],[Session]]=B1,1,0)+IF(Table4463[[#This Row],[Pre or Post]]="Post",1,0)+IF(D1="Pre",1,0)=4,Table4463[[#This Row],[Post Total]],""),"")</calculatedColumnFormula>
      <totalsRowFormula>SUM([Post Total (Pooled)])</totalsRowFormula>
    </tableColumn>
    <tableColumn id="13" name="Change" totalsRowFunction="custom" dataDxfId="374" totalsRowDxfId="373">
      <calculatedColumnFormula>IF(IF(ISNUMBER(K1),1,0)+IF(ISNUMBER(Table4463[[#This Row],[Post Total]]),1,0)=2,IF(IF(Table4463[[#This Row],[Student Number]]=C1,1,0)+IF(Table4463[[#This Row],[Session]]=B1,1,0)+IF(Table4463[[#This Row],[Pre or Post]]="Post",1,0)+IF(D1="Pre",1,0)=4,Table4463[[#This Row],[Post Total]]-K1,""),"")</calculatedColumnFormula>
      <totalsRowFormula>SUM([Change])</totalsRowFormula>
    </tableColumn>
    <tableColumn id="14" name="Number 2 Resp" totalsRowFunction="custom" dataDxfId="372" totalsRowDxfId="371">
      <calculatedColumnFormula>ISNUMBER(Table4463[[#This Row],[Change]])</calculatedColumnFormula>
      <totalsRowFormula>COUNTIF([Number 2 Resp],TRUE)</totalsRowFormula>
    </tableColumn>
    <tableColumn id="17" name="If Male" totalsRowFunction="custom" dataDxfId="370" totalsRowDxfId="369">
      <calculatedColumnFormula>IF(E1="Male",Table4463[[#This Row],[Change]],"")</calculatedColumnFormula>
      <totalsRowFormula>SUM([If Male])</totalsRowFormula>
    </tableColumn>
    <tableColumn id="18" name="If Female" totalsRowFunction="custom" dataDxfId="368" totalsRowDxfId="367">
      <calculatedColumnFormula>IF(E1="Female",Table4463[[#This Row],[Change]],"")</calculatedColumnFormula>
      <totalsRowFormula>SUM([If Female])</totalsRowFormula>
    </tableColumn>
    <tableColumn id="19" name="Male Answers" totalsRowFunction="custom" dataDxfId="366" totalsRowDxfId="365">
      <calculatedColumnFormula>ISNUMBER(Table4463[[#This Row],[If Male]])</calculatedColumnFormula>
      <totalsRowFormula>COUNTIF([Male Answers],"TRUE")</totalsRowFormula>
    </tableColumn>
    <tableColumn id="20" name="Female Answers" totalsRowFunction="custom" dataDxfId="364" totalsRowDxfId="363">
      <calculatedColumnFormula>ISNUMBER(Table4463[[#This Row],[If Female]])</calculatedColumnFormula>
      <totalsRowFormula>COUNTIF([Female Answers],"TRUE")</totalsRowFormula>
    </tableColumn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id="61" name="Table512256762" displayName="Table512256762" ref="A110:E112" totalsRowShown="0" headerRowDxfId="362" dataDxfId="361">
  <autoFilter ref="A110:E112"/>
  <tableColumns count="5">
    <tableColumn id="1" name="Male or Female" dataDxfId="360"/>
    <tableColumn id="2" name="Total Surveys" dataDxfId="359"/>
    <tableColumn id="3" name="Total Answers" dataDxfId="358"/>
    <tableColumn id="4" name="Sample Mean" dataDxfId="357"/>
    <tableColumn id="5" name="Sample Standard Deviation" dataDxfId="356"/>
  </tableColumns>
  <tableStyleInfo name="TableStyleMedium11" showFirstColumn="0" showLastColumn="0" showRowStripes="1" showColumnStripes="0"/>
</table>
</file>

<file path=xl/tables/table72.xml><?xml version="1.0" encoding="utf-8"?>
<table xmlns="http://schemas.openxmlformats.org/spreadsheetml/2006/main" id="63" name="Table51225676264" displayName="Table51225676264" ref="A1:F5" totalsRowShown="0" headerRowDxfId="355" dataDxfId="354">
  <autoFilter ref="A1:F5">
    <filterColumn colId="0"/>
  </autoFilter>
  <tableColumns count="6">
    <tableColumn id="6" name="New or Old" dataDxfId="353"/>
    <tableColumn id="1" name="Male or Female" dataDxfId="352"/>
    <tableColumn id="2" name="Total Surveys" dataDxfId="351"/>
    <tableColumn id="3" name="Total Answers" dataDxfId="350"/>
    <tableColumn id="4" name="Sample Mean" dataDxfId="349"/>
    <tableColumn id="5" name="Sample Standard Deviation" dataDxfId="348"/>
  </tableColumns>
  <tableStyleInfo name="TableStyleMedium11" showFirstColumn="0" showLastColumn="0" showRowStripes="1" showColumnStripes="0"/>
</table>
</file>

<file path=xl/tables/table73.xml><?xml version="1.0" encoding="utf-8"?>
<table xmlns="http://schemas.openxmlformats.org/spreadsheetml/2006/main" id="64" name="Table44246665" displayName="Table44246665" ref="A1:T159" totalsRowCount="1" headerRowDxfId="343" dataDxfId="342" totalsRowDxfId="341" headerRowCellStyle="Bad">
  <autoFilter ref="A1:T158"/>
  <sortState ref="A2:T158">
    <sortCondition ref="B1:B159"/>
  </sortState>
  <tableColumns count="20">
    <tableColumn id="1" name="Old or New?" dataDxfId="340" totalsRowDxfId="339"/>
    <tableColumn id="2" name="Session" dataDxfId="338" totalsRowDxfId="337"/>
    <tableColumn id="3" name="Student Number" dataDxfId="336" totalsRowDxfId="335"/>
    <tableColumn id="4" name="Pre or Post" dataDxfId="334" totalsRowDxfId="333"/>
    <tableColumn id="18" name="Pre3 Yes or No" dataDxfId="332" totalsRowDxfId="331"/>
    <tableColumn id="5" name="Question Number" dataDxfId="330" totalsRowDxfId="329"/>
    <tableColumn id="6" name="Response" dataDxfId="328" totalsRowDxfId="327"/>
    <tableColumn id="7" name="Pre and Post?" dataDxfId="326" totalsRowDxfId="325"/>
    <tableColumn id="8" name="Pre Answers" totalsRowFunction="custom" dataDxfId="324" totalsRowDxfId="323">
      <calculatedColumnFormula>IF(IF(Table44246665[[#This Row],[Pre or Post]]="Pre",1,0)+IF(ISNUMBER(Table44246665[[#This Row],[Response]])=TRUE,1,0)=2,1,"")</calculatedColumnFormula>
      <totalsRowFormula>SUM([Pre Answers])</totalsRowFormula>
    </tableColumn>
    <tableColumn id="9" name="Post Answers" totalsRowFunction="custom" dataDxfId="322" totalsRowDxfId="321">
      <calculatedColumnFormula>IF(IF(Table44246665[[#This Row],[Pre or Post]]="Post",1,0)+IF(ISNUMBER(Table44246665[[#This Row],[Response]])=TRUE,1,0)=2,1,"")</calculatedColumnFormula>
      <totalsRowFormula>SUM([Post Answers])</totalsRowFormula>
    </tableColumn>
    <tableColumn id="10" name="Pre Total" totalsRowFunction="custom" dataDxfId="320" totalsRowDxfId="319">
      <calculatedColumnFormula>IF(IF(Table44246665[[#This Row],[Pre or Post]]="Pre",1,0)+IF(ISNUMBER(Table44246665[[#This Row],[Response]])=TRUE,1,0)=2,Table44246665[[#This Row],[Response]],"")</calculatedColumnFormula>
      <totalsRowFormula>SUM([Pre Total])</totalsRowFormula>
    </tableColumn>
    <tableColumn id="11" name="Post Total" totalsRowFunction="custom" dataDxfId="318" totalsRowDxfId="317">
      <calculatedColumnFormula>IF(IF(Table44246665[[#This Row],[Pre or Post]]="Post",1,0)+IF(ISNUMBER(Table44246665[[#This Row],[Response]])=TRUE,1,0)=2,Table44246665[[#This Row],[Response]],"")</calculatedColumnFormula>
      <totalsRowFormula>SUM([Post Total])</totalsRowFormula>
    </tableColumn>
    <tableColumn id="15" name="Pre Total (Pooled)" totalsRowFunction="custom" dataDxfId="316" totalsRowDxfId="315">
      <calculatedColumnFormula>IF(IF(ISNUMBER(K2),1,0)+IF(ISNUMBER(L3),1,0)=2,IF(IF(C3=C2,1,0)+IF(B3=B2,1,0)+IF(D3="Post",1,0)+IF(D2="Pre",1,0)=4,Table44246665[[#This Row],[Pre Total]],""),"")</calculatedColumnFormula>
      <totalsRowFormula>SUM([Pre Total (Pooled)])</totalsRowFormula>
    </tableColumn>
    <tableColumn id="12" name="Post Total (Pooled)" totalsRowFunction="custom" dataDxfId="314" totalsRowDxfId="313">
      <calculatedColumnFormula>IF(IF(ISNUMBER(K1),1,0)+IF(ISNUMBER(Table44246665[[#This Row],[Post Total]]),1,0)=2,IF(IF(Table44246665[[#This Row],[Student Number]]=C1,1,0)+IF(Table44246665[[#This Row],[Session]]=B1,1,0)+IF(Table44246665[[#This Row],[Pre or Post]]="Post",1,0)+IF(D1="Pre",1,0)=4,Table44246665[[#This Row],[Post Total]],""),"")</calculatedColumnFormula>
      <totalsRowFormula>SUM([Post Total (Pooled)])</totalsRowFormula>
    </tableColumn>
    <tableColumn id="13" name="Change" totalsRowFunction="custom" dataDxfId="312" totalsRowDxfId="311">
      <calculatedColumnFormula>IF(IF(ISNUMBER(K1),1,0)+IF(ISNUMBER(Table44246665[[#This Row],[Post Total]]),1,0)=2,IF(IF(Table44246665[[#This Row],[Student Number]]=C1,1,0)+IF(Table44246665[[#This Row],[Session]]=B1,1,0)+IF(Table44246665[[#This Row],[Pre or Post]]="Post",1,0)+IF(D1="Pre",1,0)=4,Table44246665[[#This Row],[Post Total]]-K1,""),"")</calculatedColumnFormula>
      <totalsRowFormula>SUM([Change])</totalsRowFormula>
    </tableColumn>
    <tableColumn id="14" name="Number 2 Resp" totalsRowFunction="custom" dataDxfId="310" totalsRowDxfId="309">
      <calculatedColumnFormula>ISNUMBER(Table44246665[[#This Row],[Change]])</calculatedColumnFormula>
      <totalsRowFormula>COUNTIF([Number 2 Resp],TRUE)</totalsRowFormula>
    </tableColumn>
    <tableColumn id="16" name="If Pre3 Yes" totalsRowFunction="custom" dataDxfId="308" totalsRowDxfId="307">
      <calculatedColumnFormula>IF(E1="Yes",Table44246665[[#This Row],[Change]],"")</calculatedColumnFormula>
      <totalsRowFormula>SUM([If Pre3 Yes])</totalsRowFormula>
    </tableColumn>
    <tableColumn id="17" name="If Pre3 No" totalsRowFunction="custom" dataDxfId="306" totalsRowDxfId="305">
      <calculatedColumnFormula>IF(E1="No",Table44246665[[#This Row],[Change]],"")</calculatedColumnFormula>
      <totalsRowFormula>SUM([If Pre3 No])</totalsRowFormula>
    </tableColumn>
    <tableColumn id="19" name="Pre3 Yes Answers" totalsRowFunction="custom" dataDxfId="304" totalsRowDxfId="303">
      <calculatedColumnFormula>ISNUMBER(Table44246665[[#This Row],[If Pre3 Yes]])</calculatedColumnFormula>
      <totalsRowFormula>COUNTIF([Pre3 Yes Answers],"TRUE")</totalsRowFormula>
    </tableColumn>
    <tableColumn id="20" name="Pre3 No Answers" totalsRowFunction="custom" dataDxfId="302" totalsRowDxfId="301">
      <calculatedColumnFormula>ISNUMBER(Table44246665[[#This Row],[If Pre3 No]])</calculatedColumnFormula>
      <totalsRowFormula>COUNTIF([Pre3 No Answers],"TRUE")</totalsRowFormula>
    </tableColumn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67" name="Table512256768" displayName="Table512256768" ref="A162:E164" totalsRowShown="0" headerRowDxfId="300" dataDxfId="299">
  <autoFilter ref="A162:E164"/>
  <tableColumns count="5">
    <tableColumn id="1" name="Pre3 Yes or No" dataDxfId="298"/>
    <tableColumn id="2" name="Total Surveys" dataDxfId="297"/>
    <tableColumn id="3" name="Total Answers" dataDxfId="296"/>
    <tableColumn id="4" name="Sample Mean" dataDxfId="295"/>
    <tableColumn id="5" name="Sample Standard Deviation" dataDxfId="294"/>
  </tableColumns>
  <tableStyleInfo name="TableStyleMedium11" showFirstColumn="0" showLastColumn="0" showRowStripes="1" showColumnStripes="0"/>
</table>
</file>

<file path=xl/tables/table75.xml><?xml version="1.0" encoding="utf-8"?>
<table xmlns="http://schemas.openxmlformats.org/spreadsheetml/2006/main" id="68" name="Table4424666569" displayName="Table4424666569" ref="A1:T107" totalsRowCount="1" headerRowDxfId="289" dataDxfId="288" totalsRowDxfId="287" headerRowCellStyle="Bad">
  <autoFilter ref="A1:T106"/>
  <sortState ref="A2:T106">
    <sortCondition ref="B1:B106"/>
  </sortState>
  <tableColumns count="20">
    <tableColumn id="1" name="Old or New?" dataDxfId="286" totalsRowDxfId="285"/>
    <tableColumn id="2" name="Session" dataDxfId="284" totalsRowDxfId="283"/>
    <tableColumn id="3" name="Student Number" dataDxfId="282" totalsRowDxfId="281"/>
    <tableColumn id="4" name="Pre or Post" dataDxfId="280" totalsRowDxfId="279"/>
    <tableColumn id="18" name="Pre3 Yes or No" dataDxfId="278" totalsRowDxfId="277"/>
    <tableColumn id="5" name="Question Number" dataDxfId="276" totalsRowDxfId="275"/>
    <tableColumn id="6" name="Response" dataDxfId="274" totalsRowDxfId="273"/>
    <tableColumn id="7" name="Pre and Post?" dataDxfId="272" totalsRowDxfId="271"/>
    <tableColumn id="8" name="Pre Answers" totalsRowFunction="custom" dataDxfId="270" totalsRowDxfId="269">
      <calculatedColumnFormula>IF(IF(Table4424666569[[#This Row],[Pre or Post]]="Pre",1,0)+IF(ISNUMBER(Table4424666569[[#This Row],[Response]])=TRUE,1,0)=2,1,"")</calculatedColumnFormula>
      <totalsRowFormula>SUM([Pre Answers])</totalsRowFormula>
    </tableColumn>
    <tableColumn id="9" name="Post Answers" totalsRowFunction="custom" dataDxfId="268" totalsRowDxfId="267">
      <calculatedColumnFormula>IF(IF(Table4424666569[[#This Row],[Pre or Post]]="Post",1,0)+IF(ISNUMBER(Table4424666569[[#This Row],[Response]])=TRUE,1,0)=2,1,"")</calculatedColumnFormula>
      <totalsRowFormula>SUM([Post Answers])</totalsRowFormula>
    </tableColumn>
    <tableColumn id="10" name="Pre Total" totalsRowFunction="custom" dataDxfId="266" totalsRowDxfId="265">
      <calculatedColumnFormula>IF(IF(Table4424666569[[#This Row],[Pre or Post]]="Pre",1,0)+IF(ISNUMBER(Table4424666569[[#This Row],[Response]])=TRUE,1,0)=2,Table4424666569[[#This Row],[Response]],"")</calculatedColumnFormula>
      <totalsRowFormula>SUM([Pre Total])</totalsRowFormula>
    </tableColumn>
    <tableColumn id="11" name="Post Total" totalsRowFunction="custom" dataDxfId="264" totalsRowDxfId="263">
      <calculatedColumnFormula>IF(IF(Table4424666569[[#This Row],[Pre or Post]]="Post",1,0)+IF(ISNUMBER(Table4424666569[[#This Row],[Response]])=TRUE,1,0)=2,Table4424666569[[#This Row],[Response]],"")</calculatedColumnFormula>
      <totalsRowFormula>SUM([Post Total])</totalsRowFormula>
    </tableColumn>
    <tableColumn id="15" name="Pre Total (Pooled)" totalsRowFunction="custom" dataDxfId="262" totalsRowDxfId="261">
      <calculatedColumnFormula>IF(IF(ISNUMBER(K2),1,0)+IF(ISNUMBER(L3),1,0)=2,IF(IF(C3=C2,1,0)+IF(B3=B2,1,0)+IF(D3="Post",1,0)+IF(D2="Pre",1,0)=4,Table4424666569[[#This Row],[Pre Total]],""),"")</calculatedColumnFormula>
      <totalsRowFormula>SUM([Pre Total (Pooled)])</totalsRowFormula>
    </tableColumn>
    <tableColumn id="12" name="Post Total (Pooled)" totalsRowFunction="custom" dataDxfId="260" totalsRowDxfId="259">
      <calculatedColumnFormula>IF(IF(ISNUMBER(K1),1,0)+IF(ISNUMBER(Table4424666569[[#This Row],[Post Total]]),1,0)=2,IF(IF(Table4424666569[[#This Row],[Student Number]]=C1,1,0)+IF(Table4424666569[[#This Row],[Session]]=B1,1,0)+IF(Table4424666569[[#This Row],[Pre or Post]]="Post",1,0)+IF(D1="Pre",1,0)=4,Table4424666569[[#This Row],[Post Total]],""),"")</calculatedColumnFormula>
      <totalsRowFormula>SUM([Post Total (Pooled)])</totalsRowFormula>
    </tableColumn>
    <tableColumn id="13" name="Change" totalsRowFunction="custom" dataDxfId="258" totalsRowDxfId="257">
      <calculatedColumnFormula>IF(IF(ISNUMBER(K1),1,0)+IF(ISNUMBER(Table4424666569[[#This Row],[Post Total]]),1,0)=2,IF(IF(Table4424666569[[#This Row],[Student Number]]=C1,1,0)+IF(Table4424666569[[#This Row],[Session]]=B1,1,0)+IF(Table4424666569[[#This Row],[Pre or Post]]="Post",1,0)+IF(D1="Pre",1,0)=4,Table4424666569[[#This Row],[Post Total]]-K1,""),"")</calculatedColumnFormula>
      <totalsRowFormula>SUM([Change])</totalsRowFormula>
    </tableColumn>
    <tableColumn id="14" name="Number 2 Resp" totalsRowFunction="custom" dataDxfId="256" totalsRowDxfId="255">
      <calculatedColumnFormula>ISNUMBER(Table4424666569[[#This Row],[Change]])</calculatedColumnFormula>
      <totalsRowFormula>COUNTIF([Number 2 Resp],TRUE)</totalsRowFormula>
    </tableColumn>
    <tableColumn id="16" name="If Pre3 Yes" totalsRowFunction="custom" dataDxfId="254" totalsRowDxfId="253">
      <calculatedColumnFormula>IF(E1="Yes",Table4424666569[[#This Row],[Change]],"")</calculatedColumnFormula>
      <totalsRowFormula>SUM([If Pre3 Yes])</totalsRowFormula>
    </tableColumn>
    <tableColumn id="17" name="If Pre3 No" totalsRowFunction="custom" dataDxfId="252" totalsRowDxfId="251">
      <calculatedColumnFormula>IF(E1="No",Table4424666569[[#This Row],[Change]],"")</calculatedColumnFormula>
      <totalsRowFormula>SUM([If Pre3 No])</totalsRowFormula>
    </tableColumn>
    <tableColumn id="19" name="Pre3 Yes Answers" totalsRowFunction="custom" dataDxfId="250" totalsRowDxfId="249">
      <calculatedColumnFormula>ISNUMBER(Table4424666569[[#This Row],[If Pre3 Yes]])</calculatedColumnFormula>
      <totalsRowFormula>COUNTIF([Pre3 Yes Answers],"TRUE")</totalsRowFormula>
    </tableColumn>
    <tableColumn id="20" name="Pre3 No Answers" totalsRowFunction="custom" dataDxfId="248" totalsRowDxfId="247">
      <calculatedColumnFormula>ISNUMBER(Table4424666569[[#This Row],[If Pre3 No]])</calculatedColumnFormula>
      <totalsRowFormula>COUNTIF([Pre3 No Answers],"TRUE")</totalsRowFormula>
    </tableColumn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69" name="Table51225676870" displayName="Table51225676870" ref="A110:E112" totalsRowShown="0" headerRowDxfId="246" dataDxfId="245">
  <autoFilter ref="A110:E112"/>
  <tableColumns count="5">
    <tableColumn id="1" name="Pre3 Yes or no" dataDxfId="244"/>
    <tableColumn id="2" name="Total Surveys" dataDxfId="243"/>
    <tableColumn id="3" name="Total Answers" dataDxfId="242"/>
    <tableColumn id="4" name="Sample Mean" dataDxfId="241"/>
    <tableColumn id="5" name="Sample Standard Deviation" dataDxfId="240"/>
  </tableColumns>
  <tableStyleInfo name="TableStyleMedium11" showFirstColumn="0" showLastColumn="0" showRowStripes="1" showColumnStripes="0"/>
</table>
</file>

<file path=xl/tables/table77.xml><?xml version="1.0" encoding="utf-8"?>
<table xmlns="http://schemas.openxmlformats.org/spreadsheetml/2006/main" id="70" name="Table5122567626471" displayName="Table5122567626471" ref="A1:F5" totalsRowShown="0" headerRowDxfId="239" dataDxfId="238">
  <autoFilter ref="A1:F5"/>
  <tableColumns count="6">
    <tableColumn id="6" name="New or Old" dataDxfId="237"/>
    <tableColumn id="1" name="Pre3 Yes or No" dataDxfId="236"/>
    <tableColumn id="2" name="Total Surveys" dataDxfId="235"/>
    <tableColumn id="3" name="Total Answers" dataDxfId="234"/>
    <tableColumn id="4" name="Sample Mean" dataDxfId="233"/>
    <tableColumn id="5" name="Sample Standard Deviation" dataDxfId="232"/>
  </tableColumns>
  <tableStyleInfo name="TableStyleMedium11" showFirstColumn="0" showLastColumn="0" showRowStripes="1" showColumnStripes="0"/>
</table>
</file>

<file path=xl/tables/table78.xml><?xml version="1.0" encoding="utf-8"?>
<table xmlns="http://schemas.openxmlformats.org/spreadsheetml/2006/main" id="71" name="Table4424666572" displayName="Table4424666572" ref="A1:T159" totalsRowCount="1" headerRowDxfId="227" dataDxfId="226" totalsRowDxfId="225" headerRowCellStyle="Bad">
  <autoFilter ref="A1:T158"/>
  <sortState ref="A2:T158">
    <sortCondition ref="B1:B159"/>
  </sortState>
  <tableColumns count="20">
    <tableColumn id="1" name="Old or New?" dataDxfId="224" totalsRowDxfId="223"/>
    <tableColumn id="2" name="Session" dataDxfId="222" totalsRowDxfId="221"/>
    <tableColumn id="3" name="Student Number" dataDxfId="220" totalsRowDxfId="219"/>
    <tableColumn id="4" name="Pre or Post" dataDxfId="218" totalsRowDxfId="217"/>
    <tableColumn id="18" name="Pre5 Yes or No" dataDxfId="216" totalsRowDxfId="215"/>
    <tableColumn id="5" name="Question Number" dataDxfId="214" totalsRowDxfId="213"/>
    <tableColumn id="6" name="Response" dataDxfId="212" totalsRowDxfId="211"/>
    <tableColumn id="7" name="Pre and Post?" dataDxfId="210" totalsRowDxfId="209"/>
    <tableColumn id="8" name="Pre Answers" totalsRowFunction="custom" dataDxfId="208" totalsRowDxfId="207">
      <calculatedColumnFormula>IF(IF(Table4424666572[[#This Row],[Pre or Post]]="Pre",1,0)+IF(ISNUMBER(Table4424666572[[#This Row],[Response]])=TRUE,1,0)=2,1,"")</calculatedColumnFormula>
      <totalsRowFormula>SUM([Pre Answers])</totalsRowFormula>
    </tableColumn>
    <tableColumn id="9" name="Post Answers" totalsRowFunction="custom" dataDxfId="206" totalsRowDxfId="205">
      <calculatedColumnFormula>IF(IF(Table4424666572[[#This Row],[Pre or Post]]="Post",1,0)+IF(ISNUMBER(Table4424666572[[#This Row],[Response]])=TRUE,1,0)=2,1,"")</calculatedColumnFormula>
      <totalsRowFormula>SUM([Post Answers])</totalsRowFormula>
    </tableColumn>
    <tableColumn id="10" name="Pre Total" totalsRowFunction="custom" dataDxfId="204" totalsRowDxfId="203">
      <calculatedColumnFormula>IF(IF(Table4424666572[[#This Row],[Pre or Post]]="Pre",1,0)+IF(ISNUMBER(Table4424666572[[#This Row],[Response]])=TRUE,1,0)=2,Table4424666572[[#This Row],[Response]],"")</calculatedColumnFormula>
      <totalsRowFormula>SUM([Pre Total])</totalsRowFormula>
    </tableColumn>
    <tableColumn id="11" name="Post Total" totalsRowFunction="custom" dataDxfId="202" totalsRowDxfId="201">
      <calculatedColumnFormula>IF(IF(Table4424666572[[#This Row],[Pre or Post]]="Post",1,0)+IF(ISNUMBER(Table4424666572[[#This Row],[Response]])=TRUE,1,0)=2,Table4424666572[[#This Row],[Response]],"")</calculatedColumnFormula>
      <totalsRowFormula>SUM([Post Total])</totalsRowFormula>
    </tableColumn>
    <tableColumn id="15" name="Pre Total (Pooled)" totalsRowFunction="custom" dataDxfId="200" totalsRowDxfId="199">
      <calculatedColumnFormula>IF(IF(ISNUMBER(K2),1,0)+IF(ISNUMBER(L3),1,0)=2,IF(IF(C3=C2,1,0)+IF(B3=B2,1,0)+IF(D3="Post",1,0)+IF(D2="Pre",1,0)=4,Table4424666572[[#This Row],[Pre Total]],""),"")</calculatedColumnFormula>
      <totalsRowFormula>SUM([Pre Total (Pooled)])</totalsRowFormula>
    </tableColumn>
    <tableColumn id="12" name="Post Total (Pooled)" totalsRowFunction="custom" dataDxfId="198" totalsRowDxfId="197">
      <calculatedColumnFormula>IF(IF(ISNUMBER(K1),1,0)+IF(ISNUMBER(Table4424666572[[#This Row],[Post Total]]),1,0)=2,IF(IF(Table4424666572[[#This Row],[Student Number]]=C1,1,0)+IF(Table4424666572[[#This Row],[Session]]=B1,1,0)+IF(Table4424666572[[#This Row],[Pre or Post]]="Post",1,0)+IF(D1="Pre",1,0)=4,Table4424666572[[#This Row],[Post Total]],""),"")</calculatedColumnFormula>
      <totalsRowFormula>SUM([Post Total (Pooled)])</totalsRowFormula>
    </tableColumn>
    <tableColumn id="13" name="Change" totalsRowFunction="custom" dataDxfId="196" totalsRowDxfId="195">
      <calculatedColumnFormula>IF(IF(ISNUMBER(K1),1,0)+IF(ISNUMBER(Table4424666572[[#This Row],[Post Total]]),1,0)=2,IF(IF(Table4424666572[[#This Row],[Student Number]]=C1,1,0)+IF(Table4424666572[[#This Row],[Session]]=B1,1,0)+IF(Table4424666572[[#This Row],[Pre or Post]]="Post",1,0)+IF(D1="Pre",1,0)=4,Table4424666572[[#This Row],[Post Total]]-K1,""),"")</calculatedColumnFormula>
      <totalsRowFormula>SUM([Change])</totalsRowFormula>
    </tableColumn>
    <tableColumn id="14" name="Number 2 Resp" totalsRowFunction="custom" dataDxfId="194" totalsRowDxfId="193">
      <calculatedColumnFormula>ISNUMBER(Table4424666572[[#This Row],[Change]])</calculatedColumnFormula>
      <totalsRowFormula>COUNTIF([Number 2 Resp],TRUE)</totalsRowFormula>
    </tableColumn>
    <tableColumn id="16" name="If Pre5 Yes" totalsRowFunction="custom" dataDxfId="192" totalsRowDxfId="191">
      <calculatedColumnFormula>IF(E1="Yes",Table4424666572[[#This Row],[Change]],"")</calculatedColumnFormula>
      <totalsRowFormula>SUM([If Pre5 Yes])</totalsRowFormula>
    </tableColumn>
    <tableColumn id="17" name="If Pre5 No" totalsRowFunction="custom" dataDxfId="190" totalsRowDxfId="189">
      <calculatedColumnFormula>IF(E1="No",Table4424666572[[#This Row],[Change]],"")</calculatedColumnFormula>
      <totalsRowFormula>SUM([If Pre5 No])</totalsRowFormula>
    </tableColumn>
    <tableColumn id="19" name="Pre5 Yes Answers" totalsRowFunction="custom" dataDxfId="188" totalsRowDxfId="187">
      <calculatedColumnFormula>ISNUMBER(Table4424666572[[#This Row],[If Pre5 Yes]])</calculatedColumnFormula>
      <totalsRowFormula>COUNTIF([Pre5 Yes Answers],"TRUE")</totalsRowFormula>
    </tableColumn>
    <tableColumn id="20" name="Pre5 No Answers" totalsRowFunction="custom" dataDxfId="186" totalsRowDxfId="185">
      <calculatedColumnFormula>ISNUMBER(Table4424666572[[#This Row],[If Pre5 No]])</calculatedColumnFormula>
      <totalsRowFormula>COUNTIF([Pre5 No Answers],"TRUE")</totalsRowFormula>
    </tableColumn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id="72" name="Table51225676873" displayName="Table51225676873" ref="A162:E164" totalsRowShown="0" headerRowDxfId="184" dataDxfId="183">
  <autoFilter ref="A162:E164"/>
  <tableColumns count="5">
    <tableColumn id="1" name="Pre5 Yes or No" dataDxfId="182"/>
    <tableColumn id="2" name="Total Surveys" dataDxfId="181"/>
    <tableColumn id="3" name="Total Answers" dataDxfId="180"/>
    <tableColumn id="4" name="Sample Mean" dataDxfId="179"/>
    <tableColumn id="5" name="Sample Standard Deviation" dataDxfId="178"/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9" name="Table610" displayName="Table610" ref="A165:I166" totalsRowShown="0" headerRowDxfId="1499" dataDxfId="1498">
  <autoFilter ref="A165:I166">
    <filterColumn colId="5"/>
    <filterColumn colId="6"/>
    <filterColumn colId="7"/>
    <filterColumn colId="8"/>
  </autoFilter>
  <tableColumns count="9">
    <tableColumn id="1" name="Changed to Yes" dataDxfId="1497"/>
    <tableColumn id="2" name="Changed to No" dataDxfId="1496"/>
    <tableColumn id="3" name="Pre and Post" dataDxfId="1495"/>
    <tableColumn id="4" name="% Total Changed to Yes" dataDxfId="1494"/>
    <tableColumn id="5" name="% Total Changed to No" dataDxfId="1493"/>
    <tableColumn id="6" name="Total Changed" dataDxfId="1492">
      <calculatedColumnFormula>SUM(Table610[[Changed to Yes]:[Changed to No]])</calculatedColumnFormula>
    </tableColumn>
    <tableColumn id="7" name="Total % Changed" dataDxfId="1491">
      <calculatedColumnFormula>[Total Changed]/[Pre and Post]*100</calculatedColumnFormula>
    </tableColumn>
    <tableColumn id="8" name="Of Changed, % Changed to Yes" dataDxfId="1490">
      <calculatedColumnFormula>[% Total Changed to Yes]/[Total % Changed]*100</calculatedColumnFormula>
    </tableColumn>
    <tableColumn id="9" name="Of Changed, % Changed to No" dataDxfId="1489">
      <calculatedColumnFormula>[% Total Changed to No]/[Total % Changed]*100</calculatedColumnFormula>
    </tableColumn>
  </tableColumns>
  <tableStyleInfo name="TableStyleMedium10" showFirstColumn="0" showLastColumn="0" showRowStripes="1" showColumnStripes="0"/>
</table>
</file>

<file path=xl/tables/table80.xml><?xml version="1.0" encoding="utf-8"?>
<table xmlns="http://schemas.openxmlformats.org/spreadsheetml/2006/main" id="73" name="Table442466656974" displayName="Table442466656974" ref="A1:T107" totalsRowCount="1" headerRowDxfId="173" dataDxfId="172" totalsRowDxfId="171" headerRowCellStyle="Bad">
  <autoFilter ref="A1:T106"/>
  <sortState ref="A2:T106">
    <sortCondition ref="B1:B107"/>
  </sortState>
  <tableColumns count="20">
    <tableColumn id="1" name="Old or New?" dataDxfId="170" totalsRowDxfId="169"/>
    <tableColumn id="2" name="Session" dataDxfId="168" totalsRowDxfId="167"/>
    <tableColumn id="3" name="Student Number" dataDxfId="166" totalsRowDxfId="165"/>
    <tableColumn id="4" name="Pre or Post" dataDxfId="164" totalsRowDxfId="163"/>
    <tableColumn id="18" name="Pre5 Yes or No" dataDxfId="162" totalsRowDxfId="161"/>
    <tableColumn id="5" name="Question Number" dataDxfId="160" totalsRowDxfId="159"/>
    <tableColumn id="6" name="Response" dataDxfId="158" totalsRowDxfId="157"/>
    <tableColumn id="7" name="Pre and Post?" dataDxfId="156" totalsRowDxfId="155"/>
    <tableColumn id="8" name="Pre Answers" totalsRowFunction="custom" dataDxfId="154" totalsRowDxfId="153">
      <calculatedColumnFormula>IF(IF(Table442466656974[[#This Row],[Pre or Post]]="Pre",1,0)+IF(ISNUMBER(Table442466656974[[#This Row],[Response]])=TRUE,1,0)=2,1,"")</calculatedColumnFormula>
      <totalsRowFormula>SUM([Pre Answers])</totalsRowFormula>
    </tableColumn>
    <tableColumn id="9" name="Post Answers" totalsRowFunction="custom" dataDxfId="152" totalsRowDxfId="151">
      <calculatedColumnFormula>IF(IF(Table442466656974[[#This Row],[Pre or Post]]="Post",1,0)+IF(ISNUMBER(Table442466656974[[#This Row],[Response]])=TRUE,1,0)=2,1,"")</calculatedColumnFormula>
      <totalsRowFormula>SUM([Post Answers])</totalsRowFormula>
    </tableColumn>
    <tableColumn id="10" name="Pre Total" totalsRowFunction="custom" dataDxfId="150" totalsRowDxfId="149">
      <calculatedColumnFormula>IF(IF(Table442466656974[[#This Row],[Pre or Post]]="Pre",1,0)+IF(ISNUMBER(Table442466656974[[#This Row],[Response]])=TRUE,1,0)=2,Table442466656974[[#This Row],[Response]],"")</calculatedColumnFormula>
      <totalsRowFormula>SUM([Pre Total])</totalsRowFormula>
    </tableColumn>
    <tableColumn id="11" name="Post Total" totalsRowFunction="custom" dataDxfId="148" totalsRowDxfId="147">
      <calculatedColumnFormula>IF(IF(Table442466656974[[#This Row],[Pre or Post]]="Post",1,0)+IF(ISNUMBER(Table442466656974[[#This Row],[Response]])=TRUE,1,0)=2,Table442466656974[[#This Row],[Response]],"")</calculatedColumnFormula>
      <totalsRowFormula>SUM([Post Total])</totalsRowFormula>
    </tableColumn>
    <tableColumn id="15" name="Pre Total (Pooled)" totalsRowFunction="custom" dataDxfId="146" totalsRowDxfId="145">
      <calculatedColumnFormula>IF(IF(ISNUMBER(K2),1,0)+IF(ISNUMBER(L3),1,0)=2,IF(IF(C3=C2,1,0)+IF(B3=B2,1,0)+IF(D3="Post",1,0)+IF(D2="Pre",1,0)=4,Table442466656974[[#This Row],[Pre Total]],""),"")</calculatedColumnFormula>
      <totalsRowFormula>SUM([Pre Total (Pooled)])</totalsRowFormula>
    </tableColumn>
    <tableColumn id="12" name="Post Total (Pooled)" totalsRowFunction="custom" dataDxfId="144" totalsRowDxfId="143">
      <calculatedColumnFormula>IF(IF(ISNUMBER(K1),1,0)+IF(ISNUMBER(Table442466656974[[#This Row],[Post Total]]),1,0)=2,IF(IF(Table442466656974[[#This Row],[Student Number]]=C1,1,0)+IF(Table442466656974[[#This Row],[Session]]=B1,1,0)+IF(Table442466656974[[#This Row],[Pre or Post]]="Post",1,0)+IF(D1="Pre",1,0)=4,Table442466656974[[#This Row],[Post Total]],""),"")</calculatedColumnFormula>
      <totalsRowFormula>SUM([Post Total (Pooled)])</totalsRowFormula>
    </tableColumn>
    <tableColumn id="13" name="Change" totalsRowFunction="custom" dataDxfId="142" totalsRowDxfId="141">
      <calculatedColumnFormula>IF(IF(ISNUMBER(K1),1,0)+IF(ISNUMBER(Table442466656974[[#This Row],[Post Total]]),1,0)=2,IF(IF(Table442466656974[[#This Row],[Student Number]]=C1,1,0)+IF(Table442466656974[[#This Row],[Session]]=B1,1,0)+IF(Table442466656974[[#This Row],[Pre or Post]]="Post",1,0)+IF(D1="Pre",1,0)=4,Table442466656974[[#This Row],[Post Total]]-K1,""),"")</calculatedColumnFormula>
      <totalsRowFormula>SUM([Change])</totalsRowFormula>
    </tableColumn>
    <tableColumn id="14" name="Number 2 Resp" totalsRowFunction="custom" dataDxfId="140" totalsRowDxfId="139">
      <calculatedColumnFormula>ISNUMBER(Table442466656974[[#This Row],[Change]])</calculatedColumnFormula>
      <totalsRowFormula>COUNTIF([Number 2 Resp],TRUE)</totalsRowFormula>
    </tableColumn>
    <tableColumn id="16" name="If Pre5 Yes" totalsRowFunction="custom" dataDxfId="138" totalsRowDxfId="137">
      <calculatedColumnFormula>IF(E1="Yes",Table442466656974[[#This Row],[Change]],"")</calculatedColumnFormula>
      <totalsRowFormula>SUM([If Pre5 Yes])</totalsRowFormula>
    </tableColumn>
    <tableColumn id="17" name="If Pre5 No" totalsRowFunction="custom" dataDxfId="136" totalsRowDxfId="135">
      <calculatedColumnFormula>IF(E1="No",Table442466656974[[#This Row],[Change]],"")</calculatedColumnFormula>
      <totalsRowFormula>SUM([If Pre5 No])</totalsRowFormula>
    </tableColumn>
    <tableColumn id="19" name="Pre5 Yes Answers" totalsRowFunction="custom" dataDxfId="134" totalsRowDxfId="133">
      <calculatedColumnFormula>ISNUMBER(Table442466656974[[#This Row],[If Pre5 Yes]])</calculatedColumnFormula>
      <totalsRowFormula>COUNTIF([Pre5 Yes Answers],"TRUE")</totalsRowFormula>
    </tableColumn>
    <tableColumn id="20" name="Pre5 No Answers" totalsRowFunction="custom" dataDxfId="132" totalsRowDxfId="131">
      <calculatedColumnFormula>ISNUMBER(Table442466656974[[#This Row],[If Pre5 No]])</calculatedColumnFormula>
      <totalsRowFormula>COUNTIF([Pre5 No Answers],"TRUE")</totalsRowFormula>
    </tableColumn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74" name="Table5122567687075" displayName="Table5122567687075" ref="A110:E112" totalsRowShown="0" headerRowDxfId="130" dataDxfId="129">
  <autoFilter ref="A110:E112"/>
  <tableColumns count="5">
    <tableColumn id="1" name="Pre5 Yes or no" dataDxfId="128"/>
    <tableColumn id="2" name="Total Surveys" dataDxfId="127"/>
    <tableColumn id="3" name="Total Answers" dataDxfId="126"/>
    <tableColumn id="4" name="Sample Mean" dataDxfId="125"/>
    <tableColumn id="5" name="Sample Standard Deviation" dataDxfId="124"/>
  </tableColumns>
  <tableStyleInfo name="TableStyleMedium11" showFirstColumn="0" showLastColumn="0" showRowStripes="1" showColumnStripes="0"/>
</table>
</file>

<file path=xl/tables/table82.xml><?xml version="1.0" encoding="utf-8"?>
<table xmlns="http://schemas.openxmlformats.org/spreadsheetml/2006/main" id="75" name="Table512256762647176" displayName="Table512256762647176" ref="A1:F5" totalsRowShown="0" headerRowDxfId="123" dataDxfId="122">
  <autoFilter ref="A1:F5"/>
  <tableColumns count="6">
    <tableColumn id="6" name="New or Old" dataDxfId="121"/>
    <tableColumn id="1" name="Pre5 Yes or No" dataDxfId="120"/>
    <tableColumn id="2" name="Total Surveys" dataDxfId="119"/>
    <tableColumn id="3" name="Total Answers" dataDxfId="118"/>
    <tableColumn id="4" name="Sample Mean" dataDxfId="117"/>
    <tableColumn id="5" name="Sample Standard Deviation" dataDxfId="116"/>
  </tableColumns>
  <tableStyleInfo name="TableStyleMedium11" showFirstColumn="0" showLastColumn="0" showRowStripes="1" showColumnStripes="0"/>
</table>
</file>

<file path=xl/tables/table83.xml><?xml version="1.0" encoding="utf-8"?>
<table xmlns="http://schemas.openxmlformats.org/spreadsheetml/2006/main" id="76" name="Table442466657277" displayName="Table442466657277" ref="A1:T159" totalsRowCount="1" headerRowDxfId="111" dataDxfId="110" totalsRowDxfId="109" headerRowCellStyle="Bad">
  <autoFilter ref="A1:T158"/>
  <sortState ref="A2:T158">
    <sortCondition ref="B1:B159"/>
  </sortState>
  <tableColumns count="20">
    <tableColumn id="1" name="Old or New?" dataDxfId="108" totalsRowDxfId="107"/>
    <tableColumn id="2" name="Session" dataDxfId="106" totalsRowDxfId="105"/>
    <tableColumn id="3" name="Student Number" dataDxfId="104" totalsRowDxfId="103"/>
    <tableColumn id="4" name="Pre or Post" dataDxfId="102" totalsRowDxfId="101"/>
    <tableColumn id="18" name="Pre6 Yes or No" dataDxfId="100" totalsRowDxfId="99"/>
    <tableColumn id="5" name="Question Number" dataDxfId="98" totalsRowDxfId="97"/>
    <tableColumn id="6" name="Response" dataDxfId="96" totalsRowDxfId="95"/>
    <tableColumn id="7" name="Pre and Post?" dataDxfId="94" totalsRowDxfId="93"/>
    <tableColumn id="8" name="Pre Answers" totalsRowFunction="custom" dataDxfId="92" totalsRowDxfId="91">
      <calculatedColumnFormula>IF(IF(Table442466657277[[#This Row],[Pre or Post]]="Pre",1,0)+IF(ISNUMBER(Table442466657277[[#This Row],[Response]])=TRUE,1,0)=2,1,"")</calculatedColumnFormula>
      <totalsRowFormula>SUM([Pre Answers])</totalsRowFormula>
    </tableColumn>
    <tableColumn id="9" name="Post Answers" totalsRowFunction="custom" dataDxfId="90" totalsRowDxfId="89">
      <calculatedColumnFormula>IF(IF(Table442466657277[[#This Row],[Pre or Post]]="Post",1,0)+IF(ISNUMBER(Table442466657277[[#This Row],[Response]])=TRUE,1,0)=2,1,"")</calculatedColumnFormula>
      <totalsRowFormula>SUM([Post Answers])</totalsRowFormula>
    </tableColumn>
    <tableColumn id="10" name="Pre Total" totalsRowFunction="custom" dataDxfId="88" totalsRowDxfId="87">
      <calculatedColumnFormula>IF(IF(Table442466657277[[#This Row],[Pre or Post]]="Pre",1,0)+IF(ISNUMBER(Table442466657277[[#This Row],[Response]])=TRUE,1,0)=2,Table442466657277[[#This Row],[Response]],"")</calculatedColumnFormula>
      <totalsRowFormula>SUM([Pre Total])</totalsRowFormula>
    </tableColumn>
    <tableColumn id="11" name="Post Total" totalsRowFunction="custom" dataDxfId="86" totalsRowDxfId="85">
      <calculatedColumnFormula>IF(IF(Table442466657277[[#This Row],[Pre or Post]]="Post",1,0)+IF(ISNUMBER(Table442466657277[[#This Row],[Response]])=TRUE,1,0)=2,Table442466657277[[#This Row],[Response]],"")</calculatedColumnFormula>
      <totalsRowFormula>SUM([Post Total])</totalsRowFormula>
    </tableColumn>
    <tableColumn id="15" name="Pre Total (Pooled)" totalsRowFunction="custom" dataDxfId="84" totalsRowDxfId="83">
      <calculatedColumnFormula>IF(IF(ISNUMBER(K2),1,0)+IF(ISNUMBER(L3),1,0)=2,IF(IF(C3=C2,1,0)+IF(B3=B2,1,0)+IF(D3="Post",1,0)+IF(D2="Pre",1,0)=4,Table442466657277[[#This Row],[Pre Total]],""),"")</calculatedColumnFormula>
      <totalsRowFormula>SUM([Pre Total (Pooled)])</totalsRowFormula>
    </tableColumn>
    <tableColumn id="12" name="Post Total (Pooled)" totalsRowFunction="custom" dataDxfId="82" totalsRowDxfId="81">
      <calculatedColumnFormula>IF(IF(ISNUMBER(K1),1,0)+IF(ISNUMBER(Table442466657277[[#This Row],[Post Total]]),1,0)=2,IF(IF(Table442466657277[[#This Row],[Student Number]]=C1,1,0)+IF(Table442466657277[[#This Row],[Session]]=B1,1,0)+IF(Table442466657277[[#This Row],[Pre or Post]]="Post",1,0)+IF(D1="Pre",1,0)=4,Table442466657277[[#This Row],[Post Total]],""),"")</calculatedColumnFormula>
      <totalsRowFormula>SUM([Post Total (Pooled)])</totalsRowFormula>
    </tableColumn>
    <tableColumn id="13" name="Change" totalsRowFunction="custom" dataDxfId="80" totalsRowDxfId="79">
      <calculatedColumnFormula>IF(IF(ISNUMBER(K1),1,0)+IF(ISNUMBER(Table442466657277[[#This Row],[Post Total]]),1,0)=2,IF(IF(Table442466657277[[#This Row],[Student Number]]=C1,1,0)+IF(Table442466657277[[#This Row],[Session]]=B1,1,0)+IF(Table442466657277[[#This Row],[Pre or Post]]="Post",1,0)+IF(D1="Pre",1,0)=4,Table442466657277[[#This Row],[Post Total]]-K1,""),"")</calculatedColumnFormula>
      <totalsRowFormula>SUM([Change])</totalsRowFormula>
    </tableColumn>
    <tableColumn id="14" name="Number 2 Resp" totalsRowFunction="custom" dataDxfId="78" totalsRowDxfId="77">
      <calculatedColumnFormula>ISNUMBER(Table442466657277[[#This Row],[Change]])</calculatedColumnFormula>
      <totalsRowFormula>COUNTIF([Number 2 Resp],TRUE)</totalsRowFormula>
    </tableColumn>
    <tableColumn id="16" name="If Pre6 Yes" totalsRowFunction="custom" dataDxfId="76" totalsRowDxfId="75">
      <calculatedColumnFormula>IF(E1="Yes",Table442466657277[[#This Row],[Change]],"")</calculatedColumnFormula>
      <totalsRowFormula>SUM([If Pre6 Yes])</totalsRowFormula>
    </tableColumn>
    <tableColumn id="17" name="If Pre6 No" totalsRowFunction="custom" dataDxfId="74" totalsRowDxfId="73">
      <calculatedColumnFormula>IF(E1="No",Table442466657277[[#This Row],[Change]],"")</calculatedColumnFormula>
      <totalsRowFormula>SUM([If Pre6 No])</totalsRowFormula>
    </tableColumn>
    <tableColumn id="19" name="Pre6 Yes Answers" totalsRowFunction="custom" dataDxfId="72" totalsRowDxfId="71">
      <calculatedColumnFormula>ISNUMBER(Table442466657277[[#This Row],[If Pre6 Yes]])</calculatedColumnFormula>
      <totalsRowFormula>COUNTIF([Pre6 Yes Answers],"TRUE")</totalsRowFormula>
    </tableColumn>
    <tableColumn id="20" name="Pre6 No Answers" totalsRowFunction="custom" dataDxfId="70" totalsRowDxfId="69">
      <calculatedColumnFormula>ISNUMBER(Table442466657277[[#This Row],[If Pre6 No]])</calculatedColumnFormula>
      <totalsRowFormula>COUNTIF([Pre6 No Answers],"TRUE")</totalsRowFormula>
    </tableColumn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77" name="Table5122567687378" displayName="Table5122567687378" ref="A162:E164" totalsRowShown="0" headerRowDxfId="68" dataDxfId="67">
  <autoFilter ref="A162:E164"/>
  <tableColumns count="5">
    <tableColumn id="1" name="Pre6 Yes or No" dataDxfId="66"/>
    <tableColumn id="2" name="Total Surveys" dataDxfId="65"/>
    <tableColumn id="3" name="Total Answers" dataDxfId="64"/>
    <tableColumn id="4" name="Sample Mean" dataDxfId="63"/>
    <tableColumn id="5" name="Sample Standard Deviation" dataDxfId="62"/>
  </tableColumns>
  <tableStyleInfo name="TableStyleMedium11" showFirstColumn="0" showLastColumn="0" showRowStripes="1" showColumnStripes="0"/>
</table>
</file>

<file path=xl/tables/table85.xml><?xml version="1.0" encoding="utf-8"?>
<table xmlns="http://schemas.openxmlformats.org/spreadsheetml/2006/main" id="78" name="Table44246665727779" displayName="Table44246665727779" ref="A1:T107" totalsRowCount="1" headerRowDxfId="57" dataDxfId="56" totalsRowDxfId="55" headerRowCellStyle="Bad">
  <autoFilter ref="A1:T106"/>
  <sortState ref="A2:T106">
    <sortCondition ref="B1:B106"/>
  </sortState>
  <tableColumns count="20">
    <tableColumn id="1" name="Old or New?" dataDxfId="54" totalsRowDxfId="53"/>
    <tableColumn id="2" name="Session" dataDxfId="52" totalsRowDxfId="51"/>
    <tableColumn id="3" name="Student Number" dataDxfId="50" totalsRowDxfId="49"/>
    <tableColumn id="4" name="Pre or Post" dataDxfId="48" totalsRowDxfId="47"/>
    <tableColumn id="18" name="Pre6 Yes or No" dataDxfId="46" totalsRowDxfId="45"/>
    <tableColumn id="5" name="Question Number" dataDxfId="44" totalsRowDxfId="43"/>
    <tableColumn id="6" name="Response" dataDxfId="42" totalsRowDxfId="41"/>
    <tableColumn id="7" name="Pre and Post?" dataDxfId="40" totalsRowDxfId="39"/>
    <tableColumn id="8" name="Pre Answers" totalsRowFunction="custom" dataDxfId="38" totalsRowDxfId="37">
      <calculatedColumnFormula>IF(IF(Table44246665727779[[#This Row],[Pre or Post]]="Pre",1,0)+IF(ISNUMBER(Table44246665727779[[#This Row],[Response]])=TRUE,1,0)=2,1,"")</calculatedColumnFormula>
      <totalsRowFormula>SUM([Pre Answers])</totalsRowFormula>
    </tableColumn>
    <tableColumn id="9" name="Post Answers" totalsRowFunction="custom" dataDxfId="36" totalsRowDxfId="35">
      <calculatedColumnFormula>IF(IF(Table44246665727779[[#This Row],[Pre or Post]]="Post",1,0)+IF(ISNUMBER(Table44246665727779[[#This Row],[Response]])=TRUE,1,0)=2,1,"")</calculatedColumnFormula>
      <totalsRowFormula>SUM([Post Answers])</totalsRowFormula>
    </tableColumn>
    <tableColumn id="10" name="Pre Total" totalsRowFunction="custom" dataDxfId="34" totalsRowDxfId="33">
      <calculatedColumnFormula>IF(IF(Table44246665727779[[#This Row],[Pre or Post]]="Pre",1,0)+IF(ISNUMBER(Table44246665727779[[#This Row],[Response]])=TRUE,1,0)=2,Table44246665727779[[#This Row],[Response]],"")</calculatedColumnFormula>
      <totalsRowFormula>SUM([Pre Total])</totalsRowFormula>
    </tableColumn>
    <tableColumn id="11" name="Post Total" totalsRowFunction="custom" dataDxfId="32" totalsRowDxfId="31">
      <calculatedColumnFormula>IF(IF(Table44246665727779[[#This Row],[Pre or Post]]="Post",1,0)+IF(ISNUMBER(Table44246665727779[[#This Row],[Response]])=TRUE,1,0)=2,Table44246665727779[[#This Row],[Response]],"")</calculatedColumnFormula>
      <totalsRowFormula>SUM([Post Total])</totalsRowFormula>
    </tableColumn>
    <tableColumn id="15" name="Pre Total (Pooled)" totalsRowFunction="custom" dataDxfId="30" totalsRowDxfId="29">
      <calculatedColumnFormula>IF(IF(ISNUMBER(K2),1,0)+IF(ISNUMBER(L3),1,0)=2,IF(IF(C3=C2,1,0)+IF(B3=B2,1,0)+IF(D3="Post",1,0)+IF(D2="Pre",1,0)=4,Table44246665727779[[#This Row],[Pre Total]],""),"")</calculatedColumnFormula>
      <totalsRowFormula>SUM([Pre Total (Pooled)])</totalsRowFormula>
    </tableColumn>
    <tableColumn id="12" name="Post Total (Pooled)" totalsRowFunction="custom" dataDxfId="28" totalsRowDxfId="27">
      <calculatedColumnFormula>IF(IF(ISNUMBER(K1),1,0)+IF(ISNUMBER(Table44246665727779[[#This Row],[Post Total]]),1,0)=2,IF(IF(Table44246665727779[[#This Row],[Student Number]]=C1,1,0)+IF(Table44246665727779[[#This Row],[Session]]=B1,1,0)+IF(Table44246665727779[[#This Row],[Pre or Post]]="Post",1,0)+IF(D1="Pre",1,0)=4,Table44246665727779[[#This Row],[Post Total]],""),"")</calculatedColumnFormula>
      <totalsRowFormula>SUM([Post Total (Pooled)])</totalsRowFormula>
    </tableColumn>
    <tableColumn id="13" name="Change" totalsRowFunction="custom" dataDxfId="26" totalsRowDxfId="25">
      <calculatedColumnFormula>IF(IF(ISNUMBER(K1),1,0)+IF(ISNUMBER(Table44246665727779[[#This Row],[Post Total]]),1,0)=2,IF(IF(Table44246665727779[[#This Row],[Student Number]]=C1,1,0)+IF(Table44246665727779[[#This Row],[Session]]=B1,1,0)+IF(Table44246665727779[[#This Row],[Pre or Post]]="Post",1,0)+IF(D1="Pre",1,0)=4,Table44246665727779[[#This Row],[Post Total]]-K1,""),"")</calculatedColumnFormula>
      <totalsRowFormula>SUM([Change])</totalsRowFormula>
    </tableColumn>
    <tableColumn id="14" name="Number 2 Resp" totalsRowFunction="custom" dataDxfId="24" totalsRowDxfId="23">
      <calculatedColumnFormula>ISNUMBER(Table44246665727779[[#This Row],[Change]])</calculatedColumnFormula>
      <totalsRowFormula>COUNTIF([Number 2 Resp],TRUE)</totalsRowFormula>
    </tableColumn>
    <tableColumn id="16" name="If Pre6 Yes" totalsRowFunction="custom" dataDxfId="22" totalsRowDxfId="21">
      <calculatedColumnFormula>IF(E1="Yes",Table44246665727779[[#This Row],[Change]],"")</calculatedColumnFormula>
      <totalsRowFormula>SUM([If Pre6 Yes])</totalsRowFormula>
    </tableColumn>
    <tableColumn id="17" name="If Pre6 No" totalsRowFunction="custom" dataDxfId="20" totalsRowDxfId="19">
      <calculatedColumnFormula>IF(E1="No",Table44246665727779[[#This Row],[Change]],"")</calculatedColumnFormula>
      <totalsRowFormula>SUM([If Pre6 No])</totalsRowFormula>
    </tableColumn>
    <tableColumn id="19" name="Pre6 Yes Answers" totalsRowFunction="custom" dataDxfId="18" totalsRowDxfId="17">
      <calculatedColumnFormula>ISNUMBER(Table44246665727779[[#This Row],[If Pre6 Yes]])</calculatedColumnFormula>
      <totalsRowFormula>COUNTIF([Pre6 Yes Answers],"TRUE")</totalsRowFormula>
    </tableColumn>
    <tableColumn id="20" name="Pre6 No Answers" totalsRowFunction="custom" dataDxfId="16" totalsRowDxfId="15">
      <calculatedColumnFormula>ISNUMBER(Table44246665727779[[#This Row],[If Pre6 No]])</calculatedColumnFormula>
      <totalsRowFormula>COUNTIF([Pre6 No Answers],"TRUE")</totalsRowFormula>
    </tableColumn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79" name="Table512256768737880" displayName="Table512256768737880" ref="A110:E112" totalsRowShown="0" headerRowDxfId="14" dataDxfId="13">
  <autoFilter ref="A110:E112"/>
  <tableColumns count="5">
    <tableColumn id="1" name="Pre6 Yes or No" dataDxfId="12"/>
    <tableColumn id="2" name="Total Surveys" dataDxfId="11"/>
    <tableColumn id="3" name="Total Answers" dataDxfId="10"/>
    <tableColumn id="4" name="Sample Mean" dataDxfId="9"/>
    <tableColumn id="5" name="Sample Standard Deviation" dataDxfId="8"/>
  </tableColumns>
  <tableStyleInfo name="TableStyleMedium11" showFirstColumn="0" showLastColumn="0" showRowStripes="1" showColumnStripes="0"/>
</table>
</file>

<file path=xl/tables/table87.xml><?xml version="1.0" encoding="utf-8"?>
<table xmlns="http://schemas.openxmlformats.org/spreadsheetml/2006/main" id="80" name="Table51225676264717681" displayName="Table51225676264717681" ref="A1:F5" totalsRowShown="0" headerRowDxfId="7" dataDxfId="6">
  <autoFilter ref="A1:F5"/>
  <tableColumns count="6">
    <tableColumn id="6" name="New or Old" dataDxfId="5"/>
    <tableColumn id="1" name="Pre5 Yes or No" dataDxfId="4"/>
    <tableColumn id="2" name="Total Surveys" dataDxfId="3"/>
    <tableColumn id="3" name="Total Answers" dataDxfId="2"/>
    <tableColumn id="4" name="Sample Mean" dataDxfId="1"/>
    <tableColumn id="5" name="Sample Standard Deviation" dataDxfId="0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10" name="Table511" displayName="Table511" ref="A1:H3" totalsRowShown="0" headerRowDxfId="1446" dataDxfId="1445">
  <autoFilter ref="A1:H3">
    <filterColumn colId="0"/>
  </autoFilter>
  <sortState ref="A2:H5">
    <sortCondition descending="1" ref="B1:B5"/>
  </sortState>
  <tableColumns count="8">
    <tableColumn id="8" name="Type" dataDxfId="1444"/>
    <tableColumn id="1" name="Pre or Post" dataDxfId="1443"/>
    <tableColumn id="2" name="Total Surveys" dataDxfId="1442">
      <calculatedColumnFormula>COUNTIF(Table4[Pre or Post],"Post")</calculatedColumnFormula>
    </tableColumn>
    <tableColumn id="3" name="Total Answers" dataDxfId="1441">
      <calculatedColumnFormula>SUM(Table4[[#Totals],[Post Yes]:[Post No]])</calculatedColumnFormula>
    </tableColumn>
    <tableColumn id="4" name="Yes" dataDxfId="1440">
      <calculatedColumnFormula>Table4[[#Totals],[Post Yes]]</calculatedColumnFormula>
    </tableColumn>
    <tableColumn id="5" name="No" dataDxfId="1439">
      <calculatedColumnFormula>Table4[[#Totals],[Post No]]</calculatedColumnFormula>
    </tableColumn>
    <tableColumn id="6" name="% Yes" dataDxfId="1438">
      <calculatedColumnFormula>E2/D2*100</calculatedColumnFormula>
    </tableColumn>
    <tableColumn id="7" name="% No" dataDxfId="1437">
      <calculatedColumnFormula>F2/D2*100</calculatedColumnFormula>
    </tableColumn>
  </tableColumns>
  <tableStyleInfo name="TableStyleMedium1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table" Target="../tables/table2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table" Target="../tables/table30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3" Type="http://schemas.openxmlformats.org/officeDocument/2006/relationships/table" Target="../tables/table34.xml"/><Relationship Id="rId7" Type="http://schemas.openxmlformats.org/officeDocument/2006/relationships/table" Target="../tables/table38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37.xml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table" Target="../tables/table4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5.xml"/><Relationship Id="rId2" Type="http://schemas.openxmlformats.org/officeDocument/2006/relationships/table" Target="../tables/table44.xml"/><Relationship Id="rId1" Type="http://schemas.openxmlformats.org/officeDocument/2006/relationships/table" Target="../tables/table43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2.xml"/><Relationship Id="rId3" Type="http://schemas.openxmlformats.org/officeDocument/2006/relationships/table" Target="../tables/table47.xml"/><Relationship Id="rId7" Type="http://schemas.openxmlformats.org/officeDocument/2006/relationships/table" Target="../tables/table51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50.xml"/><Relationship Id="rId5" Type="http://schemas.openxmlformats.org/officeDocument/2006/relationships/table" Target="../tables/table49.xml"/><Relationship Id="rId4" Type="http://schemas.openxmlformats.org/officeDocument/2006/relationships/table" Target="../tables/table48.xml"/><Relationship Id="rId9" Type="http://schemas.openxmlformats.org/officeDocument/2006/relationships/table" Target="../tables/table5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5.xml"/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7.xml"/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5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0.xml"/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table" Target="../tables/table6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7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9.xml"/><Relationship Id="rId1" Type="http://schemas.openxmlformats.org/officeDocument/2006/relationships/table" Target="../tables/table68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1.xml"/><Relationship Id="rId1" Type="http://schemas.openxmlformats.org/officeDocument/2006/relationships/table" Target="../tables/table7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4.xml"/><Relationship Id="rId1" Type="http://schemas.openxmlformats.org/officeDocument/2006/relationships/table" Target="../tables/table73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6.xml"/><Relationship Id="rId1" Type="http://schemas.openxmlformats.org/officeDocument/2006/relationships/table" Target="../tables/table7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7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9.xml"/><Relationship Id="rId1" Type="http://schemas.openxmlformats.org/officeDocument/2006/relationships/table" Target="../tables/table7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1.xml"/><Relationship Id="rId1" Type="http://schemas.openxmlformats.org/officeDocument/2006/relationships/table" Target="../tables/table8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2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4.xml"/><Relationship Id="rId1" Type="http://schemas.openxmlformats.org/officeDocument/2006/relationships/table" Target="../tables/table83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6.xml"/><Relationship Id="rId1" Type="http://schemas.openxmlformats.org/officeDocument/2006/relationships/table" Target="../tables/table85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7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6.xml"/><Relationship Id="rId3" Type="http://schemas.openxmlformats.org/officeDocument/2006/relationships/table" Target="../tables/table21.xml"/><Relationship Id="rId7" Type="http://schemas.openxmlformats.org/officeDocument/2006/relationships/table" Target="../tables/table25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24.xml"/><Relationship Id="rId5" Type="http://schemas.openxmlformats.org/officeDocument/2006/relationships/table" Target="../tables/table23.xml"/><Relationship Id="rId4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1"/>
  <sheetViews>
    <sheetView topLeftCell="B1" workbookViewId="0">
      <pane ySplit="1" topLeftCell="A2" activePane="bottomLeft" state="frozen"/>
      <selection pane="bottomLeft" activeCell="N19" sqref="N19"/>
    </sheetView>
  </sheetViews>
  <sheetFormatPr defaultColWidth="16.7109375" defaultRowHeight="15"/>
  <sheetData>
    <row r="1" spans="1:11">
      <c r="A1" t="s">
        <v>11</v>
      </c>
      <c r="B1" t="s">
        <v>0</v>
      </c>
      <c r="C1" t="s">
        <v>1</v>
      </c>
      <c r="D1" t="s">
        <v>4</v>
      </c>
      <c r="E1" t="s">
        <v>170</v>
      </c>
      <c r="F1" t="s">
        <v>2</v>
      </c>
      <c r="G1" t="s">
        <v>3</v>
      </c>
      <c r="H1" t="s">
        <v>20</v>
      </c>
      <c r="I1" t="s">
        <v>110</v>
      </c>
      <c r="J1" t="s">
        <v>111</v>
      </c>
      <c r="K1" t="s">
        <v>112</v>
      </c>
    </row>
    <row r="2" spans="1:11">
      <c r="A2" s="1" t="s">
        <v>12</v>
      </c>
      <c r="B2" s="1" t="s">
        <v>10</v>
      </c>
      <c r="C2" s="1">
        <v>1</v>
      </c>
      <c r="D2" s="1" t="s">
        <v>6</v>
      </c>
      <c r="E2" s="5" t="str">
        <f>IF(Table1[[#This Row],[Pre or Post]]="Pre",IF(IF(Table1[[#This Row],[Response]]="Male",0,1)+IF(Table1[[#This Row],[Response]]="Female",0,1)=2,E1,Table1[[#This Row],[Response]]),"")</f>
        <v>Male</v>
      </c>
      <c r="F2" s="1">
        <v>2</v>
      </c>
      <c r="G2" s="1" t="s">
        <v>7</v>
      </c>
      <c r="H2" s="1" t="s">
        <v>8</v>
      </c>
      <c r="I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" spans="1:11">
      <c r="A3" s="1" t="s">
        <v>12</v>
      </c>
      <c r="B3" s="1" t="s">
        <v>10</v>
      </c>
      <c r="C3" s="1">
        <v>1</v>
      </c>
      <c r="D3" s="1" t="s">
        <v>6</v>
      </c>
      <c r="E3" s="5" t="str">
        <f>IF(Table1[[#This Row],[Pre or Post]]="Pre",IF(IF(Table1[[#This Row],[Response]]="Male",0,1)+IF(Table1[[#This Row],[Response]]="Female",0,1)=2,E2,Table1[[#This Row],[Response]]),"")</f>
        <v>Male</v>
      </c>
      <c r="F3" s="1">
        <v>3</v>
      </c>
      <c r="G3" s="1" t="s">
        <v>8</v>
      </c>
      <c r="H3" s="1" t="s">
        <v>8</v>
      </c>
      <c r="I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4" spans="1:11">
      <c r="A4" s="1" t="s">
        <v>12</v>
      </c>
      <c r="B4" s="1" t="s">
        <v>10</v>
      </c>
      <c r="C4" s="1">
        <v>1</v>
      </c>
      <c r="D4" s="1" t="s">
        <v>6</v>
      </c>
      <c r="E4" s="5" t="str">
        <f>IF(Table1[[#This Row],[Pre or Post]]="Pre",IF(IF(Table1[[#This Row],[Response]]="Male",0,1)+IF(Table1[[#This Row],[Response]]="Female",0,1)=2,E3,Table1[[#This Row],[Response]]),"")</f>
        <v>Male</v>
      </c>
      <c r="F4" s="1">
        <v>4</v>
      </c>
      <c r="G4" s="1" t="s">
        <v>9</v>
      </c>
      <c r="H4" s="1" t="s">
        <v>8</v>
      </c>
      <c r="I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5" spans="1:11">
      <c r="A5" s="1" t="s">
        <v>12</v>
      </c>
      <c r="B5" s="1" t="s">
        <v>10</v>
      </c>
      <c r="C5" s="1">
        <v>1</v>
      </c>
      <c r="D5" s="1" t="s">
        <v>6</v>
      </c>
      <c r="E5" s="5" t="str">
        <f>IF(Table1[[#This Row],[Pre or Post]]="Pre",IF(IF(Table1[[#This Row],[Response]]="Male",0,1)+IF(Table1[[#This Row],[Response]]="Female",0,1)=2,E4,Table1[[#This Row],[Response]]),"")</f>
        <v>Male</v>
      </c>
      <c r="F5" s="1">
        <v>5</v>
      </c>
      <c r="G5" s="1" t="s">
        <v>8</v>
      </c>
      <c r="H5" s="1" t="s">
        <v>8</v>
      </c>
      <c r="I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6" spans="1:11">
      <c r="A6" s="1" t="s">
        <v>12</v>
      </c>
      <c r="B6" s="1" t="s">
        <v>10</v>
      </c>
      <c r="C6" s="1">
        <v>1</v>
      </c>
      <c r="D6" s="1" t="s">
        <v>6</v>
      </c>
      <c r="E6" s="5" t="str">
        <f>IF(Table1[[#This Row],[Pre or Post]]="Pre",IF(IF(Table1[[#This Row],[Response]]="Male",0,1)+IF(Table1[[#This Row],[Response]]="Female",0,1)=2,E5,Table1[[#This Row],[Response]]),"")</f>
        <v>Male</v>
      </c>
      <c r="F6" s="1">
        <v>6</v>
      </c>
      <c r="G6" s="1" t="s">
        <v>8</v>
      </c>
      <c r="H6" s="1" t="s">
        <v>8</v>
      </c>
      <c r="I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7" spans="1:11">
      <c r="A7" s="1" t="s">
        <v>12</v>
      </c>
      <c r="B7" s="1" t="s">
        <v>10</v>
      </c>
      <c r="C7" s="1">
        <v>1</v>
      </c>
      <c r="D7" s="1" t="s">
        <v>6</v>
      </c>
      <c r="E7" s="5" t="str">
        <f>IF(Table1[[#This Row],[Pre or Post]]="Pre",IF(IF(Table1[[#This Row],[Response]]="Male",0,1)+IF(Table1[[#This Row],[Response]]="Female",0,1)=2,E6,Table1[[#This Row],[Response]]),"")</f>
        <v>Male</v>
      </c>
      <c r="F7" s="1">
        <v>7</v>
      </c>
      <c r="G7" s="1" t="s">
        <v>9</v>
      </c>
      <c r="H7" s="1" t="s">
        <v>8</v>
      </c>
      <c r="I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8" spans="1:11">
      <c r="A8" s="1" t="s">
        <v>12</v>
      </c>
      <c r="B8" s="1" t="s">
        <v>10</v>
      </c>
      <c r="C8" s="1">
        <v>1</v>
      </c>
      <c r="D8" s="1" t="s">
        <v>6</v>
      </c>
      <c r="E8" s="5" t="str">
        <f>IF(Table1[[#This Row],[Pre or Post]]="Pre",IF(IF(Table1[[#This Row],[Response]]="Male",0,1)+IF(Table1[[#This Row],[Response]]="Female",0,1)=2,E7,Table1[[#This Row],[Response]]),"")</f>
        <v>Male</v>
      </c>
      <c r="F8" s="1">
        <v>8</v>
      </c>
      <c r="G8" s="1"/>
      <c r="H8" s="1" t="s">
        <v>8</v>
      </c>
      <c r="I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9" spans="1:11">
      <c r="A9" s="1" t="s">
        <v>12</v>
      </c>
      <c r="B9" s="1" t="s">
        <v>10</v>
      </c>
      <c r="C9" s="1">
        <v>1</v>
      </c>
      <c r="D9" s="1" t="s">
        <v>6</v>
      </c>
      <c r="E9" s="5" t="str">
        <f>IF(Table1[[#This Row],[Pre or Post]]="Pre",IF(IF(Table1[[#This Row],[Response]]="Male",0,1)+IF(Table1[[#This Row],[Response]]="Female",0,1)=2,E8,Table1[[#This Row],[Response]]),"")</f>
        <v>Male</v>
      </c>
      <c r="F9" s="1">
        <v>9</v>
      </c>
      <c r="G9" s="1">
        <v>3</v>
      </c>
      <c r="H9" s="1" t="s">
        <v>8</v>
      </c>
      <c r="I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0" spans="1:11">
      <c r="A10" s="1" t="s">
        <v>12</v>
      </c>
      <c r="B10" s="1" t="s">
        <v>10</v>
      </c>
      <c r="C10" s="1">
        <v>1</v>
      </c>
      <c r="D10" s="1" t="s">
        <v>6</v>
      </c>
      <c r="E10" s="5" t="str">
        <f>IF(Table1[[#This Row],[Pre or Post]]="Pre",IF(IF(Table1[[#This Row],[Response]]="Male",0,1)+IF(Table1[[#This Row],[Response]]="Female",0,1)=2,E9,Table1[[#This Row],[Response]]),"")</f>
        <v>Male</v>
      </c>
      <c r="F10" s="1">
        <v>10</v>
      </c>
      <c r="G10" s="1">
        <v>3</v>
      </c>
      <c r="H10" s="1" t="s">
        <v>8</v>
      </c>
      <c r="I1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1" spans="1:11">
      <c r="A11" s="1" t="s">
        <v>12</v>
      </c>
      <c r="B11" s="1" t="s">
        <v>10</v>
      </c>
      <c r="C11" s="1">
        <v>1</v>
      </c>
      <c r="D11" s="1" t="s">
        <v>6</v>
      </c>
      <c r="E11" s="5" t="str">
        <f>IF(Table1[[#This Row],[Pre or Post]]="Pre",IF(IF(Table1[[#This Row],[Response]]="Male",0,1)+IF(Table1[[#This Row],[Response]]="Female",0,1)=2,E10,Table1[[#This Row],[Response]]),"")</f>
        <v>Male</v>
      </c>
      <c r="F11" s="1">
        <v>11</v>
      </c>
      <c r="G11" s="1">
        <v>2</v>
      </c>
      <c r="H11" s="1" t="s">
        <v>8</v>
      </c>
      <c r="I1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2" spans="1:11">
      <c r="A12" s="1" t="s">
        <v>12</v>
      </c>
      <c r="B12" s="1" t="s">
        <v>10</v>
      </c>
      <c r="C12" s="1">
        <v>2</v>
      </c>
      <c r="D12" s="1" t="s">
        <v>6</v>
      </c>
      <c r="E12" s="5" t="str">
        <f>IF(Table1[[#This Row],[Pre or Post]]="Pre",IF(IF(Table1[[#This Row],[Response]]="Male",0,1)+IF(Table1[[#This Row],[Response]]="Female",0,1)=2,E11,Table1[[#This Row],[Response]]),"")</f>
        <v>Female</v>
      </c>
      <c r="F12" s="1">
        <v>2</v>
      </c>
      <c r="G12" s="1" t="s">
        <v>13</v>
      </c>
      <c r="H12" s="1" t="s">
        <v>8</v>
      </c>
      <c r="I1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3" spans="1:11">
      <c r="A13" s="1" t="s">
        <v>12</v>
      </c>
      <c r="B13" s="1" t="s">
        <v>10</v>
      </c>
      <c r="C13" s="1">
        <v>2</v>
      </c>
      <c r="D13" s="1" t="s">
        <v>6</v>
      </c>
      <c r="E13" s="5" t="str">
        <f>IF(Table1[[#This Row],[Pre or Post]]="Pre",IF(IF(Table1[[#This Row],[Response]]="Male",0,1)+IF(Table1[[#This Row],[Response]]="Female",0,1)=2,E12,Table1[[#This Row],[Response]]),"")</f>
        <v>Female</v>
      </c>
      <c r="F13" s="1">
        <v>3</v>
      </c>
      <c r="G13" s="1" t="s">
        <v>8</v>
      </c>
      <c r="H13" s="1" t="s">
        <v>8</v>
      </c>
      <c r="I1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4" spans="1:11">
      <c r="A14" s="1" t="s">
        <v>12</v>
      </c>
      <c r="B14" s="1" t="s">
        <v>10</v>
      </c>
      <c r="C14" s="1">
        <v>2</v>
      </c>
      <c r="D14" s="1" t="s">
        <v>6</v>
      </c>
      <c r="E14" s="5" t="str">
        <f>IF(Table1[[#This Row],[Pre or Post]]="Pre",IF(IF(Table1[[#This Row],[Response]]="Male",0,1)+IF(Table1[[#This Row],[Response]]="Female",0,1)=2,E13,Table1[[#This Row],[Response]]),"")</f>
        <v>Female</v>
      </c>
      <c r="F14" s="1">
        <v>4</v>
      </c>
      <c r="G14" s="1" t="s">
        <v>8</v>
      </c>
      <c r="H14" s="1" t="s">
        <v>8</v>
      </c>
      <c r="I1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5" spans="1:11">
      <c r="A15" s="1" t="s">
        <v>12</v>
      </c>
      <c r="B15" s="1" t="s">
        <v>10</v>
      </c>
      <c r="C15" s="1">
        <v>2</v>
      </c>
      <c r="D15" s="1" t="s">
        <v>6</v>
      </c>
      <c r="E15" s="5" t="str">
        <f>IF(Table1[[#This Row],[Pre or Post]]="Pre",IF(IF(Table1[[#This Row],[Response]]="Male",0,1)+IF(Table1[[#This Row],[Response]]="Female",0,1)=2,E14,Table1[[#This Row],[Response]]),"")</f>
        <v>Female</v>
      </c>
      <c r="F15" s="1">
        <v>5</v>
      </c>
      <c r="G15" s="1" t="s">
        <v>8</v>
      </c>
      <c r="H15" s="1" t="s">
        <v>8</v>
      </c>
      <c r="I1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6" spans="1:11">
      <c r="A16" s="1" t="s">
        <v>12</v>
      </c>
      <c r="B16" s="1" t="s">
        <v>10</v>
      </c>
      <c r="C16" s="1">
        <v>2</v>
      </c>
      <c r="D16" s="1" t="s">
        <v>6</v>
      </c>
      <c r="E16" s="5" t="str">
        <f>IF(Table1[[#This Row],[Pre or Post]]="Pre",IF(IF(Table1[[#This Row],[Response]]="Male",0,1)+IF(Table1[[#This Row],[Response]]="Female",0,1)=2,E15,Table1[[#This Row],[Response]]),"")</f>
        <v>Female</v>
      </c>
      <c r="F16" s="1">
        <v>6</v>
      </c>
      <c r="G16" s="1" t="s">
        <v>8</v>
      </c>
      <c r="H16" s="1" t="s">
        <v>8</v>
      </c>
      <c r="I1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7" spans="1:11">
      <c r="A17" s="1" t="s">
        <v>12</v>
      </c>
      <c r="B17" s="1" t="s">
        <v>10</v>
      </c>
      <c r="C17" s="1">
        <v>2</v>
      </c>
      <c r="D17" s="1" t="s">
        <v>6</v>
      </c>
      <c r="E17" s="5" t="str">
        <f>IF(Table1[[#This Row],[Pre or Post]]="Pre",IF(IF(Table1[[#This Row],[Response]]="Male",0,1)+IF(Table1[[#This Row],[Response]]="Female",0,1)=2,E16,Table1[[#This Row],[Response]]),"")</f>
        <v>Female</v>
      </c>
      <c r="F17" s="1">
        <v>7</v>
      </c>
      <c r="G17" s="1" t="s">
        <v>9</v>
      </c>
      <c r="H17" s="1" t="s">
        <v>8</v>
      </c>
      <c r="I1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8" spans="1:11">
      <c r="A18" s="1" t="s">
        <v>12</v>
      </c>
      <c r="B18" s="1" t="s">
        <v>10</v>
      </c>
      <c r="C18" s="1">
        <v>2</v>
      </c>
      <c r="D18" s="1" t="s">
        <v>6</v>
      </c>
      <c r="E18" s="5" t="str">
        <f>IF(Table1[[#This Row],[Pre or Post]]="Pre",IF(IF(Table1[[#This Row],[Response]]="Male",0,1)+IF(Table1[[#This Row],[Response]]="Female",0,1)=2,E17,Table1[[#This Row],[Response]]),"")</f>
        <v>Female</v>
      </c>
      <c r="F18" s="1">
        <v>8</v>
      </c>
      <c r="G18" s="1"/>
      <c r="H18" s="1" t="s">
        <v>8</v>
      </c>
      <c r="I1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9" spans="1:11">
      <c r="A19" s="1" t="s">
        <v>12</v>
      </c>
      <c r="B19" s="1" t="s">
        <v>10</v>
      </c>
      <c r="C19" s="1">
        <v>2</v>
      </c>
      <c r="D19" s="1" t="s">
        <v>6</v>
      </c>
      <c r="E19" s="5" t="str">
        <f>IF(Table1[[#This Row],[Pre or Post]]="Pre",IF(IF(Table1[[#This Row],[Response]]="Male",0,1)+IF(Table1[[#This Row],[Response]]="Female",0,1)=2,E18,Table1[[#This Row],[Response]]),"")</f>
        <v>Female</v>
      </c>
      <c r="F19" s="1">
        <v>9</v>
      </c>
      <c r="G19" s="1">
        <v>2</v>
      </c>
      <c r="H19" s="1" t="s">
        <v>8</v>
      </c>
      <c r="I1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0" spans="1:11">
      <c r="A20" s="1" t="s">
        <v>12</v>
      </c>
      <c r="B20" s="1" t="s">
        <v>10</v>
      </c>
      <c r="C20" s="1">
        <v>2</v>
      </c>
      <c r="D20" s="1" t="s">
        <v>6</v>
      </c>
      <c r="E20" s="5" t="str">
        <f>IF(Table1[[#This Row],[Pre or Post]]="Pre",IF(IF(Table1[[#This Row],[Response]]="Male",0,1)+IF(Table1[[#This Row],[Response]]="Female",0,1)=2,E19,Table1[[#This Row],[Response]]),"")</f>
        <v>Female</v>
      </c>
      <c r="F20" s="1">
        <v>10</v>
      </c>
      <c r="G20" s="1">
        <v>3</v>
      </c>
      <c r="H20" s="1" t="s">
        <v>8</v>
      </c>
      <c r="I2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1" spans="1:11">
      <c r="A21" s="1" t="s">
        <v>12</v>
      </c>
      <c r="B21" s="1" t="s">
        <v>10</v>
      </c>
      <c r="C21" s="1">
        <v>2</v>
      </c>
      <c r="D21" s="1" t="s">
        <v>6</v>
      </c>
      <c r="E21" s="5" t="str">
        <f>IF(Table1[[#This Row],[Pre or Post]]="Pre",IF(IF(Table1[[#This Row],[Response]]="Male",0,1)+IF(Table1[[#This Row],[Response]]="Female",0,1)=2,E20,Table1[[#This Row],[Response]]),"")</f>
        <v>Female</v>
      </c>
      <c r="F21" s="1">
        <v>11</v>
      </c>
      <c r="G21" s="1">
        <v>3</v>
      </c>
      <c r="H21" s="1" t="s">
        <v>8</v>
      </c>
      <c r="I2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2" spans="1:11">
      <c r="A22" s="1" t="s">
        <v>12</v>
      </c>
      <c r="B22" s="1" t="s">
        <v>10</v>
      </c>
      <c r="C22" s="1">
        <v>3</v>
      </c>
      <c r="D22" s="1" t="s">
        <v>6</v>
      </c>
      <c r="E22" s="5" t="str">
        <f>IF(Table1[[#This Row],[Pre or Post]]="Pre",IF(IF(Table1[[#This Row],[Response]]="Male",0,1)+IF(Table1[[#This Row],[Response]]="Female",0,1)=2,E21,Table1[[#This Row],[Response]]),"")</f>
        <v>Male</v>
      </c>
      <c r="F22" s="1">
        <v>2</v>
      </c>
      <c r="G22" s="1" t="s">
        <v>7</v>
      </c>
      <c r="H22" s="1" t="s">
        <v>8</v>
      </c>
      <c r="I2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3" spans="1:11">
      <c r="A23" s="1" t="s">
        <v>12</v>
      </c>
      <c r="B23" s="1" t="s">
        <v>10</v>
      </c>
      <c r="C23" s="1">
        <v>3</v>
      </c>
      <c r="D23" s="1" t="s">
        <v>6</v>
      </c>
      <c r="E23" s="5" t="str">
        <f>IF(Table1[[#This Row],[Pre or Post]]="Pre",IF(IF(Table1[[#This Row],[Response]]="Male",0,1)+IF(Table1[[#This Row],[Response]]="Female",0,1)=2,E22,Table1[[#This Row],[Response]]),"")</f>
        <v>Male</v>
      </c>
      <c r="F23" s="1">
        <v>3</v>
      </c>
      <c r="G23" s="1" t="s">
        <v>8</v>
      </c>
      <c r="H23" s="1" t="s">
        <v>8</v>
      </c>
      <c r="I2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4" spans="1:11">
      <c r="A24" s="1" t="s">
        <v>12</v>
      </c>
      <c r="B24" s="1" t="s">
        <v>10</v>
      </c>
      <c r="C24" s="1">
        <v>3</v>
      </c>
      <c r="D24" s="1" t="s">
        <v>6</v>
      </c>
      <c r="E24" s="5" t="str">
        <f>IF(Table1[[#This Row],[Pre or Post]]="Pre",IF(IF(Table1[[#This Row],[Response]]="Male",0,1)+IF(Table1[[#This Row],[Response]]="Female",0,1)=2,E23,Table1[[#This Row],[Response]]),"")</f>
        <v>Male</v>
      </c>
      <c r="F24" s="1">
        <v>4</v>
      </c>
      <c r="G24" s="1" t="s">
        <v>8</v>
      </c>
      <c r="H24" s="1" t="s">
        <v>8</v>
      </c>
      <c r="I2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5" spans="1:11">
      <c r="A25" s="1" t="s">
        <v>12</v>
      </c>
      <c r="B25" s="1" t="s">
        <v>10</v>
      </c>
      <c r="C25" s="1">
        <v>3</v>
      </c>
      <c r="D25" s="1" t="s">
        <v>6</v>
      </c>
      <c r="E25" s="5" t="str">
        <f>IF(Table1[[#This Row],[Pre or Post]]="Pre",IF(IF(Table1[[#This Row],[Response]]="Male",0,1)+IF(Table1[[#This Row],[Response]]="Female",0,1)=2,E24,Table1[[#This Row],[Response]]),"")</f>
        <v>Male</v>
      </c>
      <c r="F25" s="1">
        <v>5</v>
      </c>
      <c r="G25" s="1" t="s">
        <v>8</v>
      </c>
      <c r="H25" s="1" t="s">
        <v>8</v>
      </c>
      <c r="I2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6" spans="1:11">
      <c r="A26" s="1" t="s">
        <v>12</v>
      </c>
      <c r="B26" s="1" t="s">
        <v>10</v>
      </c>
      <c r="C26" s="1">
        <v>3</v>
      </c>
      <c r="D26" s="1" t="s">
        <v>6</v>
      </c>
      <c r="E26" s="5" t="str">
        <f>IF(Table1[[#This Row],[Pre or Post]]="Pre",IF(IF(Table1[[#This Row],[Response]]="Male",0,1)+IF(Table1[[#This Row],[Response]]="Female",0,1)=2,E25,Table1[[#This Row],[Response]]),"")</f>
        <v>Male</v>
      </c>
      <c r="F26" s="1">
        <v>6</v>
      </c>
      <c r="G26" s="1" t="s">
        <v>8</v>
      </c>
      <c r="H26" s="1" t="s">
        <v>8</v>
      </c>
      <c r="I2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7" spans="1:11">
      <c r="A27" s="1" t="s">
        <v>12</v>
      </c>
      <c r="B27" s="1" t="s">
        <v>10</v>
      </c>
      <c r="C27" s="1">
        <v>3</v>
      </c>
      <c r="D27" s="1" t="s">
        <v>6</v>
      </c>
      <c r="E27" s="5" t="str">
        <f>IF(Table1[[#This Row],[Pre or Post]]="Pre",IF(IF(Table1[[#This Row],[Response]]="Male",0,1)+IF(Table1[[#This Row],[Response]]="Female",0,1)=2,E26,Table1[[#This Row],[Response]]),"")</f>
        <v>Male</v>
      </c>
      <c r="F27" s="1">
        <v>7</v>
      </c>
      <c r="G27" s="1" t="s">
        <v>8</v>
      </c>
      <c r="H27" s="1" t="s">
        <v>8</v>
      </c>
      <c r="I2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8" spans="1:11">
      <c r="A28" s="1" t="s">
        <v>12</v>
      </c>
      <c r="B28" s="1" t="s">
        <v>10</v>
      </c>
      <c r="C28" s="1">
        <v>3</v>
      </c>
      <c r="D28" s="1" t="s">
        <v>6</v>
      </c>
      <c r="E28" s="5" t="str">
        <f>IF(Table1[[#This Row],[Pre or Post]]="Pre",IF(IF(Table1[[#This Row],[Response]]="Male",0,1)+IF(Table1[[#This Row],[Response]]="Female",0,1)=2,E27,Table1[[#This Row],[Response]]),"")</f>
        <v>Male</v>
      </c>
      <c r="F28" s="1">
        <v>8</v>
      </c>
      <c r="G28" s="1"/>
      <c r="H28" s="1" t="s">
        <v>8</v>
      </c>
      <c r="I2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9" spans="1:11">
      <c r="A29" s="1" t="s">
        <v>12</v>
      </c>
      <c r="B29" s="1" t="s">
        <v>10</v>
      </c>
      <c r="C29" s="1">
        <v>3</v>
      </c>
      <c r="D29" s="1" t="s">
        <v>6</v>
      </c>
      <c r="E29" s="5" t="str">
        <f>IF(Table1[[#This Row],[Pre or Post]]="Pre",IF(IF(Table1[[#This Row],[Response]]="Male",0,1)+IF(Table1[[#This Row],[Response]]="Female",0,1)=2,E28,Table1[[#This Row],[Response]]),"")</f>
        <v>Male</v>
      </c>
      <c r="F29" s="1">
        <v>9</v>
      </c>
      <c r="G29" s="1">
        <v>5</v>
      </c>
      <c r="H29" s="1" t="s">
        <v>8</v>
      </c>
      <c r="I2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0" spans="1:11">
      <c r="A30" s="1" t="s">
        <v>12</v>
      </c>
      <c r="B30" s="1" t="s">
        <v>10</v>
      </c>
      <c r="C30" s="1">
        <v>3</v>
      </c>
      <c r="D30" s="1" t="s">
        <v>6</v>
      </c>
      <c r="E30" s="5" t="str">
        <f>IF(Table1[[#This Row],[Pre or Post]]="Pre",IF(IF(Table1[[#This Row],[Response]]="Male",0,1)+IF(Table1[[#This Row],[Response]]="Female",0,1)=2,E29,Table1[[#This Row],[Response]]),"")</f>
        <v>Male</v>
      </c>
      <c r="F30" s="1">
        <v>10</v>
      </c>
      <c r="G30" s="1">
        <v>5</v>
      </c>
      <c r="H30" s="1" t="s">
        <v>8</v>
      </c>
      <c r="I3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1" spans="1:11">
      <c r="A31" s="1" t="s">
        <v>12</v>
      </c>
      <c r="B31" s="1" t="s">
        <v>10</v>
      </c>
      <c r="C31" s="1">
        <v>3</v>
      </c>
      <c r="D31" s="1" t="s">
        <v>6</v>
      </c>
      <c r="E31" s="5" t="str">
        <f>IF(Table1[[#This Row],[Pre or Post]]="Pre",IF(IF(Table1[[#This Row],[Response]]="Male",0,1)+IF(Table1[[#This Row],[Response]]="Female",0,1)=2,E30,Table1[[#This Row],[Response]]),"")</f>
        <v>Male</v>
      </c>
      <c r="F31" s="1">
        <v>11</v>
      </c>
      <c r="G31" s="1">
        <v>4</v>
      </c>
      <c r="H31" s="1" t="s">
        <v>8</v>
      </c>
      <c r="I3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2" spans="1:11">
      <c r="A32" s="1" t="s">
        <v>12</v>
      </c>
      <c r="B32" s="1" t="s">
        <v>10</v>
      </c>
      <c r="C32" s="1">
        <v>4</v>
      </c>
      <c r="D32" s="1" t="s">
        <v>6</v>
      </c>
      <c r="E32" s="5" t="str">
        <f>IF(Table1[[#This Row],[Pre or Post]]="Pre",IF(IF(Table1[[#This Row],[Response]]="Male",0,1)+IF(Table1[[#This Row],[Response]]="Female",0,1)=2,E31,Table1[[#This Row],[Response]]),"")</f>
        <v>Female</v>
      </c>
      <c r="F32" s="1">
        <v>2</v>
      </c>
      <c r="G32" s="1" t="s">
        <v>13</v>
      </c>
      <c r="H32" s="1" t="s">
        <v>8</v>
      </c>
      <c r="I3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3" spans="1:11">
      <c r="A33" s="1" t="s">
        <v>12</v>
      </c>
      <c r="B33" s="1" t="s">
        <v>10</v>
      </c>
      <c r="C33" s="1">
        <v>4</v>
      </c>
      <c r="D33" s="1" t="s">
        <v>6</v>
      </c>
      <c r="E33" s="5" t="str">
        <f>IF(Table1[[#This Row],[Pre or Post]]="Pre",IF(IF(Table1[[#This Row],[Response]]="Male",0,1)+IF(Table1[[#This Row],[Response]]="Female",0,1)=2,E32,Table1[[#This Row],[Response]]),"")</f>
        <v>Female</v>
      </c>
      <c r="F33" s="1">
        <v>3</v>
      </c>
      <c r="G33" s="1" t="s">
        <v>8</v>
      </c>
      <c r="H33" s="1" t="s">
        <v>8</v>
      </c>
      <c r="I3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4" spans="1:11">
      <c r="A34" s="1" t="s">
        <v>12</v>
      </c>
      <c r="B34" s="1" t="s">
        <v>10</v>
      </c>
      <c r="C34" s="1">
        <v>4</v>
      </c>
      <c r="D34" s="1" t="s">
        <v>6</v>
      </c>
      <c r="E34" s="5" t="str">
        <f>IF(Table1[[#This Row],[Pre or Post]]="Pre",IF(IF(Table1[[#This Row],[Response]]="Male",0,1)+IF(Table1[[#This Row],[Response]]="Female",0,1)=2,E33,Table1[[#This Row],[Response]]),"")</f>
        <v>Female</v>
      </c>
      <c r="F34" s="1">
        <v>4</v>
      </c>
      <c r="G34" s="1" t="s">
        <v>8</v>
      </c>
      <c r="H34" s="1" t="s">
        <v>8</v>
      </c>
      <c r="I3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5" spans="1:11">
      <c r="A35" s="1" t="s">
        <v>12</v>
      </c>
      <c r="B35" s="1" t="s">
        <v>10</v>
      </c>
      <c r="C35" s="1">
        <v>4</v>
      </c>
      <c r="D35" s="1" t="s">
        <v>6</v>
      </c>
      <c r="E35" s="5" t="str">
        <f>IF(Table1[[#This Row],[Pre or Post]]="Pre",IF(IF(Table1[[#This Row],[Response]]="Male",0,1)+IF(Table1[[#This Row],[Response]]="Female",0,1)=2,E34,Table1[[#This Row],[Response]]),"")</f>
        <v>Female</v>
      </c>
      <c r="F35" s="1">
        <v>5</v>
      </c>
      <c r="G35" s="1" t="s">
        <v>8</v>
      </c>
      <c r="H35" s="1" t="s">
        <v>8</v>
      </c>
      <c r="I3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6" spans="1:11">
      <c r="A36" s="1" t="s">
        <v>12</v>
      </c>
      <c r="B36" s="1" t="s">
        <v>10</v>
      </c>
      <c r="C36" s="1">
        <v>4</v>
      </c>
      <c r="D36" s="1" t="s">
        <v>6</v>
      </c>
      <c r="E36" s="5" t="str">
        <f>IF(Table1[[#This Row],[Pre or Post]]="Pre",IF(IF(Table1[[#This Row],[Response]]="Male",0,1)+IF(Table1[[#This Row],[Response]]="Female",0,1)=2,E35,Table1[[#This Row],[Response]]),"")</f>
        <v>Female</v>
      </c>
      <c r="F36" s="1">
        <v>6</v>
      </c>
      <c r="G36" s="1" t="s">
        <v>8</v>
      </c>
      <c r="H36" s="1" t="s">
        <v>8</v>
      </c>
      <c r="I3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7" spans="1:11">
      <c r="A37" s="1" t="s">
        <v>12</v>
      </c>
      <c r="B37" s="1" t="s">
        <v>10</v>
      </c>
      <c r="C37" s="1">
        <v>4</v>
      </c>
      <c r="D37" s="1" t="s">
        <v>6</v>
      </c>
      <c r="E37" s="5" t="str">
        <f>IF(Table1[[#This Row],[Pre or Post]]="Pre",IF(IF(Table1[[#This Row],[Response]]="Male",0,1)+IF(Table1[[#This Row],[Response]]="Female",0,1)=2,E36,Table1[[#This Row],[Response]]),"")</f>
        <v>Female</v>
      </c>
      <c r="F37" s="1">
        <v>7</v>
      </c>
      <c r="G37" s="1" t="s">
        <v>9</v>
      </c>
      <c r="H37" s="1" t="s">
        <v>8</v>
      </c>
      <c r="I3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8" spans="1:11">
      <c r="A38" s="1" t="s">
        <v>12</v>
      </c>
      <c r="B38" s="1" t="s">
        <v>10</v>
      </c>
      <c r="C38" s="1">
        <v>4</v>
      </c>
      <c r="D38" s="1" t="s">
        <v>6</v>
      </c>
      <c r="E38" s="5" t="str">
        <f>IF(Table1[[#This Row],[Pre or Post]]="Pre",IF(IF(Table1[[#This Row],[Response]]="Male",0,1)+IF(Table1[[#This Row],[Response]]="Female",0,1)=2,E37,Table1[[#This Row],[Response]]),"")</f>
        <v>Female</v>
      </c>
      <c r="F38" s="1">
        <v>8</v>
      </c>
      <c r="G38" s="1"/>
      <c r="H38" s="1" t="s">
        <v>8</v>
      </c>
      <c r="I3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9" spans="1:11">
      <c r="A39" s="1" t="s">
        <v>12</v>
      </c>
      <c r="B39" s="1" t="s">
        <v>10</v>
      </c>
      <c r="C39" s="1">
        <v>4</v>
      </c>
      <c r="D39" s="1" t="s">
        <v>6</v>
      </c>
      <c r="E39" s="5" t="str">
        <f>IF(Table1[[#This Row],[Pre or Post]]="Pre",IF(IF(Table1[[#This Row],[Response]]="Male",0,1)+IF(Table1[[#This Row],[Response]]="Female",0,1)=2,E38,Table1[[#This Row],[Response]]),"")</f>
        <v>Female</v>
      </c>
      <c r="F39" s="1">
        <v>9</v>
      </c>
      <c r="G39" s="1">
        <v>4</v>
      </c>
      <c r="H39" s="1" t="s">
        <v>8</v>
      </c>
      <c r="I3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40" spans="1:11">
      <c r="A40" s="1" t="s">
        <v>12</v>
      </c>
      <c r="B40" s="1" t="s">
        <v>10</v>
      </c>
      <c r="C40" s="1">
        <v>4</v>
      </c>
      <c r="D40" s="1" t="s">
        <v>6</v>
      </c>
      <c r="E40" s="5" t="str">
        <f>IF(Table1[[#This Row],[Pre or Post]]="Pre",IF(IF(Table1[[#This Row],[Response]]="Male",0,1)+IF(Table1[[#This Row],[Response]]="Female",0,1)=2,E39,Table1[[#This Row],[Response]]),"")</f>
        <v>Female</v>
      </c>
      <c r="F40" s="1">
        <v>10</v>
      </c>
      <c r="G40" s="1">
        <v>4</v>
      </c>
      <c r="H40" s="1" t="s">
        <v>8</v>
      </c>
      <c r="I4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4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41" spans="1:11">
      <c r="A41" s="1" t="s">
        <v>12</v>
      </c>
      <c r="B41" s="1" t="s">
        <v>10</v>
      </c>
      <c r="C41" s="1">
        <v>4</v>
      </c>
      <c r="D41" s="1" t="s">
        <v>6</v>
      </c>
      <c r="E41" s="5" t="str">
        <f>IF(Table1[[#This Row],[Pre or Post]]="Pre",IF(IF(Table1[[#This Row],[Response]]="Male",0,1)+IF(Table1[[#This Row],[Response]]="Female",0,1)=2,E40,Table1[[#This Row],[Response]]),"")</f>
        <v>Female</v>
      </c>
      <c r="F41" s="1">
        <v>11</v>
      </c>
      <c r="G41" s="1">
        <v>2</v>
      </c>
      <c r="H41" s="1" t="s">
        <v>8</v>
      </c>
      <c r="I4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4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42" spans="1:11">
      <c r="A42" s="1" t="s">
        <v>12</v>
      </c>
      <c r="B42" s="1" t="s">
        <v>10</v>
      </c>
      <c r="C42" s="1">
        <v>5</v>
      </c>
      <c r="D42" s="1" t="s">
        <v>6</v>
      </c>
      <c r="E42" s="5" t="str">
        <f>IF(Table1[[#This Row],[Pre or Post]]="Pre",IF(IF(Table1[[#This Row],[Response]]="Male",0,1)+IF(Table1[[#This Row],[Response]]="Female",0,1)=2,E41,Table1[[#This Row],[Response]]),"")</f>
        <v>Male</v>
      </c>
      <c r="F42" s="1">
        <v>2</v>
      </c>
      <c r="G42" s="1" t="s">
        <v>7</v>
      </c>
      <c r="H42" s="1" t="s">
        <v>8</v>
      </c>
      <c r="I4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4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43" spans="1:11">
      <c r="A43" s="1" t="s">
        <v>12</v>
      </c>
      <c r="B43" s="1" t="s">
        <v>10</v>
      </c>
      <c r="C43" s="1">
        <v>5</v>
      </c>
      <c r="D43" s="1" t="s">
        <v>6</v>
      </c>
      <c r="E43" s="5" t="str">
        <f>IF(Table1[[#This Row],[Pre or Post]]="Pre",IF(IF(Table1[[#This Row],[Response]]="Male",0,1)+IF(Table1[[#This Row],[Response]]="Female",0,1)=2,E42,Table1[[#This Row],[Response]]),"")</f>
        <v>Male</v>
      </c>
      <c r="F43" s="1">
        <v>3</v>
      </c>
      <c r="G43" s="1" t="s">
        <v>8</v>
      </c>
      <c r="H43" s="1" t="s">
        <v>8</v>
      </c>
      <c r="I4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4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44" spans="1:11">
      <c r="A44" s="1" t="s">
        <v>12</v>
      </c>
      <c r="B44" s="1" t="s">
        <v>10</v>
      </c>
      <c r="C44" s="1">
        <v>5</v>
      </c>
      <c r="D44" s="1" t="s">
        <v>6</v>
      </c>
      <c r="E44" s="5" t="str">
        <f>IF(Table1[[#This Row],[Pre or Post]]="Pre",IF(IF(Table1[[#This Row],[Response]]="Male",0,1)+IF(Table1[[#This Row],[Response]]="Female",0,1)=2,E43,Table1[[#This Row],[Response]]),"")</f>
        <v>Male</v>
      </c>
      <c r="F44" s="1">
        <v>4</v>
      </c>
      <c r="G44" s="1" t="s">
        <v>9</v>
      </c>
      <c r="H44" s="1" t="s">
        <v>8</v>
      </c>
      <c r="I4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4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45" spans="1:11">
      <c r="A45" s="1" t="s">
        <v>12</v>
      </c>
      <c r="B45" s="1" t="s">
        <v>10</v>
      </c>
      <c r="C45" s="1">
        <v>5</v>
      </c>
      <c r="D45" s="1" t="s">
        <v>6</v>
      </c>
      <c r="E45" s="5" t="str">
        <f>IF(Table1[[#This Row],[Pre or Post]]="Pre",IF(IF(Table1[[#This Row],[Response]]="Male",0,1)+IF(Table1[[#This Row],[Response]]="Female",0,1)=2,E44,Table1[[#This Row],[Response]]),"")</f>
        <v>Male</v>
      </c>
      <c r="F45" s="1">
        <v>5</v>
      </c>
      <c r="G45" s="1" t="s">
        <v>8</v>
      </c>
      <c r="H45" s="1" t="s">
        <v>8</v>
      </c>
      <c r="I4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4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46" spans="1:11">
      <c r="A46" s="1" t="s">
        <v>12</v>
      </c>
      <c r="B46" s="1" t="s">
        <v>10</v>
      </c>
      <c r="C46" s="1">
        <v>5</v>
      </c>
      <c r="D46" s="1" t="s">
        <v>6</v>
      </c>
      <c r="E46" s="5" t="str">
        <f>IF(Table1[[#This Row],[Pre or Post]]="Pre",IF(IF(Table1[[#This Row],[Response]]="Male",0,1)+IF(Table1[[#This Row],[Response]]="Female",0,1)=2,E45,Table1[[#This Row],[Response]]),"")</f>
        <v>Male</v>
      </c>
      <c r="F46" s="1">
        <v>6</v>
      </c>
      <c r="G46" s="1" t="s">
        <v>8</v>
      </c>
      <c r="H46" s="1" t="s">
        <v>8</v>
      </c>
      <c r="I4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4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47" spans="1:11">
      <c r="A47" s="1" t="s">
        <v>12</v>
      </c>
      <c r="B47" s="1" t="s">
        <v>10</v>
      </c>
      <c r="C47" s="1">
        <v>5</v>
      </c>
      <c r="D47" s="1" t="s">
        <v>6</v>
      </c>
      <c r="E47" s="5" t="str">
        <f>IF(Table1[[#This Row],[Pre or Post]]="Pre",IF(IF(Table1[[#This Row],[Response]]="Male",0,1)+IF(Table1[[#This Row],[Response]]="Female",0,1)=2,E46,Table1[[#This Row],[Response]]),"")</f>
        <v>Male</v>
      </c>
      <c r="F47" s="1">
        <v>7</v>
      </c>
      <c r="G47" s="1" t="s">
        <v>8</v>
      </c>
      <c r="H47" s="1" t="s">
        <v>8</v>
      </c>
      <c r="I4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4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48" spans="1:11">
      <c r="A48" s="1" t="s">
        <v>12</v>
      </c>
      <c r="B48" s="1" t="s">
        <v>10</v>
      </c>
      <c r="C48" s="1">
        <v>5</v>
      </c>
      <c r="D48" s="1" t="s">
        <v>6</v>
      </c>
      <c r="E48" s="5" t="str">
        <f>IF(Table1[[#This Row],[Pre or Post]]="Pre",IF(IF(Table1[[#This Row],[Response]]="Male",0,1)+IF(Table1[[#This Row],[Response]]="Female",0,1)=2,E47,Table1[[#This Row],[Response]]),"")</f>
        <v>Male</v>
      </c>
      <c r="F48" s="1">
        <v>8</v>
      </c>
      <c r="G48" s="1"/>
      <c r="H48" s="1" t="s">
        <v>8</v>
      </c>
      <c r="I4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4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49" spans="1:11">
      <c r="A49" s="1" t="s">
        <v>12</v>
      </c>
      <c r="B49" s="1" t="s">
        <v>10</v>
      </c>
      <c r="C49" s="1">
        <v>5</v>
      </c>
      <c r="D49" s="1" t="s">
        <v>6</v>
      </c>
      <c r="E49" s="5" t="str">
        <f>IF(Table1[[#This Row],[Pre or Post]]="Pre",IF(IF(Table1[[#This Row],[Response]]="Male",0,1)+IF(Table1[[#This Row],[Response]]="Female",0,1)=2,E48,Table1[[#This Row],[Response]]),"")</f>
        <v>Male</v>
      </c>
      <c r="F49" s="1">
        <v>9</v>
      </c>
      <c r="G49" s="1">
        <v>3</v>
      </c>
      <c r="H49" s="1" t="s">
        <v>8</v>
      </c>
      <c r="I4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4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50" spans="1:11">
      <c r="A50" s="1" t="s">
        <v>12</v>
      </c>
      <c r="B50" s="1" t="s">
        <v>10</v>
      </c>
      <c r="C50" s="1">
        <v>5</v>
      </c>
      <c r="D50" s="1" t="s">
        <v>6</v>
      </c>
      <c r="E50" s="5" t="str">
        <f>IF(Table1[[#This Row],[Pre or Post]]="Pre",IF(IF(Table1[[#This Row],[Response]]="Male",0,1)+IF(Table1[[#This Row],[Response]]="Female",0,1)=2,E49,Table1[[#This Row],[Response]]),"")</f>
        <v>Male</v>
      </c>
      <c r="F50" s="1">
        <v>10</v>
      </c>
      <c r="G50" s="1">
        <v>4</v>
      </c>
      <c r="H50" s="1" t="s">
        <v>8</v>
      </c>
      <c r="I5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5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51" spans="1:11">
      <c r="A51" s="1" t="s">
        <v>12</v>
      </c>
      <c r="B51" s="1" t="s">
        <v>10</v>
      </c>
      <c r="C51" s="1">
        <v>5</v>
      </c>
      <c r="D51" s="1" t="s">
        <v>6</v>
      </c>
      <c r="E51" s="5" t="str">
        <f>IF(Table1[[#This Row],[Pre or Post]]="Pre",IF(IF(Table1[[#This Row],[Response]]="Male",0,1)+IF(Table1[[#This Row],[Response]]="Female",0,1)=2,E50,Table1[[#This Row],[Response]]),"")</f>
        <v>Male</v>
      </c>
      <c r="F51" s="1">
        <v>11</v>
      </c>
      <c r="G51" s="1">
        <v>3</v>
      </c>
      <c r="H51" s="1" t="s">
        <v>8</v>
      </c>
      <c r="I5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5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52" spans="1:11">
      <c r="A52" s="1" t="s">
        <v>12</v>
      </c>
      <c r="B52" s="1" t="s">
        <v>10</v>
      </c>
      <c r="C52" s="1">
        <v>6</v>
      </c>
      <c r="D52" s="1" t="s">
        <v>6</v>
      </c>
      <c r="E52" s="5" t="str">
        <f>IF(Table1[[#This Row],[Pre or Post]]="Pre",IF(IF(Table1[[#This Row],[Response]]="Male",0,1)+IF(Table1[[#This Row],[Response]]="Female",0,1)=2,E51,Table1[[#This Row],[Response]]),"")</f>
        <v>Female</v>
      </c>
      <c r="F52" s="1">
        <v>2</v>
      </c>
      <c r="G52" s="1" t="s">
        <v>13</v>
      </c>
      <c r="H52" s="1" t="s">
        <v>8</v>
      </c>
      <c r="I5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5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53" spans="1:11">
      <c r="A53" s="1" t="s">
        <v>12</v>
      </c>
      <c r="B53" s="1" t="s">
        <v>10</v>
      </c>
      <c r="C53" s="1">
        <v>6</v>
      </c>
      <c r="D53" s="1" t="s">
        <v>6</v>
      </c>
      <c r="E53" s="5" t="str">
        <f>IF(Table1[[#This Row],[Pre or Post]]="Pre",IF(IF(Table1[[#This Row],[Response]]="Male",0,1)+IF(Table1[[#This Row],[Response]]="Female",0,1)=2,E52,Table1[[#This Row],[Response]]),"")</f>
        <v>Female</v>
      </c>
      <c r="F53" s="1">
        <v>3</v>
      </c>
      <c r="G53" s="1" t="s">
        <v>8</v>
      </c>
      <c r="H53" s="1" t="s">
        <v>8</v>
      </c>
      <c r="I5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5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54" spans="1:11">
      <c r="A54" s="1" t="s">
        <v>12</v>
      </c>
      <c r="B54" s="1" t="s">
        <v>10</v>
      </c>
      <c r="C54" s="1">
        <v>6</v>
      </c>
      <c r="D54" s="1" t="s">
        <v>6</v>
      </c>
      <c r="E54" s="5" t="str">
        <f>IF(Table1[[#This Row],[Pre or Post]]="Pre",IF(IF(Table1[[#This Row],[Response]]="Male",0,1)+IF(Table1[[#This Row],[Response]]="Female",0,1)=2,E53,Table1[[#This Row],[Response]]),"")</f>
        <v>Female</v>
      </c>
      <c r="F54" s="1">
        <v>4</v>
      </c>
      <c r="G54" s="1" t="s">
        <v>9</v>
      </c>
      <c r="H54" s="1" t="s">
        <v>8</v>
      </c>
      <c r="I5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5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55" spans="1:11">
      <c r="A55" s="1" t="s">
        <v>12</v>
      </c>
      <c r="B55" s="1" t="s">
        <v>10</v>
      </c>
      <c r="C55" s="1">
        <v>6</v>
      </c>
      <c r="D55" s="1" t="s">
        <v>6</v>
      </c>
      <c r="E55" s="5" t="str">
        <f>IF(Table1[[#This Row],[Pre or Post]]="Pre",IF(IF(Table1[[#This Row],[Response]]="Male",0,1)+IF(Table1[[#This Row],[Response]]="Female",0,1)=2,E54,Table1[[#This Row],[Response]]),"")</f>
        <v>Female</v>
      </c>
      <c r="F55" s="1">
        <v>5</v>
      </c>
      <c r="G55" s="1" t="s">
        <v>8</v>
      </c>
      <c r="H55" s="1" t="s">
        <v>8</v>
      </c>
      <c r="I5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5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56" spans="1:11">
      <c r="A56" s="1" t="s">
        <v>12</v>
      </c>
      <c r="B56" s="1" t="s">
        <v>10</v>
      </c>
      <c r="C56" s="1">
        <v>6</v>
      </c>
      <c r="D56" s="1" t="s">
        <v>6</v>
      </c>
      <c r="E56" s="5" t="str">
        <f>IF(Table1[[#This Row],[Pre or Post]]="Pre",IF(IF(Table1[[#This Row],[Response]]="Male",0,1)+IF(Table1[[#This Row],[Response]]="Female",0,1)=2,E55,Table1[[#This Row],[Response]]),"")</f>
        <v>Female</v>
      </c>
      <c r="F56" s="1">
        <v>6</v>
      </c>
      <c r="G56" s="1" t="s">
        <v>8</v>
      </c>
      <c r="H56" s="1" t="s">
        <v>8</v>
      </c>
      <c r="I5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5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57" spans="1:11">
      <c r="A57" s="1" t="s">
        <v>12</v>
      </c>
      <c r="B57" s="1" t="s">
        <v>10</v>
      </c>
      <c r="C57" s="1">
        <v>6</v>
      </c>
      <c r="D57" s="1" t="s">
        <v>6</v>
      </c>
      <c r="E57" s="5" t="str">
        <f>IF(Table1[[#This Row],[Pre or Post]]="Pre",IF(IF(Table1[[#This Row],[Response]]="Male",0,1)+IF(Table1[[#This Row],[Response]]="Female",0,1)=2,E56,Table1[[#This Row],[Response]]),"")</f>
        <v>Female</v>
      </c>
      <c r="F57" s="1">
        <v>7</v>
      </c>
      <c r="G57" s="1" t="s">
        <v>8</v>
      </c>
      <c r="H57" s="1" t="s">
        <v>8</v>
      </c>
      <c r="I5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5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58" spans="1:11">
      <c r="A58" s="1" t="s">
        <v>12</v>
      </c>
      <c r="B58" s="1" t="s">
        <v>10</v>
      </c>
      <c r="C58" s="1">
        <v>6</v>
      </c>
      <c r="D58" s="1" t="s">
        <v>6</v>
      </c>
      <c r="E58" s="5" t="str">
        <f>IF(Table1[[#This Row],[Pre or Post]]="Pre",IF(IF(Table1[[#This Row],[Response]]="Male",0,1)+IF(Table1[[#This Row],[Response]]="Female",0,1)=2,E57,Table1[[#This Row],[Response]]),"")</f>
        <v>Female</v>
      </c>
      <c r="F58" s="1">
        <v>8</v>
      </c>
      <c r="G58" s="1"/>
      <c r="H58" s="1" t="s">
        <v>8</v>
      </c>
      <c r="I5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5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59" spans="1:11">
      <c r="A59" s="1" t="s">
        <v>12</v>
      </c>
      <c r="B59" s="1" t="s">
        <v>10</v>
      </c>
      <c r="C59" s="1">
        <v>6</v>
      </c>
      <c r="D59" s="1" t="s">
        <v>6</v>
      </c>
      <c r="E59" s="5" t="str">
        <f>IF(Table1[[#This Row],[Pre or Post]]="Pre",IF(IF(Table1[[#This Row],[Response]]="Male",0,1)+IF(Table1[[#This Row],[Response]]="Female",0,1)=2,E58,Table1[[#This Row],[Response]]),"")</f>
        <v>Female</v>
      </c>
      <c r="F59" s="1">
        <v>9</v>
      </c>
      <c r="G59" s="1">
        <v>4</v>
      </c>
      <c r="H59" s="1" t="s">
        <v>8</v>
      </c>
      <c r="I5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5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60" spans="1:11">
      <c r="A60" s="1" t="s">
        <v>12</v>
      </c>
      <c r="B60" s="1" t="s">
        <v>10</v>
      </c>
      <c r="C60" s="1">
        <v>6</v>
      </c>
      <c r="D60" s="1" t="s">
        <v>6</v>
      </c>
      <c r="E60" s="5" t="str">
        <f>IF(Table1[[#This Row],[Pre or Post]]="Pre",IF(IF(Table1[[#This Row],[Response]]="Male",0,1)+IF(Table1[[#This Row],[Response]]="Female",0,1)=2,E59,Table1[[#This Row],[Response]]),"")</f>
        <v>Female</v>
      </c>
      <c r="F60" s="1">
        <v>10</v>
      </c>
      <c r="G60" s="1">
        <v>4</v>
      </c>
      <c r="H60" s="1" t="s">
        <v>8</v>
      </c>
      <c r="I6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6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61" spans="1:11">
      <c r="A61" s="1" t="s">
        <v>12</v>
      </c>
      <c r="B61" s="1" t="s">
        <v>10</v>
      </c>
      <c r="C61" s="1">
        <v>6</v>
      </c>
      <c r="D61" s="1" t="s">
        <v>6</v>
      </c>
      <c r="E61" s="5" t="str">
        <f>IF(Table1[[#This Row],[Pre or Post]]="Pre",IF(IF(Table1[[#This Row],[Response]]="Male",0,1)+IF(Table1[[#This Row],[Response]]="Female",0,1)=2,E60,Table1[[#This Row],[Response]]),"")</f>
        <v>Female</v>
      </c>
      <c r="F61" s="1">
        <v>11</v>
      </c>
      <c r="G61" s="1">
        <v>3</v>
      </c>
      <c r="H61" s="1" t="s">
        <v>8</v>
      </c>
      <c r="I6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6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62" spans="1:11">
      <c r="A62" s="1" t="s">
        <v>12</v>
      </c>
      <c r="B62" s="1" t="s">
        <v>10</v>
      </c>
      <c r="C62" s="1">
        <v>7</v>
      </c>
      <c r="D62" s="1" t="s">
        <v>6</v>
      </c>
      <c r="E62" s="5" t="str">
        <f>IF(Table1[[#This Row],[Pre or Post]]="Pre",IF(IF(Table1[[#This Row],[Response]]="Male",0,1)+IF(Table1[[#This Row],[Response]]="Female",0,1)=2,E61,Table1[[#This Row],[Response]]),"")</f>
        <v>Female</v>
      </c>
      <c r="F62" s="1">
        <v>2</v>
      </c>
      <c r="G62" s="1" t="s">
        <v>13</v>
      </c>
      <c r="H62" s="1" t="s">
        <v>8</v>
      </c>
      <c r="I6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6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63" spans="1:11">
      <c r="A63" s="1" t="s">
        <v>12</v>
      </c>
      <c r="B63" s="1" t="s">
        <v>10</v>
      </c>
      <c r="C63" s="1">
        <v>7</v>
      </c>
      <c r="D63" s="1" t="s">
        <v>6</v>
      </c>
      <c r="E63" s="5" t="str">
        <f>IF(Table1[[#This Row],[Pre or Post]]="Pre",IF(IF(Table1[[#This Row],[Response]]="Male",0,1)+IF(Table1[[#This Row],[Response]]="Female",0,1)=2,E62,Table1[[#This Row],[Response]]),"")</f>
        <v>Female</v>
      </c>
      <c r="F63" s="1">
        <v>3</v>
      </c>
      <c r="G63" s="1" t="s">
        <v>8</v>
      </c>
      <c r="H63" s="1" t="s">
        <v>8</v>
      </c>
      <c r="I6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6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64" spans="1:11">
      <c r="A64" s="1" t="s">
        <v>12</v>
      </c>
      <c r="B64" s="1" t="s">
        <v>10</v>
      </c>
      <c r="C64" s="1">
        <v>7</v>
      </c>
      <c r="D64" s="1" t="s">
        <v>6</v>
      </c>
      <c r="E64" s="5" t="str">
        <f>IF(Table1[[#This Row],[Pre or Post]]="Pre",IF(IF(Table1[[#This Row],[Response]]="Male",0,1)+IF(Table1[[#This Row],[Response]]="Female",0,1)=2,E63,Table1[[#This Row],[Response]]),"")</f>
        <v>Female</v>
      </c>
      <c r="F64" s="1">
        <v>4</v>
      </c>
      <c r="G64" s="1" t="s">
        <v>8</v>
      </c>
      <c r="H64" s="1" t="s">
        <v>8</v>
      </c>
      <c r="I6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6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65" spans="1:11">
      <c r="A65" s="1" t="s">
        <v>12</v>
      </c>
      <c r="B65" s="1" t="s">
        <v>10</v>
      </c>
      <c r="C65" s="1">
        <v>7</v>
      </c>
      <c r="D65" s="1" t="s">
        <v>6</v>
      </c>
      <c r="E65" s="5" t="str">
        <f>IF(Table1[[#This Row],[Pre or Post]]="Pre",IF(IF(Table1[[#This Row],[Response]]="Male",0,1)+IF(Table1[[#This Row],[Response]]="Female",0,1)=2,E64,Table1[[#This Row],[Response]]),"")</f>
        <v>Female</v>
      </c>
      <c r="F65" s="1">
        <v>5</v>
      </c>
      <c r="G65" s="1" t="s">
        <v>8</v>
      </c>
      <c r="H65" s="1" t="s">
        <v>8</v>
      </c>
      <c r="I6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6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66" spans="1:11">
      <c r="A66" s="1" t="s">
        <v>12</v>
      </c>
      <c r="B66" s="1" t="s">
        <v>10</v>
      </c>
      <c r="C66" s="1">
        <v>7</v>
      </c>
      <c r="D66" s="1" t="s">
        <v>6</v>
      </c>
      <c r="E66" s="5" t="str">
        <f>IF(Table1[[#This Row],[Pre or Post]]="Pre",IF(IF(Table1[[#This Row],[Response]]="Male",0,1)+IF(Table1[[#This Row],[Response]]="Female",0,1)=2,E65,Table1[[#This Row],[Response]]),"")</f>
        <v>Female</v>
      </c>
      <c r="F66" s="1">
        <v>6</v>
      </c>
      <c r="G66" s="1" t="s">
        <v>8</v>
      </c>
      <c r="H66" s="1" t="s">
        <v>8</v>
      </c>
      <c r="I6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6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67" spans="1:11">
      <c r="A67" s="1" t="s">
        <v>12</v>
      </c>
      <c r="B67" s="1" t="s">
        <v>10</v>
      </c>
      <c r="C67" s="1">
        <v>7</v>
      </c>
      <c r="D67" s="1" t="s">
        <v>6</v>
      </c>
      <c r="E67" s="5" t="str">
        <f>IF(Table1[[#This Row],[Pre or Post]]="Pre",IF(IF(Table1[[#This Row],[Response]]="Male",0,1)+IF(Table1[[#This Row],[Response]]="Female",0,1)=2,E66,Table1[[#This Row],[Response]]),"")</f>
        <v>Female</v>
      </c>
      <c r="F67" s="1">
        <v>7</v>
      </c>
      <c r="G67" s="1" t="s">
        <v>8</v>
      </c>
      <c r="H67" s="1" t="s">
        <v>8</v>
      </c>
      <c r="I6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6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68" spans="1:11">
      <c r="A68" s="1" t="s">
        <v>12</v>
      </c>
      <c r="B68" s="1" t="s">
        <v>10</v>
      </c>
      <c r="C68" s="1">
        <v>7</v>
      </c>
      <c r="D68" s="1" t="s">
        <v>6</v>
      </c>
      <c r="E68" s="5" t="str">
        <f>IF(Table1[[#This Row],[Pre or Post]]="Pre",IF(IF(Table1[[#This Row],[Response]]="Male",0,1)+IF(Table1[[#This Row],[Response]]="Female",0,1)=2,E67,Table1[[#This Row],[Response]]),"")</f>
        <v>Female</v>
      </c>
      <c r="F68" s="1">
        <v>8</v>
      </c>
      <c r="G68" s="1"/>
      <c r="H68" s="1" t="s">
        <v>8</v>
      </c>
      <c r="I6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6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69" spans="1:11">
      <c r="A69" s="1" t="s">
        <v>12</v>
      </c>
      <c r="B69" s="1" t="s">
        <v>10</v>
      </c>
      <c r="C69" s="1">
        <v>7</v>
      </c>
      <c r="D69" s="1" t="s">
        <v>6</v>
      </c>
      <c r="E69" s="5" t="str">
        <f>IF(Table1[[#This Row],[Pre or Post]]="Pre",IF(IF(Table1[[#This Row],[Response]]="Male",0,1)+IF(Table1[[#This Row],[Response]]="Female",0,1)=2,E68,Table1[[#This Row],[Response]]),"")</f>
        <v>Female</v>
      </c>
      <c r="F69" s="1">
        <v>9</v>
      </c>
      <c r="G69" s="1">
        <v>3</v>
      </c>
      <c r="H69" s="1" t="s">
        <v>8</v>
      </c>
      <c r="I6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6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70" spans="1:11">
      <c r="A70" s="1" t="s">
        <v>12</v>
      </c>
      <c r="B70" s="1" t="s">
        <v>10</v>
      </c>
      <c r="C70" s="1">
        <v>7</v>
      </c>
      <c r="D70" s="1" t="s">
        <v>6</v>
      </c>
      <c r="E70" s="5" t="str">
        <f>IF(Table1[[#This Row],[Pre or Post]]="Pre",IF(IF(Table1[[#This Row],[Response]]="Male",0,1)+IF(Table1[[#This Row],[Response]]="Female",0,1)=2,E69,Table1[[#This Row],[Response]]),"")</f>
        <v>Female</v>
      </c>
      <c r="F70" s="1">
        <v>10</v>
      </c>
      <c r="G70" s="1">
        <v>4</v>
      </c>
      <c r="H70" s="1" t="s">
        <v>8</v>
      </c>
      <c r="I7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7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71" spans="1:11">
      <c r="A71" s="1" t="s">
        <v>12</v>
      </c>
      <c r="B71" s="1" t="s">
        <v>10</v>
      </c>
      <c r="C71" s="1">
        <v>7</v>
      </c>
      <c r="D71" s="1" t="s">
        <v>6</v>
      </c>
      <c r="E71" s="5" t="str">
        <f>IF(Table1[[#This Row],[Pre or Post]]="Pre",IF(IF(Table1[[#This Row],[Response]]="Male",0,1)+IF(Table1[[#This Row],[Response]]="Female",0,1)=2,E70,Table1[[#This Row],[Response]]),"")</f>
        <v>Female</v>
      </c>
      <c r="F71" s="1">
        <v>11</v>
      </c>
      <c r="G71" s="1">
        <v>3</v>
      </c>
      <c r="H71" s="1" t="s">
        <v>8</v>
      </c>
      <c r="I7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7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72" spans="1:11">
      <c r="A72" s="1" t="s">
        <v>12</v>
      </c>
      <c r="B72" s="1" t="s">
        <v>10</v>
      </c>
      <c r="C72" s="1">
        <v>8</v>
      </c>
      <c r="D72" s="1" t="s">
        <v>6</v>
      </c>
      <c r="E72" s="5" t="str">
        <f>IF(Table1[[#This Row],[Pre or Post]]="Pre",IF(IF(Table1[[#This Row],[Response]]="Male",0,1)+IF(Table1[[#This Row],[Response]]="Female",0,1)=2,E71,Table1[[#This Row],[Response]]),"")</f>
        <v>Female</v>
      </c>
      <c r="F72" s="1">
        <v>2</v>
      </c>
      <c r="G72" s="1" t="s">
        <v>13</v>
      </c>
      <c r="H72" s="1" t="s">
        <v>8</v>
      </c>
      <c r="I7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7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73" spans="1:11">
      <c r="A73" s="1" t="s">
        <v>12</v>
      </c>
      <c r="B73" s="1" t="s">
        <v>10</v>
      </c>
      <c r="C73" s="1">
        <v>8</v>
      </c>
      <c r="D73" s="1" t="s">
        <v>6</v>
      </c>
      <c r="E73" s="5" t="str">
        <f>IF(Table1[[#This Row],[Pre or Post]]="Pre",IF(IF(Table1[[#This Row],[Response]]="Male",0,1)+IF(Table1[[#This Row],[Response]]="Female",0,1)=2,E72,Table1[[#This Row],[Response]]),"")</f>
        <v>Female</v>
      </c>
      <c r="F73" s="1">
        <v>3</v>
      </c>
      <c r="G73" s="1" t="s">
        <v>8</v>
      </c>
      <c r="H73" s="1" t="s">
        <v>8</v>
      </c>
      <c r="I7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7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74" spans="1:11">
      <c r="A74" s="1" t="s">
        <v>12</v>
      </c>
      <c r="B74" s="1" t="s">
        <v>10</v>
      </c>
      <c r="C74" s="1">
        <v>8</v>
      </c>
      <c r="D74" s="1" t="s">
        <v>6</v>
      </c>
      <c r="E74" s="5" t="str">
        <f>IF(Table1[[#This Row],[Pre or Post]]="Pre",IF(IF(Table1[[#This Row],[Response]]="Male",0,1)+IF(Table1[[#This Row],[Response]]="Female",0,1)=2,E73,Table1[[#This Row],[Response]]),"")</f>
        <v>Female</v>
      </c>
      <c r="F74" s="1">
        <v>4</v>
      </c>
      <c r="G74" s="1" t="s">
        <v>9</v>
      </c>
      <c r="H74" s="1" t="s">
        <v>8</v>
      </c>
      <c r="I7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7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75" spans="1:11">
      <c r="A75" s="1" t="s">
        <v>12</v>
      </c>
      <c r="B75" s="1" t="s">
        <v>10</v>
      </c>
      <c r="C75" s="1">
        <v>8</v>
      </c>
      <c r="D75" s="1" t="s">
        <v>6</v>
      </c>
      <c r="E75" s="5" t="str">
        <f>IF(Table1[[#This Row],[Pre or Post]]="Pre",IF(IF(Table1[[#This Row],[Response]]="Male",0,1)+IF(Table1[[#This Row],[Response]]="Female",0,1)=2,E74,Table1[[#This Row],[Response]]),"")</f>
        <v>Female</v>
      </c>
      <c r="F75" s="1">
        <v>5</v>
      </c>
      <c r="G75" s="1" t="s">
        <v>8</v>
      </c>
      <c r="H75" s="1" t="s">
        <v>8</v>
      </c>
      <c r="I7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7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76" spans="1:11">
      <c r="A76" s="1" t="s">
        <v>12</v>
      </c>
      <c r="B76" s="1" t="s">
        <v>10</v>
      </c>
      <c r="C76" s="1">
        <v>8</v>
      </c>
      <c r="D76" s="1" t="s">
        <v>6</v>
      </c>
      <c r="E76" s="5" t="str">
        <f>IF(Table1[[#This Row],[Pre or Post]]="Pre",IF(IF(Table1[[#This Row],[Response]]="Male",0,1)+IF(Table1[[#This Row],[Response]]="Female",0,1)=2,E75,Table1[[#This Row],[Response]]),"")</f>
        <v>Female</v>
      </c>
      <c r="F76" s="1">
        <v>6</v>
      </c>
      <c r="G76" s="1" t="s">
        <v>8</v>
      </c>
      <c r="H76" s="1" t="s">
        <v>8</v>
      </c>
      <c r="I7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7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77" spans="1:11">
      <c r="A77" s="1" t="s">
        <v>12</v>
      </c>
      <c r="B77" s="1" t="s">
        <v>10</v>
      </c>
      <c r="C77" s="1">
        <v>8</v>
      </c>
      <c r="D77" s="1" t="s">
        <v>6</v>
      </c>
      <c r="E77" s="5" t="str">
        <f>IF(Table1[[#This Row],[Pre or Post]]="Pre",IF(IF(Table1[[#This Row],[Response]]="Male",0,1)+IF(Table1[[#This Row],[Response]]="Female",0,1)=2,E76,Table1[[#This Row],[Response]]),"")</f>
        <v>Female</v>
      </c>
      <c r="F77" s="1">
        <v>7</v>
      </c>
      <c r="G77" s="1" t="s">
        <v>8</v>
      </c>
      <c r="H77" s="1" t="s">
        <v>8</v>
      </c>
      <c r="I7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7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78" spans="1:11">
      <c r="A78" s="1" t="s">
        <v>12</v>
      </c>
      <c r="B78" s="1" t="s">
        <v>10</v>
      </c>
      <c r="C78" s="1">
        <v>8</v>
      </c>
      <c r="D78" s="1" t="s">
        <v>6</v>
      </c>
      <c r="E78" s="5" t="str">
        <f>IF(Table1[[#This Row],[Pre or Post]]="Pre",IF(IF(Table1[[#This Row],[Response]]="Male",0,1)+IF(Table1[[#This Row],[Response]]="Female",0,1)=2,E77,Table1[[#This Row],[Response]]),"")</f>
        <v>Female</v>
      </c>
      <c r="F78" s="1">
        <v>8</v>
      </c>
      <c r="G78" s="1"/>
      <c r="H78" s="1" t="s">
        <v>8</v>
      </c>
      <c r="I7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7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79" spans="1:11">
      <c r="A79" s="1" t="s">
        <v>12</v>
      </c>
      <c r="B79" s="1" t="s">
        <v>10</v>
      </c>
      <c r="C79" s="1">
        <v>8</v>
      </c>
      <c r="D79" s="1" t="s">
        <v>6</v>
      </c>
      <c r="E79" s="5" t="str">
        <f>IF(Table1[[#This Row],[Pre or Post]]="Pre",IF(IF(Table1[[#This Row],[Response]]="Male",0,1)+IF(Table1[[#This Row],[Response]]="Female",0,1)=2,E78,Table1[[#This Row],[Response]]),"")</f>
        <v>Female</v>
      </c>
      <c r="F79" s="1">
        <v>9</v>
      </c>
      <c r="G79" s="1">
        <v>4</v>
      </c>
      <c r="H79" s="1" t="s">
        <v>8</v>
      </c>
      <c r="I7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7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80" spans="1:11">
      <c r="A80" s="1" t="s">
        <v>12</v>
      </c>
      <c r="B80" s="1" t="s">
        <v>10</v>
      </c>
      <c r="C80" s="1">
        <v>8</v>
      </c>
      <c r="D80" s="1" t="s">
        <v>6</v>
      </c>
      <c r="E80" s="5" t="str">
        <f>IF(Table1[[#This Row],[Pre or Post]]="Pre",IF(IF(Table1[[#This Row],[Response]]="Male",0,1)+IF(Table1[[#This Row],[Response]]="Female",0,1)=2,E79,Table1[[#This Row],[Response]]),"")</f>
        <v>Female</v>
      </c>
      <c r="F80" s="1">
        <v>10</v>
      </c>
      <c r="G80" s="1">
        <v>4</v>
      </c>
      <c r="H80" s="1" t="s">
        <v>8</v>
      </c>
      <c r="I8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8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81" spans="1:11">
      <c r="A81" s="1" t="s">
        <v>12</v>
      </c>
      <c r="B81" s="1" t="s">
        <v>10</v>
      </c>
      <c r="C81" s="1">
        <v>8</v>
      </c>
      <c r="D81" s="1" t="s">
        <v>6</v>
      </c>
      <c r="E81" s="5" t="str">
        <f>IF(Table1[[#This Row],[Pre or Post]]="Pre",IF(IF(Table1[[#This Row],[Response]]="Male",0,1)+IF(Table1[[#This Row],[Response]]="Female",0,1)=2,E80,Table1[[#This Row],[Response]]),"")</f>
        <v>Female</v>
      </c>
      <c r="F81" s="2">
        <v>11</v>
      </c>
      <c r="G81" s="2">
        <v>2</v>
      </c>
      <c r="H81" s="1" t="s">
        <v>8</v>
      </c>
      <c r="I8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8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82" spans="1:11">
      <c r="A82" s="1" t="s">
        <v>12</v>
      </c>
      <c r="B82" s="1" t="s">
        <v>10</v>
      </c>
      <c r="C82" s="1">
        <v>9</v>
      </c>
      <c r="D82" s="1" t="s">
        <v>6</v>
      </c>
      <c r="E82" s="5" t="str">
        <f>IF(Table1[[#This Row],[Pre or Post]]="Pre",IF(IF(Table1[[#This Row],[Response]]="Male",0,1)+IF(Table1[[#This Row],[Response]]="Female",0,1)=2,E81,Table1[[#This Row],[Response]]),"")</f>
        <v>Female</v>
      </c>
      <c r="F82" s="1">
        <v>2</v>
      </c>
      <c r="G82" s="1" t="s">
        <v>13</v>
      </c>
      <c r="H82" s="1" t="s">
        <v>8</v>
      </c>
      <c r="I8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8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83" spans="1:11">
      <c r="A83" s="1" t="s">
        <v>12</v>
      </c>
      <c r="B83" s="1" t="s">
        <v>10</v>
      </c>
      <c r="C83" s="1">
        <v>9</v>
      </c>
      <c r="D83" s="1" t="s">
        <v>6</v>
      </c>
      <c r="E83" s="5" t="str">
        <f>IF(Table1[[#This Row],[Pre or Post]]="Pre",IF(IF(Table1[[#This Row],[Response]]="Male",0,1)+IF(Table1[[#This Row],[Response]]="Female",0,1)=2,E82,Table1[[#This Row],[Response]]),"")</f>
        <v>Female</v>
      </c>
      <c r="F83" s="1">
        <v>3</v>
      </c>
      <c r="G83" s="1" t="s">
        <v>8</v>
      </c>
      <c r="H83" s="1" t="s">
        <v>8</v>
      </c>
      <c r="I8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8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84" spans="1:11">
      <c r="A84" s="1" t="s">
        <v>12</v>
      </c>
      <c r="B84" s="1" t="s">
        <v>10</v>
      </c>
      <c r="C84" s="1">
        <v>9</v>
      </c>
      <c r="D84" s="1" t="s">
        <v>6</v>
      </c>
      <c r="E84" s="5" t="str">
        <f>IF(Table1[[#This Row],[Pre or Post]]="Pre",IF(IF(Table1[[#This Row],[Response]]="Male",0,1)+IF(Table1[[#This Row],[Response]]="Female",0,1)=2,E83,Table1[[#This Row],[Response]]),"")</f>
        <v>Female</v>
      </c>
      <c r="F84" s="1">
        <v>4</v>
      </c>
      <c r="G84" s="1" t="s">
        <v>9</v>
      </c>
      <c r="H84" s="1" t="s">
        <v>8</v>
      </c>
      <c r="I8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8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85" spans="1:11">
      <c r="A85" s="1" t="s">
        <v>12</v>
      </c>
      <c r="B85" s="1" t="s">
        <v>10</v>
      </c>
      <c r="C85" s="1">
        <v>9</v>
      </c>
      <c r="D85" s="1" t="s">
        <v>6</v>
      </c>
      <c r="E85" s="5" t="str">
        <f>IF(Table1[[#This Row],[Pre or Post]]="Pre",IF(IF(Table1[[#This Row],[Response]]="Male",0,1)+IF(Table1[[#This Row],[Response]]="Female",0,1)=2,E84,Table1[[#This Row],[Response]]),"")</f>
        <v>Female</v>
      </c>
      <c r="F85" s="1">
        <v>5</v>
      </c>
      <c r="G85" s="1" t="s">
        <v>8</v>
      </c>
      <c r="H85" s="1" t="s">
        <v>8</v>
      </c>
      <c r="I8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8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86" spans="1:11">
      <c r="A86" s="1" t="s">
        <v>12</v>
      </c>
      <c r="B86" s="1" t="s">
        <v>10</v>
      </c>
      <c r="C86" s="1">
        <v>9</v>
      </c>
      <c r="D86" s="1" t="s">
        <v>6</v>
      </c>
      <c r="E86" s="5" t="str">
        <f>IF(Table1[[#This Row],[Pre or Post]]="Pre",IF(IF(Table1[[#This Row],[Response]]="Male",0,1)+IF(Table1[[#This Row],[Response]]="Female",0,1)=2,E85,Table1[[#This Row],[Response]]),"")</f>
        <v>Female</v>
      </c>
      <c r="F86" s="1">
        <v>6</v>
      </c>
      <c r="G86" s="1" t="s">
        <v>8</v>
      </c>
      <c r="H86" s="1" t="s">
        <v>8</v>
      </c>
      <c r="I8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8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87" spans="1:11">
      <c r="A87" s="1" t="s">
        <v>12</v>
      </c>
      <c r="B87" s="1" t="s">
        <v>10</v>
      </c>
      <c r="C87" s="1">
        <v>9</v>
      </c>
      <c r="D87" s="1" t="s">
        <v>6</v>
      </c>
      <c r="E87" s="5" t="str">
        <f>IF(Table1[[#This Row],[Pre or Post]]="Pre",IF(IF(Table1[[#This Row],[Response]]="Male",0,1)+IF(Table1[[#This Row],[Response]]="Female",0,1)=2,E86,Table1[[#This Row],[Response]]),"")</f>
        <v>Female</v>
      </c>
      <c r="F87" s="1">
        <v>7</v>
      </c>
      <c r="G87" s="1" t="s">
        <v>8</v>
      </c>
      <c r="H87" s="1" t="s">
        <v>8</v>
      </c>
      <c r="I8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8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88" spans="1:11">
      <c r="A88" s="1" t="s">
        <v>12</v>
      </c>
      <c r="B88" s="1" t="s">
        <v>10</v>
      </c>
      <c r="C88" s="1">
        <v>9</v>
      </c>
      <c r="D88" s="1" t="s">
        <v>6</v>
      </c>
      <c r="E88" s="5" t="str">
        <f>IF(Table1[[#This Row],[Pre or Post]]="Pre",IF(IF(Table1[[#This Row],[Response]]="Male",0,1)+IF(Table1[[#This Row],[Response]]="Female",0,1)=2,E87,Table1[[#This Row],[Response]]),"")</f>
        <v>Female</v>
      </c>
      <c r="F88" s="1">
        <v>8</v>
      </c>
      <c r="G88" s="1"/>
      <c r="H88" s="1" t="s">
        <v>8</v>
      </c>
      <c r="I8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8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89" spans="1:11">
      <c r="A89" s="1" t="s">
        <v>12</v>
      </c>
      <c r="B89" s="1" t="s">
        <v>10</v>
      </c>
      <c r="C89" s="1">
        <v>9</v>
      </c>
      <c r="D89" s="1" t="s">
        <v>6</v>
      </c>
      <c r="E89" s="5" t="str">
        <f>IF(Table1[[#This Row],[Pre or Post]]="Pre",IF(IF(Table1[[#This Row],[Response]]="Male",0,1)+IF(Table1[[#This Row],[Response]]="Female",0,1)=2,E88,Table1[[#This Row],[Response]]),"")</f>
        <v>Female</v>
      </c>
      <c r="F89" s="1">
        <v>9</v>
      </c>
      <c r="G89" s="1">
        <v>4</v>
      </c>
      <c r="H89" s="1" t="s">
        <v>8</v>
      </c>
      <c r="I8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8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90" spans="1:11">
      <c r="A90" s="1" t="s">
        <v>12</v>
      </c>
      <c r="B90" s="1" t="s">
        <v>10</v>
      </c>
      <c r="C90" s="1">
        <v>9</v>
      </c>
      <c r="D90" s="1" t="s">
        <v>6</v>
      </c>
      <c r="E90" s="5" t="str">
        <f>IF(Table1[[#This Row],[Pre or Post]]="Pre",IF(IF(Table1[[#This Row],[Response]]="Male",0,1)+IF(Table1[[#This Row],[Response]]="Female",0,1)=2,E89,Table1[[#This Row],[Response]]),"")</f>
        <v>Female</v>
      </c>
      <c r="F90" s="1">
        <v>10</v>
      </c>
      <c r="G90" s="1">
        <v>3</v>
      </c>
      <c r="H90" s="1" t="s">
        <v>8</v>
      </c>
      <c r="I9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9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9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91" spans="1:11">
      <c r="A91" s="1" t="s">
        <v>12</v>
      </c>
      <c r="B91" s="1" t="s">
        <v>10</v>
      </c>
      <c r="C91" s="1">
        <v>9</v>
      </c>
      <c r="D91" s="1" t="s">
        <v>6</v>
      </c>
      <c r="E91" s="5" t="str">
        <f>IF(Table1[[#This Row],[Pre or Post]]="Pre",IF(IF(Table1[[#This Row],[Response]]="Male",0,1)+IF(Table1[[#This Row],[Response]]="Female",0,1)=2,E90,Table1[[#This Row],[Response]]),"")</f>
        <v>Female</v>
      </c>
      <c r="F91" s="1">
        <v>11</v>
      </c>
      <c r="G91" s="1">
        <v>3</v>
      </c>
      <c r="H91" s="1" t="s">
        <v>8</v>
      </c>
      <c r="I9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9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9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92" spans="1:11">
      <c r="A92" s="1" t="s">
        <v>12</v>
      </c>
      <c r="B92" s="1" t="s">
        <v>10</v>
      </c>
      <c r="C92" s="1">
        <v>10</v>
      </c>
      <c r="D92" s="1" t="s">
        <v>6</v>
      </c>
      <c r="E92" s="5" t="str">
        <f>IF(Table1[[#This Row],[Pre or Post]]="Pre",IF(IF(Table1[[#This Row],[Response]]="Male",0,1)+IF(Table1[[#This Row],[Response]]="Female",0,1)=2,E91,Table1[[#This Row],[Response]]),"")</f>
        <v>Female</v>
      </c>
      <c r="F92" s="1">
        <v>2</v>
      </c>
      <c r="G92" s="1" t="s">
        <v>13</v>
      </c>
      <c r="H92" s="1" t="s">
        <v>8</v>
      </c>
      <c r="I9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9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9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93" spans="1:11">
      <c r="A93" s="1" t="s">
        <v>12</v>
      </c>
      <c r="B93" s="1" t="s">
        <v>10</v>
      </c>
      <c r="C93" s="1">
        <v>10</v>
      </c>
      <c r="D93" s="1" t="s">
        <v>6</v>
      </c>
      <c r="E93" s="5" t="str">
        <f>IF(Table1[[#This Row],[Pre or Post]]="Pre",IF(IF(Table1[[#This Row],[Response]]="Male",0,1)+IF(Table1[[#This Row],[Response]]="Female",0,1)=2,E92,Table1[[#This Row],[Response]]),"")</f>
        <v>Female</v>
      </c>
      <c r="F93" s="1">
        <v>3</v>
      </c>
      <c r="G93" s="1" t="s">
        <v>8</v>
      </c>
      <c r="H93" s="1" t="s">
        <v>8</v>
      </c>
      <c r="I9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9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9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94" spans="1:11">
      <c r="A94" s="1" t="s">
        <v>12</v>
      </c>
      <c r="B94" s="1" t="s">
        <v>10</v>
      </c>
      <c r="C94" s="1">
        <v>10</v>
      </c>
      <c r="D94" s="1" t="s">
        <v>6</v>
      </c>
      <c r="E94" s="5" t="str">
        <f>IF(Table1[[#This Row],[Pre or Post]]="Pre",IF(IF(Table1[[#This Row],[Response]]="Male",0,1)+IF(Table1[[#This Row],[Response]]="Female",0,1)=2,E93,Table1[[#This Row],[Response]]),"")</f>
        <v>Female</v>
      </c>
      <c r="F94" s="1">
        <v>4</v>
      </c>
      <c r="G94" s="1" t="s">
        <v>8</v>
      </c>
      <c r="H94" s="1" t="s">
        <v>8</v>
      </c>
      <c r="I9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9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9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95" spans="1:11">
      <c r="A95" s="1" t="s">
        <v>12</v>
      </c>
      <c r="B95" s="1" t="s">
        <v>10</v>
      </c>
      <c r="C95" s="1">
        <v>10</v>
      </c>
      <c r="D95" s="1" t="s">
        <v>6</v>
      </c>
      <c r="E95" s="5" t="str">
        <f>IF(Table1[[#This Row],[Pre or Post]]="Pre",IF(IF(Table1[[#This Row],[Response]]="Male",0,1)+IF(Table1[[#This Row],[Response]]="Female",0,1)=2,E94,Table1[[#This Row],[Response]]),"")</f>
        <v>Female</v>
      </c>
      <c r="F95" s="1">
        <v>5</v>
      </c>
      <c r="G95" s="1" t="s">
        <v>9</v>
      </c>
      <c r="H95" s="1" t="s">
        <v>8</v>
      </c>
      <c r="I9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9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9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96" spans="1:11">
      <c r="A96" s="1" t="s">
        <v>12</v>
      </c>
      <c r="B96" s="1" t="s">
        <v>10</v>
      </c>
      <c r="C96" s="1">
        <v>10</v>
      </c>
      <c r="D96" s="1" t="s">
        <v>6</v>
      </c>
      <c r="E96" s="5" t="str">
        <f>IF(Table1[[#This Row],[Pre or Post]]="Pre",IF(IF(Table1[[#This Row],[Response]]="Male",0,1)+IF(Table1[[#This Row],[Response]]="Female",0,1)=2,E95,Table1[[#This Row],[Response]]),"")</f>
        <v>Female</v>
      </c>
      <c r="F96" s="1">
        <v>6</v>
      </c>
      <c r="G96" s="1" t="s">
        <v>8</v>
      </c>
      <c r="H96" s="1" t="s">
        <v>8</v>
      </c>
      <c r="I9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9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9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97" spans="1:11">
      <c r="A97" s="1" t="s">
        <v>12</v>
      </c>
      <c r="B97" s="1" t="s">
        <v>10</v>
      </c>
      <c r="C97" s="1">
        <v>10</v>
      </c>
      <c r="D97" s="1" t="s">
        <v>6</v>
      </c>
      <c r="E97" s="5" t="str">
        <f>IF(Table1[[#This Row],[Pre or Post]]="Pre",IF(IF(Table1[[#This Row],[Response]]="Male",0,1)+IF(Table1[[#This Row],[Response]]="Female",0,1)=2,E96,Table1[[#This Row],[Response]]),"")</f>
        <v>Female</v>
      </c>
      <c r="F97" s="1">
        <v>7</v>
      </c>
      <c r="G97" s="1" t="s">
        <v>8</v>
      </c>
      <c r="H97" s="1" t="s">
        <v>8</v>
      </c>
      <c r="I9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9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9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98" spans="1:11">
      <c r="A98" s="1" t="s">
        <v>12</v>
      </c>
      <c r="B98" s="1" t="s">
        <v>10</v>
      </c>
      <c r="C98" s="1">
        <v>10</v>
      </c>
      <c r="D98" s="1" t="s">
        <v>6</v>
      </c>
      <c r="E98" s="5" t="str">
        <f>IF(Table1[[#This Row],[Pre or Post]]="Pre",IF(IF(Table1[[#This Row],[Response]]="Male",0,1)+IF(Table1[[#This Row],[Response]]="Female",0,1)=2,E97,Table1[[#This Row],[Response]]),"")</f>
        <v>Female</v>
      </c>
      <c r="F98" s="1">
        <v>8</v>
      </c>
      <c r="G98" s="1"/>
      <c r="H98" s="1" t="s">
        <v>8</v>
      </c>
      <c r="I9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9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9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99" spans="1:11">
      <c r="A99" s="1" t="s">
        <v>12</v>
      </c>
      <c r="B99" s="1" t="s">
        <v>10</v>
      </c>
      <c r="C99" s="1">
        <v>10</v>
      </c>
      <c r="D99" s="1" t="s">
        <v>6</v>
      </c>
      <c r="E99" s="5" t="str">
        <f>IF(Table1[[#This Row],[Pre or Post]]="Pre",IF(IF(Table1[[#This Row],[Response]]="Male",0,1)+IF(Table1[[#This Row],[Response]]="Female",0,1)=2,E98,Table1[[#This Row],[Response]]),"")</f>
        <v>Female</v>
      </c>
      <c r="F99" s="1">
        <v>9</v>
      </c>
      <c r="G99" s="1">
        <v>4</v>
      </c>
      <c r="H99" s="1" t="s">
        <v>8</v>
      </c>
      <c r="I9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9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9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00" spans="1:11">
      <c r="A100" s="1" t="s">
        <v>12</v>
      </c>
      <c r="B100" s="1" t="s">
        <v>10</v>
      </c>
      <c r="C100" s="1">
        <v>10</v>
      </c>
      <c r="D100" s="1" t="s">
        <v>6</v>
      </c>
      <c r="E100" s="5" t="str">
        <f>IF(Table1[[#This Row],[Pre or Post]]="Pre",IF(IF(Table1[[#This Row],[Response]]="Male",0,1)+IF(Table1[[#This Row],[Response]]="Female",0,1)=2,E99,Table1[[#This Row],[Response]]),"")</f>
        <v>Female</v>
      </c>
      <c r="F100" s="1">
        <v>10</v>
      </c>
      <c r="G100" s="1">
        <v>4</v>
      </c>
      <c r="H100" s="1" t="s">
        <v>8</v>
      </c>
      <c r="I10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0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0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01" spans="1:11">
      <c r="A101" s="1" t="s">
        <v>12</v>
      </c>
      <c r="B101" s="1" t="s">
        <v>10</v>
      </c>
      <c r="C101" s="1">
        <v>10</v>
      </c>
      <c r="D101" s="1" t="s">
        <v>6</v>
      </c>
      <c r="E101" s="5" t="str">
        <f>IF(Table1[[#This Row],[Pre or Post]]="Pre",IF(IF(Table1[[#This Row],[Response]]="Male",0,1)+IF(Table1[[#This Row],[Response]]="Female",0,1)=2,E100,Table1[[#This Row],[Response]]),"")</f>
        <v>Female</v>
      </c>
      <c r="F101" s="1">
        <v>11</v>
      </c>
      <c r="G101" s="1">
        <v>2</v>
      </c>
      <c r="H101" s="1" t="s">
        <v>8</v>
      </c>
      <c r="I10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0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0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02" spans="1:11">
      <c r="A102" s="1" t="s">
        <v>12</v>
      </c>
      <c r="B102" s="1" t="s">
        <v>10</v>
      </c>
      <c r="C102" s="1">
        <v>11</v>
      </c>
      <c r="D102" s="1" t="s">
        <v>6</v>
      </c>
      <c r="E102" s="5" t="str">
        <f>IF(Table1[[#This Row],[Pre or Post]]="Pre",IF(IF(Table1[[#This Row],[Response]]="Male",0,1)+IF(Table1[[#This Row],[Response]]="Female",0,1)=2,E101,Table1[[#This Row],[Response]]),"")</f>
        <v>Male</v>
      </c>
      <c r="F102" s="1">
        <v>2</v>
      </c>
      <c r="G102" s="1" t="s">
        <v>7</v>
      </c>
      <c r="H102" s="1" t="s">
        <v>8</v>
      </c>
      <c r="I10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0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0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03" spans="1:11">
      <c r="A103" s="1" t="s">
        <v>12</v>
      </c>
      <c r="B103" s="1" t="s">
        <v>10</v>
      </c>
      <c r="C103" s="1">
        <v>11</v>
      </c>
      <c r="D103" s="1" t="s">
        <v>6</v>
      </c>
      <c r="E103" s="5" t="str">
        <f>IF(Table1[[#This Row],[Pre or Post]]="Pre",IF(IF(Table1[[#This Row],[Response]]="Male",0,1)+IF(Table1[[#This Row],[Response]]="Female",0,1)=2,E102,Table1[[#This Row],[Response]]),"")</f>
        <v>Male</v>
      </c>
      <c r="F103" s="1">
        <v>3</v>
      </c>
      <c r="G103" s="1" t="s">
        <v>8</v>
      </c>
      <c r="H103" s="1" t="s">
        <v>8</v>
      </c>
      <c r="I10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0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0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04" spans="1:11">
      <c r="A104" s="1" t="s">
        <v>12</v>
      </c>
      <c r="B104" s="1" t="s">
        <v>10</v>
      </c>
      <c r="C104" s="1">
        <v>11</v>
      </c>
      <c r="D104" s="1" t="s">
        <v>6</v>
      </c>
      <c r="E104" s="5" t="str">
        <f>IF(Table1[[#This Row],[Pre or Post]]="Pre",IF(IF(Table1[[#This Row],[Response]]="Male",0,1)+IF(Table1[[#This Row],[Response]]="Female",0,1)=2,E103,Table1[[#This Row],[Response]]),"")</f>
        <v>Male</v>
      </c>
      <c r="F104" s="1">
        <v>4</v>
      </c>
      <c r="G104" s="1" t="s">
        <v>8</v>
      </c>
      <c r="H104" s="1" t="s">
        <v>8</v>
      </c>
      <c r="I10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0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0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05" spans="1:11">
      <c r="A105" s="1" t="s">
        <v>12</v>
      </c>
      <c r="B105" s="1" t="s">
        <v>10</v>
      </c>
      <c r="C105" s="1">
        <v>11</v>
      </c>
      <c r="D105" s="1" t="s">
        <v>6</v>
      </c>
      <c r="E105" s="5" t="str">
        <f>IF(Table1[[#This Row],[Pre or Post]]="Pre",IF(IF(Table1[[#This Row],[Response]]="Male",0,1)+IF(Table1[[#This Row],[Response]]="Female",0,1)=2,E104,Table1[[#This Row],[Response]]),"")</f>
        <v>Male</v>
      </c>
      <c r="F105" s="1">
        <v>5</v>
      </c>
      <c r="G105" s="1" t="s">
        <v>8</v>
      </c>
      <c r="H105" s="1" t="s">
        <v>8</v>
      </c>
      <c r="I10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0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0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06" spans="1:11">
      <c r="A106" s="1" t="s">
        <v>12</v>
      </c>
      <c r="B106" s="1" t="s">
        <v>10</v>
      </c>
      <c r="C106" s="1">
        <v>11</v>
      </c>
      <c r="D106" s="1" t="s">
        <v>6</v>
      </c>
      <c r="E106" s="5" t="str">
        <f>IF(Table1[[#This Row],[Pre or Post]]="Pre",IF(IF(Table1[[#This Row],[Response]]="Male",0,1)+IF(Table1[[#This Row],[Response]]="Female",0,1)=2,E105,Table1[[#This Row],[Response]]),"")</f>
        <v>Male</v>
      </c>
      <c r="F106" s="1">
        <v>6</v>
      </c>
      <c r="G106" s="1" t="s">
        <v>8</v>
      </c>
      <c r="H106" s="1" t="s">
        <v>8</v>
      </c>
      <c r="I10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0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0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07" spans="1:11">
      <c r="A107" s="1" t="s">
        <v>12</v>
      </c>
      <c r="B107" s="1" t="s">
        <v>10</v>
      </c>
      <c r="C107" s="1">
        <v>11</v>
      </c>
      <c r="D107" s="1" t="s">
        <v>6</v>
      </c>
      <c r="E107" s="5" t="str">
        <f>IF(Table1[[#This Row],[Pre or Post]]="Pre",IF(IF(Table1[[#This Row],[Response]]="Male",0,1)+IF(Table1[[#This Row],[Response]]="Female",0,1)=2,E106,Table1[[#This Row],[Response]]),"")</f>
        <v>Male</v>
      </c>
      <c r="F107" s="1">
        <v>7</v>
      </c>
      <c r="G107" s="1" t="s">
        <v>9</v>
      </c>
      <c r="H107" s="1" t="s">
        <v>8</v>
      </c>
      <c r="I10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0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0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08" spans="1:11">
      <c r="A108" s="1" t="s">
        <v>12</v>
      </c>
      <c r="B108" s="1" t="s">
        <v>10</v>
      </c>
      <c r="C108" s="1">
        <v>11</v>
      </c>
      <c r="D108" s="1" t="s">
        <v>6</v>
      </c>
      <c r="E108" s="5" t="str">
        <f>IF(Table1[[#This Row],[Pre or Post]]="Pre",IF(IF(Table1[[#This Row],[Response]]="Male",0,1)+IF(Table1[[#This Row],[Response]]="Female",0,1)=2,E107,Table1[[#This Row],[Response]]),"")</f>
        <v>Male</v>
      </c>
      <c r="F108" s="1">
        <v>8</v>
      </c>
      <c r="G108" s="1"/>
      <c r="H108" s="1" t="s">
        <v>8</v>
      </c>
      <c r="I10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0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0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09" spans="1:11">
      <c r="A109" s="1" t="s">
        <v>12</v>
      </c>
      <c r="B109" s="1" t="s">
        <v>10</v>
      </c>
      <c r="C109" s="1">
        <v>11</v>
      </c>
      <c r="D109" s="1" t="s">
        <v>6</v>
      </c>
      <c r="E109" s="5" t="str">
        <f>IF(Table1[[#This Row],[Pre or Post]]="Pre",IF(IF(Table1[[#This Row],[Response]]="Male",0,1)+IF(Table1[[#This Row],[Response]]="Female",0,1)=2,E108,Table1[[#This Row],[Response]]),"")</f>
        <v>Male</v>
      </c>
      <c r="F109" s="1">
        <v>9</v>
      </c>
      <c r="G109" s="1">
        <v>2</v>
      </c>
      <c r="H109" s="1" t="s">
        <v>8</v>
      </c>
      <c r="I10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0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0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10" spans="1:11">
      <c r="A110" s="1" t="s">
        <v>12</v>
      </c>
      <c r="B110" s="1" t="s">
        <v>10</v>
      </c>
      <c r="C110" s="1">
        <v>11</v>
      </c>
      <c r="D110" s="1" t="s">
        <v>6</v>
      </c>
      <c r="E110" s="5" t="str">
        <f>IF(Table1[[#This Row],[Pre or Post]]="Pre",IF(IF(Table1[[#This Row],[Response]]="Male",0,1)+IF(Table1[[#This Row],[Response]]="Female",0,1)=2,E109,Table1[[#This Row],[Response]]),"")</f>
        <v>Male</v>
      </c>
      <c r="F110" s="1">
        <v>10</v>
      </c>
      <c r="G110" s="1">
        <v>3</v>
      </c>
      <c r="H110" s="1" t="s">
        <v>8</v>
      </c>
      <c r="I11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1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1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11" spans="1:11">
      <c r="A111" s="1" t="s">
        <v>12</v>
      </c>
      <c r="B111" s="1" t="s">
        <v>10</v>
      </c>
      <c r="C111" s="1">
        <v>11</v>
      </c>
      <c r="D111" s="1" t="s">
        <v>6</v>
      </c>
      <c r="E111" s="5" t="str">
        <f>IF(Table1[[#This Row],[Pre or Post]]="Pre",IF(IF(Table1[[#This Row],[Response]]="Male",0,1)+IF(Table1[[#This Row],[Response]]="Female",0,1)=2,E110,Table1[[#This Row],[Response]]),"")</f>
        <v>Male</v>
      </c>
      <c r="F111" s="1">
        <v>11</v>
      </c>
      <c r="G111" s="1">
        <v>3</v>
      </c>
      <c r="H111" s="1" t="s">
        <v>8</v>
      </c>
      <c r="I11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1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1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12" spans="1:11">
      <c r="A112" s="1" t="s">
        <v>12</v>
      </c>
      <c r="B112" s="1" t="s">
        <v>10</v>
      </c>
      <c r="C112" s="1">
        <v>12</v>
      </c>
      <c r="D112" s="1" t="s">
        <v>6</v>
      </c>
      <c r="E112" s="5" t="str">
        <f>IF(Table1[[#This Row],[Pre or Post]]="Pre",IF(IF(Table1[[#This Row],[Response]]="Male",0,1)+IF(Table1[[#This Row],[Response]]="Female",0,1)=2,E111,Table1[[#This Row],[Response]]),"")</f>
        <v>Female</v>
      </c>
      <c r="F112" s="1">
        <v>2</v>
      </c>
      <c r="G112" s="1" t="s">
        <v>13</v>
      </c>
      <c r="H112" s="1" t="s">
        <v>8</v>
      </c>
      <c r="I11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1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1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13" spans="1:11">
      <c r="A113" s="1" t="s">
        <v>12</v>
      </c>
      <c r="B113" s="1" t="s">
        <v>10</v>
      </c>
      <c r="C113" s="1">
        <v>12</v>
      </c>
      <c r="D113" s="1" t="s">
        <v>6</v>
      </c>
      <c r="E113" s="5" t="str">
        <f>IF(Table1[[#This Row],[Pre or Post]]="Pre",IF(IF(Table1[[#This Row],[Response]]="Male",0,1)+IF(Table1[[#This Row],[Response]]="Female",0,1)=2,E112,Table1[[#This Row],[Response]]),"")</f>
        <v>Female</v>
      </c>
      <c r="F113" s="1">
        <v>3</v>
      </c>
      <c r="G113" s="1" t="s">
        <v>8</v>
      </c>
      <c r="H113" s="1" t="s">
        <v>8</v>
      </c>
      <c r="I11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1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1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14" spans="1:11">
      <c r="A114" s="1" t="s">
        <v>12</v>
      </c>
      <c r="B114" s="1" t="s">
        <v>10</v>
      </c>
      <c r="C114" s="1">
        <v>12</v>
      </c>
      <c r="D114" s="1" t="s">
        <v>6</v>
      </c>
      <c r="E114" s="5" t="str">
        <f>IF(Table1[[#This Row],[Pre or Post]]="Pre",IF(IF(Table1[[#This Row],[Response]]="Male",0,1)+IF(Table1[[#This Row],[Response]]="Female",0,1)=2,E113,Table1[[#This Row],[Response]]),"")</f>
        <v>Female</v>
      </c>
      <c r="F114" s="1">
        <v>4</v>
      </c>
      <c r="G114" s="1" t="s">
        <v>9</v>
      </c>
      <c r="H114" s="1" t="s">
        <v>8</v>
      </c>
      <c r="I11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1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1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15" spans="1:11">
      <c r="A115" s="1" t="s">
        <v>12</v>
      </c>
      <c r="B115" s="1" t="s">
        <v>10</v>
      </c>
      <c r="C115" s="1">
        <v>12</v>
      </c>
      <c r="D115" s="1" t="s">
        <v>6</v>
      </c>
      <c r="E115" s="5" t="str">
        <f>IF(Table1[[#This Row],[Pre or Post]]="Pre",IF(IF(Table1[[#This Row],[Response]]="Male",0,1)+IF(Table1[[#This Row],[Response]]="Female",0,1)=2,E114,Table1[[#This Row],[Response]]),"")</f>
        <v>Female</v>
      </c>
      <c r="F115" s="1">
        <v>5</v>
      </c>
      <c r="G115" s="1" t="s">
        <v>8</v>
      </c>
      <c r="H115" s="1" t="s">
        <v>8</v>
      </c>
      <c r="I11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1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1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16" spans="1:11">
      <c r="A116" s="1" t="s">
        <v>12</v>
      </c>
      <c r="B116" s="1" t="s">
        <v>10</v>
      </c>
      <c r="C116" s="1">
        <v>12</v>
      </c>
      <c r="D116" s="1" t="s">
        <v>6</v>
      </c>
      <c r="E116" s="5" t="str">
        <f>IF(Table1[[#This Row],[Pre or Post]]="Pre",IF(IF(Table1[[#This Row],[Response]]="Male",0,1)+IF(Table1[[#This Row],[Response]]="Female",0,1)=2,E115,Table1[[#This Row],[Response]]),"")</f>
        <v>Female</v>
      </c>
      <c r="F116" s="1">
        <v>6</v>
      </c>
      <c r="G116" s="1" t="s">
        <v>8</v>
      </c>
      <c r="H116" s="1" t="s">
        <v>8</v>
      </c>
      <c r="I11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1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1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17" spans="1:11">
      <c r="A117" s="1" t="s">
        <v>12</v>
      </c>
      <c r="B117" s="1" t="s">
        <v>10</v>
      </c>
      <c r="C117" s="1">
        <v>12</v>
      </c>
      <c r="D117" s="1" t="s">
        <v>6</v>
      </c>
      <c r="E117" s="5" t="str">
        <f>IF(Table1[[#This Row],[Pre or Post]]="Pre",IF(IF(Table1[[#This Row],[Response]]="Male",0,1)+IF(Table1[[#This Row],[Response]]="Female",0,1)=2,E116,Table1[[#This Row],[Response]]),"")</f>
        <v>Female</v>
      </c>
      <c r="F117" s="1">
        <v>7</v>
      </c>
      <c r="G117" s="1" t="s">
        <v>8</v>
      </c>
      <c r="H117" s="1" t="s">
        <v>8</v>
      </c>
      <c r="I11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1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1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18" spans="1:11">
      <c r="A118" s="1" t="s">
        <v>12</v>
      </c>
      <c r="B118" s="1" t="s">
        <v>10</v>
      </c>
      <c r="C118" s="1">
        <v>12</v>
      </c>
      <c r="D118" s="1" t="s">
        <v>6</v>
      </c>
      <c r="E118" s="5" t="str">
        <f>IF(Table1[[#This Row],[Pre or Post]]="Pre",IF(IF(Table1[[#This Row],[Response]]="Male",0,1)+IF(Table1[[#This Row],[Response]]="Female",0,1)=2,E117,Table1[[#This Row],[Response]]),"")</f>
        <v>Female</v>
      </c>
      <c r="F118" s="1">
        <v>8</v>
      </c>
      <c r="G118" s="1"/>
      <c r="H118" s="1" t="s">
        <v>8</v>
      </c>
      <c r="I11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1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1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19" spans="1:11">
      <c r="A119" s="1" t="s">
        <v>12</v>
      </c>
      <c r="B119" s="1" t="s">
        <v>10</v>
      </c>
      <c r="C119" s="1">
        <v>12</v>
      </c>
      <c r="D119" s="1" t="s">
        <v>6</v>
      </c>
      <c r="E119" s="5" t="str">
        <f>IF(Table1[[#This Row],[Pre or Post]]="Pre",IF(IF(Table1[[#This Row],[Response]]="Male",0,1)+IF(Table1[[#This Row],[Response]]="Female",0,1)=2,E118,Table1[[#This Row],[Response]]),"")</f>
        <v>Female</v>
      </c>
      <c r="F119" s="1">
        <v>9</v>
      </c>
      <c r="G119" s="1">
        <v>4</v>
      </c>
      <c r="H119" s="1" t="s">
        <v>8</v>
      </c>
      <c r="I11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1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1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20" spans="1:11">
      <c r="A120" s="1" t="s">
        <v>12</v>
      </c>
      <c r="B120" s="1" t="s">
        <v>10</v>
      </c>
      <c r="C120" s="1">
        <v>12</v>
      </c>
      <c r="D120" s="1" t="s">
        <v>6</v>
      </c>
      <c r="E120" s="5" t="str">
        <f>IF(Table1[[#This Row],[Pre or Post]]="Pre",IF(IF(Table1[[#This Row],[Response]]="Male",0,1)+IF(Table1[[#This Row],[Response]]="Female",0,1)=2,E119,Table1[[#This Row],[Response]]),"")</f>
        <v>Female</v>
      </c>
      <c r="F120" s="1">
        <v>10</v>
      </c>
      <c r="G120" s="1">
        <v>5</v>
      </c>
      <c r="H120" s="1" t="s">
        <v>8</v>
      </c>
      <c r="I12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2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2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21" spans="1:11">
      <c r="A121" s="1" t="s">
        <v>12</v>
      </c>
      <c r="B121" s="1" t="s">
        <v>10</v>
      </c>
      <c r="C121" s="1">
        <v>12</v>
      </c>
      <c r="D121" s="1" t="s">
        <v>6</v>
      </c>
      <c r="E121" s="5" t="str">
        <f>IF(Table1[[#This Row],[Pre or Post]]="Pre",IF(IF(Table1[[#This Row],[Response]]="Male",0,1)+IF(Table1[[#This Row],[Response]]="Female",0,1)=2,E120,Table1[[#This Row],[Response]]),"")</f>
        <v>Female</v>
      </c>
      <c r="F121" s="1">
        <v>11</v>
      </c>
      <c r="G121" s="1">
        <v>3</v>
      </c>
      <c r="H121" s="1" t="s">
        <v>8</v>
      </c>
      <c r="I12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2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2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22" spans="1:11">
      <c r="A122" s="1" t="s">
        <v>12</v>
      </c>
      <c r="B122" s="1" t="s">
        <v>10</v>
      </c>
      <c r="C122" s="1">
        <v>13</v>
      </c>
      <c r="D122" s="1" t="s">
        <v>6</v>
      </c>
      <c r="E122" s="5" t="str">
        <f>IF(Table1[[#This Row],[Pre or Post]]="Pre",IF(IF(Table1[[#This Row],[Response]]="Male",0,1)+IF(Table1[[#This Row],[Response]]="Female",0,1)=2,E121,Table1[[#This Row],[Response]]),"")</f>
        <v>Male</v>
      </c>
      <c r="F122" s="1">
        <v>2</v>
      </c>
      <c r="G122" s="1" t="s">
        <v>7</v>
      </c>
      <c r="H122" s="1" t="s">
        <v>8</v>
      </c>
      <c r="I12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2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2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23" spans="1:11">
      <c r="A123" s="1" t="s">
        <v>12</v>
      </c>
      <c r="B123" s="1" t="s">
        <v>10</v>
      </c>
      <c r="C123" s="1">
        <v>13</v>
      </c>
      <c r="D123" s="1" t="s">
        <v>6</v>
      </c>
      <c r="E123" s="5" t="str">
        <f>IF(Table1[[#This Row],[Pre or Post]]="Pre",IF(IF(Table1[[#This Row],[Response]]="Male",0,1)+IF(Table1[[#This Row],[Response]]="Female",0,1)=2,E122,Table1[[#This Row],[Response]]),"")</f>
        <v>Male</v>
      </c>
      <c r="F123" s="1">
        <v>3</v>
      </c>
      <c r="G123" s="1" t="s">
        <v>8</v>
      </c>
      <c r="H123" s="1" t="s">
        <v>8</v>
      </c>
      <c r="I12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2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2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24" spans="1:11">
      <c r="A124" s="1" t="s">
        <v>12</v>
      </c>
      <c r="B124" s="1" t="s">
        <v>10</v>
      </c>
      <c r="C124" s="1">
        <v>13</v>
      </c>
      <c r="D124" s="1" t="s">
        <v>6</v>
      </c>
      <c r="E124" s="5" t="str">
        <f>IF(Table1[[#This Row],[Pre or Post]]="Pre",IF(IF(Table1[[#This Row],[Response]]="Male",0,1)+IF(Table1[[#This Row],[Response]]="Female",0,1)=2,E123,Table1[[#This Row],[Response]]),"")</f>
        <v>Male</v>
      </c>
      <c r="F124" s="1">
        <v>4</v>
      </c>
      <c r="G124" s="1" t="s">
        <v>9</v>
      </c>
      <c r="H124" s="1" t="s">
        <v>8</v>
      </c>
      <c r="I12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2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2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25" spans="1:11">
      <c r="A125" s="1" t="s">
        <v>12</v>
      </c>
      <c r="B125" s="1" t="s">
        <v>10</v>
      </c>
      <c r="C125" s="1">
        <v>13</v>
      </c>
      <c r="D125" s="1" t="s">
        <v>6</v>
      </c>
      <c r="E125" s="5" t="str">
        <f>IF(Table1[[#This Row],[Pre or Post]]="Pre",IF(IF(Table1[[#This Row],[Response]]="Male",0,1)+IF(Table1[[#This Row],[Response]]="Female",0,1)=2,E124,Table1[[#This Row],[Response]]),"")</f>
        <v>Male</v>
      </c>
      <c r="F125" s="1">
        <v>5</v>
      </c>
      <c r="G125" s="1" t="s">
        <v>8</v>
      </c>
      <c r="H125" s="1" t="s">
        <v>8</v>
      </c>
      <c r="I12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2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2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26" spans="1:11">
      <c r="A126" s="1" t="s">
        <v>12</v>
      </c>
      <c r="B126" s="1" t="s">
        <v>10</v>
      </c>
      <c r="C126" s="1">
        <v>13</v>
      </c>
      <c r="D126" s="1" t="s">
        <v>6</v>
      </c>
      <c r="E126" s="5" t="str">
        <f>IF(Table1[[#This Row],[Pre or Post]]="Pre",IF(IF(Table1[[#This Row],[Response]]="Male",0,1)+IF(Table1[[#This Row],[Response]]="Female",0,1)=2,E125,Table1[[#This Row],[Response]]),"")</f>
        <v>Male</v>
      </c>
      <c r="F126" s="1">
        <v>6</v>
      </c>
      <c r="G126" s="1" t="s">
        <v>8</v>
      </c>
      <c r="H126" s="1" t="s">
        <v>8</v>
      </c>
      <c r="I12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2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2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27" spans="1:11">
      <c r="A127" s="1" t="s">
        <v>12</v>
      </c>
      <c r="B127" s="1" t="s">
        <v>10</v>
      </c>
      <c r="C127" s="1">
        <v>13</v>
      </c>
      <c r="D127" s="1" t="s">
        <v>6</v>
      </c>
      <c r="E127" s="5" t="str">
        <f>IF(Table1[[#This Row],[Pre or Post]]="Pre",IF(IF(Table1[[#This Row],[Response]]="Male",0,1)+IF(Table1[[#This Row],[Response]]="Female",0,1)=2,E126,Table1[[#This Row],[Response]]),"")</f>
        <v>Male</v>
      </c>
      <c r="F127" s="1">
        <v>7</v>
      </c>
      <c r="G127" s="1" t="s">
        <v>9</v>
      </c>
      <c r="H127" s="1" t="s">
        <v>8</v>
      </c>
      <c r="I12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2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2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28" spans="1:11">
      <c r="A128" s="1" t="s">
        <v>12</v>
      </c>
      <c r="B128" s="1" t="s">
        <v>10</v>
      </c>
      <c r="C128" s="1">
        <v>13</v>
      </c>
      <c r="D128" s="1" t="s">
        <v>6</v>
      </c>
      <c r="E128" s="5" t="str">
        <f>IF(Table1[[#This Row],[Pre or Post]]="Pre",IF(IF(Table1[[#This Row],[Response]]="Male",0,1)+IF(Table1[[#This Row],[Response]]="Female",0,1)=2,E127,Table1[[#This Row],[Response]]),"")</f>
        <v>Male</v>
      </c>
      <c r="F128" s="1">
        <v>8</v>
      </c>
      <c r="G128" s="1"/>
      <c r="H128" s="1" t="s">
        <v>8</v>
      </c>
      <c r="I12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2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2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29" spans="1:11">
      <c r="A129" s="1" t="s">
        <v>12</v>
      </c>
      <c r="B129" s="1" t="s">
        <v>10</v>
      </c>
      <c r="C129" s="1">
        <v>13</v>
      </c>
      <c r="D129" s="1" t="s">
        <v>6</v>
      </c>
      <c r="E129" s="5" t="str">
        <f>IF(Table1[[#This Row],[Pre or Post]]="Pre",IF(IF(Table1[[#This Row],[Response]]="Male",0,1)+IF(Table1[[#This Row],[Response]]="Female",0,1)=2,E128,Table1[[#This Row],[Response]]),"")</f>
        <v>Male</v>
      </c>
      <c r="F129" s="1">
        <v>9</v>
      </c>
      <c r="G129" s="1">
        <v>3</v>
      </c>
      <c r="H129" s="1" t="s">
        <v>8</v>
      </c>
      <c r="I12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2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2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30" spans="1:11">
      <c r="A130" s="1" t="s">
        <v>12</v>
      </c>
      <c r="B130" s="1" t="s">
        <v>10</v>
      </c>
      <c r="C130" s="1">
        <v>13</v>
      </c>
      <c r="D130" s="1" t="s">
        <v>6</v>
      </c>
      <c r="E130" s="5" t="str">
        <f>IF(Table1[[#This Row],[Pre or Post]]="Pre",IF(IF(Table1[[#This Row],[Response]]="Male",0,1)+IF(Table1[[#This Row],[Response]]="Female",0,1)=2,E129,Table1[[#This Row],[Response]]),"")</f>
        <v>Male</v>
      </c>
      <c r="F130" s="1">
        <v>10</v>
      </c>
      <c r="G130" s="1">
        <v>4</v>
      </c>
      <c r="H130" s="1" t="s">
        <v>8</v>
      </c>
      <c r="I13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3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3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31" spans="1:11">
      <c r="A131" s="1" t="s">
        <v>12</v>
      </c>
      <c r="B131" s="1" t="s">
        <v>10</v>
      </c>
      <c r="C131" s="1">
        <v>13</v>
      </c>
      <c r="D131" s="1" t="s">
        <v>6</v>
      </c>
      <c r="E131" s="5" t="str">
        <f>IF(Table1[[#This Row],[Pre or Post]]="Pre",IF(IF(Table1[[#This Row],[Response]]="Male",0,1)+IF(Table1[[#This Row],[Response]]="Female",0,1)=2,E130,Table1[[#This Row],[Response]]),"")</f>
        <v>Male</v>
      </c>
      <c r="F131" s="1">
        <v>11</v>
      </c>
      <c r="G131" s="1">
        <v>1</v>
      </c>
      <c r="H131" s="1" t="s">
        <v>8</v>
      </c>
      <c r="I13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3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3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32" spans="1:11">
      <c r="A132" s="1" t="s">
        <v>12</v>
      </c>
      <c r="B132" s="1" t="s">
        <v>10</v>
      </c>
      <c r="C132" s="1">
        <v>14</v>
      </c>
      <c r="D132" s="1" t="s">
        <v>6</v>
      </c>
      <c r="E132" s="5" t="str">
        <f>IF(Table1[[#This Row],[Pre or Post]]="Pre",IF(IF(Table1[[#This Row],[Response]]="Male",0,1)+IF(Table1[[#This Row],[Response]]="Female",0,1)=2,E131,Table1[[#This Row],[Response]]),"")</f>
        <v>Female</v>
      </c>
      <c r="F132" s="1">
        <v>2</v>
      </c>
      <c r="G132" s="1" t="s">
        <v>13</v>
      </c>
      <c r="H132" s="1" t="s">
        <v>8</v>
      </c>
      <c r="I13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3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3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33" spans="1:11">
      <c r="A133" s="1" t="s">
        <v>12</v>
      </c>
      <c r="B133" s="1" t="s">
        <v>10</v>
      </c>
      <c r="C133" s="1">
        <v>14</v>
      </c>
      <c r="D133" s="1" t="s">
        <v>6</v>
      </c>
      <c r="E133" s="5" t="str">
        <f>IF(Table1[[#This Row],[Pre or Post]]="Pre",IF(IF(Table1[[#This Row],[Response]]="Male",0,1)+IF(Table1[[#This Row],[Response]]="Female",0,1)=2,E132,Table1[[#This Row],[Response]]),"")</f>
        <v>Female</v>
      </c>
      <c r="F133" s="1">
        <v>3</v>
      </c>
      <c r="G133" s="1" t="s">
        <v>8</v>
      </c>
      <c r="H133" s="1" t="s">
        <v>8</v>
      </c>
      <c r="I13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3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3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34" spans="1:11">
      <c r="A134" s="1" t="s">
        <v>12</v>
      </c>
      <c r="B134" s="1" t="s">
        <v>10</v>
      </c>
      <c r="C134" s="1">
        <v>14</v>
      </c>
      <c r="D134" s="1" t="s">
        <v>6</v>
      </c>
      <c r="E134" s="5" t="str">
        <f>IF(Table1[[#This Row],[Pre or Post]]="Pre",IF(IF(Table1[[#This Row],[Response]]="Male",0,1)+IF(Table1[[#This Row],[Response]]="Female",0,1)=2,E133,Table1[[#This Row],[Response]]),"")</f>
        <v>Female</v>
      </c>
      <c r="F134" s="1">
        <v>4</v>
      </c>
      <c r="G134" s="1" t="s">
        <v>8</v>
      </c>
      <c r="H134" s="1" t="s">
        <v>8</v>
      </c>
      <c r="I13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3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3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35" spans="1:11">
      <c r="A135" s="1" t="s">
        <v>12</v>
      </c>
      <c r="B135" s="1" t="s">
        <v>10</v>
      </c>
      <c r="C135" s="1">
        <v>14</v>
      </c>
      <c r="D135" s="1" t="s">
        <v>6</v>
      </c>
      <c r="E135" s="5" t="str">
        <f>IF(Table1[[#This Row],[Pre or Post]]="Pre",IF(IF(Table1[[#This Row],[Response]]="Male",0,1)+IF(Table1[[#This Row],[Response]]="Female",0,1)=2,E134,Table1[[#This Row],[Response]]),"")</f>
        <v>Female</v>
      </c>
      <c r="F135" s="1">
        <v>5</v>
      </c>
      <c r="G135" s="1" t="s">
        <v>8</v>
      </c>
      <c r="H135" s="1" t="s">
        <v>8</v>
      </c>
      <c r="I13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3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3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36" spans="1:11">
      <c r="A136" s="1" t="s">
        <v>12</v>
      </c>
      <c r="B136" s="1" t="s">
        <v>10</v>
      </c>
      <c r="C136" s="1">
        <v>14</v>
      </c>
      <c r="D136" s="1" t="s">
        <v>6</v>
      </c>
      <c r="E136" s="5" t="str">
        <f>IF(Table1[[#This Row],[Pre or Post]]="Pre",IF(IF(Table1[[#This Row],[Response]]="Male",0,1)+IF(Table1[[#This Row],[Response]]="Female",0,1)=2,E135,Table1[[#This Row],[Response]]),"")</f>
        <v>Female</v>
      </c>
      <c r="F136" s="1">
        <v>6</v>
      </c>
      <c r="G136" s="1" t="s">
        <v>8</v>
      </c>
      <c r="H136" s="1" t="s">
        <v>8</v>
      </c>
      <c r="I13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3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3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37" spans="1:11">
      <c r="A137" s="1" t="s">
        <v>12</v>
      </c>
      <c r="B137" s="1" t="s">
        <v>10</v>
      </c>
      <c r="C137" s="1">
        <v>14</v>
      </c>
      <c r="D137" s="1" t="s">
        <v>6</v>
      </c>
      <c r="E137" s="5" t="str">
        <f>IF(Table1[[#This Row],[Pre or Post]]="Pre",IF(IF(Table1[[#This Row],[Response]]="Male",0,1)+IF(Table1[[#This Row],[Response]]="Female",0,1)=2,E136,Table1[[#This Row],[Response]]),"")</f>
        <v>Female</v>
      </c>
      <c r="F137" s="1">
        <v>7</v>
      </c>
      <c r="G137" s="1" t="s">
        <v>8</v>
      </c>
      <c r="H137" s="1" t="s">
        <v>8</v>
      </c>
      <c r="I13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3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3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38" spans="1:11">
      <c r="A138" s="1" t="s">
        <v>12</v>
      </c>
      <c r="B138" s="1" t="s">
        <v>10</v>
      </c>
      <c r="C138" s="1">
        <v>14</v>
      </c>
      <c r="D138" s="1" t="s">
        <v>6</v>
      </c>
      <c r="E138" s="5" t="str">
        <f>IF(Table1[[#This Row],[Pre or Post]]="Pre",IF(IF(Table1[[#This Row],[Response]]="Male",0,1)+IF(Table1[[#This Row],[Response]]="Female",0,1)=2,E137,Table1[[#This Row],[Response]]),"")</f>
        <v>Female</v>
      </c>
      <c r="F138" s="1">
        <v>8</v>
      </c>
      <c r="G138" s="1"/>
      <c r="H138" s="1" t="s">
        <v>8</v>
      </c>
      <c r="I13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3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3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39" spans="1:11">
      <c r="A139" s="1" t="s">
        <v>12</v>
      </c>
      <c r="B139" s="1" t="s">
        <v>10</v>
      </c>
      <c r="C139" s="1">
        <v>14</v>
      </c>
      <c r="D139" s="1" t="s">
        <v>6</v>
      </c>
      <c r="E139" s="5" t="str">
        <f>IF(Table1[[#This Row],[Pre or Post]]="Pre",IF(IF(Table1[[#This Row],[Response]]="Male",0,1)+IF(Table1[[#This Row],[Response]]="Female",0,1)=2,E138,Table1[[#This Row],[Response]]),"")</f>
        <v>Female</v>
      </c>
      <c r="F139" s="1">
        <v>9</v>
      </c>
      <c r="G139" s="1">
        <v>4</v>
      </c>
      <c r="H139" s="1" t="s">
        <v>8</v>
      </c>
      <c r="I13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3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3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40" spans="1:11">
      <c r="A140" s="1" t="s">
        <v>12</v>
      </c>
      <c r="B140" s="1" t="s">
        <v>10</v>
      </c>
      <c r="C140" s="1">
        <v>14</v>
      </c>
      <c r="D140" s="1" t="s">
        <v>6</v>
      </c>
      <c r="E140" s="5" t="str">
        <f>IF(Table1[[#This Row],[Pre or Post]]="Pre",IF(IF(Table1[[#This Row],[Response]]="Male",0,1)+IF(Table1[[#This Row],[Response]]="Female",0,1)=2,E139,Table1[[#This Row],[Response]]),"")</f>
        <v>Female</v>
      </c>
      <c r="F140" s="1">
        <v>10</v>
      </c>
      <c r="G140" s="1">
        <v>3</v>
      </c>
      <c r="H140" s="1" t="s">
        <v>8</v>
      </c>
      <c r="I14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4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4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41" spans="1:11">
      <c r="A141" s="1" t="s">
        <v>12</v>
      </c>
      <c r="B141" s="1" t="s">
        <v>10</v>
      </c>
      <c r="C141" s="1">
        <v>14</v>
      </c>
      <c r="D141" s="1" t="s">
        <v>6</v>
      </c>
      <c r="E141" s="5" t="str">
        <f>IF(Table1[[#This Row],[Pre or Post]]="Pre",IF(IF(Table1[[#This Row],[Response]]="Male",0,1)+IF(Table1[[#This Row],[Response]]="Female",0,1)=2,E140,Table1[[#This Row],[Response]]),"")</f>
        <v>Female</v>
      </c>
      <c r="F141" s="1">
        <v>11</v>
      </c>
      <c r="G141" s="1">
        <v>3</v>
      </c>
      <c r="H141" s="1" t="s">
        <v>8</v>
      </c>
      <c r="I14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4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4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42" spans="1:11">
      <c r="A142" s="1" t="s">
        <v>12</v>
      </c>
      <c r="B142" s="1" t="s">
        <v>10</v>
      </c>
      <c r="C142" s="1">
        <v>15</v>
      </c>
      <c r="D142" s="1" t="s">
        <v>6</v>
      </c>
      <c r="E142" s="5" t="str">
        <f>IF(Table1[[#This Row],[Pre or Post]]="Pre",IF(IF(Table1[[#This Row],[Response]]="Male",0,1)+IF(Table1[[#This Row],[Response]]="Female",0,1)=2,E141,Table1[[#This Row],[Response]]),"")</f>
        <v>Male</v>
      </c>
      <c r="F142" s="1">
        <v>2</v>
      </c>
      <c r="G142" s="1" t="s">
        <v>7</v>
      </c>
      <c r="H142" s="1" t="s">
        <v>8</v>
      </c>
      <c r="I14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4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4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43" spans="1:11">
      <c r="A143" s="1" t="s">
        <v>12</v>
      </c>
      <c r="B143" s="1" t="s">
        <v>10</v>
      </c>
      <c r="C143" s="1">
        <v>15</v>
      </c>
      <c r="D143" s="1" t="s">
        <v>6</v>
      </c>
      <c r="E143" s="5" t="str">
        <f>IF(Table1[[#This Row],[Pre or Post]]="Pre",IF(IF(Table1[[#This Row],[Response]]="Male",0,1)+IF(Table1[[#This Row],[Response]]="Female",0,1)=2,E142,Table1[[#This Row],[Response]]),"")</f>
        <v>Male</v>
      </c>
      <c r="F143" s="1">
        <v>3</v>
      </c>
      <c r="G143" s="1" t="s">
        <v>8</v>
      </c>
      <c r="H143" s="1" t="s">
        <v>8</v>
      </c>
      <c r="I14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4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4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44" spans="1:11">
      <c r="A144" s="1" t="s">
        <v>12</v>
      </c>
      <c r="B144" s="1" t="s">
        <v>10</v>
      </c>
      <c r="C144" s="1">
        <v>15</v>
      </c>
      <c r="D144" s="1" t="s">
        <v>6</v>
      </c>
      <c r="E144" s="5" t="str">
        <f>IF(Table1[[#This Row],[Pre or Post]]="Pre",IF(IF(Table1[[#This Row],[Response]]="Male",0,1)+IF(Table1[[#This Row],[Response]]="Female",0,1)=2,E143,Table1[[#This Row],[Response]]),"")</f>
        <v>Male</v>
      </c>
      <c r="F144" s="1">
        <v>4</v>
      </c>
      <c r="G144" s="1" t="s">
        <v>9</v>
      </c>
      <c r="H144" s="1" t="s">
        <v>8</v>
      </c>
      <c r="I14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4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4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45" spans="1:11">
      <c r="A145" s="1" t="s">
        <v>12</v>
      </c>
      <c r="B145" s="1" t="s">
        <v>10</v>
      </c>
      <c r="C145" s="1">
        <v>15</v>
      </c>
      <c r="D145" s="1" t="s">
        <v>6</v>
      </c>
      <c r="E145" s="5" t="str">
        <f>IF(Table1[[#This Row],[Pre or Post]]="Pre",IF(IF(Table1[[#This Row],[Response]]="Male",0,1)+IF(Table1[[#This Row],[Response]]="Female",0,1)=2,E144,Table1[[#This Row],[Response]]),"")</f>
        <v>Male</v>
      </c>
      <c r="F145" s="1">
        <v>5</v>
      </c>
      <c r="G145" s="1" t="s">
        <v>8</v>
      </c>
      <c r="H145" s="1" t="s">
        <v>8</v>
      </c>
      <c r="I14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4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4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46" spans="1:11">
      <c r="A146" s="1" t="s">
        <v>12</v>
      </c>
      <c r="B146" s="1" t="s">
        <v>10</v>
      </c>
      <c r="C146" s="1">
        <v>15</v>
      </c>
      <c r="D146" s="1" t="s">
        <v>6</v>
      </c>
      <c r="E146" s="5" t="str">
        <f>IF(Table1[[#This Row],[Pre or Post]]="Pre",IF(IF(Table1[[#This Row],[Response]]="Male",0,1)+IF(Table1[[#This Row],[Response]]="Female",0,1)=2,E145,Table1[[#This Row],[Response]]),"")</f>
        <v>Male</v>
      </c>
      <c r="F146" s="1">
        <v>6</v>
      </c>
      <c r="G146" s="1" t="s">
        <v>8</v>
      </c>
      <c r="H146" s="1" t="s">
        <v>8</v>
      </c>
      <c r="I14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4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4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47" spans="1:11">
      <c r="A147" s="1" t="s">
        <v>12</v>
      </c>
      <c r="B147" s="1" t="s">
        <v>10</v>
      </c>
      <c r="C147" s="1">
        <v>15</v>
      </c>
      <c r="D147" s="1" t="s">
        <v>6</v>
      </c>
      <c r="E147" s="5" t="str">
        <f>IF(Table1[[#This Row],[Pre or Post]]="Pre",IF(IF(Table1[[#This Row],[Response]]="Male",0,1)+IF(Table1[[#This Row],[Response]]="Female",0,1)=2,E146,Table1[[#This Row],[Response]]),"")</f>
        <v>Male</v>
      </c>
      <c r="F147" s="1">
        <v>7</v>
      </c>
      <c r="G147" s="1" t="s">
        <v>9</v>
      </c>
      <c r="H147" s="1" t="s">
        <v>8</v>
      </c>
      <c r="I14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4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4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48" spans="1:11">
      <c r="A148" s="1" t="s">
        <v>12</v>
      </c>
      <c r="B148" s="1" t="s">
        <v>10</v>
      </c>
      <c r="C148" s="1">
        <v>15</v>
      </c>
      <c r="D148" s="1" t="s">
        <v>6</v>
      </c>
      <c r="E148" s="5" t="str">
        <f>IF(Table1[[#This Row],[Pre or Post]]="Pre",IF(IF(Table1[[#This Row],[Response]]="Male",0,1)+IF(Table1[[#This Row],[Response]]="Female",0,1)=2,E147,Table1[[#This Row],[Response]]),"")</f>
        <v>Male</v>
      </c>
      <c r="F148" s="1">
        <v>8</v>
      </c>
      <c r="G148" s="1"/>
      <c r="H148" s="1" t="s">
        <v>8</v>
      </c>
      <c r="I14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4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4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49" spans="1:11">
      <c r="A149" s="1" t="s">
        <v>12</v>
      </c>
      <c r="B149" s="1" t="s">
        <v>10</v>
      </c>
      <c r="C149" s="1">
        <v>15</v>
      </c>
      <c r="D149" s="1" t="s">
        <v>6</v>
      </c>
      <c r="E149" s="5" t="str">
        <f>IF(Table1[[#This Row],[Pre or Post]]="Pre",IF(IF(Table1[[#This Row],[Response]]="Male",0,1)+IF(Table1[[#This Row],[Response]]="Female",0,1)=2,E148,Table1[[#This Row],[Response]]),"")</f>
        <v>Male</v>
      </c>
      <c r="F149" s="1">
        <v>9</v>
      </c>
      <c r="G149" s="1">
        <v>3</v>
      </c>
      <c r="H149" s="1" t="s">
        <v>8</v>
      </c>
      <c r="I14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4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4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50" spans="1:11">
      <c r="A150" s="1" t="s">
        <v>12</v>
      </c>
      <c r="B150" s="1" t="s">
        <v>10</v>
      </c>
      <c r="C150" s="1">
        <v>15</v>
      </c>
      <c r="D150" s="1" t="s">
        <v>6</v>
      </c>
      <c r="E150" s="5" t="str">
        <f>IF(Table1[[#This Row],[Pre or Post]]="Pre",IF(IF(Table1[[#This Row],[Response]]="Male",0,1)+IF(Table1[[#This Row],[Response]]="Female",0,1)=2,E149,Table1[[#This Row],[Response]]),"")</f>
        <v>Male</v>
      </c>
      <c r="F150" s="1">
        <v>10</v>
      </c>
      <c r="G150" s="1">
        <v>4</v>
      </c>
      <c r="H150" s="1" t="s">
        <v>8</v>
      </c>
      <c r="I15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5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5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51" spans="1:11">
      <c r="A151" s="1" t="s">
        <v>12</v>
      </c>
      <c r="B151" s="1" t="s">
        <v>10</v>
      </c>
      <c r="C151" s="1">
        <v>15</v>
      </c>
      <c r="D151" s="1" t="s">
        <v>6</v>
      </c>
      <c r="E151" s="5" t="str">
        <f>IF(Table1[[#This Row],[Pre or Post]]="Pre",IF(IF(Table1[[#This Row],[Response]]="Male",0,1)+IF(Table1[[#This Row],[Response]]="Female",0,1)=2,E150,Table1[[#This Row],[Response]]),"")</f>
        <v>Male</v>
      </c>
      <c r="F151" s="1">
        <v>11</v>
      </c>
      <c r="G151" s="1">
        <v>1</v>
      </c>
      <c r="H151" s="1" t="s">
        <v>8</v>
      </c>
      <c r="I15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5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5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52" spans="1:11">
      <c r="A152" s="1" t="s">
        <v>12</v>
      </c>
      <c r="B152" s="1" t="s">
        <v>10</v>
      </c>
      <c r="C152" s="1">
        <v>16</v>
      </c>
      <c r="D152" s="1" t="s">
        <v>6</v>
      </c>
      <c r="E152" s="5" t="str">
        <f>IF(Table1[[#This Row],[Pre or Post]]="Pre",IF(IF(Table1[[#This Row],[Response]]="Male",0,1)+IF(Table1[[#This Row],[Response]]="Female",0,1)=2,E151,Table1[[#This Row],[Response]]),"")</f>
        <v>Female</v>
      </c>
      <c r="F152" s="1">
        <v>2</v>
      </c>
      <c r="G152" s="1" t="s">
        <v>13</v>
      </c>
      <c r="H152" s="1" t="s">
        <v>8</v>
      </c>
      <c r="I15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5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5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53" spans="1:11">
      <c r="A153" s="1" t="s">
        <v>12</v>
      </c>
      <c r="B153" s="1" t="s">
        <v>10</v>
      </c>
      <c r="C153" s="1">
        <v>16</v>
      </c>
      <c r="D153" s="1" t="s">
        <v>6</v>
      </c>
      <c r="E153" s="5" t="str">
        <f>IF(Table1[[#This Row],[Pre or Post]]="Pre",IF(IF(Table1[[#This Row],[Response]]="Male",0,1)+IF(Table1[[#This Row],[Response]]="Female",0,1)=2,E152,Table1[[#This Row],[Response]]),"")</f>
        <v>Female</v>
      </c>
      <c r="F153" s="1">
        <v>3</v>
      </c>
      <c r="G153" s="1" t="s">
        <v>8</v>
      </c>
      <c r="H153" s="1" t="s">
        <v>8</v>
      </c>
      <c r="I15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5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5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54" spans="1:11">
      <c r="A154" s="1" t="s">
        <v>12</v>
      </c>
      <c r="B154" s="1" t="s">
        <v>10</v>
      </c>
      <c r="C154" s="1">
        <v>16</v>
      </c>
      <c r="D154" s="1" t="s">
        <v>6</v>
      </c>
      <c r="E154" s="5" t="str">
        <f>IF(Table1[[#This Row],[Pre or Post]]="Pre",IF(IF(Table1[[#This Row],[Response]]="Male",0,1)+IF(Table1[[#This Row],[Response]]="Female",0,1)=2,E153,Table1[[#This Row],[Response]]),"")</f>
        <v>Female</v>
      </c>
      <c r="F154" s="1">
        <v>4</v>
      </c>
      <c r="G154" s="1" t="s">
        <v>8</v>
      </c>
      <c r="H154" s="1" t="s">
        <v>8</v>
      </c>
      <c r="I15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5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5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55" spans="1:11">
      <c r="A155" s="1" t="s">
        <v>12</v>
      </c>
      <c r="B155" s="1" t="s">
        <v>10</v>
      </c>
      <c r="C155" s="1">
        <v>16</v>
      </c>
      <c r="D155" s="1" t="s">
        <v>6</v>
      </c>
      <c r="E155" s="5" t="str">
        <f>IF(Table1[[#This Row],[Pre or Post]]="Pre",IF(IF(Table1[[#This Row],[Response]]="Male",0,1)+IF(Table1[[#This Row],[Response]]="Female",0,1)=2,E154,Table1[[#This Row],[Response]]),"")</f>
        <v>Female</v>
      </c>
      <c r="F155" s="1">
        <v>5</v>
      </c>
      <c r="G155" s="1" t="s">
        <v>8</v>
      </c>
      <c r="H155" s="1" t="s">
        <v>8</v>
      </c>
      <c r="I15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5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5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56" spans="1:11">
      <c r="A156" s="1" t="s">
        <v>12</v>
      </c>
      <c r="B156" s="1" t="s">
        <v>10</v>
      </c>
      <c r="C156" s="1">
        <v>16</v>
      </c>
      <c r="D156" s="1" t="s">
        <v>6</v>
      </c>
      <c r="E156" s="5" t="str">
        <f>IF(Table1[[#This Row],[Pre or Post]]="Pre",IF(IF(Table1[[#This Row],[Response]]="Male",0,1)+IF(Table1[[#This Row],[Response]]="Female",0,1)=2,E155,Table1[[#This Row],[Response]]),"")</f>
        <v>Female</v>
      </c>
      <c r="F156" s="1">
        <v>6</v>
      </c>
      <c r="G156" s="1" t="s">
        <v>8</v>
      </c>
      <c r="H156" s="1" t="s">
        <v>8</v>
      </c>
      <c r="I15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5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5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57" spans="1:11">
      <c r="A157" s="1" t="s">
        <v>12</v>
      </c>
      <c r="B157" s="1" t="s">
        <v>10</v>
      </c>
      <c r="C157" s="1">
        <v>16</v>
      </c>
      <c r="D157" s="1" t="s">
        <v>6</v>
      </c>
      <c r="E157" s="5" t="str">
        <f>IF(Table1[[#This Row],[Pre or Post]]="Pre",IF(IF(Table1[[#This Row],[Response]]="Male",0,1)+IF(Table1[[#This Row],[Response]]="Female",0,1)=2,E156,Table1[[#This Row],[Response]]),"")</f>
        <v>Female</v>
      </c>
      <c r="F157" s="1">
        <v>7</v>
      </c>
      <c r="G157" s="1" t="s">
        <v>9</v>
      </c>
      <c r="H157" s="1" t="s">
        <v>8</v>
      </c>
      <c r="I15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5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5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58" spans="1:11">
      <c r="A158" s="1" t="s">
        <v>12</v>
      </c>
      <c r="B158" s="1" t="s">
        <v>10</v>
      </c>
      <c r="C158" s="1">
        <v>16</v>
      </c>
      <c r="D158" s="1" t="s">
        <v>6</v>
      </c>
      <c r="E158" s="5" t="str">
        <f>IF(Table1[[#This Row],[Pre or Post]]="Pre",IF(IF(Table1[[#This Row],[Response]]="Male",0,1)+IF(Table1[[#This Row],[Response]]="Female",0,1)=2,E157,Table1[[#This Row],[Response]]),"")</f>
        <v>Female</v>
      </c>
      <c r="F158" s="1">
        <v>8</v>
      </c>
      <c r="G158" s="1"/>
      <c r="H158" s="1" t="s">
        <v>8</v>
      </c>
      <c r="I15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5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5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59" spans="1:11">
      <c r="A159" s="1" t="s">
        <v>12</v>
      </c>
      <c r="B159" s="1" t="s">
        <v>10</v>
      </c>
      <c r="C159" s="1">
        <v>16</v>
      </c>
      <c r="D159" s="1" t="s">
        <v>6</v>
      </c>
      <c r="E159" s="5" t="str">
        <f>IF(Table1[[#This Row],[Pre or Post]]="Pre",IF(IF(Table1[[#This Row],[Response]]="Male",0,1)+IF(Table1[[#This Row],[Response]]="Female",0,1)=2,E158,Table1[[#This Row],[Response]]),"")</f>
        <v>Female</v>
      </c>
      <c r="F159" s="1">
        <v>9</v>
      </c>
      <c r="G159" s="1">
        <v>3</v>
      </c>
      <c r="H159" s="1" t="s">
        <v>8</v>
      </c>
      <c r="I15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5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5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60" spans="1:11">
      <c r="A160" s="1" t="s">
        <v>12</v>
      </c>
      <c r="B160" s="1" t="s">
        <v>10</v>
      </c>
      <c r="C160" s="1">
        <v>16</v>
      </c>
      <c r="D160" s="1" t="s">
        <v>6</v>
      </c>
      <c r="E160" s="5" t="str">
        <f>IF(Table1[[#This Row],[Pre or Post]]="Pre",IF(IF(Table1[[#This Row],[Response]]="Male",0,1)+IF(Table1[[#This Row],[Response]]="Female",0,1)=2,E159,Table1[[#This Row],[Response]]),"")</f>
        <v>Female</v>
      </c>
      <c r="F160" s="1">
        <v>10</v>
      </c>
      <c r="G160" s="1">
        <v>4</v>
      </c>
      <c r="H160" s="1" t="s">
        <v>8</v>
      </c>
      <c r="I16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6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6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61" spans="1:11">
      <c r="A161" s="1" t="s">
        <v>12</v>
      </c>
      <c r="B161" s="1" t="s">
        <v>10</v>
      </c>
      <c r="C161" s="1">
        <v>16</v>
      </c>
      <c r="D161" s="1" t="s">
        <v>6</v>
      </c>
      <c r="E161" s="5" t="str">
        <f>IF(Table1[[#This Row],[Pre or Post]]="Pre",IF(IF(Table1[[#This Row],[Response]]="Male",0,1)+IF(Table1[[#This Row],[Response]]="Female",0,1)=2,E160,Table1[[#This Row],[Response]]),"")</f>
        <v>Female</v>
      </c>
      <c r="F161" s="2">
        <v>11</v>
      </c>
      <c r="G161" s="2">
        <v>3</v>
      </c>
      <c r="H161" s="1" t="s">
        <v>8</v>
      </c>
      <c r="I16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6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6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62" spans="1:11">
      <c r="A162" s="1" t="s">
        <v>12</v>
      </c>
      <c r="B162" s="1" t="s">
        <v>10</v>
      </c>
      <c r="C162" s="1">
        <v>17</v>
      </c>
      <c r="D162" s="1" t="s">
        <v>6</v>
      </c>
      <c r="E162" s="5" t="str">
        <f>IF(Table1[[#This Row],[Pre or Post]]="Pre",IF(IF(Table1[[#This Row],[Response]]="Male",0,1)+IF(Table1[[#This Row],[Response]]="Female",0,1)=2,E161,Table1[[#This Row],[Response]]),"")</f>
        <v>Male</v>
      </c>
      <c r="F162" s="1">
        <v>2</v>
      </c>
      <c r="G162" s="1" t="s">
        <v>7</v>
      </c>
      <c r="H162" s="1" t="s">
        <v>8</v>
      </c>
      <c r="I16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6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6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63" spans="1:11">
      <c r="A163" s="1" t="s">
        <v>12</v>
      </c>
      <c r="B163" s="1" t="s">
        <v>10</v>
      </c>
      <c r="C163" s="1">
        <v>17</v>
      </c>
      <c r="D163" s="1" t="s">
        <v>6</v>
      </c>
      <c r="E163" s="5" t="str">
        <f>IF(Table1[[#This Row],[Pre or Post]]="Pre",IF(IF(Table1[[#This Row],[Response]]="Male",0,1)+IF(Table1[[#This Row],[Response]]="Female",0,1)=2,E162,Table1[[#This Row],[Response]]),"")</f>
        <v>Male</v>
      </c>
      <c r="F163" s="1">
        <v>3</v>
      </c>
      <c r="G163" s="1" t="s">
        <v>8</v>
      </c>
      <c r="H163" s="1" t="s">
        <v>8</v>
      </c>
      <c r="I16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6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6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64" spans="1:11">
      <c r="A164" s="1" t="s">
        <v>12</v>
      </c>
      <c r="B164" s="1" t="s">
        <v>10</v>
      </c>
      <c r="C164" s="1">
        <v>17</v>
      </c>
      <c r="D164" s="1" t="s">
        <v>6</v>
      </c>
      <c r="E164" s="5" t="str">
        <f>IF(Table1[[#This Row],[Pre or Post]]="Pre",IF(IF(Table1[[#This Row],[Response]]="Male",0,1)+IF(Table1[[#This Row],[Response]]="Female",0,1)=2,E163,Table1[[#This Row],[Response]]),"")</f>
        <v>Male</v>
      </c>
      <c r="F164" s="1">
        <v>4</v>
      </c>
      <c r="G164" s="1" t="s">
        <v>9</v>
      </c>
      <c r="H164" s="1" t="s">
        <v>8</v>
      </c>
      <c r="I16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6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6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65" spans="1:11">
      <c r="A165" s="1" t="s">
        <v>12</v>
      </c>
      <c r="B165" s="1" t="s">
        <v>10</v>
      </c>
      <c r="C165" s="1">
        <v>17</v>
      </c>
      <c r="D165" s="1" t="s">
        <v>6</v>
      </c>
      <c r="E165" s="5" t="str">
        <f>IF(Table1[[#This Row],[Pre or Post]]="Pre",IF(IF(Table1[[#This Row],[Response]]="Male",0,1)+IF(Table1[[#This Row],[Response]]="Female",0,1)=2,E164,Table1[[#This Row],[Response]]),"")</f>
        <v>Male</v>
      </c>
      <c r="F165" s="1">
        <v>5</v>
      </c>
      <c r="G165" s="1" t="s">
        <v>8</v>
      </c>
      <c r="H165" s="1" t="s">
        <v>8</v>
      </c>
      <c r="I16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6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6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66" spans="1:11">
      <c r="A166" s="1" t="s">
        <v>12</v>
      </c>
      <c r="B166" s="1" t="s">
        <v>10</v>
      </c>
      <c r="C166" s="1">
        <v>17</v>
      </c>
      <c r="D166" s="1" t="s">
        <v>6</v>
      </c>
      <c r="E166" s="5" t="str">
        <f>IF(Table1[[#This Row],[Pre or Post]]="Pre",IF(IF(Table1[[#This Row],[Response]]="Male",0,1)+IF(Table1[[#This Row],[Response]]="Female",0,1)=2,E165,Table1[[#This Row],[Response]]),"")</f>
        <v>Male</v>
      </c>
      <c r="F166" s="1">
        <v>6</v>
      </c>
      <c r="G166" s="1" t="s">
        <v>8</v>
      </c>
      <c r="H166" s="1" t="s">
        <v>8</v>
      </c>
      <c r="I16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6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6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67" spans="1:11">
      <c r="A167" s="1" t="s">
        <v>12</v>
      </c>
      <c r="B167" s="1" t="s">
        <v>10</v>
      </c>
      <c r="C167" s="1">
        <v>17</v>
      </c>
      <c r="D167" s="1" t="s">
        <v>6</v>
      </c>
      <c r="E167" s="5" t="str">
        <f>IF(Table1[[#This Row],[Pre or Post]]="Pre",IF(IF(Table1[[#This Row],[Response]]="Male",0,1)+IF(Table1[[#This Row],[Response]]="Female",0,1)=2,E166,Table1[[#This Row],[Response]]),"")</f>
        <v>Male</v>
      </c>
      <c r="F167" s="1">
        <v>7</v>
      </c>
      <c r="G167" s="1" t="s">
        <v>9</v>
      </c>
      <c r="H167" s="1" t="s">
        <v>8</v>
      </c>
      <c r="I16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6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6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68" spans="1:11">
      <c r="A168" s="1" t="s">
        <v>12</v>
      </c>
      <c r="B168" s="1" t="s">
        <v>10</v>
      </c>
      <c r="C168" s="1">
        <v>17</v>
      </c>
      <c r="D168" s="1" t="s">
        <v>6</v>
      </c>
      <c r="E168" s="5" t="str">
        <f>IF(Table1[[#This Row],[Pre or Post]]="Pre",IF(IF(Table1[[#This Row],[Response]]="Male",0,1)+IF(Table1[[#This Row],[Response]]="Female",0,1)=2,E167,Table1[[#This Row],[Response]]),"")</f>
        <v>Male</v>
      </c>
      <c r="F168" s="1">
        <v>8</v>
      </c>
      <c r="G168" s="1" t="s">
        <v>15</v>
      </c>
      <c r="H168" s="1" t="s">
        <v>8</v>
      </c>
      <c r="I16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6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6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69" spans="1:11">
      <c r="A169" s="1" t="s">
        <v>12</v>
      </c>
      <c r="B169" s="1" t="s">
        <v>10</v>
      </c>
      <c r="C169" s="1">
        <v>17</v>
      </c>
      <c r="D169" s="1" t="s">
        <v>6</v>
      </c>
      <c r="E169" s="5" t="str">
        <f>IF(Table1[[#This Row],[Pre or Post]]="Pre",IF(IF(Table1[[#This Row],[Response]]="Male",0,1)+IF(Table1[[#This Row],[Response]]="Female",0,1)=2,E168,Table1[[#This Row],[Response]]),"")</f>
        <v>Male</v>
      </c>
      <c r="F169" s="1">
        <v>9</v>
      </c>
      <c r="G169" s="1">
        <v>3</v>
      </c>
      <c r="H169" s="1" t="s">
        <v>8</v>
      </c>
      <c r="I16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6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6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70" spans="1:11">
      <c r="A170" s="1" t="s">
        <v>12</v>
      </c>
      <c r="B170" s="1" t="s">
        <v>10</v>
      </c>
      <c r="C170" s="1">
        <v>17</v>
      </c>
      <c r="D170" s="1" t="s">
        <v>6</v>
      </c>
      <c r="E170" s="5" t="str">
        <f>IF(Table1[[#This Row],[Pre or Post]]="Pre",IF(IF(Table1[[#This Row],[Response]]="Male",0,1)+IF(Table1[[#This Row],[Response]]="Female",0,1)=2,E169,Table1[[#This Row],[Response]]),"")</f>
        <v>Male</v>
      </c>
      <c r="F170" s="1">
        <v>10</v>
      </c>
      <c r="G170" s="1">
        <v>4</v>
      </c>
      <c r="H170" s="1" t="s">
        <v>8</v>
      </c>
      <c r="I17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7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7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71" spans="1:11">
      <c r="A171" s="1" t="s">
        <v>12</v>
      </c>
      <c r="B171" s="1" t="s">
        <v>10</v>
      </c>
      <c r="C171" s="1">
        <v>17</v>
      </c>
      <c r="D171" s="1" t="s">
        <v>6</v>
      </c>
      <c r="E171" s="5" t="str">
        <f>IF(Table1[[#This Row],[Pre or Post]]="Pre",IF(IF(Table1[[#This Row],[Response]]="Male",0,1)+IF(Table1[[#This Row],[Response]]="Female",0,1)=2,E170,Table1[[#This Row],[Response]]),"")</f>
        <v>Male</v>
      </c>
      <c r="F171" s="1">
        <v>11</v>
      </c>
      <c r="G171" s="1">
        <v>4</v>
      </c>
      <c r="H171" s="1" t="s">
        <v>8</v>
      </c>
      <c r="I17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7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7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72" spans="1:11">
      <c r="A172" s="1" t="s">
        <v>12</v>
      </c>
      <c r="B172" s="1" t="s">
        <v>10</v>
      </c>
      <c r="C172" s="1">
        <v>1</v>
      </c>
      <c r="D172" s="1" t="s">
        <v>16</v>
      </c>
      <c r="E172" s="5" t="str">
        <f>IF(Table1[[#This Row],[Pre or Post]]="Pre",IF(IF(Table1[[#This Row],[Response]]="Male",0,1)+IF(Table1[[#This Row],[Response]]="Female",0,1)=2,E171,Table1[[#This Row],[Response]]),"")</f>
        <v/>
      </c>
      <c r="F172" s="1">
        <v>2</v>
      </c>
      <c r="G172" s="1">
        <v>3</v>
      </c>
      <c r="H172" s="1" t="s">
        <v>8</v>
      </c>
      <c r="I17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7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7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73" spans="1:11">
      <c r="A173" s="1" t="s">
        <v>12</v>
      </c>
      <c r="B173" s="1" t="s">
        <v>10</v>
      </c>
      <c r="C173" s="1">
        <v>1</v>
      </c>
      <c r="D173" s="1" t="s">
        <v>16</v>
      </c>
      <c r="E173" s="5" t="str">
        <f>IF(Table1[[#This Row],[Pre or Post]]="Pre",IF(IF(Table1[[#This Row],[Response]]="Male",0,1)+IF(Table1[[#This Row],[Response]]="Female",0,1)=2,E172,Table1[[#This Row],[Response]]),"")</f>
        <v/>
      </c>
      <c r="F173" s="1">
        <v>3</v>
      </c>
      <c r="G173" s="1">
        <v>3</v>
      </c>
      <c r="H173" s="1" t="s">
        <v>8</v>
      </c>
      <c r="I17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7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7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74" spans="1:11">
      <c r="A174" s="1" t="s">
        <v>12</v>
      </c>
      <c r="B174" s="1" t="s">
        <v>10</v>
      </c>
      <c r="C174" s="1">
        <v>1</v>
      </c>
      <c r="D174" s="1" t="s">
        <v>16</v>
      </c>
      <c r="E174" s="5" t="str">
        <f>IF(Table1[[#This Row],[Pre or Post]]="Pre",IF(IF(Table1[[#This Row],[Response]]="Male",0,1)+IF(Table1[[#This Row],[Response]]="Female",0,1)=2,E173,Table1[[#This Row],[Response]]),"")</f>
        <v/>
      </c>
      <c r="F174" s="1">
        <v>4</v>
      </c>
      <c r="G174" s="1">
        <v>3</v>
      </c>
      <c r="H174" s="1" t="s">
        <v>8</v>
      </c>
      <c r="I17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7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7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75" spans="1:11">
      <c r="A175" s="1" t="s">
        <v>12</v>
      </c>
      <c r="B175" s="1" t="s">
        <v>10</v>
      </c>
      <c r="C175" s="1">
        <v>1</v>
      </c>
      <c r="D175" s="1" t="s">
        <v>16</v>
      </c>
      <c r="E175" s="5" t="str">
        <f>IF(Table1[[#This Row],[Pre or Post]]="Pre",IF(IF(Table1[[#This Row],[Response]]="Male",0,1)+IF(Table1[[#This Row],[Response]]="Female",0,1)=2,E174,Table1[[#This Row],[Response]]),"")</f>
        <v/>
      </c>
      <c r="F175" s="1">
        <v>5</v>
      </c>
      <c r="G175" s="1">
        <v>4</v>
      </c>
      <c r="H175" s="1" t="s">
        <v>8</v>
      </c>
      <c r="I17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7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7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76" spans="1:11">
      <c r="A176" s="1" t="s">
        <v>12</v>
      </c>
      <c r="B176" s="1" t="s">
        <v>10</v>
      </c>
      <c r="C176" s="1">
        <v>1</v>
      </c>
      <c r="D176" s="1" t="s">
        <v>16</v>
      </c>
      <c r="E176" s="5" t="str">
        <f>IF(Table1[[#This Row],[Pre or Post]]="Pre",IF(IF(Table1[[#This Row],[Response]]="Male",0,1)+IF(Table1[[#This Row],[Response]]="Female",0,1)=2,E175,Table1[[#This Row],[Response]]),"")</f>
        <v/>
      </c>
      <c r="F176" s="1">
        <v>6</v>
      </c>
      <c r="G176" s="1">
        <v>4</v>
      </c>
      <c r="H176" s="1" t="s">
        <v>8</v>
      </c>
      <c r="I17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7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7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77" spans="1:11">
      <c r="A177" s="1" t="s">
        <v>12</v>
      </c>
      <c r="B177" s="1" t="s">
        <v>10</v>
      </c>
      <c r="C177" s="1">
        <v>1</v>
      </c>
      <c r="D177" s="1" t="s">
        <v>16</v>
      </c>
      <c r="E177" s="5" t="str">
        <f>IF(Table1[[#This Row],[Pre or Post]]="Pre",IF(IF(Table1[[#This Row],[Response]]="Male",0,1)+IF(Table1[[#This Row],[Response]]="Female",0,1)=2,E176,Table1[[#This Row],[Response]]),"")</f>
        <v/>
      </c>
      <c r="F177" s="1">
        <v>7</v>
      </c>
      <c r="G177" s="1">
        <v>2</v>
      </c>
      <c r="H177" s="1" t="s">
        <v>8</v>
      </c>
      <c r="I17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7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7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78" spans="1:11">
      <c r="A178" s="1" t="s">
        <v>12</v>
      </c>
      <c r="B178" s="1" t="s">
        <v>10</v>
      </c>
      <c r="C178" s="1">
        <v>1</v>
      </c>
      <c r="D178" s="1" t="s">
        <v>16</v>
      </c>
      <c r="E178" s="5" t="str">
        <f>IF(Table1[[#This Row],[Pre or Post]]="Pre",IF(IF(Table1[[#This Row],[Response]]="Male",0,1)+IF(Table1[[#This Row],[Response]]="Female",0,1)=2,E177,Table1[[#This Row],[Response]]),"")</f>
        <v/>
      </c>
      <c r="F178" s="1">
        <v>8</v>
      </c>
      <c r="G178" s="1" t="s">
        <v>8</v>
      </c>
      <c r="H178" s="1" t="s">
        <v>8</v>
      </c>
      <c r="I17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7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7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79" spans="1:11">
      <c r="A179" s="1" t="s">
        <v>12</v>
      </c>
      <c r="B179" s="1" t="s">
        <v>10</v>
      </c>
      <c r="C179" s="1">
        <v>1</v>
      </c>
      <c r="D179" s="1" t="s">
        <v>16</v>
      </c>
      <c r="E179" s="5" t="str">
        <f>IF(Table1[[#This Row],[Pre or Post]]="Pre",IF(IF(Table1[[#This Row],[Response]]="Male",0,1)+IF(Table1[[#This Row],[Response]]="Female",0,1)=2,E178,Table1[[#This Row],[Response]]),"")</f>
        <v/>
      </c>
      <c r="F179" s="1">
        <v>9</v>
      </c>
      <c r="G179" s="1" t="s">
        <v>17</v>
      </c>
      <c r="H179" s="1" t="s">
        <v>8</v>
      </c>
      <c r="I17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7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7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80" spans="1:11">
      <c r="A180" s="1" t="s">
        <v>12</v>
      </c>
      <c r="B180" s="1" t="s">
        <v>10</v>
      </c>
      <c r="C180" s="1">
        <v>1</v>
      </c>
      <c r="D180" s="1" t="s">
        <v>16</v>
      </c>
      <c r="E180" s="5" t="str">
        <f>IF(Table1[[#This Row],[Pre or Post]]="Pre",IF(IF(Table1[[#This Row],[Response]]="Male",0,1)+IF(Table1[[#This Row],[Response]]="Female",0,1)=2,E179,Table1[[#This Row],[Response]]),"")</f>
        <v/>
      </c>
      <c r="F180" s="1">
        <v>10</v>
      </c>
      <c r="G180" s="1" t="s">
        <v>18</v>
      </c>
      <c r="H180" s="1" t="s">
        <v>8</v>
      </c>
      <c r="I18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8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8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81" spans="1:11">
      <c r="A181" s="1" t="s">
        <v>12</v>
      </c>
      <c r="B181" s="1" t="s">
        <v>10</v>
      </c>
      <c r="C181" s="1">
        <v>1</v>
      </c>
      <c r="D181" s="1" t="s">
        <v>16</v>
      </c>
      <c r="E181" s="5" t="str">
        <f>IF(Table1[[#This Row],[Pre or Post]]="Pre",IF(IF(Table1[[#This Row],[Response]]="Male",0,1)+IF(Table1[[#This Row],[Response]]="Female",0,1)=2,E180,Table1[[#This Row],[Response]]),"")</f>
        <v/>
      </c>
      <c r="F181" s="1">
        <v>11</v>
      </c>
      <c r="G181" s="1" t="s">
        <v>9</v>
      </c>
      <c r="H181" s="1" t="s">
        <v>8</v>
      </c>
      <c r="I18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8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8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82" spans="1:11">
      <c r="A182" s="1" t="s">
        <v>12</v>
      </c>
      <c r="B182" s="1" t="s">
        <v>10</v>
      </c>
      <c r="C182" s="1">
        <v>2</v>
      </c>
      <c r="D182" s="1" t="s">
        <v>16</v>
      </c>
      <c r="E182" s="5" t="str">
        <f>IF(Table1[[#This Row],[Pre or Post]]="Pre",IF(IF(Table1[[#This Row],[Response]]="Male",0,1)+IF(Table1[[#This Row],[Response]]="Female",0,1)=2,E181,Table1[[#This Row],[Response]]),"")</f>
        <v/>
      </c>
      <c r="F182" s="1">
        <v>2</v>
      </c>
      <c r="G182" s="1">
        <v>2</v>
      </c>
      <c r="H182" s="1" t="s">
        <v>8</v>
      </c>
      <c r="I18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8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8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83" spans="1:11">
      <c r="A183" s="1" t="s">
        <v>12</v>
      </c>
      <c r="B183" s="1" t="s">
        <v>10</v>
      </c>
      <c r="C183" s="1">
        <v>2</v>
      </c>
      <c r="D183" s="1" t="s">
        <v>16</v>
      </c>
      <c r="E183" s="5" t="str">
        <f>IF(Table1[[#This Row],[Pre or Post]]="Pre",IF(IF(Table1[[#This Row],[Response]]="Male",0,1)+IF(Table1[[#This Row],[Response]]="Female",0,1)=2,E182,Table1[[#This Row],[Response]]),"")</f>
        <v/>
      </c>
      <c r="F183" s="1">
        <v>3</v>
      </c>
      <c r="G183" s="1">
        <v>3</v>
      </c>
      <c r="H183" s="1" t="s">
        <v>8</v>
      </c>
      <c r="I18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8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8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84" spans="1:11">
      <c r="A184" s="1" t="s">
        <v>12</v>
      </c>
      <c r="B184" s="1" t="s">
        <v>10</v>
      </c>
      <c r="C184" s="1">
        <v>2</v>
      </c>
      <c r="D184" s="1" t="s">
        <v>16</v>
      </c>
      <c r="E184" s="5" t="str">
        <f>IF(Table1[[#This Row],[Pre or Post]]="Pre",IF(IF(Table1[[#This Row],[Response]]="Male",0,1)+IF(Table1[[#This Row],[Response]]="Female",0,1)=2,E183,Table1[[#This Row],[Response]]),"")</f>
        <v/>
      </c>
      <c r="F184" s="1">
        <v>4</v>
      </c>
      <c r="G184" s="1">
        <v>2</v>
      </c>
      <c r="H184" s="1" t="s">
        <v>8</v>
      </c>
      <c r="I18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8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8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85" spans="1:11">
      <c r="A185" s="1" t="s">
        <v>12</v>
      </c>
      <c r="B185" s="1" t="s">
        <v>10</v>
      </c>
      <c r="C185" s="1">
        <v>2</v>
      </c>
      <c r="D185" s="1" t="s">
        <v>16</v>
      </c>
      <c r="E185" s="5" t="str">
        <f>IF(Table1[[#This Row],[Pre or Post]]="Pre",IF(IF(Table1[[#This Row],[Response]]="Male",0,1)+IF(Table1[[#This Row],[Response]]="Female",0,1)=2,E184,Table1[[#This Row],[Response]]),"")</f>
        <v/>
      </c>
      <c r="F185" s="1">
        <v>5</v>
      </c>
      <c r="G185" s="1">
        <v>3</v>
      </c>
      <c r="H185" s="1" t="s">
        <v>8</v>
      </c>
      <c r="I18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8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8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86" spans="1:11">
      <c r="A186" s="1" t="s">
        <v>12</v>
      </c>
      <c r="B186" s="1" t="s">
        <v>10</v>
      </c>
      <c r="C186" s="1">
        <v>2</v>
      </c>
      <c r="D186" s="1" t="s">
        <v>16</v>
      </c>
      <c r="E186" s="5" t="str">
        <f>IF(Table1[[#This Row],[Pre or Post]]="Pre",IF(IF(Table1[[#This Row],[Response]]="Male",0,1)+IF(Table1[[#This Row],[Response]]="Female",0,1)=2,E185,Table1[[#This Row],[Response]]),"")</f>
        <v/>
      </c>
      <c r="F186" s="1">
        <v>6</v>
      </c>
      <c r="G186" s="1">
        <v>3</v>
      </c>
      <c r="H186" s="1" t="s">
        <v>8</v>
      </c>
      <c r="I18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8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8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87" spans="1:11">
      <c r="A187" s="1" t="s">
        <v>12</v>
      </c>
      <c r="B187" s="1" t="s">
        <v>10</v>
      </c>
      <c r="C187" s="1">
        <v>2</v>
      </c>
      <c r="D187" s="1" t="s">
        <v>16</v>
      </c>
      <c r="E187" s="5" t="str">
        <f>IF(Table1[[#This Row],[Pre or Post]]="Pre",IF(IF(Table1[[#This Row],[Response]]="Male",0,1)+IF(Table1[[#This Row],[Response]]="Female",0,1)=2,E186,Table1[[#This Row],[Response]]),"")</f>
        <v/>
      </c>
      <c r="F187" s="1">
        <v>7</v>
      </c>
      <c r="G187" s="1">
        <v>4</v>
      </c>
      <c r="H187" s="1" t="s">
        <v>8</v>
      </c>
      <c r="I18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8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8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88" spans="1:11">
      <c r="A188" s="1" t="s">
        <v>12</v>
      </c>
      <c r="B188" s="1" t="s">
        <v>10</v>
      </c>
      <c r="C188" s="1">
        <v>2</v>
      </c>
      <c r="D188" s="1" t="s">
        <v>16</v>
      </c>
      <c r="E188" s="5" t="str">
        <f>IF(Table1[[#This Row],[Pre or Post]]="Pre",IF(IF(Table1[[#This Row],[Response]]="Male",0,1)+IF(Table1[[#This Row],[Response]]="Female",0,1)=2,E187,Table1[[#This Row],[Response]]),"")</f>
        <v/>
      </c>
      <c r="F188" s="1">
        <v>8</v>
      </c>
      <c r="G188" s="1" t="s">
        <v>8</v>
      </c>
      <c r="H188" s="1" t="s">
        <v>8</v>
      </c>
      <c r="I18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8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8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89" spans="1:11">
      <c r="A189" s="1" t="s">
        <v>12</v>
      </c>
      <c r="B189" s="1" t="s">
        <v>10</v>
      </c>
      <c r="C189" s="1">
        <v>2</v>
      </c>
      <c r="D189" s="1" t="s">
        <v>16</v>
      </c>
      <c r="E189" s="5" t="str">
        <f>IF(Table1[[#This Row],[Pre or Post]]="Pre",IF(IF(Table1[[#This Row],[Response]]="Male",0,1)+IF(Table1[[#This Row],[Response]]="Female",0,1)=2,E188,Table1[[#This Row],[Response]]),"")</f>
        <v/>
      </c>
      <c r="F189" s="1">
        <v>9</v>
      </c>
      <c r="G189" s="1" t="s">
        <v>17</v>
      </c>
      <c r="H189" s="1" t="s">
        <v>8</v>
      </c>
      <c r="I18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8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8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90" spans="1:11">
      <c r="A190" s="1" t="s">
        <v>12</v>
      </c>
      <c r="B190" s="1" t="s">
        <v>10</v>
      </c>
      <c r="C190" s="1">
        <v>2</v>
      </c>
      <c r="D190" s="1" t="s">
        <v>16</v>
      </c>
      <c r="E190" s="5" t="str">
        <f>IF(Table1[[#This Row],[Pre or Post]]="Pre",IF(IF(Table1[[#This Row],[Response]]="Male",0,1)+IF(Table1[[#This Row],[Response]]="Female",0,1)=2,E189,Table1[[#This Row],[Response]]),"")</f>
        <v/>
      </c>
      <c r="F190" s="1">
        <v>10</v>
      </c>
      <c r="G190" s="1" t="s">
        <v>18</v>
      </c>
      <c r="H190" s="1" t="s">
        <v>8</v>
      </c>
      <c r="I19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9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9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91" spans="1:11">
      <c r="A191" s="1" t="s">
        <v>12</v>
      </c>
      <c r="B191" s="1" t="s">
        <v>10</v>
      </c>
      <c r="C191" s="1">
        <v>2</v>
      </c>
      <c r="D191" s="1" t="s">
        <v>16</v>
      </c>
      <c r="E191" s="5" t="str">
        <f>IF(Table1[[#This Row],[Pre or Post]]="Pre",IF(IF(Table1[[#This Row],[Response]]="Male",0,1)+IF(Table1[[#This Row],[Response]]="Female",0,1)=2,E190,Table1[[#This Row],[Response]]),"")</f>
        <v/>
      </c>
      <c r="F191" s="1">
        <v>11</v>
      </c>
      <c r="G191" s="1" t="s">
        <v>9</v>
      </c>
      <c r="H191" s="1" t="s">
        <v>8</v>
      </c>
      <c r="I19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9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9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92" spans="1:11">
      <c r="A192" s="1" t="s">
        <v>12</v>
      </c>
      <c r="B192" s="1" t="s">
        <v>10</v>
      </c>
      <c r="C192" s="1">
        <v>3</v>
      </c>
      <c r="D192" s="1" t="s">
        <v>16</v>
      </c>
      <c r="E192" s="5" t="str">
        <f>IF(Table1[[#This Row],[Pre or Post]]="Pre",IF(IF(Table1[[#This Row],[Response]]="Male",0,1)+IF(Table1[[#This Row],[Response]]="Female",0,1)=2,E191,Table1[[#This Row],[Response]]),"")</f>
        <v/>
      </c>
      <c r="F192" s="1">
        <v>2</v>
      </c>
      <c r="G192" s="1">
        <v>5</v>
      </c>
      <c r="H192" s="1" t="s">
        <v>8</v>
      </c>
      <c r="I19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9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9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93" spans="1:11">
      <c r="A193" s="1" t="s">
        <v>12</v>
      </c>
      <c r="B193" s="1" t="s">
        <v>10</v>
      </c>
      <c r="C193" s="1">
        <v>3</v>
      </c>
      <c r="D193" s="1" t="s">
        <v>16</v>
      </c>
      <c r="E193" s="5" t="str">
        <f>IF(Table1[[#This Row],[Pre or Post]]="Pre",IF(IF(Table1[[#This Row],[Response]]="Male",0,1)+IF(Table1[[#This Row],[Response]]="Female",0,1)=2,E192,Table1[[#This Row],[Response]]),"")</f>
        <v/>
      </c>
      <c r="F193" s="1">
        <v>3</v>
      </c>
      <c r="G193" s="1">
        <v>5</v>
      </c>
      <c r="H193" s="1" t="s">
        <v>8</v>
      </c>
      <c r="I19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9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9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94" spans="1:11">
      <c r="A194" s="1" t="s">
        <v>12</v>
      </c>
      <c r="B194" s="1" t="s">
        <v>10</v>
      </c>
      <c r="C194" s="1">
        <v>3</v>
      </c>
      <c r="D194" s="1" t="s">
        <v>16</v>
      </c>
      <c r="E194" s="5" t="str">
        <f>IF(Table1[[#This Row],[Pre or Post]]="Pre",IF(IF(Table1[[#This Row],[Response]]="Male",0,1)+IF(Table1[[#This Row],[Response]]="Female",0,1)=2,E193,Table1[[#This Row],[Response]]),"")</f>
        <v/>
      </c>
      <c r="F194" s="1">
        <v>4</v>
      </c>
      <c r="G194" s="1">
        <v>4</v>
      </c>
      <c r="H194" s="1" t="s">
        <v>8</v>
      </c>
      <c r="I19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9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9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95" spans="1:11">
      <c r="A195" s="1" t="s">
        <v>12</v>
      </c>
      <c r="B195" s="1" t="s">
        <v>10</v>
      </c>
      <c r="C195" s="1">
        <v>3</v>
      </c>
      <c r="D195" s="1" t="s">
        <v>16</v>
      </c>
      <c r="E195" s="5" t="str">
        <f>IF(Table1[[#This Row],[Pre or Post]]="Pre",IF(IF(Table1[[#This Row],[Response]]="Male",0,1)+IF(Table1[[#This Row],[Response]]="Female",0,1)=2,E194,Table1[[#This Row],[Response]]),"")</f>
        <v/>
      </c>
      <c r="F195" s="1">
        <v>5</v>
      </c>
      <c r="G195" s="1">
        <v>5</v>
      </c>
      <c r="H195" s="1" t="s">
        <v>8</v>
      </c>
      <c r="I19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9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9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96" spans="1:11">
      <c r="A196" s="1" t="s">
        <v>12</v>
      </c>
      <c r="B196" s="1" t="s">
        <v>10</v>
      </c>
      <c r="C196" s="1">
        <v>3</v>
      </c>
      <c r="D196" s="1" t="s">
        <v>16</v>
      </c>
      <c r="E196" s="5" t="str">
        <f>IF(Table1[[#This Row],[Pre or Post]]="Pre",IF(IF(Table1[[#This Row],[Response]]="Male",0,1)+IF(Table1[[#This Row],[Response]]="Female",0,1)=2,E195,Table1[[#This Row],[Response]]),"")</f>
        <v/>
      </c>
      <c r="F196" s="1">
        <v>6</v>
      </c>
      <c r="G196" s="1">
        <v>4</v>
      </c>
      <c r="H196" s="1" t="s">
        <v>8</v>
      </c>
      <c r="I19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9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9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97" spans="1:11">
      <c r="A197" s="1" t="s">
        <v>12</v>
      </c>
      <c r="B197" s="1" t="s">
        <v>10</v>
      </c>
      <c r="C197" s="1">
        <v>3</v>
      </c>
      <c r="D197" s="1" t="s">
        <v>16</v>
      </c>
      <c r="E197" s="5" t="str">
        <f>IF(Table1[[#This Row],[Pre or Post]]="Pre",IF(IF(Table1[[#This Row],[Response]]="Male",0,1)+IF(Table1[[#This Row],[Response]]="Female",0,1)=2,E196,Table1[[#This Row],[Response]]),"")</f>
        <v/>
      </c>
      <c r="F197" s="1">
        <v>7</v>
      </c>
      <c r="G197" s="1">
        <v>5</v>
      </c>
      <c r="H197" s="1" t="s">
        <v>8</v>
      </c>
      <c r="I19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9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9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98" spans="1:11">
      <c r="A198" s="1" t="s">
        <v>12</v>
      </c>
      <c r="B198" s="1" t="s">
        <v>10</v>
      </c>
      <c r="C198" s="1">
        <v>3</v>
      </c>
      <c r="D198" s="1" t="s">
        <v>16</v>
      </c>
      <c r="E198" s="5" t="str">
        <f>IF(Table1[[#This Row],[Pre or Post]]="Pre",IF(IF(Table1[[#This Row],[Response]]="Male",0,1)+IF(Table1[[#This Row],[Response]]="Female",0,1)=2,E197,Table1[[#This Row],[Response]]),"")</f>
        <v/>
      </c>
      <c r="F198" s="1">
        <v>8</v>
      </c>
      <c r="G198" s="1" t="s">
        <v>8</v>
      </c>
      <c r="H198" s="1" t="s">
        <v>8</v>
      </c>
      <c r="I19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9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9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199" spans="1:11">
      <c r="A199" s="1" t="s">
        <v>12</v>
      </c>
      <c r="B199" s="1" t="s">
        <v>10</v>
      </c>
      <c r="C199" s="1">
        <v>3</v>
      </c>
      <c r="D199" s="1" t="s">
        <v>16</v>
      </c>
      <c r="E199" s="5" t="str">
        <f>IF(Table1[[#This Row],[Pre or Post]]="Pre",IF(IF(Table1[[#This Row],[Response]]="Male",0,1)+IF(Table1[[#This Row],[Response]]="Female",0,1)=2,E198,Table1[[#This Row],[Response]]),"")</f>
        <v/>
      </c>
      <c r="F199" s="1">
        <v>9</v>
      </c>
      <c r="G199" s="1" t="s">
        <v>17</v>
      </c>
      <c r="H199" s="1" t="s">
        <v>8</v>
      </c>
      <c r="I19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19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19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00" spans="1:11">
      <c r="A200" s="1" t="s">
        <v>12</v>
      </c>
      <c r="B200" s="1" t="s">
        <v>10</v>
      </c>
      <c r="C200" s="1">
        <v>3</v>
      </c>
      <c r="D200" s="1" t="s">
        <v>16</v>
      </c>
      <c r="E200" s="5" t="str">
        <f>IF(Table1[[#This Row],[Pre or Post]]="Pre",IF(IF(Table1[[#This Row],[Response]]="Male",0,1)+IF(Table1[[#This Row],[Response]]="Female",0,1)=2,E199,Table1[[#This Row],[Response]]),"")</f>
        <v/>
      </c>
      <c r="F200" s="1">
        <v>10</v>
      </c>
      <c r="G200" s="1" t="s">
        <v>18</v>
      </c>
      <c r="H200" s="1" t="s">
        <v>8</v>
      </c>
      <c r="I20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0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0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01" spans="1:11">
      <c r="A201" s="1" t="s">
        <v>12</v>
      </c>
      <c r="B201" s="1" t="s">
        <v>10</v>
      </c>
      <c r="C201" s="1">
        <v>3</v>
      </c>
      <c r="D201" s="1" t="s">
        <v>16</v>
      </c>
      <c r="E201" s="5" t="str">
        <f>IF(Table1[[#This Row],[Pre or Post]]="Pre",IF(IF(Table1[[#This Row],[Response]]="Male",0,1)+IF(Table1[[#This Row],[Response]]="Female",0,1)=2,E200,Table1[[#This Row],[Response]]),"")</f>
        <v/>
      </c>
      <c r="F201" s="1">
        <v>11</v>
      </c>
      <c r="G201" s="1" t="s">
        <v>9</v>
      </c>
      <c r="H201" s="1" t="s">
        <v>8</v>
      </c>
      <c r="I20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0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0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02" spans="1:11">
      <c r="A202" s="1" t="s">
        <v>12</v>
      </c>
      <c r="B202" s="1" t="s">
        <v>10</v>
      </c>
      <c r="C202" s="1">
        <v>4</v>
      </c>
      <c r="D202" s="1" t="s">
        <v>16</v>
      </c>
      <c r="E202" s="5" t="str">
        <f>IF(Table1[[#This Row],[Pre or Post]]="Pre",IF(IF(Table1[[#This Row],[Response]]="Male",0,1)+IF(Table1[[#This Row],[Response]]="Female",0,1)=2,E201,Table1[[#This Row],[Response]]),"")</f>
        <v/>
      </c>
      <c r="F202" s="1">
        <v>2</v>
      </c>
      <c r="G202" s="1">
        <v>4</v>
      </c>
      <c r="H202" s="1" t="s">
        <v>8</v>
      </c>
      <c r="I20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0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0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03" spans="1:11">
      <c r="A203" s="1" t="s">
        <v>12</v>
      </c>
      <c r="B203" s="1" t="s">
        <v>10</v>
      </c>
      <c r="C203" s="1">
        <v>4</v>
      </c>
      <c r="D203" s="1" t="s">
        <v>16</v>
      </c>
      <c r="E203" s="5" t="str">
        <f>IF(Table1[[#This Row],[Pre or Post]]="Pre",IF(IF(Table1[[#This Row],[Response]]="Male",0,1)+IF(Table1[[#This Row],[Response]]="Female",0,1)=2,E202,Table1[[#This Row],[Response]]),"")</f>
        <v/>
      </c>
      <c r="F203" s="1">
        <v>3</v>
      </c>
      <c r="G203" s="1">
        <v>4</v>
      </c>
      <c r="H203" s="1" t="s">
        <v>8</v>
      </c>
      <c r="I20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0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0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04" spans="1:11">
      <c r="A204" s="1" t="s">
        <v>12</v>
      </c>
      <c r="B204" s="1" t="s">
        <v>10</v>
      </c>
      <c r="C204" s="1">
        <v>4</v>
      </c>
      <c r="D204" s="1" t="s">
        <v>16</v>
      </c>
      <c r="E204" s="5" t="str">
        <f>IF(Table1[[#This Row],[Pre or Post]]="Pre",IF(IF(Table1[[#This Row],[Response]]="Male",0,1)+IF(Table1[[#This Row],[Response]]="Female",0,1)=2,E203,Table1[[#This Row],[Response]]),"")</f>
        <v/>
      </c>
      <c r="F204" s="1">
        <v>4</v>
      </c>
      <c r="G204" s="1">
        <v>3</v>
      </c>
      <c r="H204" s="1" t="s">
        <v>8</v>
      </c>
      <c r="I20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0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0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05" spans="1:11">
      <c r="A205" s="1" t="s">
        <v>12</v>
      </c>
      <c r="B205" s="1" t="s">
        <v>10</v>
      </c>
      <c r="C205" s="1">
        <v>4</v>
      </c>
      <c r="D205" s="1" t="s">
        <v>16</v>
      </c>
      <c r="E205" s="5" t="str">
        <f>IF(Table1[[#This Row],[Pre or Post]]="Pre",IF(IF(Table1[[#This Row],[Response]]="Male",0,1)+IF(Table1[[#This Row],[Response]]="Female",0,1)=2,E204,Table1[[#This Row],[Response]]),"")</f>
        <v/>
      </c>
      <c r="F205" s="1">
        <v>5</v>
      </c>
      <c r="G205" s="1">
        <v>5</v>
      </c>
      <c r="H205" s="1" t="s">
        <v>8</v>
      </c>
      <c r="I20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0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0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06" spans="1:11">
      <c r="A206" s="1" t="s">
        <v>12</v>
      </c>
      <c r="B206" s="1" t="s">
        <v>10</v>
      </c>
      <c r="C206" s="1">
        <v>4</v>
      </c>
      <c r="D206" s="1" t="s">
        <v>16</v>
      </c>
      <c r="E206" s="5" t="str">
        <f>IF(Table1[[#This Row],[Pre or Post]]="Pre",IF(IF(Table1[[#This Row],[Response]]="Male",0,1)+IF(Table1[[#This Row],[Response]]="Female",0,1)=2,E205,Table1[[#This Row],[Response]]),"")</f>
        <v/>
      </c>
      <c r="F206" s="1">
        <v>6</v>
      </c>
      <c r="G206" s="1">
        <v>5</v>
      </c>
      <c r="H206" s="1" t="s">
        <v>8</v>
      </c>
      <c r="I20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0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0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07" spans="1:11">
      <c r="A207" s="1" t="s">
        <v>12</v>
      </c>
      <c r="B207" s="1" t="s">
        <v>10</v>
      </c>
      <c r="C207" s="1">
        <v>4</v>
      </c>
      <c r="D207" s="1" t="s">
        <v>16</v>
      </c>
      <c r="E207" s="5" t="str">
        <f>IF(Table1[[#This Row],[Pre or Post]]="Pre",IF(IF(Table1[[#This Row],[Response]]="Male",0,1)+IF(Table1[[#This Row],[Response]]="Female",0,1)=2,E206,Table1[[#This Row],[Response]]),"")</f>
        <v/>
      </c>
      <c r="F207" s="1">
        <v>7</v>
      </c>
      <c r="G207" s="1">
        <v>5</v>
      </c>
      <c r="H207" s="1" t="s">
        <v>8</v>
      </c>
      <c r="I20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0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0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08" spans="1:11">
      <c r="A208" s="1" t="s">
        <v>12</v>
      </c>
      <c r="B208" s="1" t="s">
        <v>10</v>
      </c>
      <c r="C208" s="1">
        <v>4</v>
      </c>
      <c r="D208" s="1" t="s">
        <v>16</v>
      </c>
      <c r="E208" s="5" t="str">
        <f>IF(Table1[[#This Row],[Pre or Post]]="Pre",IF(IF(Table1[[#This Row],[Response]]="Male",0,1)+IF(Table1[[#This Row],[Response]]="Female",0,1)=2,E207,Table1[[#This Row],[Response]]),"")</f>
        <v/>
      </c>
      <c r="F208" s="1">
        <v>8</v>
      </c>
      <c r="G208" s="1" t="s">
        <v>8</v>
      </c>
      <c r="H208" s="1" t="s">
        <v>8</v>
      </c>
      <c r="I20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0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0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09" spans="1:11">
      <c r="A209" s="1" t="s">
        <v>12</v>
      </c>
      <c r="B209" s="1" t="s">
        <v>10</v>
      </c>
      <c r="C209" s="1">
        <v>4</v>
      </c>
      <c r="D209" s="1" t="s">
        <v>16</v>
      </c>
      <c r="E209" s="5" t="str">
        <f>IF(Table1[[#This Row],[Pre or Post]]="Pre",IF(IF(Table1[[#This Row],[Response]]="Male",0,1)+IF(Table1[[#This Row],[Response]]="Female",0,1)=2,E208,Table1[[#This Row],[Response]]),"")</f>
        <v/>
      </c>
      <c r="F209" s="1">
        <v>9</v>
      </c>
      <c r="G209" s="1" t="s">
        <v>17</v>
      </c>
      <c r="H209" s="1" t="s">
        <v>8</v>
      </c>
      <c r="I20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0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0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10" spans="1:11">
      <c r="A210" s="1" t="s">
        <v>12</v>
      </c>
      <c r="B210" s="1" t="s">
        <v>10</v>
      </c>
      <c r="C210" s="1">
        <v>4</v>
      </c>
      <c r="D210" s="1" t="s">
        <v>16</v>
      </c>
      <c r="E210" s="5" t="str">
        <f>IF(Table1[[#This Row],[Pre or Post]]="Pre",IF(IF(Table1[[#This Row],[Response]]="Male",0,1)+IF(Table1[[#This Row],[Response]]="Female",0,1)=2,E209,Table1[[#This Row],[Response]]),"")</f>
        <v/>
      </c>
      <c r="F210" s="1">
        <v>10</v>
      </c>
      <c r="G210" s="1" t="s">
        <v>18</v>
      </c>
      <c r="H210" s="1" t="s">
        <v>8</v>
      </c>
      <c r="I21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1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1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11" spans="1:11">
      <c r="A211" s="1" t="s">
        <v>12</v>
      </c>
      <c r="B211" s="1" t="s">
        <v>10</v>
      </c>
      <c r="C211" s="1">
        <v>4</v>
      </c>
      <c r="D211" s="1" t="s">
        <v>16</v>
      </c>
      <c r="E211" s="5" t="str">
        <f>IF(Table1[[#This Row],[Pre or Post]]="Pre",IF(IF(Table1[[#This Row],[Response]]="Male",0,1)+IF(Table1[[#This Row],[Response]]="Female",0,1)=2,E210,Table1[[#This Row],[Response]]),"")</f>
        <v/>
      </c>
      <c r="F211" s="1">
        <v>11</v>
      </c>
      <c r="G211" s="1" t="s">
        <v>9</v>
      </c>
      <c r="H211" s="1" t="s">
        <v>8</v>
      </c>
      <c r="I21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1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1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12" spans="1:11">
      <c r="A212" s="1" t="s">
        <v>12</v>
      </c>
      <c r="B212" s="1" t="s">
        <v>10</v>
      </c>
      <c r="C212" s="1">
        <v>5</v>
      </c>
      <c r="D212" s="1" t="s">
        <v>16</v>
      </c>
      <c r="E212" s="5" t="str">
        <f>IF(Table1[[#This Row],[Pre or Post]]="Pre",IF(IF(Table1[[#This Row],[Response]]="Male",0,1)+IF(Table1[[#This Row],[Response]]="Female",0,1)=2,E211,Table1[[#This Row],[Response]]),"")</f>
        <v/>
      </c>
      <c r="F212" s="1">
        <v>2</v>
      </c>
      <c r="G212" s="1">
        <v>3</v>
      </c>
      <c r="H212" s="1" t="s">
        <v>8</v>
      </c>
      <c r="I21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1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1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13" spans="1:11">
      <c r="A213" s="1" t="s">
        <v>12</v>
      </c>
      <c r="B213" s="1" t="s">
        <v>10</v>
      </c>
      <c r="C213" s="1">
        <v>5</v>
      </c>
      <c r="D213" s="1" t="s">
        <v>16</v>
      </c>
      <c r="E213" s="5" t="str">
        <f>IF(Table1[[#This Row],[Pre or Post]]="Pre",IF(IF(Table1[[#This Row],[Response]]="Male",0,1)+IF(Table1[[#This Row],[Response]]="Female",0,1)=2,E212,Table1[[#This Row],[Response]]),"")</f>
        <v/>
      </c>
      <c r="F213" s="1">
        <v>3</v>
      </c>
      <c r="G213" s="1">
        <v>4</v>
      </c>
      <c r="H213" s="1" t="s">
        <v>8</v>
      </c>
      <c r="I21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1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1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14" spans="1:11">
      <c r="A214" s="1" t="s">
        <v>12</v>
      </c>
      <c r="B214" s="1" t="s">
        <v>10</v>
      </c>
      <c r="C214" s="1">
        <v>5</v>
      </c>
      <c r="D214" s="1" t="s">
        <v>16</v>
      </c>
      <c r="E214" s="5" t="str">
        <f>IF(Table1[[#This Row],[Pre or Post]]="Pre",IF(IF(Table1[[#This Row],[Response]]="Male",0,1)+IF(Table1[[#This Row],[Response]]="Female",0,1)=2,E213,Table1[[#This Row],[Response]]),"")</f>
        <v/>
      </c>
      <c r="F214" s="1">
        <v>4</v>
      </c>
      <c r="G214" s="1">
        <v>3</v>
      </c>
      <c r="H214" s="1" t="s">
        <v>8</v>
      </c>
      <c r="I21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1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1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15" spans="1:11">
      <c r="A215" s="1" t="s">
        <v>12</v>
      </c>
      <c r="B215" s="1" t="s">
        <v>10</v>
      </c>
      <c r="C215" s="1">
        <v>5</v>
      </c>
      <c r="D215" s="1" t="s">
        <v>16</v>
      </c>
      <c r="E215" s="5" t="str">
        <f>IF(Table1[[#This Row],[Pre or Post]]="Pre",IF(IF(Table1[[#This Row],[Response]]="Male",0,1)+IF(Table1[[#This Row],[Response]]="Female",0,1)=2,E214,Table1[[#This Row],[Response]]),"")</f>
        <v/>
      </c>
      <c r="F215" s="1">
        <v>5</v>
      </c>
      <c r="G215" s="1">
        <v>4</v>
      </c>
      <c r="H215" s="1" t="s">
        <v>8</v>
      </c>
      <c r="I21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1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1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16" spans="1:11">
      <c r="A216" s="1" t="s">
        <v>12</v>
      </c>
      <c r="B216" s="1" t="s">
        <v>10</v>
      </c>
      <c r="C216" s="1">
        <v>5</v>
      </c>
      <c r="D216" s="1" t="s">
        <v>16</v>
      </c>
      <c r="E216" s="5" t="str">
        <f>IF(Table1[[#This Row],[Pre or Post]]="Pre",IF(IF(Table1[[#This Row],[Response]]="Male",0,1)+IF(Table1[[#This Row],[Response]]="Female",0,1)=2,E215,Table1[[#This Row],[Response]]),"")</f>
        <v/>
      </c>
      <c r="F216" s="1">
        <v>6</v>
      </c>
      <c r="G216" s="1">
        <v>4</v>
      </c>
      <c r="H216" s="1" t="s">
        <v>8</v>
      </c>
      <c r="I21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1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1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17" spans="1:11">
      <c r="A217" s="1" t="s">
        <v>12</v>
      </c>
      <c r="B217" s="1" t="s">
        <v>10</v>
      </c>
      <c r="C217" s="1">
        <v>5</v>
      </c>
      <c r="D217" s="1" t="s">
        <v>16</v>
      </c>
      <c r="E217" s="5" t="str">
        <f>IF(Table1[[#This Row],[Pre or Post]]="Pre",IF(IF(Table1[[#This Row],[Response]]="Male",0,1)+IF(Table1[[#This Row],[Response]]="Female",0,1)=2,E216,Table1[[#This Row],[Response]]),"")</f>
        <v/>
      </c>
      <c r="F217" s="1">
        <v>7</v>
      </c>
      <c r="G217" s="1">
        <v>5</v>
      </c>
      <c r="H217" s="1" t="s">
        <v>8</v>
      </c>
      <c r="I21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1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1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18" spans="1:11">
      <c r="A218" s="1" t="s">
        <v>12</v>
      </c>
      <c r="B218" s="1" t="s">
        <v>10</v>
      </c>
      <c r="C218" s="1">
        <v>5</v>
      </c>
      <c r="D218" s="1" t="s">
        <v>16</v>
      </c>
      <c r="E218" s="5" t="str">
        <f>IF(Table1[[#This Row],[Pre or Post]]="Pre",IF(IF(Table1[[#This Row],[Response]]="Male",0,1)+IF(Table1[[#This Row],[Response]]="Female",0,1)=2,E217,Table1[[#This Row],[Response]]),"")</f>
        <v/>
      </c>
      <c r="F218" s="1">
        <v>8</v>
      </c>
      <c r="G218" s="1" t="s">
        <v>8</v>
      </c>
      <c r="H218" s="1" t="s">
        <v>8</v>
      </c>
      <c r="I21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1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1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19" spans="1:11">
      <c r="A219" s="1" t="s">
        <v>12</v>
      </c>
      <c r="B219" s="1" t="s">
        <v>10</v>
      </c>
      <c r="C219" s="1">
        <v>5</v>
      </c>
      <c r="D219" s="1" t="s">
        <v>16</v>
      </c>
      <c r="E219" s="5" t="str">
        <f>IF(Table1[[#This Row],[Pre or Post]]="Pre",IF(IF(Table1[[#This Row],[Response]]="Male",0,1)+IF(Table1[[#This Row],[Response]]="Female",0,1)=2,E218,Table1[[#This Row],[Response]]),"")</f>
        <v/>
      </c>
      <c r="F219" s="1">
        <v>9</v>
      </c>
      <c r="G219" s="1" t="s">
        <v>17</v>
      </c>
      <c r="H219" s="1" t="s">
        <v>8</v>
      </c>
      <c r="I21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1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1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20" spans="1:11">
      <c r="A220" s="1" t="s">
        <v>12</v>
      </c>
      <c r="B220" s="1" t="s">
        <v>10</v>
      </c>
      <c r="C220" s="1">
        <v>5</v>
      </c>
      <c r="D220" s="1" t="s">
        <v>16</v>
      </c>
      <c r="E220" s="5" t="str">
        <f>IF(Table1[[#This Row],[Pre or Post]]="Pre",IF(IF(Table1[[#This Row],[Response]]="Male",0,1)+IF(Table1[[#This Row],[Response]]="Female",0,1)=2,E219,Table1[[#This Row],[Response]]),"")</f>
        <v/>
      </c>
      <c r="F220" s="1">
        <v>10</v>
      </c>
      <c r="G220" s="1" t="s">
        <v>19</v>
      </c>
      <c r="H220" s="1" t="s">
        <v>8</v>
      </c>
      <c r="I22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2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2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21" spans="1:11">
      <c r="A221" s="1" t="s">
        <v>12</v>
      </c>
      <c r="B221" s="1" t="s">
        <v>10</v>
      </c>
      <c r="C221" s="1">
        <v>5</v>
      </c>
      <c r="D221" s="1" t="s">
        <v>16</v>
      </c>
      <c r="E221" s="5" t="str">
        <f>IF(Table1[[#This Row],[Pre or Post]]="Pre",IF(IF(Table1[[#This Row],[Response]]="Male",0,1)+IF(Table1[[#This Row],[Response]]="Female",0,1)=2,E220,Table1[[#This Row],[Response]]),"")</f>
        <v/>
      </c>
      <c r="F221" s="1">
        <v>11</v>
      </c>
      <c r="G221" s="1" t="s">
        <v>9</v>
      </c>
      <c r="H221" s="1" t="s">
        <v>8</v>
      </c>
      <c r="I22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2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2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22" spans="1:11">
      <c r="A222" s="1" t="s">
        <v>12</v>
      </c>
      <c r="B222" s="1" t="s">
        <v>10</v>
      </c>
      <c r="C222" s="1">
        <v>6</v>
      </c>
      <c r="D222" s="1" t="s">
        <v>16</v>
      </c>
      <c r="E222" s="5" t="str">
        <f>IF(Table1[[#This Row],[Pre or Post]]="Pre",IF(IF(Table1[[#This Row],[Response]]="Male",0,1)+IF(Table1[[#This Row],[Response]]="Female",0,1)=2,E221,Table1[[#This Row],[Response]]),"")</f>
        <v/>
      </c>
      <c r="F222" s="1">
        <v>2</v>
      </c>
      <c r="G222" s="1">
        <v>4</v>
      </c>
      <c r="H222" s="1" t="s">
        <v>8</v>
      </c>
      <c r="I22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2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2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23" spans="1:11">
      <c r="A223" s="1" t="s">
        <v>12</v>
      </c>
      <c r="B223" s="1" t="s">
        <v>10</v>
      </c>
      <c r="C223" s="1">
        <v>6</v>
      </c>
      <c r="D223" s="1" t="s">
        <v>16</v>
      </c>
      <c r="E223" s="5" t="str">
        <f>IF(Table1[[#This Row],[Pre or Post]]="Pre",IF(IF(Table1[[#This Row],[Response]]="Male",0,1)+IF(Table1[[#This Row],[Response]]="Female",0,1)=2,E222,Table1[[#This Row],[Response]]),"")</f>
        <v/>
      </c>
      <c r="F223" s="1">
        <v>3</v>
      </c>
      <c r="G223" s="1">
        <v>4</v>
      </c>
      <c r="H223" s="1" t="s">
        <v>8</v>
      </c>
      <c r="I22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2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2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24" spans="1:11">
      <c r="A224" s="1" t="s">
        <v>12</v>
      </c>
      <c r="B224" s="1" t="s">
        <v>10</v>
      </c>
      <c r="C224" s="1">
        <v>6</v>
      </c>
      <c r="D224" s="1" t="s">
        <v>16</v>
      </c>
      <c r="E224" s="5" t="str">
        <f>IF(Table1[[#This Row],[Pre or Post]]="Pre",IF(IF(Table1[[#This Row],[Response]]="Male",0,1)+IF(Table1[[#This Row],[Response]]="Female",0,1)=2,E223,Table1[[#This Row],[Response]]),"")</f>
        <v/>
      </c>
      <c r="F224" s="1">
        <v>4</v>
      </c>
      <c r="G224" s="1">
        <v>5</v>
      </c>
      <c r="H224" s="1" t="s">
        <v>8</v>
      </c>
      <c r="I22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2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2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25" spans="1:11">
      <c r="A225" s="1" t="s">
        <v>12</v>
      </c>
      <c r="B225" s="1" t="s">
        <v>10</v>
      </c>
      <c r="C225" s="1">
        <v>6</v>
      </c>
      <c r="D225" s="1" t="s">
        <v>16</v>
      </c>
      <c r="E225" s="5" t="str">
        <f>IF(Table1[[#This Row],[Pre or Post]]="Pre",IF(IF(Table1[[#This Row],[Response]]="Male",0,1)+IF(Table1[[#This Row],[Response]]="Female",0,1)=2,E224,Table1[[#This Row],[Response]]),"")</f>
        <v/>
      </c>
      <c r="F225" s="1">
        <v>5</v>
      </c>
      <c r="G225" s="1">
        <v>4</v>
      </c>
      <c r="H225" s="1" t="s">
        <v>8</v>
      </c>
      <c r="I22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2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2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26" spans="1:11">
      <c r="A226" s="1" t="s">
        <v>12</v>
      </c>
      <c r="B226" s="1" t="s">
        <v>10</v>
      </c>
      <c r="C226" s="1">
        <v>6</v>
      </c>
      <c r="D226" s="1" t="s">
        <v>16</v>
      </c>
      <c r="E226" s="5" t="str">
        <f>IF(Table1[[#This Row],[Pre or Post]]="Pre",IF(IF(Table1[[#This Row],[Response]]="Male",0,1)+IF(Table1[[#This Row],[Response]]="Female",0,1)=2,E225,Table1[[#This Row],[Response]]),"")</f>
        <v/>
      </c>
      <c r="F226" s="1">
        <v>6</v>
      </c>
      <c r="G226" s="1">
        <v>5</v>
      </c>
      <c r="H226" s="1" t="s">
        <v>8</v>
      </c>
      <c r="I22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2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2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27" spans="1:11">
      <c r="A227" s="1" t="s">
        <v>12</v>
      </c>
      <c r="B227" s="1" t="s">
        <v>10</v>
      </c>
      <c r="C227" s="1">
        <v>6</v>
      </c>
      <c r="D227" s="1" t="s">
        <v>16</v>
      </c>
      <c r="E227" s="5" t="str">
        <f>IF(Table1[[#This Row],[Pre or Post]]="Pre",IF(IF(Table1[[#This Row],[Response]]="Male",0,1)+IF(Table1[[#This Row],[Response]]="Female",0,1)=2,E226,Table1[[#This Row],[Response]]),"")</f>
        <v/>
      </c>
      <c r="F227" s="1">
        <v>7</v>
      </c>
      <c r="G227" s="1">
        <v>5</v>
      </c>
      <c r="H227" s="1" t="s">
        <v>8</v>
      </c>
      <c r="I22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2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2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28" spans="1:11">
      <c r="A228" s="1" t="s">
        <v>12</v>
      </c>
      <c r="B228" s="1" t="s">
        <v>10</v>
      </c>
      <c r="C228" s="1">
        <v>6</v>
      </c>
      <c r="D228" s="1" t="s">
        <v>16</v>
      </c>
      <c r="E228" s="5" t="str">
        <f>IF(Table1[[#This Row],[Pre or Post]]="Pre",IF(IF(Table1[[#This Row],[Response]]="Male",0,1)+IF(Table1[[#This Row],[Response]]="Female",0,1)=2,E227,Table1[[#This Row],[Response]]),"")</f>
        <v/>
      </c>
      <c r="F228" s="1">
        <v>8</v>
      </c>
      <c r="G228" s="1" t="s">
        <v>8</v>
      </c>
      <c r="H228" s="1" t="s">
        <v>8</v>
      </c>
      <c r="I22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2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2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29" spans="1:11">
      <c r="A229" s="1" t="s">
        <v>12</v>
      </c>
      <c r="B229" s="1" t="s">
        <v>10</v>
      </c>
      <c r="C229" s="1">
        <v>6</v>
      </c>
      <c r="D229" s="1" t="s">
        <v>16</v>
      </c>
      <c r="E229" s="5" t="str">
        <f>IF(Table1[[#This Row],[Pre or Post]]="Pre",IF(IF(Table1[[#This Row],[Response]]="Male",0,1)+IF(Table1[[#This Row],[Response]]="Female",0,1)=2,E228,Table1[[#This Row],[Response]]),"")</f>
        <v/>
      </c>
      <c r="F229" s="1">
        <v>9</v>
      </c>
      <c r="G229" s="1" t="s">
        <v>17</v>
      </c>
      <c r="H229" s="1" t="s">
        <v>8</v>
      </c>
      <c r="I22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2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2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30" spans="1:11">
      <c r="A230" s="1" t="s">
        <v>12</v>
      </c>
      <c r="B230" s="1" t="s">
        <v>10</v>
      </c>
      <c r="C230" s="1">
        <v>6</v>
      </c>
      <c r="D230" s="1" t="s">
        <v>16</v>
      </c>
      <c r="E230" s="5" t="str">
        <f>IF(Table1[[#This Row],[Pre or Post]]="Pre",IF(IF(Table1[[#This Row],[Response]]="Male",0,1)+IF(Table1[[#This Row],[Response]]="Female",0,1)=2,E229,Table1[[#This Row],[Response]]),"")</f>
        <v/>
      </c>
      <c r="F230" s="1">
        <v>10</v>
      </c>
      <c r="G230" s="1" t="s">
        <v>18</v>
      </c>
      <c r="H230" s="1" t="s">
        <v>8</v>
      </c>
      <c r="I23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3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3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31" spans="1:11">
      <c r="A231" s="1" t="s">
        <v>12</v>
      </c>
      <c r="B231" s="1" t="s">
        <v>10</v>
      </c>
      <c r="C231" s="1">
        <v>6</v>
      </c>
      <c r="D231" s="1" t="s">
        <v>16</v>
      </c>
      <c r="E231" s="5" t="str">
        <f>IF(Table1[[#This Row],[Pre or Post]]="Pre",IF(IF(Table1[[#This Row],[Response]]="Male",0,1)+IF(Table1[[#This Row],[Response]]="Female",0,1)=2,E230,Table1[[#This Row],[Response]]),"")</f>
        <v/>
      </c>
      <c r="F231" s="1">
        <v>11</v>
      </c>
      <c r="G231" s="1" t="s">
        <v>9</v>
      </c>
      <c r="H231" s="1" t="s">
        <v>8</v>
      </c>
      <c r="I23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3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3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32" spans="1:11">
      <c r="A232" s="1" t="s">
        <v>12</v>
      </c>
      <c r="B232" s="1" t="s">
        <v>10</v>
      </c>
      <c r="C232" s="1">
        <v>7</v>
      </c>
      <c r="D232" s="1" t="s">
        <v>16</v>
      </c>
      <c r="E232" s="5" t="str">
        <f>IF(Table1[[#This Row],[Pre or Post]]="Pre",IF(IF(Table1[[#This Row],[Response]]="Male",0,1)+IF(Table1[[#This Row],[Response]]="Female",0,1)=2,E231,Table1[[#This Row],[Response]]),"")</f>
        <v/>
      </c>
      <c r="F232" s="1">
        <v>2</v>
      </c>
      <c r="G232" s="1">
        <v>3</v>
      </c>
      <c r="H232" s="1" t="s">
        <v>8</v>
      </c>
      <c r="I23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3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3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33" spans="1:11">
      <c r="A233" s="1" t="s">
        <v>12</v>
      </c>
      <c r="B233" s="1" t="s">
        <v>10</v>
      </c>
      <c r="C233" s="1">
        <v>7</v>
      </c>
      <c r="D233" s="1" t="s">
        <v>16</v>
      </c>
      <c r="E233" s="5" t="str">
        <f>IF(Table1[[#This Row],[Pre or Post]]="Pre",IF(IF(Table1[[#This Row],[Response]]="Male",0,1)+IF(Table1[[#This Row],[Response]]="Female",0,1)=2,E232,Table1[[#This Row],[Response]]),"")</f>
        <v/>
      </c>
      <c r="F233" s="1">
        <v>3</v>
      </c>
      <c r="G233" s="1">
        <v>5</v>
      </c>
      <c r="H233" s="1" t="s">
        <v>8</v>
      </c>
      <c r="I23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3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3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34" spans="1:11">
      <c r="A234" s="1" t="s">
        <v>12</v>
      </c>
      <c r="B234" s="1" t="s">
        <v>10</v>
      </c>
      <c r="C234" s="1">
        <v>7</v>
      </c>
      <c r="D234" s="1" t="s">
        <v>16</v>
      </c>
      <c r="E234" s="5" t="str">
        <f>IF(Table1[[#This Row],[Pre or Post]]="Pre",IF(IF(Table1[[#This Row],[Response]]="Male",0,1)+IF(Table1[[#This Row],[Response]]="Female",0,1)=2,E233,Table1[[#This Row],[Response]]),"")</f>
        <v/>
      </c>
      <c r="F234" s="1">
        <v>4</v>
      </c>
      <c r="G234" s="1">
        <v>5</v>
      </c>
      <c r="H234" s="1" t="s">
        <v>8</v>
      </c>
      <c r="I23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3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3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35" spans="1:11">
      <c r="A235" s="1" t="s">
        <v>12</v>
      </c>
      <c r="B235" s="1" t="s">
        <v>10</v>
      </c>
      <c r="C235" s="1">
        <v>7</v>
      </c>
      <c r="D235" s="1" t="s">
        <v>16</v>
      </c>
      <c r="E235" s="5" t="str">
        <f>IF(Table1[[#This Row],[Pre or Post]]="Pre",IF(IF(Table1[[#This Row],[Response]]="Male",0,1)+IF(Table1[[#This Row],[Response]]="Female",0,1)=2,E234,Table1[[#This Row],[Response]]),"")</f>
        <v/>
      </c>
      <c r="F235" s="1">
        <v>5</v>
      </c>
      <c r="G235" s="1">
        <v>5</v>
      </c>
      <c r="H235" s="1" t="s">
        <v>8</v>
      </c>
      <c r="I23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3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3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36" spans="1:11">
      <c r="A236" s="1" t="s">
        <v>12</v>
      </c>
      <c r="B236" s="1" t="s">
        <v>10</v>
      </c>
      <c r="C236" s="1">
        <v>7</v>
      </c>
      <c r="D236" s="1" t="s">
        <v>16</v>
      </c>
      <c r="E236" s="5" t="str">
        <f>IF(Table1[[#This Row],[Pre or Post]]="Pre",IF(IF(Table1[[#This Row],[Response]]="Male",0,1)+IF(Table1[[#This Row],[Response]]="Female",0,1)=2,E235,Table1[[#This Row],[Response]]),"")</f>
        <v/>
      </c>
      <c r="F236" s="1">
        <v>6</v>
      </c>
      <c r="G236" s="1">
        <v>5</v>
      </c>
      <c r="H236" s="1" t="s">
        <v>8</v>
      </c>
      <c r="I23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3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3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37" spans="1:11">
      <c r="A237" s="1" t="s">
        <v>12</v>
      </c>
      <c r="B237" s="1" t="s">
        <v>10</v>
      </c>
      <c r="C237" s="1">
        <v>7</v>
      </c>
      <c r="D237" s="1" t="s">
        <v>16</v>
      </c>
      <c r="E237" s="5" t="str">
        <f>IF(Table1[[#This Row],[Pre or Post]]="Pre",IF(IF(Table1[[#This Row],[Response]]="Male",0,1)+IF(Table1[[#This Row],[Response]]="Female",0,1)=2,E236,Table1[[#This Row],[Response]]),"")</f>
        <v/>
      </c>
      <c r="F237" s="1">
        <v>7</v>
      </c>
      <c r="G237" s="1">
        <v>5</v>
      </c>
      <c r="H237" s="1" t="s">
        <v>8</v>
      </c>
      <c r="I23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3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3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38" spans="1:11">
      <c r="A238" s="1" t="s">
        <v>12</v>
      </c>
      <c r="B238" s="1" t="s">
        <v>10</v>
      </c>
      <c r="C238" s="1">
        <v>7</v>
      </c>
      <c r="D238" s="1" t="s">
        <v>16</v>
      </c>
      <c r="E238" s="5" t="str">
        <f>IF(Table1[[#This Row],[Pre or Post]]="Pre",IF(IF(Table1[[#This Row],[Response]]="Male",0,1)+IF(Table1[[#This Row],[Response]]="Female",0,1)=2,E237,Table1[[#This Row],[Response]]),"")</f>
        <v/>
      </c>
      <c r="F238" s="1">
        <v>8</v>
      </c>
      <c r="G238" s="1" t="s">
        <v>8</v>
      </c>
      <c r="H238" s="1" t="s">
        <v>8</v>
      </c>
      <c r="I23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3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3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39" spans="1:11">
      <c r="A239" s="1" t="s">
        <v>12</v>
      </c>
      <c r="B239" s="1" t="s">
        <v>10</v>
      </c>
      <c r="C239" s="1">
        <v>7</v>
      </c>
      <c r="D239" s="1" t="s">
        <v>16</v>
      </c>
      <c r="E239" s="5" t="str">
        <f>IF(Table1[[#This Row],[Pre or Post]]="Pre",IF(IF(Table1[[#This Row],[Response]]="Male",0,1)+IF(Table1[[#This Row],[Response]]="Female",0,1)=2,E238,Table1[[#This Row],[Response]]),"")</f>
        <v/>
      </c>
      <c r="F239" s="1">
        <v>9</v>
      </c>
      <c r="G239" s="1" t="s">
        <v>17</v>
      </c>
      <c r="H239" s="1" t="s">
        <v>8</v>
      </c>
      <c r="I23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3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3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40" spans="1:11">
      <c r="A240" s="1" t="s">
        <v>12</v>
      </c>
      <c r="B240" s="1" t="s">
        <v>10</v>
      </c>
      <c r="C240" s="1">
        <v>7</v>
      </c>
      <c r="D240" s="1" t="s">
        <v>16</v>
      </c>
      <c r="E240" s="5" t="str">
        <f>IF(Table1[[#This Row],[Pre or Post]]="Pre",IF(IF(Table1[[#This Row],[Response]]="Male",0,1)+IF(Table1[[#This Row],[Response]]="Female",0,1)=2,E239,Table1[[#This Row],[Response]]),"")</f>
        <v/>
      </c>
      <c r="F240" s="1">
        <v>10</v>
      </c>
      <c r="G240" s="1" t="s">
        <v>18</v>
      </c>
      <c r="H240" s="1" t="s">
        <v>8</v>
      </c>
      <c r="I24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4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4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41" spans="1:11">
      <c r="A241" s="1" t="s">
        <v>12</v>
      </c>
      <c r="B241" s="1" t="s">
        <v>10</v>
      </c>
      <c r="C241" s="1">
        <v>7</v>
      </c>
      <c r="D241" s="1" t="s">
        <v>16</v>
      </c>
      <c r="E241" s="5" t="str">
        <f>IF(Table1[[#This Row],[Pre or Post]]="Pre",IF(IF(Table1[[#This Row],[Response]]="Male",0,1)+IF(Table1[[#This Row],[Response]]="Female",0,1)=2,E240,Table1[[#This Row],[Response]]),"")</f>
        <v/>
      </c>
      <c r="F241" s="2">
        <v>11</v>
      </c>
      <c r="G241" s="2" t="s">
        <v>9</v>
      </c>
      <c r="H241" s="1" t="s">
        <v>8</v>
      </c>
      <c r="I24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4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4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42" spans="1:11">
      <c r="A242" s="1" t="s">
        <v>12</v>
      </c>
      <c r="B242" s="1" t="s">
        <v>10</v>
      </c>
      <c r="C242" s="1">
        <v>8</v>
      </c>
      <c r="D242" s="1" t="s">
        <v>16</v>
      </c>
      <c r="E242" s="5" t="str">
        <f>IF(Table1[[#This Row],[Pre or Post]]="Pre",IF(IF(Table1[[#This Row],[Response]]="Male",0,1)+IF(Table1[[#This Row],[Response]]="Female",0,1)=2,E241,Table1[[#This Row],[Response]]),"")</f>
        <v/>
      </c>
      <c r="F242" s="1">
        <v>2</v>
      </c>
      <c r="G242" s="1">
        <v>4</v>
      </c>
      <c r="H242" s="1" t="s">
        <v>8</v>
      </c>
      <c r="I24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4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4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43" spans="1:11">
      <c r="A243" s="1" t="s">
        <v>12</v>
      </c>
      <c r="B243" s="1" t="s">
        <v>10</v>
      </c>
      <c r="C243" s="1">
        <v>8</v>
      </c>
      <c r="D243" s="1" t="s">
        <v>16</v>
      </c>
      <c r="E243" s="5" t="str">
        <f>IF(Table1[[#This Row],[Pre or Post]]="Pre",IF(IF(Table1[[#This Row],[Response]]="Male",0,1)+IF(Table1[[#This Row],[Response]]="Female",0,1)=2,E242,Table1[[#This Row],[Response]]),"")</f>
        <v/>
      </c>
      <c r="F243" s="1">
        <v>3</v>
      </c>
      <c r="G243" s="1">
        <v>4</v>
      </c>
      <c r="H243" s="1" t="s">
        <v>8</v>
      </c>
      <c r="I24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4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4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44" spans="1:11">
      <c r="A244" s="1" t="s">
        <v>12</v>
      </c>
      <c r="B244" s="1" t="s">
        <v>10</v>
      </c>
      <c r="C244" s="1">
        <v>8</v>
      </c>
      <c r="D244" s="1" t="s">
        <v>16</v>
      </c>
      <c r="E244" s="5" t="str">
        <f>IF(Table1[[#This Row],[Pre or Post]]="Pre",IF(IF(Table1[[#This Row],[Response]]="Male",0,1)+IF(Table1[[#This Row],[Response]]="Female",0,1)=2,E243,Table1[[#This Row],[Response]]),"")</f>
        <v/>
      </c>
      <c r="F244" s="1">
        <v>4</v>
      </c>
      <c r="G244" s="1">
        <v>4</v>
      </c>
      <c r="H244" s="1" t="s">
        <v>8</v>
      </c>
      <c r="I24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4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4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45" spans="1:11">
      <c r="A245" s="1" t="s">
        <v>12</v>
      </c>
      <c r="B245" s="1" t="s">
        <v>10</v>
      </c>
      <c r="C245" s="1">
        <v>8</v>
      </c>
      <c r="D245" s="1" t="s">
        <v>16</v>
      </c>
      <c r="E245" s="5" t="str">
        <f>IF(Table1[[#This Row],[Pre or Post]]="Pre",IF(IF(Table1[[#This Row],[Response]]="Male",0,1)+IF(Table1[[#This Row],[Response]]="Female",0,1)=2,E244,Table1[[#This Row],[Response]]),"")</f>
        <v/>
      </c>
      <c r="F245" s="1">
        <v>5</v>
      </c>
      <c r="G245" s="1">
        <v>5</v>
      </c>
      <c r="H245" s="1" t="s">
        <v>8</v>
      </c>
      <c r="I24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4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4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46" spans="1:11">
      <c r="A246" s="1" t="s">
        <v>12</v>
      </c>
      <c r="B246" s="1" t="s">
        <v>10</v>
      </c>
      <c r="C246" s="1">
        <v>8</v>
      </c>
      <c r="D246" s="1" t="s">
        <v>16</v>
      </c>
      <c r="E246" s="5" t="str">
        <f>IF(Table1[[#This Row],[Pre or Post]]="Pre",IF(IF(Table1[[#This Row],[Response]]="Male",0,1)+IF(Table1[[#This Row],[Response]]="Female",0,1)=2,E245,Table1[[#This Row],[Response]]),"")</f>
        <v/>
      </c>
      <c r="F246" s="1">
        <v>6</v>
      </c>
      <c r="G246" s="1">
        <v>5</v>
      </c>
      <c r="H246" s="1" t="s">
        <v>8</v>
      </c>
      <c r="I24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4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4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47" spans="1:11">
      <c r="A247" s="1" t="s">
        <v>12</v>
      </c>
      <c r="B247" s="1" t="s">
        <v>10</v>
      </c>
      <c r="C247" s="1">
        <v>8</v>
      </c>
      <c r="D247" s="1" t="s">
        <v>16</v>
      </c>
      <c r="E247" s="5" t="str">
        <f>IF(Table1[[#This Row],[Pre or Post]]="Pre",IF(IF(Table1[[#This Row],[Response]]="Male",0,1)+IF(Table1[[#This Row],[Response]]="Female",0,1)=2,E246,Table1[[#This Row],[Response]]),"")</f>
        <v/>
      </c>
      <c r="F247" s="1">
        <v>7</v>
      </c>
      <c r="G247" s="1">
        <v>4</v>
      </c>
      <c r="H247" s="1" t="s">
        <v>8</v>
      </c>
      <c r="I24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4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4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48" spans="1:11">
      <c r="A248" s="1" t="s">
        <v>12</v>
      </c>
      <c r="B248" s="1" t="s">
        <v>10</v>
      </c>
      <c r="C248" s="1">
        <v>8</v>
      </c>
      <c r="D248" s="1" t="s">
        <v>16</v>
      </c>
      <c r="E248" s="5" t="str">
        <f>IF(Table1[[#This Row],[Pre or Post]]="Pre",IF(IF(Table1[[#This Row],[Response]]="Male",0,1)+IF(Table1[[#This Row],[Response]]="Female",0,1)=2,E247,Table1[[#This Row],[Response]]),"")</f>
        <v/>
      </c>
      <c r="F248" s="1">
        <v>8</v>
      </c>
      <c r="G248" s="1" t="s">
        <v>8</v>
      </c>
      <c r="H248" s="1" t="s">
        <v>8</v>
      </c>
      <c r="I24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4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4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49" spans="1:11">
      <c r="A249" s="1" t="s">
        <v>12</v>
      </c>
      <c r="B249" s="1" t="s">
        <v>10</v>
      </c>
      <c r="C249" s="1">
        <v>8</v>
      </c>
      <c r="D249" s="1" t="s">
        <v>16</v>
      </c>
      <c r="E249" s="5" t="str">
        <f>IF(Table1[[#This Row],[Pre or Post]]="Pre",IF(IF(Table1[[#This Row],[Response]]="Male",0,1)+IF(Table1[[#This Row],[Response]]="Female",0,1)=2,E248,Table1[[#This Row],[Response]]),"")</f>
        <v/>
      </c>
      <c r="F249" s="1">
        <v>9</v>
      </c>
      <c r="G249" s="1" t="s">
        <v>17</v>
      </c>
      <c r="H249" s="1" t="s">
        <v>8</v>
      </c>
      <c r="I24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4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4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50" spans="1:11">
      <c r="A250" s="1" t="s">
        <v>12</v>
      </c>
      <c r="B250" s="1" t="s">
        <v>10</v>
      </c>
      <c r="C250" s="1">
        <v>8</v>
      </c>
      <c r="D250" s="1" t="s">
        <v>16</v>
      </c>
      <c r="E250" s="5" t="str">
        <f>IF(Table1[[#This Row],[Pre or Post]]="Pre",IF(IF(Table1[[#This Row],[Response]]="Male",0,1)+IF(Table1[[#This Row],[Response]]="Female",0,1)=2,E249,Table1[[#This Row],[Response]]),"")</f>
        <v/>
      </c>
      <c r="F250" s="1">
        <v>10</v>
      </c>
      <c r="G250" s="1" t="s">
        <v>18</v>
      </c>
      <c r="H250" s="1" t="s">
        <v>8</v>
      </c>
      <c r="I25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5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5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51" spans="1:11">
      <c r="A251" s="1" t="s">
        <v>12</v>
      </c>
      <c r="B251" s="1" t="s">
        <v>10</v>
      </c>
      <c r="C251" s="1">
        <v>8</v>
      </c>
      <c r="D251" s="1" t="s">
        <v>16</v>
      </c>
      <c r="E251" s="5" t="str">
        <f>IF(Table1[[#This Row],[Pre or Post]]="Pre",IF(IF(Table1[[#This Row],[Response]]="Male",0,1)+IF(Table1[[#This Row],[Response]]="Female",0,1)=2,E250,Table1[[#This Row],[Response]]),"")</f>
        <v/>
      </c>
      <c r="F251" s="1">
        <v>11</v>
      </c>
      <c r="G251" s="1" t="s">
        <v>9</v>
      </c>
      <c r="H251" s="1" t="s">
        <v>8</v>
      </c>
      <c r="I25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5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5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52" spans="1:11">
      <c r="A252" s="1" t="s">
        <v>12</v>
      </c>
      <c r="B252" s="1" t="s">
        <v>10</v>
      </c>
      <c r="C252" s="1">
        <v>9</v>
      </c>
      <c r="D252" s="1" t="s">
        <v>16</v>
      </c>
      <c r="E252" s="5" t="str">
        <f>IF(Table1[[#This Row],[Pre or Post]]="Pre",IF(IF(Table1[[#This Row],[Response]]="Male",0,1)+IF(Table1[[#This Row],[Response]]="Female",0,1)=2,E251,Table1[[#This Row],[Response]]),"")</f>
        <v/>
      </c>
      <c r="F252" s="1">
        <v>2</v>
      </c>
      <c r="G252" s="1">
        <v>4</v>
      </c>
      <c r="H252" s="1" t="s">
        <v>8</v>
      </c>
      <c r="I25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5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5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53" spans="1:11">
      <c r="A253" s="1" t="s">
        <v>12</v>
      </c>
      <c r="B253" s="1" t="s">
        <v>10</v>
      </c>
      <c r="C253" s="1">
        <v>9</v>
      </c>
      <c r="D253" s="1" t="s">
        <v>16</v>
      </c>
      <c r="E253" s="5" t="str">
        <f>IF(Table1[[#This Row],[Pre or Post]]="Pre",IF(IF(Table1[[#This Row],[Response]]="Male",0,1)+IF(Table1[[#This Row],[Response]]="Female",0,1)=2,E252,Table1[[#This Row],[Response]]),"")</f>
        <v/>
      </c>
      <c r="F253" s="1">
        <v>3</v>
      </c>
      <c r="G253" s="1">
        <v>4</v>
      </c>
      <c r="H253" s="1" t="s">
        <v>8</v>
      </c>
      <c r="I25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5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5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54" spans="1:11">
      <c r="A254" s="1" t="s">
        <v>12</v>
      </c>
      <c r="B254" s="1" t="s">
        <v>10</v>
      </c>
      <c r="C254" s="1">
        <v>9</v>
      </c>
      <c r="D254" s="1" t="s">
        <v>16</v>
      </c>
      <c r="E254" s="5" t="str">
        <f>IF(Table1[[#This Row],[Pre or Post]]="Pre",IF(IF(Table1[[#This Row],[Response]]="Male",0,1)+IF(Table1[[#This Row],[Response]]="Female",0,1)=2,E253,Table1[[#This Row],[Response]]),"")</f>
        <v/>
      </c>
      <c r="F254" s="1">
        <v>4</v>
      </c>
      <c r="G254" s="1">
        <v>4</v>
      </c>
      <c r="H254" s="1" t="s">
        <v>8</v>
      </c>
      <c r="I25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5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5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55" spans="1:11">
      <c r="A255" s="1" t="s">
        <v>12</v>
      </c>
      <c r="B255" s="1" t="s">
        <v>10</v>
      </c>
      <c r="C255" s="1">
        <v>9</v>
      </c>
      <c r="D255" s="1" t="s">
        <v>16</v>
      </c>
      <c r="E255" s="5" t="str">
        <f>IF(Table1[[#This Row],[Pre or Post]]="Pre",IF(IF(Table1[[#This Row],[Response]]="Male",0,1)+IF(Table1[[#This Row],[Response]]="Female",0,1)=2,E254,Table1[[#This Row],[Response]]),"")</f>
        <v/>
      </c>
      <c r="F255" s="1">
        <v>5</v>
      </c>
      <c r="G255" s="1">
        <v>5</v>
      </c>
      <c r="H255" s="1" t="s">
        <v>8</v>
      </c>
      <c r="I25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5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5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56" spans="1:11">
      <c r="A256" s="1" t="s">
        <v>12</v>
      </c>
      <c r="B256" s="1" t="s">
        <v>10</v>
      </c>
      <c r="C256" s="1">
        <v>9</v>
      </c>
      <c r="D256" s="1" t="s">
        <v>16</v>
      </c>
      <c r="E256" s="5" t="str">
        <f>IF(Table1[[#This Row],[Pre or Post]]="Pre",IF(IF(Table1[[#This Row],[Response]]="Male",0,1)+IF(Table1[[#This Row],[Response]]="Female",0,1)=2,E255,Table1[[#This Row],[Response]]),"")</f>
        <v/>
      </c>
      <c r="F256" s="1">
        <v>6</v>
      </c>
      <c r="G256" s="1">
        <v>5</v>
      </c>
      <c r="H256" s="1" t="s">
        <v>8</v>
      </c>
      <c r="I25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5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5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57" spans="1:11">
      <c r="A257" s="1" t="s">
        <v>12</v>
      </c>
      <c r="B257" s="1" t="s">
        <v>10</v>
      </c>
      <c r="C257" s="1">
        <v>9</v>
      </c>
      <c r="D257" s="1" t="s">
        <v>16</v>
      </c>
      <c r="E257" s="5" t="str">
        <f>IF(Table1[[#This Row],[Pre or Post]]="Pre",IF(IF(Table1[[#This Row],[Response]]="Male",0,1)+IF(Table1[[#This Row],[Response]]="Female",0,1)=2,E256,Table1[[#This Row],[Response]]),"")</f>
        <v/>
      </c>
      <c r="F257" s="1">
        <v>7</v>
      </c>
      <c r="G257" s="1">
        <v>4</v>
      </c>
      <c r="H257" s="1" t="s">
        <v>8</v>
      </c>
      <c r="I25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5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5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58" spans="1:11">
      <c r="A258" s="1" t="s">
        <v>12</v>
      </c>
      <c r="B258" s="1" t="s">
        <v>10</v>
      </c>
      <c r="C258" s="1">
        <v>9</v>
      </c>
      <c r="D258" s="1" t="s">
        <v>16</v>
      </c>
      <c r="E258" s="5" t="str">
        <f>IF(Table1[[#This Row],[Pre or Post]]="Pre",IF(IF(Table1[[#This Row],[Response]]="Male",0,1)+IF(Table1[[#This Row],[Response]]="Female",0,1)=2,E257,Table1[[#This Row],[Response]]),"")</f>
        <v/>
      </c>
      <c r="F258" s="1">
        <v>8</v>
      </c>
      <c r="G258" s="1" t="s">
        <v>8</v>
      </c>
      <c r="H258" s="1" t="s">
        <v>8</v>
      </c>
      <c r="I25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5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5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59" spans="1:11">
      <c r="A259" s="1" t="s">
        <v>12</v>
      </c>
      <c r="B259" s="1" t="s">
        <v>10</v>
      </c>
      <c r="C259" s="1">
        <v>9</v>
      </c>
      <c r="D259" s="1" t="s">
        <v>16</v>
      </c>
      <c r="E259" s="5" t="str">
        <f>IF(Table1[[#This Row],[Pre or Post]]="Pre",IF(IF(Table1[[#This Row],[Response]]="Male",0,1)+IF(Table1[[#This Row],[Response]]="Female",0,1)=2,E258,Table1[[#This Row],[Response]]),"")</f>
        <v/>
      </c>
      <c r="F259" s="1">
        <v>9</v>
      </c>
      <c r="G259" s="1" t="s">
        <v>17</v>
      </c>
      <c r="H259" s="1" t="s">
        <v>8</v>
      </c>
      <c r="I25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5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5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60" spans="1:11">
      <c r="A260" s="1" t="s">
        <v>12</v>
      </c>
      <c r="B260" s="1" t="s">
        <v>10</v>
      </c>
      <c r="C260" s="1">
        <v>9</v>
      </c>
      <c r="D260" s="1" t="s">
        <v>16</v>
      </c>
      <c r="E260" s="5" t="str">
        <f>IF(Table1[[#This Row],[Pre or Post]]="Pre",IF(IF(Table1[[#This Row],[Response]]="Male",0,1)+IF(Table1[[#This Row],[Response]]="Female",0,1)=2,E259,Table1[[#This Row],[Response]]),"")</f>
        <v/>
      </c>
      <c r="F260" s="1">
        <v>10</v>
      </c>
      <c r="G260" s="1" t="s">
        <v>18</v>
      </c>
      <c r="H260" s="1" t="s">
        <v>8</v>
      </c>
      <c r="I26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6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6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61" spans="1:11">
      <c r="A261" s="1" t="s">
        <v>12</v>
      </c>
      <c r="B261" s="1" t="s">
        <v>10</v>
      </c>
      <c r="C261" s="1">
        <v>9</v>
      </c>
      <c r="D261" s="1" t="s">
        <v>16</v>
      </c>
      <c r="E261" s="5" t="str">
        <f>IF(Table1[[#This Row],[Pre or Post]]="Pre",IF(IF(Table1[[#This Row],[Response]]="Male",0,1)+IF(Table1[[#This Row],[Response]]="Female",0,1)=2,E260,Table1[[#This Row],[Response]]),"")</f>
        <v/>
      </c>
      <c r="F261" s="2">
        <v>11</v>
      </c>
      <c r="G261" s="1" t="s">
        <v>9</v>
      </c>
      <c r="H261" s="1" t="s">
        <v>8</v>
      </c>
      <c r="I26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6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6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62" spans="1:11">
      <c r="A262" s="1" t="s">
        <v>12</v>
      </c>
      <c r="B262" s="1" t="s">
        <v>10</v>
      </c>
      <c r="C262" s="1">
        <v>10</v>
      </c>
      <c r="D262" s="1" t="s">
        <v>16</v>
      </c>
      <c r="E262" s="5" t="str">
        <f>IF(Table1[[#This Row],[Pre or Post]]="Pre",IF(IF(Table1[[#This Row],[Response]]="Male",0,1)+IF(Table1[[#This Row],[Response]]="Female",0,1)=2,E261,Table1[[#This Row],[Response]]),"")</f>
        <v/>
      </c>
      <c r="F262" s="1">
        <v>2</v>
      </c>
      <c r="G262" s="1">
        <v>4</v>
      </c>
      <c r="H262" s="1" t="s">
        <v>8</v>
      </c>
      <c r="I26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6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6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63" spans="1:11">
      <c r="A263" s="1" t="s">
        <v>12</v>
      </c>
      <c r="B263" s="1" t="s">
        <v>10</v>
      </c>
      <c r="C263" s="1">
        <v>10</v>
      </c>
      <c r="D263" s="1" t="s">
        <v>16</v>
      </c>
      <c r="E263" s="5" t="str">
        <f>IF(Table1[[#This Row],[Pre or Post]]="Pre",IF(IF(Table1[[#This Row],[Response]]="Male",0,1)+IF(Table1[[#This Row],[Response]]="Female",0,1)=2,E262,Table1[[#This Row],[Response]]),"")</f>
        <v/>
      </c>
      <c r="F263" s="1">
        <v>3</v>
      </c>
      <c r="G263" s="1">
        <v>4</v>
      </c>
      <c r="H263" s="1" t="s">
        <v>8</v>
      </c>
      <c r="I26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6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6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64" spans="1:11">
      <c r="A264" s="1" t="s">
        <v>12</v>
      </c>
      <c r="B264" s="1" t="s">
        <v>10</v>
      </c>
      <c r="C264" s="1">
        <v>10</v>
      </c>
      <c r="D264" s="1" t="s">
        <v>16</v>
      </c>
      <c r="E264" s="5" t="str">
        <f>IF(Table1[[#This Row],[Pre or Post]]="Pre",IF(IF(Table1[[#This Row],[Response]]="Male",0,1)+IF(Table1[[#This Row],[Response]]="Female",0,1)=2,E263,Table1[[#This Row],[Response]]),"")</f>
        <v/>
      </c>
      <c r="F264" s="1">
        <v>4</v>
      </c>
      <c r="G264" s="1">
        <v>4</v>
      </c>
      <c r="H264" s="1" t="s">
        <v>8</v>
      </c>
      <c r="I26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6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6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65" spans="1:11">
      <c r="A265" s="1" t="s">
        <v>12</v>
      </c>
      <c r="B265" s="1" t="s">
        <v>10</v>
      </c>
      <c r="C265" s="1">
        <v>10</v>
      </c>
      <c r="D265" s="1" t="s">
        <v>16</v>
      </c>
      <c r="E265" s="5" t="str">
        <f>IF(Table1[[#This Row],[Pre or Post]]="Pre",IF(IF(Table1[[#This Row],[Response]]="Male",0,1)+IF(Table1[[#This Row],[Response]]="Female",0,1)=2,E264,Table1[[#This Row],[Response]]),"")</f>
        <v/>
      </c>
      <c r="F265" s="1">
        <v>5</v>
      </c>
      <c r="G265" s="1">
        <v>5</v>
      </c>
      <c r="H265" s="1" t="s">
        <v>8</v>
      </c>
      <c r="I26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6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6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66" spans="1:11">
      <c r="A266" s="1" t="s">
        <v>12</v>
      </c>
      <c r="B266" s="1" t="s">
        <v>10</v>
      </c>
      <c r="C266" s="1">
        <v>10</v>
      </c>
      <c r="D266" s="1" t="s">
        <v>16</v>
      </c>
      <c r="E266" s="5" t="str">
        <f>IF(Table1[[#This Row],[Pre or Post]]="Pre",IF(IF(Table1[[#This Row],[Response]]="Male",0,1)+IF(Table1[[#This Row],[Response]]="Female",0,1)=2,E265,Table1[[#This Row],[Response]]),"")</f>
        <v/>
      </c>
      <c r="F266" s="1">
        <v>6</v>
      </c>
      <c r="G266" s="1">
        <v>5</v>
      </c>
      <c r="H266" s="1" t="s">
        <v>8</v>
      </c>
      <c r="I26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6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6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67" spans="1:11">
      <c r="A267" s="1" t="s">
        <v>12</v>
      </c>
      <c r="B267" s="1" t="s">
        <v>10</v>
      </c>
      <c r="C267" s="1">
        <v>10</v>
      </c>
      <c r="D267" s="1" t="s">
        <v>16</v>
      </c>
      <c r="E267" s="5" t="str">
        <f>IF(Table1[[#This Row],[Pre or Post]]="Pre",IF(IF(Table1[[#This Row],[Response]]="Male",0,1)+IF(Table1[[#This Row],[Response]]="Female",0,1)=2,E266,Table1[[#This Row],[Response]]),"")</f>
        <v/>
      </c>
      <c r="F267" s="1">
        <v>7</v>
      </c>
      <c r="G267" s="1">
        <v>3</v>
      </c>
      <c r="H267" s="1" t="s">
        <v>8</v>
      </c>
      <c r="I26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6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6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68" spans="1:11">
      <c r="A268" s="1" t="s">
        <v>12</v>
      </c>
      <c r="B268" s="1" t="s">
        <v>10</v>
      </c>
      <c r="C268" s="1">
        <v>10</v>
      </c>
      <c r="D268" s="1" t="s">
        <v>16</v>
      </c>
      <c r="E268" s="5" t="str">
        <f>IF(Table1[[#This Row],[Pre or Post]]="Pre",IF(IF(Table1[[#This Row],[Response]]="Male",0,1)+IF(Table1[[#This Row],[Response]]="Female",0,1)=2,E267,Table1[[#This Row],[Response]]),"")</f>
        <v/>
      </c>
      <c r="F268" s="1">
        <v>8</v>
      </c>
      <c r="G268" s="1" t="s">
        <v>8</v>
      </c>
      <c r="H268" s="1" t="s">
        <v>8</v>
      </c>
      <c r="I26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6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6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69" spans="1:11">
      <c r="A269" s="1" t="s">
        <v>12</v>
      </c>
      <c r="B269" s="1" t="s">
        <v>10</v>
      </c>
      <c r="C269" s="1">
        <v>10</v>
      </c>
      <c r="D269" s="1" t="s">
        <v>16</v>
      </c>
      <c r="E269" s="5" t="str">
        <f>IF(Table1[[#This Row],[Pre or Post]]="Pre",IF(IF(Table1[[#This Row],[Response]]="Male",0,1)+IF(Table1[[#This Row],[Response]]="Female",0,1)=2,E268,Table1[[#This Row],[Response]]),"")</f>
        <v/>
      </c>
      <c r="F269" s="1">
        <v>9</v>
      </c>
      <c r="G269" s="1" t="s">
        <v>17</v>
      </c>
      <c r="H269" s="1" t="s">
        <v>8</v>
      </c>
      <c r="I26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6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6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70" spans="1:11">
      <c r="A270" s="1" t="s">
        <v>12</v>
      </c>
      <c r="B270" s="1" t="s">
        <v>10</v>
      </c>
      <c r="C270" s="1">
        <v>10</v>
      </c>
      <c r="D270" s="1" t="s">
        <v>16</v>
      </c>
      <c r="E270" s="5" t="str">
        <f>IF(Table1[[#This Row],[Pre or Post]]="Pre",IF(IF(Table1[[#This Row],[Response]]="Male",0,1)+IF(Table1[[#This Row],[Response]]="Female",0,1)=2,E269,Table1[[#This Row],[Response]]),"")</f>
        <v/>
      </c>
      <c r="F270" s="1">
        <v>10</v>
      </c>
      <c r="G270" s="1" t="s">
        <v>18</v>
      </c>
      <c r="H270" s="1" t="s">
        <v>8</v>
      </c>
      <c r="I27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7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7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71" spans="1:11">
      <c r="A271" s="1" t="s">
        <v>12</v>
      </c>
      <c r="B271" s="1" t="s">
        <v>10</v>
      </c>
      <c r="C271" s="1">
        <v>10</v>
      </c>
      <c r="D271" s="1" t="s">
        <v>16</v>
      </c>
      <c r="E271" s="5" t="str">
        <f>IF(Table1[[#This Row],[Pre or Post]]="Pre",IF(IF(Table1[[#This Row],[Response]]="Male",0,1)+IF(Table1[[#This Row],[Response]]="Female",0,1)=2,E270,Table1[[#This Row],[Response]]),"")</f>
        <v/>
      </c>
      <c r="F271" s="1">
        <v>11</v>
      </c>
      <c r="G271" s="1" t="s">
        <v>9</v>
      </c>
      <c r="H271" s="1" t="s">
        <v>8</v>
      </c>
      <c r="I27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7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7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72" spans="1:11">
      <c r="A272" s="1" t="s">
        <v>12</v>
      </c>
      <c r="B272" s="1" t="s">
        <v>10</v>
      </c>
      <c r="C272" s="1">
        <v>11</v>
      </c>
      <c r="D272" s="1" t="s">
        <v>16</v>
      </c>
      <c r="E272" s="5" t="str">
        <f>IF(Table1[[#This Row],[Pre or Post]]="Pre",IF(IF(Table1[[#This Row],[Response]]="Male",0,1)+IF(Table1[[#This Row],[Response]]="Female",0,1)=2,E271,Table1[[#This Row],[Response]]),"")</f>
        <v/>
      </c>
      <c r="F272" s="1">
        <v>2</v>
      </c>
      <c r="G272" s="1">
        <v>2</v>
      </c>
      <c r="H272" s="1" t="s">
        <v>8</v>
      </c>
      <c r="I27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7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7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73" spans="1:11">
      <c r="A273" s="1" t="s">
        <v>12</v>
      </c>
      <c r="B273" s="1" t="s">
        <v>10</v>
      </c>
      <c r="C273" s="1">
        <v>11</v>
      </c>
      <c r="D273" s="1" t="s">
        <v>16</v>
      </c>
      <c r="E273" s="5" t="str">
        <f>IF(Table1[[#This Row],[Pre or Post]]="Pre",IF(IF(Table1[[#This Row],[Response]]="Male",0,1)+IF(Table1[[#This Row],[Response]]="Female",0,1)=2,E272,Table1[[#This Row],[Response]]),"")</f>
        <v/>
      </c>
      <c r="F273" s="1">
        <v>3</v>
      </c>
      <c r="G273" s="1">
        <v>3</v>
      </c>
      <c r="H273" s="1" t="s">
        <v>8</v>
      </c>
      <c r="I27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7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7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74" spans="1:11">
      <c r="A274" s="1" t="s">
        <v>12</v>
      </c>
      <c r="B274" s="1" t="s">
        <v>10</v>
      </c>
      <c r="C274" s="1">
        <v>11</v>
      </c>
      <c r="D274" s="1" t="s">
        <v>16</v>
      </c>
      <c r="E274" s="5" t="str">
        <f>IF(Table1[[#This Row],[Pre or Post]]="Pre",IF(IF(Table1[[#This Row],[Response]]="Male",0,1)+IF(Table1[[#This Row],[Response]]="Female",0,1)=2,E273,Table1[[#This Row],[Response]]),"")</f>
        <v/>
      </c>
      <c r="F274" s="1">
        <v>4</v>
      </c>
      <c r="G274" s="1">
        <v>3</v>
      </c>
      <c r="H274" s="1" t="s">
        <v>8</v>
      </c>
      <c r="I27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7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7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75" spans="1:11">
      <c r="A275" s="1" t="s">
        <v>12</v>
      </c>
      <c r="B275" s="1" t="s">
        <v>10</v>
      </c>
      <c r="C275" s="1">
        <v>11</v>
      </c>
      <c r="D275" s="1" t="s">
        <v>16</v>
      </c>
      <c r="E275" s="5" t="str">
        <f>IF(Table1[[#This Row],[Pre or Post]]="Pre",IF(IF(Table1[[#This Row],[Response]]="Male",0,1)+IF(Table1[[#This Row],[Response]]="Female",0,1)=2,E274,Table1[[#This Row],[Response]]),"")</f>
        <v/>
      </c>
      <c r="F275" s="1">
        <v>5</v>
      </c>
      <c r="G275" s="1">
        <v>4</v>
      </c>
      <c r="H275" s="1" t="s">
        <v>8</v>
      </c>
      <c r="I27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7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7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76" spans="1:11">
      <c r="A276" s="1" t="s">
        <v>12</v>
      </c>
      <c r="B276" s="1" t="s">
        <v>10</v>
      </c>
      <c r="C276" s="1">
        <v>11</v>
      </c>
      <c r="D276" s="1" t="s">
        <v>16</v>
      </c>
      <c r="E276" s="5" t="str">
        <f>IF(Table1[[#This Row],[Pre or Post]]="Pre",IF(IF(Table1[[#This Row],[Response]]="Male",0,1)+IF(Table1[[#This Row],[Response]]="Female",0,1)=2,E275,Table1[[#This Row],[Response]]),"")</f>
        <v/>
      </c>
      <c r="F276" s="1">
        <v>6</v>
      </c>
      <c r="G276" s="1">
        <v>4</v>
      </c>
      <c r="H276" s="1" t="s">
        <v>8</v>
      </c>
      <c r="I27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7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7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77" spans="1:11">
      <c r="A277" s="1" t="s">
        <v>12</v>
      </c>
      <c r="B277" s="1" t="s">
        <v>10</v>
      </c>
      <c r="C277" s="1">
        <v>11</v>
      </c>
      <c r="D277" s="1" t="s">
        <v>16</v>
      </c>
      <c r="E277" s="5" t="str">
        <f>IF(Table1[[#This Row],[Pre or Post]]="Pre",IF(IF(Table1[[#This Row],[Response]]="Male",0,1)+IF(Table1[[#This Row],[Response]]="Female",0,1)=2,E276,Table1[[#This Row],[Response]]),"")</f>
        <v/>
      </c>
      <c r="F277" s="1">
        <v>7</v>
      </c>
      <c r="G277" s="1">
        <v>3</v>
      </c>
      <c r="H277" s="1" t="s">
        <v>8</v>
      </c>
      <c r="I27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7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7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78" spans="1:11">
      <c r="A278" s="1" t="s">
        <v>12</v>
      </c>
      <c r="B278" s="1" t="s">
        <v>10</v>
      </c>
      <c r="C278" s="1">
        <v>11</v>
      </c>
      <c r="D278" s="1" t="s">
        <v>16</v>
      </c>
      <c r="E278" s="5" t="str">
        <f>IF(Table1[[#This Row],[Pre or Post]]="Pre",IF(IF(Table1[[#This Row],[Response]]="Male",0,1)+IF(Table1[[#This Row],[Response]]="Female",0,1)=2,E277,Table1[[#This Row],[Response]]),"")</f>
        <v/>
      </c>
      <c r="F278" s="1">
        <v>8</v>
      </c>
      <c r="G278" s="1" t="s">
        <v>8</v>
      </c>
      <c r="H278" s="1" t="s">
        <v>8</v>
      </c>
      <c r="I27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7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7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79" spans="1:11">
      <c r="A279" s="1" t="s">
        <v>12</v>
      </c>
      <c r="B279" s="1" t="s">
        <v>10</v>
      </c>
      <c r="C279" s="1">
        <v>11</v>
      </c>
      <c r="D279" s="1" t="s">
        <v>16</v>
      </c>
      <c r="E279" s="5" t="str">
        <f>IF(Table1[[#This Row],[Pre or Post]]="Pre",IF(IF(Table1[[#This Row],[Response]]="Male",0,1)+IF(Table1[[#This Row],[Response]]="Female",0,1)=2,E278,Table1[[#This Row],[Response]]),"")</f>
        <v/>
      </c>
      <c r="F279" s="1">
        <v>9</v>
      </c>
      <c r="G279" s="1" t="s">
        <v>17</v>
      </c>
      <c r="H279" s="1" t="s">
        <v>8</v>
      </c>
      <c r="I27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7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7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80" spans="1:11">
      <c r="A280" s="1" t="s">
        <v>12</v>
      </c>
      <c r="B280" s="1" t="s">
        <v>10</v>
      </c>
      <c r="C280" s="1">
        <v>11</v>
      </c>
      <c r="D280" s="1" t="s">
        <v>16</v>
      </c>
      <c r="E280" s="5" t="str">
        <f>IF(Table1[[#This Row],[Pre or Post]]="Pre",IF(IF(Table1[[#This Row],[Response]]="Male",0,1)+IF(Table1[[#This Row],[Response]]="Female",0,1)=2,E279,Table1[[#This Row],[Response]]),"")</f>
        <v/>
      </c>
      <c r="F280" s="1">
        <v>10</v>
      </c>
      <c r="G280" s="1" t="s">
        <v>18</v>
      </c>
      <c r="H280" s="1" t="s">
        <v>8</v>
      </c>
      <c r="I28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8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8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81" spans="1:11">
      <c r="A281" s="1" t="s">
        <v>12</v>
      </c>
      <c r="B281" s="1" t="s">
        <v>10</v>
      </c>
      <c r="C281" s="1">
        <v>11</v>
      </c>
      <c r="D281" s="1" t="s">
        <v>16</v>
      </c>
      <c r="E281" s="5" t="str">
        <f>IF(Table1[[#This Row],[Pre or Post]]="Pre",IF(IF(Table1[[#This Row],[Response]]="Male",0,1)+IF(Table1[[#This Row],[Response]]="Female",0,1)=2,E280,Table1[[#This Row],[Response]]),"")</f>
        <v/>
      </c>
      <c r="F281" s="2">
        <v>11</v>
      </c>
      <c r="G281" s="1" t="s">
        <v>9</v>
      </c>
      <c r="H281" s="1" t="s">
        <v>8</v>
      </c>
      <c r="I28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8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8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82" spans="1:11">
      <c r="A282" s="1" t="s">
        <v>12</v>
      </c>
      <c r="B282" s="1" t="s">
        <v>10</v>
      </c>
      <c r="C282" s="1">
        <v>12</v>
      </c>
      <c r="D282" s="1" t="s">
        <v>16</v>
      </c>
      <c r="E282" s="5" t="str">
        <f>IF(Table1[[#This Row],[Pre or Post]]="Pre",IF(IF(Table1[[#This Row],[Response]]="Male",0,1)+IF(Table1[[#This Row],[Response]]="Female",0,1)=2,E281,Table1[[#This Row],[Response]]),"")</f>
        <v/>
      </c>
      <c r="F282" s="1">
        <v>2</v>
      </c>
      <c r="G282" s="1">
        <v>5</v>
      </c>
      <c r="H282" s="1" t="s">
        <v>8</v>
      </c>
      <c r="I28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8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8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83" spans="1:11">
      <c r="A283" s="1" t="s">
        <v>12</v>
      </c>
      <c r="B283" s="1" t="s">
        <v>10</v>
      </c>
      <c r="C283" s="1">
        <v>12</v>
      </c>
      <c r="D283" s="1" t="s">
        <v>16</v>
      </c>
      <c r="E283" s="5" t="str">
        <f>IF(Table1[[#This Row],[Pre or Post]]="Pre",IF(IF(Table1[[#This Row],[Response]]="Male",0,1)+IF(Table1[[#This Row],[Response]]="Female",0,1)=2,E282,Table1[[#This Row],[Response]]),"")</f>
        <v/>
      </c>
      <c r="F283" s="1">
        <v>3</v>
      </c>
      <c r="G283" s="1">
        <v>5</v>
      </c>
      <c r="H283" s="1" t="s">
        <v>8</v>
      </c>
      <c r="I28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8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8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84" spans="1:11">
      <c r="A284" s="1" t="s">
        <v>12</v>
      </c>
      <c r="B284" s="1" t="s">
        <v>10</v>
      </c>
      <c r="C284" s="1">
        <v>12</v>
      </c>
      <c r="D284" s="1" t="s">
        <v>16</v>
      </c>
      <c r="E284" s="5" t="str">
        <f>IF(Table1[[#This Row],[Pre or Post]]="Pre",IF(IF(Table1[[#This Row],[Response]]="Male",0,1)+IF(Table1[[#This Row],[Response]]="Female",0,1)=2,E283,Table1[[#This Row],[Response]]),"")</f>
        <v/>
      </c>
      <c r="F284" s="1">
        <v>4</v>
      </c>
      <c r="G284" s="1">
        <v>3</v>
      </c>
      <c r="H284" s="1" t="s">
        <v>8</v>
      </c>
      <c r="I28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8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8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85" spans="1:11">
      <c r="A285" s="1" t="s">
        <v>12</v>
      </c>
      <c r="B285" s="1" t="s">
        <v>10</v>
      </c>
      <c r="C285" s="1">
        <v>12</v>
      </c>
      <c r="D285" s="1" t="s">
        <v>16</v>
      </c>
      <c r="E285" s="5" t="str">
        <f>IF(Table1[[#This Row],[Pre or Post]]="Pre",IF(IF(Table1[[#This Row],[Response]]="Male",0,1)+IF(Table1[[#This Row],[Response]]="Female",0,1)=2,E284,Table1[[#This Row],[Response]]),"")</f>
        <v/>
      </c>
      <c r="F285" s="1">
        <v>5</v>
      </c>
      <c r="G285" s="1">
        <v>5</v>
      </c>
      <c r="H285" s="1" t="s">
        <v>8</v>
      </c>
      <c r="I28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8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8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86" spans="1:11">
      <c r="A286" s="1" t="s">
        <v>12</v>
      </c>
      <c r="B286" s="1" t="s">
        <v>10</v>
      </c>
      <c r="C286" s="1">
        <v>12</v>
      </c>
      <c r="D286" s="1" t="s">
        <v>16</v>
      </c>
      <c r="E286" s="5" t="str">
        <f>IF(Table1[[#This Row],[Pre or Post]]="Pre",IF(IF(Table1[[#This Row],[Response]]="Male",0,1)+IF(Table1[[#This Row],[Response]]="Female",0,1)=2,E285,Table1[[#This Row],[Response]]),"")</f>
        <v/>
      </c>
      <c r="F286" s="1">
        <v>6</v>
      </c>
      <c r="G286" s="1">
        <v>4</v>
      </c>
      <c r="H286" s="1" t="s">
        <v>8</v>
      </c>
      <c r="I28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8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8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87" spans="1:11">
      <c r="A287" s="1" t="s">
        <v>12</v>
      </c>
      <c r="B287" s="1" t="s">
        <v>10</v>
      </c>
      <c r="C287" s="1">
        <v>12</v>
      </c>
      <c r="D287" s="1" t="s">
        <v>16</v>
      </c>
      <c r="E287" s="5" t="str">
        <f>IF(Table1[[#This Row],[Pre or Post]]="Pre",IF(IF(Table1[[#This Row],[Response]]="Male",0,1)+IF(Table1[[#This Row],[Response]]="Female",0,1)=2,E286,Table1[[#This Row],[Response]]),"")</f>
        <v/>
      </c>
      <c r="F287" s="1">
        <v>7</v>
      </c>
      <c r="G287" s="1">
        <v>4</v>
      </c>
      <c r="H287" s="1" t="s">
        <v>8</v>
      </c>
      <c r="I28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8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8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88" spans="1:11">
      <c r="A288" s="1" t="s">
        <v>12</v>
      </c>
      <c r="B288" s="1" t="s">
        <v>10</v>
      </c>
      <c r="C288" s="1">
        <v>12</v>
      </c>
      <c r="D288" s="1" t="s">
        <v>16</v>
      </c>
      <c r="E288" s="5" t="str">
        <f>IF(Table1[[#This Row],[Pre or Post]]="Pre",IF(IF(Table1[[#This Row],[Response]]="Male",0,1)+IF(Table1[[#This Row],[Response]]="Female",0,1)=2,E287,Table1[[#This Row],[Response]]),"")</f>
        <v/>
      </c>
      <c r="F288" s="1">
        <v>8</v>
      </c>
      <c r="G288" s="1" t="s">
        <v>8</v>
      </c>
      <c r="H288" s="1" t="s">
        <v>8</v>
      </c>
      <c r="I28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8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8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89" spans="1:11">
      <c r="A289" s="1" t="s">
        <v>12</v>
      </c>
      <c r="B289" s="1" t="s">
        <v>10</v>
      </c>
      <c r="C289" s="1">
        <v>12</v>
      </c>
      <c r="D289" s="1" t="s">
        <v>16</v>
      </c>
      <c r="E289" s="5" t="str">
        <f>IF(Table1[[#This Row],[Pre or Post]]="Pre",IF(IF(Table1[[#This Row],[Response]]="Male",0,1)+IF(Table1[[#This Row],[Response]]="Female",0,1)=2,E288,Table1[[#This Row],[Response]]),"")</f>
        <v/>
      </c>
      <c r="F289" s="1">
        <v>9</v>
      </c>
      <c r="G289" s="1" t="s">
        <v>17</v>
      </c>
      <c r="H289" s="1" t="s">
        <v>8</v>
      </c>
      <c r="I28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8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8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90" spans="1:11">
      <c r="A290" s="1" t="s">
        <v>12</v>
      </c>
      <c r="B290" s="1" t="s">
        <v>10</v>
      </c>
      <c r="C290" s="1">
        <v>12</v>
      </c>
      <c r="D290" s="1" t="s">
        <v>16</v>
      </c>
      <c r="E290" s="5" t="str">
        <f>IF(Table1[[#This Row],[Pre or Post]]="Pre",IF(IF(Table1[[#This Row],[Response]]="Male",0,1)+IF(Table1[[#This Row],[Response]]="Female",0,1)=2,E289,Table1[[#This Row],[Response]]),"")</f>
        <v/>
      </c>
      <c r="F290" s="1">
        <v>10</v>
      </c>
      <c r="G290" s="1" t="s">
        <v>18</v>
      </c>
      <c r="H290" s="1" t="s">
        <v>8</v>
      </c>
      <c r="I29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9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9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91" spans="1:11">
      <c r="A291" s="1" t="s">
        <v>12</v>
      </c>
      <c r="B291" s="1" t="s">
        <v>10</v>
      </c>
      <c r="C291" s="1">
        <v>12</v>
      </c>
      <c r="D291" s="1" t="s">
        <v>16</v>
      </c>
      <c r="E291" s="5" t="str">
        <f>IF(Table1[[#This Row],[Pre or Post]]="Pre",IF(IF(Table1[[#This Row],[Response]]="Male",0,1)+IF(Table1[[#This Row],[Response]]="Female",0,1)=2,E290,Table1[[#This Row],[Response]]),"")</f>
        <v/>
      </c>
      <c r="F291" s="1">
        <v>11</v>
      </c>
      <c r="G291" s="1" t="s">
        <v>9</v>
      </c>
      <c r="H291" s="1" t="s">
        <v>8</v>
      </c>
      <c r="I29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9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9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92" spans="1:11">
      <c r="A292" s="1" t="s">
        <v>12</v>
      </c>
      <c r="B292" s="1" t="s">
        <v>10</v>
      </c>
      <c r="C292" s="1">
        <v>13</v>
      </c>
      <c r="D292" s="1" t="s">
        <v>16</v>
      </c>
      <c r="E292" s="5" t="str">
        <f>IF(Table1[[#This Row],[Pre or Post]]="Pre",IF(IF(Table1[[#This Row],[Response]]="Male",0,1)+IF(Table1[[#This Row],[Response]]="Female",0,1)=2,E291,Table1[[#This Row],[Response]]),"")</f>
        <v/>
      </c>
      <c r="F292" s="1">
        <v>2</v>
      </c>
      <c r="G292" s="1">
        <v>4</v>
      </c>
      <c r="H292" s="1" t="s">
        <v>8</v>
      </c>
      <c r="I29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9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9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93" spans="1:11">
      <c r="A293" s="1" t="s">
        <v>12</v>
      </c>
      <c r="B293" s="1" t="s">
        <v>10</v>
      </c>
      <c r="C293" s="1">
        <v>13</v>
      </c>
      <c r="D293" s="1" t="s">
        <v>16</v>
      </c>
      <c r="E293" s="5" t="str">
        <f>IF(Table1[[#This Row],[Pre or Post]]="Pre",IF(IF(Table1[[#This Row],[Response]]="Male",0,1)+IF(Table1[[#This Row],[Response]]="Female",0,1)=2,E292,Table1[[#This Row],[Response]]),"")</f>
        <v/>
      </c>
      <c r="F293" s="1">
        <v>3</v>
      </c>
      <c r="G293" s="1">
        <v>4</v>
      </c>
      <c r="H293" s="1" t="s">
        <v>8</v>
      </c>
      <c r="I29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9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9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94" spans="1:11">
      <c r="A294" s="1" t="s">
        <v>12</v>
      </c>
      <c r="B294" s="1" t="s">
        <v>10</v>
      </c>
      <c r="C294" s="1">
        <v>13</v>
      </c>
      <c r="D294" s="1" t="s">
        <v>16</v>
      </c>
      <c r="E294" s="5" t="str">
        <f>IF(Table1[[#This Row],[Pre or Post]]="Pre",IF(IF(Table1[[#This Row],[Response]]="Male",0,1)+IF(Table1[[#This Row],[Response]]="Female",0,1)=2,E293,Table1[[#This Row],[Response]]),"")</f>
        <v/>
      </c>
      <c r="F294" s="1">
        <v>4</v>
      </c>
      <c r="G294" s="1">
        <v>3</v>
      </c>
      <c r="H294" s="1" t="s">
        <v>8</v>
      </c>
      <c r="I29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9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9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95" spans="1:11">
      <c r="A295" s="1" t="s">
        <v>12</v>
      </c>
      <c r="B295" s="1" t="s">
        <v>10</v>
      </c>
      <c r="C295" s="1">
        <v>13</v>
      </c>
      <c r="D295" s="1" t="s">
        <v>16</v>
      </c>
      <c r="E295" s="5" t="str">
        <f>IF(Table1[[#This Row],[Pre or Post]]="Pre",IF(IF(Table1[[#This Row],[Response]]="Male",0,1)+IF(Table1[[#This Row],[Response]]="Female",0,1)=2,E294,Table1[[#This Row],[Response]]),"")</f>
        <v/>
      </c>
      <c r="F295" s="1">
        <v>5</v>
      </c>
      <c r="G295" s="1">
        <v>4</v>
      </c>
      <c r="H295" s="1" t="s">
        <v>8</v>
      </c>
      <c r="I29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9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9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96" spans="1:11">
      <c r="A296" s="1" t="s">
        <v>12</v>
      </c>
      <c r="B296" s="1" t="s">
        <v>10</v>
      </c>
      <c r="C296" s="1">
        <v>13</v>
      </c>
      <c r="D296" s="1" t="s">
        <v>16</v>
      </c>
      <c r="E296" s="5" t="str">
        <f>IF(Table1[[#This Row],[Pre or Post]]="Pre",IF(IF(Table1[[#This Row],[Response]]="Male",0,1)+IF(Table1[[#This Row],[Response]]="Female",0,1)=2,E295,Table1[[#This Row],[Response]]),"")</f>
        <v/>
      </c>
      <c r="F296" s="1">
        <v>6</v>
      </c>
      <c r="G296" s="1">
        <v>4</v>
      </c>
      <c r="H296" s="1" t="s">
        <v>8</v>
      </c>
      <c r="I29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9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9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97" spans="1:11">
      <c r="A297" s="1" t="s">
        <v>12</v>
      </c>
      <c r="B297" s="1" t="s">
        <v>10</v>
      </c>
      <c r="C297" s="1">
        <v>13</v>
      </c>
      <c r="D297" s="1" t="s">
        <v>16</v>
      </c>
      <c r="E297" s="5" t="str">
        <f>IF(Table1[[#This Row],[Pre or Post]]="Pre",IF(IF(Table1[[#This Row],[Response]]="Male",0,1)+IF(Table1[[#This Row],[Response]]="Female",0,1)=2,E296,Table1[[#This Row],[Response]]),"")</f>
        <v/>
      </c>
      <c r="F297" s="1">
        <v>7</v>
      </c>
      <c r="G297" s="1">
        <v>5</v>
      </c>
      <c r="H297" s="1" t="s">
        <v>8</v>
      </c>
      <c r="I29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9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9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98" spans="1:11">
      <c r="A298" s="1" t="s">
        <v>12</v>
      </c>
      <c r="B298" s="1" t="s">
        <v>10</v>
      </c>
      <c r="C298" s="1">
        <v>13</v>
      </c>
      <c r="D298" s="1" t="s">
        <v>16</v>
      </c>
      <c r="E298" s="5" t="str">
        <f>IF(Table1[[#This Row],[Pre or Post]]="Pre",IF(IF(Table1[[#This Row],[Response]]="Male",0,1)+IF(Table1[[#This Row],[Response]]="Female",0,1)=2,E297,Table1[[#This Row],[Response]]),"")</f>
        <v/>
      </c>
      <c r="F298" s="1">
        <v>8</v>
      </c>
      <c r="G298" s="1" t="s">
        <v>8</v>
      </c>
      <c r="H298" s="1" t="s">
        <v>8</v>
      </c>
      <c r="I29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9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9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299" spans="1:11">
      <c r="A299" s="1" t="s">
        <v>12</v>
      </c>
      <c r="B299" s="1" t="s">
        <v>10</v>
      </c>
      <c r="C299" s="1">
        <v>13</v>
      </c>
      <c r="D299" s="1" t="s">
        <v>16</v>
      </c>
      <c r="E299" s="5" t="str">
        <f>IF(Table1[[#This Row],[Pre or Post]]="Pre",IF(IF(Table1[[#This Row],[Response]]="Male",0,1)+IF(Table1[[#This Row],[Response]]="Female",0,1)=2,E298,Table1[[#This Row],[Response]]),"")</f>
        <v/>
      </c>
      <c r="F299" s="1">
        <v>9</v>
      </c>
      <c r="G299" s="1" t="s">
        <v>17</v>
      </c>
      <c r="H299" s="1" t="s">
        <v>8</v>
      </c>
      <c r="I29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29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29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00" spans="1:11">
      <c r="A300" s="1" t="s">
        <v>12</v>
      </c>
      <c r="B300" s="1" t="s">
        <v>10</v>
      </c>
      <c r="C300" s="1">
        <v>13</v>
      </c>
      <c r="D300" s="1" t="s">
        <v>16</v>
      </c>
      <c r="E300" s="5" t="str">
        <f>IF(Table1[[#This Row],[Pre or Post]]="Pre",IF(IF(Table1[[#This Row],[Response]]="Male",0,1)+IF(Table1[[#This Row],[Response]]="Female",0,1)=2,E299,Table1[[#This Row],[Response]]),"")</f>
        <v/>
      </c>
      <c r="F300" s="1">
        <v>10</v>
      </c>
      <c r="G300" s="1" t="s">
        <v>18</v>
      </c>
      <c r="H300" s="1" t="s">
        <v>8</v>
      </c>
      <c r="I30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0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0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01" spans="1:11">
      <c r="A301" s="1" t="s">
        <v>12</v>
      </c>
      <c r="B301" s="1" t="s">
        <v>10</v>
      </c>
      <c r="C301" s="1">
        <v>13</v>
      </c>
      <c r="D301" s="1" t="s">
        <v>16</v>
      </c>
      <c r="E301" s="5" t="str">
        <f>IF(Table1[[#This Row],[Pre or Post]]="Pre",IF(IF(Table1[[#This Row],[Response]]="Male",0,1)+IF(Table1[[#This Row],[Response]]="Female",0,1)=2,E300,Table1[[#This Row],[Response]]),"")</f>
        <v/>
      </c>
      <c r="F301" s="2">
        <v>11</v>
      </c>
      <c r="G301" s="1" t="s">
        <v>9</v>
      </c>
      <c r="H301" s="1" t="s">
        <v>8</v>
      </c>
      <c r="I30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0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0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02" spans="1:11">
      <c r="A302" s="1" t="s">
        <v>12</v>
      </c>
      <c r="B302" s="1" t="s">
        <v>10</v>
      </c>
      <c r="C302" s="1">
        <v>14</v>
      </c>
      <c r="D302" s="1" t="s">
        <v>16</v>
      </c>
      <c r="E302" s="5" t="str">
        <f>IF(Table1[[#This Row],[Pre or Post]]="Pre",IF(IF(Table1[[#This Row],[Response]]="Male",0,1)+IF(Table1[[#This Row],[Response]]="Female",0,1)=2,E301,Table1[[#This Row],[Response]]),"")</f>
        <v/>
      </c>
      <c r="F302" s="1">
        <v>2</v>
      </c>
      <c r="G302" s="1">
        <v>4</v>
      </c>
      <c r="H302" s="1" t="s">
        <v>8</v>
      </c>
      <c r="I30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0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0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03" spans="1:11">
      <c r="A303" s="1" t="s">
        <v>12</v>
      </c>
      <c r="B303" s="1" t="s">
        <v>10</v>
      </c>
      <c r="C303" s="1">
        <v>14</v>
      </c>
      <c r="D303" s="1" t="s">
        <v>16</v>
      </c>
      <c r="E303" s="5" t="str">
        <f>IF(Table1[[#This Row],[Pre or Post]]="Pre",IF(IF(Table1[[#This Row],[Response]]="Male",0,1)+IF(Table1[[#This Row],[Response]]="Female",0,1)=2,E302,Table1[[#This Row],[Response]]),"")</f>
        <v/>
      </c>
      <c r="F303" s="1">
        <v>3</v>
      </c>
      <c r="G303" s="1">
        <v>3</v>
      </c>
      <c r="H303" s="1" t="s">
        <v>8</v>
      </c>
      <c r="I30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0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0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04" spans="1:11">
      <c r="A304" s="1" t="s">
        <v>12</v>
      </c>
      <c r="B304" s="1" t="s">
        <v>10</v>
      </c>
      <c r="C304" s="1">
        <v>14</v>
      </c>
      <c r="D304" s="1" t="s">
        <v>16</v>
      </c>
      <c r="E304" s="5" t="str">
        <f>IF(Table1[[#This Row],[Pre or Post]]="Pre",IF(IF(Table1[[#This Row],[Response]]="Male",0,1)+IF(Table1[[#This Row],[Response]]="Female",0,1)=2,E303,Table1[[#This Row],[Response]]),"")</f>
        <v/>
      </c>
      <c r="F304" s="1">
        <v>4</v>
      </c>
      <c r="G304" s="1">
        <v>3</v>
      </c>
      <c r="H304" s="1" t="s">
        <v>8</v>
      </c>
      <c r="I30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0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0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05" spans="1:11">
      <c r="A305" s="1" t="s">
        <v>12</v>
      </c>
      <c r="B305" s="1" t="s">
        <v>10</v>
      </c>
      <c r="C305" s="1">
        <v>14</v>
      </c>
      <c r="D305" s="1" t="s">
        <v>16</v>
      </c>
      <c r="E305" s="5" t="str">
        <f>IF(Table1[[#This Row],[Pre or Post]]="Pre",IF(IF(Table1[[#This Row],[Response]]="Male",0,1)+IF(Table1[[#This Row],[Response]]="Female",0,1)=2,E304,Table1[[#This Row],[Response]]),"")</f>
        <v/>
      </c>
      <c r="F305" s="1">
        <v>5</v>
      </c>
      <c r="G305" s="1">
        <v>5</v>
      </c>
      <c r="H305" s="1" t="s">
        <v>8</v>
      </c>
      <c r="I30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0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0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06" spans="1:11">
      <c r="A306" s="1" t="s">
        <v>12</v>
      </c>
      <c r="B306" s="1" t="s">
        <v>10</v>
      </c>
      <c r="C306" s="1">
        <v>14</v>
      </c>
      <c r="D306" s="1" t="s">
        <v>16</v>
      </c>
      <c r="E306" s="5" t="str">
        <f>IF(Table1[[#This Row],[Pre or Post]]="Pre",IF(IF(Table1[[#This Row],[Response]]="Male",0,1)+IF(Table1[[#This Row],[Response]]="Female",0,1)=2,E305,Table1[[#This Row],[Response]]),"")</f>
        <v/>
      </c>
      <c r="F306" s="1">
        <v>6</v>
      </c>
      <c r="G306" s="1">
        <v>4</v>
      </c>
      <c r="H306" s="1" t="s">
        <v>8</v>
      </c>
      <c r="I30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0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0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07" spans="1:11">
      <c r="A307" s="1" t="s">
        <v>12</v>
      </c>
      <c r="B307" s="1" t="s">
        <v>10</v>
      </c>
      <c r="C307" s="1">
        <v>14</v>
      </c>
      <c r="D307" s="1" t="s">
        <v>16</v>
      </c>
      <c r="E307" s="5" t="str">
        <f>IF(Table1[[#This Row],[Pre or Post]]="Pre",IF(IF(Table1[[#This Row],[Response]]="Male",0,1)+IF(Table1[[#This Row],[Response]]="Female",0,1)=2,E306,Table1[[#This Row],[Response]]),"")</f>
        <v/>
      </c>
      <c r="F307" s="1">
        <v>7</v>
      </c>
      <c r="G307" s="1">
        <v>4</v>
      </c>
      <c r="H307" s="1" t="s">
        <v>8</v>
      </c>
      <c r="I30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0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0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08" spans="1:11">
      <c r="A308" s="1" t="s">
        <v>12</v>
      </c>
      <c r="B308" s="1" t="s">
        <v>10</v>
      </c>
      <c r="C308" s="1">
        <v>14</v>
      </c>
      <c r="D308" s="1" t="s">
        <v>16</v>
      </c>
      <c r="E308" s="5" t="str">
        <f>IF(Table1[[#This Row],[Pre or Post]]="Pre",IF(IF(Table1[[#This Row],[Response]]="Male",0,1)+IF(Table1[[#This Row],[Response]]="Female",0,1)=2,E307,Table1[[#This Row],[Response]]),"")</f>
        <v/>
      </c>
      <c r="F308" s="1">
        <v>8</v>
      </c>
      <c r="G308" s="1" t="s">
        <v>8</v>
      </c>
      <c r="H308" s="1" t="s">
        <v>8</v>
      </c>
      <c r="I30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0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0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09" spans="1:11">
      <c r="A309" s="1" t="s">
        <v>12</v>
      </c>
      <c r="B309" s="1" t="s">
        <v>10</v>
      </c>
      <c r="C309" s="1">
        <v>14</v>
      </c>
      <c r="D309" s="1" t="s">
        <v>16</v>
      </c>
      <c r="E309" s="5" t="str">
        <f>IF(Table1[[#This Row],[Pre or Post]]="Pre",IF(IF(Table1[[#This Row],[Response]]="Male",0,1)+IF(Table1[[#This Row],[Response]]="Female",0,1)=2,E308,Table1[[#This Row],[Response]]),"")</f>
        <v/>
      </c>
      <c r="F309" s="1">
        <v>9</v>
      </c>
      <c r="G309" s="1" t="s">
        <v>17</v>
      </c>
      <c r="H309" s="1" t="s">
        <v>8</v>
      </c>
      <c r="I30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0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0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10" spans="1:11">
      <c r="A310" s="1" t="s">
        <v>12</v>
      </c>
      <c r="B310" s="1" t="s">
        <v>10</v>
      </c>
      <c r="C310" s="1">
        <v>14</v>
      </c>
      <c r="D310" s="1" t="s">
        <v>16</v>
      </c>
      <c r="E310" s="5" t="str">
        <f>IF(Table1[[#This Row],[Pre or Post]]="Pre",IF(IF(Table1[[#This Row],[Response]]="Male",0,1)+IF(Table1[[#This Row],[Response]]="Female",0,1)=2,E309,Table1[[#This Row],[Response]]),"")</f>
        <v/>
      </c>
      <c r="F310" s="1">
        <v>10</v>
      </c>
      <c r="G310" s="1" t="s">
        <v>18</v>
      </c>
      <c r="H310" s="1" t="s">
        <v>8</v>
      </c>
      <c r="I31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1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1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11" spans="1:11">
      <c r="A311" s="1" t="s">
        <v>12</v>
      </c>
      <c r="B311" s="1" t="s">
        <v>10</v>
      </c>
      <c r="C311" s="1">
        <v>14</v>
      </c>
      <c r="D311" s="1" t="s">
        <v>16</v>
      </c>
      <c r="E311" s="5" t="str">
        <f>IF(Table1[[#This Row],[Pre or Post]]="Pre",IF(IF(Table1[[#This Row],[Response]]="Male",0,1)+IF(Table1[[#This Row],[Response]]="Female",0,1)=2,E310,Table1[[#This Row],[Response]]),"")</f>
        <v/>
      </c>
      <c r="F311" s="1">
        <v>11</v>
      </c>
      <c r="G311" s="1" t="s">
        <v>9</v>
      </c>
      <c r="H311" s="1" t="s">
        <v>8</v>
      </c>
      <c r="I31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1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1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12" spans="1:11">
      <c r="A312" s="1" t="s">
        <v>12</v>
      </c>
      <c r="B312" s="1" t="s">
        <v>10</v>
      </c>
      <c r="C312" s="1">
        <v>15</v>
      </c>
      <c r="D312" s="1" t="s">
        <v>16</v>
      </c>
      <c r="E312" s="5" t="str">
        <f>IF(Table1[[#This Row],[Pre or Post]]="Pre",IF(IF(Table1[[#This Row],[Response]]="Male",0,1)+IF(Table1[[#This Row],[Response]]="Female",0,1)=2,E311,Table1[[#This Row],[Response]]),"")</f>
        <v/>
      </c>
      <c r="F312" s="1">
        <v>2</v>
      </c>
      <c r="G312" s="1">
        <v>2</v>
      </c>
      <c r="H312" s="1" t="s">
        <v>8</v>
      </c>
      <c r="I31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1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1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13" spans="1:11">
      <c r="A313" s="1" t="s">
        <v>12</v>
      </c>
      <c r="B313" s="1" t="s">
        <v>10</v>
      </c>
      <c r="C313" s="1">
        <v>15</v>
      </c>
      <c r="D313" s="1" t="s">
        <v>16</v>
      </c>
      <c r="E313" s="5" t="str">
        <f>IF(Table1[[#This Row],[Pre or Post]]="Pre",IF(IF(Table1[[#This Row],[Response]]="Male",0,1)+IF(Table1[[#This Row],[Response]]="Female",0,1)=2,E312,Table1[[#This Row],[Response]]),"")</f>
        <v/>
      </c>
      <c r="F313" s="1">
        <v>3</v>
      </c>
      <c r="G313" s="1">
        <v>3</v>
      </c>
      <c r="H313" s="1" t="s">
        <v>8</v>
      </c>
      <c r="I31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1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1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14" spans="1:11">
      <c r="A314" s="1" t="s">
        <v>12</v>
      </c>
      <c r="B314" s="1" t="s">
        <v>10</v>
      </c>
      <c r="C314" s="1">
        <v>15</v>
      </c>
      <c r="D314" s="1" t="s">
        <v>16</v>
      </c>
      <c r="E314" s="5" t="str">
        <f>IF(Table1[[#This Row],[Pre or Post]]="Pre",IF(IF(Table1[[#This Row],[Response]]="Male",0,1)+IF(Table1[[#This Row],[Response]]="Female",0,1)=2,E313,Table1[[#This Row],[Response]]),"")</f>
        <v/>
      </c>
      <c r="F314" s="1">
        <v>4</v>
      </c>
      <c r="G314" s="1">
        <v>1</v>
      </c>
      <c r="H314" s="1" t="s">
        <v>8</v>
      </c>
      <c r="I31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1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1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15" spans="1:11">
      <c r="A315" s="1" t="s">
        <v>12</v>
      </c>
      <c r="B315" s="1" t="s">
        <v>10</v>
      </c>
      <c r="C315" s="1">
        <v>15</v>
      </c>
      <c r="D315" s="1" t="s">
        <v>16</v>
      </c>
      <c r="E315" s="5" t="str">
        <f>IF(Table1[[#This Row],[Pre or Post]]="Pre",IF(IF(Table1[[#This Row],[Response]]="Male",0,1)+IF(Table1[[#This Row],[Response]]="Female",0,1)=2,E314,Table1[[#This Row],[Response]]),"")</f>
        <v/>
      </c>
      <c r="F315" s="1">
        <v>5</v>
      </c>
      <c r="G315" s="1">
        <v>2</v>
      </c>
      <c r="H315" s="1" t="s">
        <v>8</v>
      </c>
      <c r="I31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1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1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16" spans="1:11">
      <c r="A316" s="1" t="s">
        <v>12</v>
      </c>
      <c r="B316" s="1" t="s">
        <v>10</v>
      </c>
      <c r="C316" s="1">
        <v>15</v>
      </c>
      <c r="D316" s="1" t="s">
        <v>16</v>
      </c>
      <c r="E316" s="5" t="str">
        <f>IF(Table1[[#This Row],[Pre or Post]]="Pre",IF(IF(Table1[[#This Row],[Response]]="Male",0,1)+IF(Table1[[#This Row],[Response]]="Female",0,1)=2,E315,Table1[[#This Row],[Response]]),"")</f>
        <v/>
      </c>
      <c r="F316" s="1">
        <v>6</v>
      </c>
      <c r="G316" s="1">
        <v>1</v>
      </c>
      <c r="H316" s="1" t="s">
        <v>8</v>
      </c>
      <c r="I31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1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1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17" spans="1:11">
      <c r="A317" s="1" t="s">
        <v>12</v>
      </c>
      <c r="B317" s="1" t="s">
        <v>10</v>
      </c>
      <c r="C317" s="1">
        <v>15</v>
      </c>
      <c r="D317" s="1" t="s">
        <v>16</v>
      </c>
      <c r="E317" s="5" t="str">
        <f>IF(Table1[[#This Row],[Pre or Post]]="Pre",IF(IF(Table1[[#This Row],[Response]]="Male",0,1)+IF(Table1[[#This Row],[Response]]="Female",0,1)=2,E316,Table1[[#This Row],[Response]]),"")</f>
        <v/>
      </c>
      <c r="F317" s="1">
        <v>7</v>
      </c>
      <c r="G317" s="1">
        <v>2</v>
      </c>
      <c r="H317" s="1" t="s">
        <v>8</v>
      </c>
      <c r="I31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1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1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18" spans="1:11">
      <c r="A318" s="1" t="s">
        <v>12</v>
      </c>
      <c r="B318" s="1" t="s">
        <v>10</v>
      </c>
      <c r="C318" s="1">
        <v>15</v>
      </c>
      <c r="D318" s="1" t="s">
        <v>16</v>
      </c>
      <c r="E318" s="5" t="str">
        <f>IF(Table1[[#This Row],[Pre or Post]]="Pre",IF(IF(Table1[[#This Row],[Response]]="Male",0,1)+IF(Table1[[#This Row],[Response]]="Female",0,1)=2,E317,Table1[[#This Row],[Response]]),"")</f>
        <v/>
      </c>
      <c r="F318" s="1">
        <v>8</v>
      </c>
      <c r="G318" s="1" t="s">
        <v>9</v>
      </c>
      <c r="H318" s="1" t="s">
        <v>8</v>
      </c>
      <c r="I31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1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1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19" spans="1:11">
      <c r="A319" s="1" t="s">
        <v>12</v>
      </c>
      <c r="B319" s="1" t="s">
        <v>10</v>
      </c>
      <c r="C319" s="1">
        <v>15</v>
      </c>
      <c r="D319" s="1" t="s">
        <v>16</v>
      </c>
      <c r="E319" s="5" t="str">
        <f>IF(Table1[[#This Row],[Pre or Post]]="Pre",IF(IF(Table1[[#This Row],[Response]]="Male",0,1)+IF(Table1[[#This Row],[Response]]="Female",0,1)=2,E318,Table1[[#This Row],[Response]]),"")</f>
        <v/>
      </c>
      <c r="F319" s="1">
        <v>9</v>
      </c>
      <c r="G319" s="1" t="s">
        <v>17</v>
      </c>
      <c r="H319" s="1" t="s">
        <v>8</v>
      </c>
      <c r="I31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1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1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20" spans="1:11">
      <c r="A320" s="1" t="s">
        <v>12</v>
      </c>
      <c r="B320" s="1" t="s">
        <v>10</v>
      </c>
      <c r="C320" s="1">
        <v>15</v>
      </c>
      <c r="D320" s="1" t="s">
        <v>16</v>
      </c>
      <c r="E320" s="5" t="str">
        <f>IF(Table1[[#This Row],[Pre or Post]]="Pre",IF(IF(Table1[[#This Row],[Response]]="Male",0,1)+IF(Table1[[#This Row],[Response]]="Female",0,1)=2,E319,Table1[[#This Row],[Response]]),"")</f>
        <v/>
      </c>
      <c r="F320" s="1">
        <v>10</v>
      </c>
      <c r="G320" s="1" t="s">
        <v>18</v>
      </c>
      <c r="H320" s="1" t="s">
        <v>8</v>
      </c>
      <c r="I32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2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2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21" spans="1:11">
      <c r="A321" s="1" t="s">
        <v>12</v>
      </c>
      <c r="B321" s="1" t="s">
        <v>10</v>
      </c>
      <c r="C321" s="1">
        <v>15</v>
      </c>
      <c r="D321" s="1" t="s">
        <v>16</v>
      </c>
      <c r="E321" s="5" t="str">
        <f>IF(Table1[[#This Row],[Pre or Post]]="Pre",IF(IF(Table1[[#This Row],[Response]]="Male",0,1)+IF(Table1[[#This Row],[Response]]="Female",0,1)=2,E320,Table1[[#This Row],[Response]]),"")</f>
        <v/>
      </c>
      <c r="F321" s="2">
        <v>11</v>
      </c>
      <c r="G321" s="1" t="s">
        <v>8</v>
      </c>
      <c r="H321" s="1" t="s">
        <v>8</v>
      </c>
      <c r="I32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2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2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22" spans="1:11">
      <c r="A322" s="1" t="s">
        <v>12</v>
      </c>
      <c r="B322" s="1" t="s">
        <v>10</v>
      </c>
      <c r="C322" s="1">
        <v>16</v>
      </c>
      <c r="D322" s="1" t="s">
        <v>16</v>
      </c>
      <c r="E322" s="5" t="str">
        <f>IF(Table1[[#This Row],[Pre or Post]]="Pre",IF(IF(Table1[[#This Row],[Response]]="Male",0,1)+IF(Table1[[#This Row],[Response]]="Female",0,1)=2,E321,Table1[[#This Row],[Response]]),"")</f>
        <v/>
      </c>
      <c r="F322" s="1">
        <v>2</v>
      </c>
      <c r="G322" s="1">
        <v>3</v>
      </c>
      <c r="H322" s="1" t="s">
        <v>8</v>
      </c>
      <c r="I32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2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2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23" spans="1:11">
      <c r="A323" s="1" t="s">
        <v>12</v>
      </c>
      <c r="B323" s="1" t="s">
        <v>10</v>
      </c>
      <c r="C323" s="1">
        <v>16</v>
      </c>
      <c r="D323" s="1" t="s">
        <v>16</v>
      </c>
      <c r="E323" s="5" t="str">
        <f>IF(Table1[[#This Row],[Pre or Post]]="Pre",IF(IF(Table1[[#This Row],[Response]]="Male",0,1)+IF(Table1[[#This Row],[Response]]="Female",0,1)=2,E322,Table1[[#This Row],[Response]]),"")</f>
        <v/>
      </c>
      <c r="F323" s="1">
        <v>3</v>
      </c>
      <c r="G323" s="1">
        <v>4</v>
      </c>
      <c r="H323" s="1" t="s">
        <v>8</v>
      </c>
      <c r="I32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2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2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24" spans="1:11">
      <c r="A324" s="1" t="s">
        <v>12</v>
      </c>
      <c r="B324" s="1" t="s">
        <v>10</v>
      </c>
      <c r="C324" s="1">
        <v>16</v>
      </c>
      <c r="D324" s="1" t="s">
        <v>16</v>
      </c>
      <c r="E324" s="5" t="str">
        <f>IF(Table1[[#This Row],[Pre or Post]]="Pre",IF(IF(Table1[[#This Row],[Response]]="Male",0,1)+IF(Table1[[#This Row],[Response]]="Female",0,1)=2,E323,Table1[[#This Row],[Response]]),"")</f>
        <v/>
      </c>
      <c r="F324" s="1">
        <v>4</v>
      </c>
      <c r="G324" s="1">
        <v>4</v>
      </c>
      <c r="H324" s="1" t="s">
        <v>8</v>
      </c>
      <c r="I32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2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2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25" spans="1:11">
      <c r="A325" s="1" t="s">
        <v>12</v>
      </c>
      <c r="B325" s="1" t="s">
        <v>10</v>
      </c>
      <c r="C325" s="1">
        <v>16</v>
      </c>
      <c r="D325" s="1" t="s">
        <v>16</v>
      </c>
      <c r="E325" s="5" t="str">
        <f>IF(Table1[[#This Row],[Pre or Post]]="Pre",IF(IF(Table1[[#This Row],[Response]]="Male",0,1)+IF(Table1[[#This Row],[Response]]="Female",0,1)=2,E324,Table1[[#This Row],[Response]]),"")</f>
        <v/>
      </c>
      <c r="F325" s="1">
        <v>5</v>
      </c>
      <c r="G325" s="1">
        <v>4</v>
      </c>
      <c r="H325" s="1" t="s">
        <v>8</v>
      </c>
      <c r="I32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2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2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26" spans="1:11">
      <c r="A326" s="1" t="s">
        <v>12</v>
      </c>
      <c r="B326" s="1" t="s">
        <v>10</v>
      </c>
      <c r="C326" s="1">
        <v>16</v>
      </c>
      <c r="D326" s="1" t="s">
        <v>16</v>
      </c>
      <c r="E326" s="5" t="str">
        <f>IF(Table1[[#This Row],[Pre or Post]]="Pre",IF(IF(Table1[[#This Row],[Response]]="Male",0,1)+IF(Table1[[#This Row],[Response]]="Female",0,1)=2,E325,Table1[[#This Row],[Response]]),"")</f>
        <v/>
      </c>
      <c r="F326" s="1">
        <v>6</v>
      </c>
      <c r="G326" s="1">
        <v>4</v>
      </c>
      <c r="H326" s="1" t="s">
        <v>8</v>
      </c>
      <c r="I32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2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2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27" spans="1:11">
      <c r="A327" s="1" t="s">
        <v>12</v>
      </c>
      <c r="B327" s="1" t="s">
        <v>10</v>
      </c>
      <c r="C327" s="1">
        <v>16</v>
      </c>
      <c r="D327" s="1" t="s">
        <v>16</v>
      </c>
      <c r="E327" s="5" t="str">
        <f>IF(Table1[[#This Row],[Pre or Post]]="Pre",IF(IF(Table1[[#This Row],[Response]]="Male",0,1)+IF(Table1[[#This Row],[Response]]="Female",0,1)=2,E326,Table1[[#This Row],[Response]]),"")</f>
        <v/>
      </c>
      <c r="F327" s="1">
        <v>7</v>
      </c>
      <c r="G327" s="1">
        <v>5</v>
      </c>
      <c r="H327" s="1" t="s">
        <v>8</v>
      </c>
      <c r="I32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2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2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28" spans="1:11">
      <c r="A328" s="1" t="s">
        <v>12</v>
      </c>
      <c r="B328" s="1" t="s">
        <v>10</v>
      </c>
      <c r="C328" s="1">
        <v>16</v>
      </c>
      <c r="D328" s="1" t="s">
        <v>16</v>
      </c>
      <c r="E328" s="5" t="str">
        <f>IF(Table1[[#This Row],[Pre or Post]]="Pre",IF(IF(Table1[[#This Row],[Response]]="Male",0,1)+IF(Table1[[#This Row],[Response]]="Female",0,1)=2,E327,Table1[[#This Row],[Response]]),"")</f>
        <v/>
      </c>
      <c r="F328" s="1">
        <v>8</v>
      </c>
      <c r="G328" s="1" t="s">
        <v>8</v>
      </c>
      <c r="H328" s="1" t="s">
        <v>8</v>
      </c>
      <c r="I32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2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2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29" spans="1:11">
      <c r="A329" s="1" t="s">
        <v>12</v>
      </c>
      <c r="B329" s="1" t="s">
        <v>10</v>
      </c>
      <c r="C329" s="1">
        <v>16</v>
      </c>
      <c r="D329" s="1" t="s">
        <v>16</v>
      </c>
      <c r="E329" s="5" t="str">
        <f>IF(Table1[[#This Row],[Pre or Post]]="Pre",IF(IF(Table1[[#This Row],[Response]]="Male",0,1)+IF(Table1[[#This Row],[Response]]="Female",0,1)=2,E328,Table1[[#This Row],[Response]]),"")</f>
        <v/>
      </c>
      <c r="F329" s="1">
        <v>9</v>
      </c>
      <c r="G329" s="1" t="s">
        <v>17</v>
      </c>
      <c r="H329" s="1" t="s">
        <v>8</v>
      </c>
      <c r="I32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2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2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30" spans="1:11">
      <c r="A330" s="1" t="s">
        <v>12</v>
      </c>
      <c r="B330" s="1" t="s">
        <v>10</v>
      </c>
      <c r="C330" s="1">
        <v>16</v>
      </c>
      <c r="D330" s="1" t="s">
        <v>16</v>
      </c>
      <c r="E330" s="5" t="str">
        <f>IF(Table1[[#This Row],[Pre or Post]]="Pre",IF(IF(Table1[[#This Row],[Response]]="Male",0,1)+IF(Table1[[#This Row],[Response]]="Female",0,1)=2,E329,Table1[[#This Row],[Response]]),"")</f>
        <v/>
      </c>
      <c r="F330" s="1">
        <v>10</v>
      </c>
      <c r="G330" s="1" t="s">
        <v>19</v>
      </c>
      <c r="H330" s="1" t="s">
        <v>8</v>
      </c>
      <c r="I33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3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3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31" spans="1:11">
      <c r="A331" s="1" t="s">
        <v>12</v>
      </c>
      <c r="B331" s="1" t="s">
        <v>10</v>
      </c>
      <c r="C331" s="1">
        <v>16</v>
      </c>
      <c r="D331" s="1" t="s">
        <v>16</v>
      </c>
      <c r="E331" s="5" t="str">
        <f>IF(Table1[[#This Row],[Pre or Post]]="Pre",IF(IF(Table1[[#This Row],[Response]]="Male",0,1)+IF(Table1[[#This Row],[Response]]="Female",0,1)=2,E330,Table1[[#This Row],[Response]]),"")</f>
        <v/>
      </c>
      <c r="F331" s="1">
        <v>11</v>
      </c>
      <c r="G331" s="1" t="s">
        <v>9</v>
      </c>
      <c r="H331" s="1" t="s">
        <v>8</v>
      </c>
      <c r="I33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3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3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32" spans="1:11">
      <c r="A332" s="1" t="s">
        <v>12</v>
      </c>
      <c r="B332" s="1" t="s">
        <v>10</v>
      </c>
      <c r="C332" s="1">
        <v>17</v>
      </c>
      <c r="D332" s="1" t="s">
        <v>16</v>
      </c>
      <c r="E332" s="5" t="str">
        <f>IF(Table1[[#This Row],[Pre or Post]]="Pre",IF(IF(Table1[[#This Row],[Response]]="Male",0,1)+IF(Table1[[#This Row],[Response]]="Female",0,1)=2,E331,Table1[[#This Row],[Response]]),"")</f>
        <v/>
      </c>
      <c r="F332" s="1">
        <v>2</v>
      </c>
      <c r="G332" s="1">
        <v>3</v>
      </c>
      <c r="H332" s="1" t="s">
        <v>8</v>
      </c>
      <c r="I33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3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3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33" spans="1:11">
      <c r="A333" s="1" t="s">
        <v>12</v>
      </c>
      <c r="B333" s="1" t="s">
        <v>10</v>
      </c>
      <c r="C333" s="1">
        <v>17</v>
      </c>
      <c r="D333" s="1" t="s">
        <v>16</v>
      </c>
      <c r="E333" s="5" t="str">
        <f>IF(Table1[[#This Row],[Pre or Post]]="Pre",IF(IF(Table1[[#This Row],[Response]]="Male",0,1)+IF(Table1[[#This Row],[Response]]="Female",0,1)=2,E332,Table1[[#This Row],[Response]]),"")</f>
        <v/>
      </c>
      <c r="F333" s="1">
        <v>3</v>
      </c>
      <c r="G333" s="1">
        <v>5</v>
      </c>
      <c r="H333" s="1" t="s">
        <v>8</v>
      </c>
      <c r="I33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3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3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34" spans="1:11">
      <c r="A334" s="1" t="s">
        <v>12</v>
      </c>
      <c r="B334" s="1" t="s">
        <v>10</v>
      </c>
      <c r="C334" s="1">
        <v>17</v>
      </c>
      <c r="D334" s="1" t="s">
        <v>16</v>
      </c>
      <c r="E334" s="5" t="str">
        <f>IF(Table1[[#This Row],[Pre or Post]]="Pre",IF(IF(Table1[[#This Row],[Response]]="Male",0,1)+IF(Table1[[#This Row],[Response]]="Female",0,1)=2,E333,Table1[[#This Row],[Response]]),"")</f>
        <v/>
      </c>
      <c r="F334" s="1">
        <v>4</v>
      </c>
      <c r="G334" s="1">
        <v>4</v>
      </c>
      <c r="H334" s="1" t="s">
        <v>8</v>
      </c>
      <c r="I33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3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3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35" spans="1:11">
      <c r="A335" s="1" t="s">
        <v>12</v>
      </c>
      <c r="B335" s="1" t="s">
        <v>10</v>
      </c>
      <c r="C335" s="1">
        <v>17</v>
      </c>
      <c r="D335" s="1" t="s">
        <v>16</v>
      </c>
      <c r="E335" s="5" t="str">
        <f>IF(Table1[[#This Row],[Pre or Post]]="Pre",IF(IF(Table1[[#This Row],[Response]]="Male",0,1)+IF(Table1[[#This Row],[Response]]="Female",0,1)=2,E334,Table1[[#This Row],[Response]]),"")</f>
        <v/>
      </c>
      <c r="F335" s="1">
        <v>5</v>
      </c>
      <c r="G335" s="1">
        <v>5</v>
      </c>
      <c r="H335" s="1" t="s">
        <v>8</v>
      </c>
      <c r="I33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3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3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36" spans="1:11">
      <c r="A336" s="1" t="s">
        <v>12</v>
      </c>
      <c r="B336" s="1" t="s">
        <v>10</v>
      </c>
      <c r="C336" s="1">
        <v>17</v>
      </c>
      <c r="D336" s="1" t="s">
        <v>16</v>
      </c>
      <c r="E336" s="5" t="str">
        <f>IF(Table1[[#This Row],[Pre or Post]]="Pre",IF(IF(Table1[[#This Row],[Response]]="Male",0,1)+IF(Table1[[#This Row],[Response]]="Female",0,1)=2,E335,Table1[[#This Row],[Response]]),"")</f>
        <v/>
      </c>
      <c r="F336" s="1">
        <v>6</v>
      </c>
      <c r="G336" s="1">
        <v>4</v>
      </c>
      <c r="H336" s="1" t="s">
        <v>8</v>
      </c>
      <c r="I33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3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3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37" spans="1:11">
      <c r="A337" s="1" t="s">
        <v>12</v>
      </c>
      <c r="B337" s="1" t="s">
        <v>10</v>
      </c>
      <c r="C337" s="1">
        <v>17</v>
      </c>
      <c r="D337" s="1" t="s">
        <v>16</v>
      </c>
      <c r="E337" s="5" t="str">
        <f>IF(Table1[[#This Row],[Pre or Post]]="Pre",IF(IF(Table1[[#This Row],[Response]]="Male",0,1)+IF(Table1[[#This Row],[Response]]="Female",0,1)=2,E336,Table1[[#This Row],[Response]]),"")</f>
        <v/>
      </c>
      <c r="F337" s="1">
        <v>7</v>
      </c>
      <c r="G337" s="1">
        <v>5</v>
      </c>
      <c r="H337" s="1" t="s">
        <v>8</v>
      </c>
      <c r="I33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3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3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38" spans="1:11">
      <c r="A338" s="1" t="s">
        <v>12</v>
      </c>
      <c r="B338" s="1" t="s">
        <v>10</v>
      </c>
      <c r="C338" s="1">
        <v>17</v>
      </c>
      <c r="D338" s="1" t="s">
        <v>16</v>
      </c>
      <c r="E338" s="5" t="str">
        <f>IF(Table1[[#This Row],[Pre or Post]]="Pre",IF(IF(Table1[[#This Row],[Response]]="Male",0,1)+IF(Table1[[#This Row],[Response]]="Female",0,1)=2,E337,Table1[[#This Row],[Response]]),"")</f>
        <v/>
      </c>
      <c r="F338" s="1">
        <v>8</v>
      </c>
      <c r="G338" s="1" t="s">
        <v>8</v>
      </c>
      <c r="H338" s="1" t="s">
        <v>8</v>
      </c>
      <c r="I33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3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3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39" spans="1:11">
      <c r="A339" s="1" t="s">
        <v>12</v>
      </c>
      <c r="B339" s="1" t="s">
        <v>10</v>
      </c>
      <c r="C339" s="1">
        <v>17</v>
      </c>
      <c r="D339" s="1" t="s">
        <v>16</v>
      </c>
      <c r="E339" s="5" t="str">
        <f>IF(Table1[[#This Row],[Pre or Post]]="Pre",IF(IF(Table1[[#This Row],[Response]]="Male",0,1)+IF(Table1[[#This Row],[Response]]="Female",0,1)=2,E338,Table1[[#This Row],[Response]]),"")</f>
        <v/>
      </c>
      <c r="F339" s="1">
        <v>9</v>
      </c>
      <c r="G339" s="1" t="s">
        <v>17</v>
      </c>
      <c r="H339" s="1" t="s">
        <v>8</v>
      </c>
      <c r="I33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3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3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40" spans="1:11">
      <c r="A340" s="1" t="s">
        <v>12</v>
      </c>
      <c r="B340" s="1" t="s">
        <v>10</v>
      </c>
      <c r="C340" s="1">
        <v>17</v>
      </c>
      <c r="D340" s="1" t="s">
        <v>16</v>
      </c>
      <c r="E340" s="5" t="str">
        <f>IF(Table1[[#This Row],[Pre or Post]]="Pre",IF(IF(Table1[[#This Row],[Response]]="Male",0,1)+IF(Table1[[#This Row],[Response]]="Female",0,1)=2,E339,Table1[[#This Row],[Response]]),"")</f>
        <v/>
      </c>
      <c r="F340" s="1">
        <v>10</v>
      </c>
      <c r="G340" s="1" t="s">
        <v>18</v>
      </c>
      <c r="H340" s="1" t="s">
        <v>8</v>
      </c>
      <c r="I34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4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4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41" spans="1:11">
      <c r="A341" s="1" t="s">
        <v>12</v>
      </c>
      <c r="B341" s="1" t="s">
        <v>10</v>
      </c>
      <c r="C341" s="1">
        <v>17</v>
      </c>
      <c r="D341" s="1" t="s">
        <v>16</v>
      </c>
      <c r="E341" s="5" t="str">
        <f>IF(Table1[[#This Row],[Pre or Post]]="Pre",IF(IF(Table1[[#This Row],[Response]]="Male",0,1)+IF(Table1[[#This Row],[Response]]="Female",0,1)=2,E340,Table1[[#This Row],[Response]]),"")</f>
        <v/>
      </c>
      <c r="F341" s="1">
        <v>11</v>
      </c>
      <c r="G341" s="1" t="s">
        <v>9</v>
      </c>
      <c r="H341" s="1" t="s">
        <v>8</v>
      </c>
      <c r="I34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4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4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42" spans="1:11">
      <c r="A342" s="1" t="s">
        <v>12</v>
      </c>
      <c r="B342" s="1" t="s">
        <v>10</v>
      </c>
      <c r="C342" s="1">
        <v>18</v>
      </c>
      <c r="D342" s="1" t="s">
        <v>16</v>
      </c>
      <c r="E342" s="5" t="str">
        <f>IF(Table1[[#This Row],[Pre or Post]]="Pre",IF(IF(Table1[[#This Row],[Response]]="Male",0,1)+IF(Table1[[#This Row],[Response]]="Female",0,1)=2,E341,Table1[[#This Row],[Response]]),"")</f>
        <v/>
      </c>
      <c r="F342" s="1">
        <v>2</v>
      </c>
      <c r="G342" s="1">
        <v>3</v>
      </c>
      <c r="H342" s="1" t="s">
        <v>9</v>
      </c>
      <c r="I34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4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4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43" spans="1:11">
      <c r="A343" s="1" t="s">
        <v>12</v>
      </c>
      <c r="B343" s="1" t="s">
        <v>10</v>
      </c>
      <c r="C343" s="1">
        <v>18</v>
      </c>
      <c r="D343" s="1" t="s">
        <v>16</v>
      </c>
      <c r="E343" s="5" t="str">
        <f>IF(Table1[[#This Row],[Pre or Post]]="Pre",IF(IF(Table1[[#This Row],[Response]]="Male",0,1)+IF(Table1[[#This Row],[Response]]="Female",0,1)=2,E342,Table1[[#This Row],[Response]]),"")</f>
        <v/>
      </c>
      <c r="F343" s="1">
        <v>3</v>
      </c>
      <c r="G343" s="1">
        <v>4</v>
      </c>
      <c r="H343" s="1" t="s">
        <v>9</v>
      </c>
      <c r="I34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4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4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44" spans="1:11">
      <c r="A344" s="1" t="s">
        <v>12</v>
      </c>
      <c r="B344" s="1" t="s">
        <v>10</v>
      </c>
      <c r="C344" s="1">
        <v>18</v>
      </c>
      <c r="D344" s="1" t="s">
        <v>16</v>
      </c>
      <c r="E344" s="5" t="str">
        <f>IF(Table1[[#This Row],[Pre or Post]]="Pre",IF(IF(Table1[[#This Row],[Response]]="Male",0,1)+IF(Table1[[#This Row],[Response]]="Female",0,1)=2,E343,Table1[[#This Row],[Response]]),"")</f>
        <v/>
      </c>
      <c r="F344" s="1">
        <v>4</v>
      </c>
      <c r="G344" s="1">
        <v>3</v>
      </c>
      <c r="H344" s="1" t="s">
        <v>9</v>
      </c>
      <c r="I34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4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4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45" spans="1:11">
      <c r="A345" s="1" t="s">
        <v>12</v>
      </c>
      <c r="B345" s="1" t="s">
        <v>10</v>
      </c>
      <c r="C345" s="1">
        <v>18</v>
      </c>
      <c r="D345" s="1" t="s">
        <v>16</v>
      </c>
      <c r="E345" s="5" t="str">
        <f>IF(Table1[[#This Row],[Pre or Post]]="Pre",IF(IF(Table1[[#This Row],[Response]]="Male",0,1)+IF(Table1[[#This Row],[Response]]="Female",0,1)=2,E344,Table1[[#This Row],[Response]]),"")</f>
        <v/>
      </c>
      <c r="F345" s="1">
        <v>5</v>
      </c>
      <c r="G345" s="1">
        <v>4</v>
      </c>
      <c r="H345" s="1" t="s">
        <v>9</v>
      </c>
      <c r="I34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4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4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46" spans="1:11">
      <c r="A346" s="1" t="s">
        <v>12</v>
      </c>
      <c r="B346" s="1" t="s">
        <v>10</v>
      </c>
      <c r="C346" s="1">
        <v>18</v>
      </c>
      <c r="D346" s="1" t="s">
        <v>16</v>
      </c>
      <c r="E346" s="5" t="str">
        <f>IF(Table1[[#This Row],[Pre or Post]]="Pre",IF(IF(Table1[[#This Row],[Response]]="Male",0,1)+IF(Table1[[#This Row],[Response]]="Female",0,1)=2,E345,Table1[[#This Row],[Response]]),"")</f>
        <v/>
      </c>
      <c r="F346" s="1">
        <v>6</v>
      </c>
      <c r="G346" s="1">
        <v>5</v>
      </c>
      <c r="H346" s="1" t="s">
        <v>9</v>
      </c>
      <c r="I34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4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4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47" spans="1:11">
      <c r="A347" s="1" t="s">
        <v>12</v>
      </c>
      <c r="B347" s="1" t="s">
        <v>10</v>
      </c>
      <c r="C347" s="1">
        <v>18</v>
      </c>
      <c r="D347" s="1" t="s">
        <v>16</v>
      </c>
      <c r="E347" s="5" t="str">
        <f>IF(Table1[[#This Row],[Pre or Post]]="Pre",IF(IF(Table1[[#This Row],[Response]]="Male",0,1)+IF(Table1[[#This Row],[Response]]="Female",0,1)=2,E346,Table1[[#This Row],[Response]]),"")</f>
        <v/>
      </c>
      <c r="F347" s="1">
        <v>7</v>
      </c>
      <c r="G347" s="1">
        <v>4</v>
      </c>
      <c r="H347" s="1" t="s">
        <v>9</v>
      </c>
      <c r="I34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4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4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48" spans="1:11">
      <c r="A348" s="1" t="s">
        <v>12</v>
      </c>
      <c r="B348" s="1" t="s">
        <v>10</v>
      </c>
      <c r="C348" s="1">
        <v>18</v>
      </c>
      <c r="D348" s="1" t="s">
        <v>16</v>
      </c>
      <c r="E348" s="5" t="str">
        <f>IF(Table1[[#This Row],[Pre or Post]]="Pre",IF(IF(Table1[[#This Row],[Response]]="Male",0,1)+IF(Table1[[#This Row],[Response]]="Female",0,1)=2,E347,Table1[[#This Row],[Response]]),"")</f>
        <v/>
      </c>
      <c r="F348" s="1">
        <v>8</v>
      </c>
      <c r="G348" s="1" t="s">
        <v>8</v>
      </c>
      <c r="H348" s="1" t="s">
        <v>9</v>
      </c>
      <c r="I34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4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4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49" spans="1:11">
      <c r="A349" s="1" t="s">
        <v>12</v>
      </c>
      <c r="B349" s="1" t="s">
        <v>10</v>
      </c>
      <c r="C349" s="1">
        <v>18</v>
      </c>
      <c r="D349" s="1" t="s">
        <v>16</v>
      </c>
      <c r="E349" s="5" t="str">
        <f>IF(Table1[[#This Row],[Pre or Post]]="Pre",IF(IF(Table1[[#This Row],[Response]]="Male",0,1)+IF(Table1[[#This Row],[Response]]="Female",0,1)=2,E348,Table1[[#This Row],[Response]]),"")</f>
        <v/>
      </c>
      <c r="F349" s="1">
        <v>9</v>
      </c>
      <c r="G349" s="1" t="s">
        <v>17</v>
      </c>
      <c r="H349" s="1" t="s">
        <v>9</v>
      </c>
      <c r="I34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4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4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50" spans="1:11">
      <c r="A350" s="1" t="s">
        <v>12</v>
      </c>
      <c r="B350" s="1" t="s">
        <v>10</v>
      </c>
      <c r="C350" s="1">
        <v>18</v>
      </c>
      <c r="D350" s="1" t="s">
        <v>16</v>
      </c>
      <c r="E350" s="5" t="str">
        <f>IF(Table1[[#This Row],[Pre or Post]]="Pre",IF(IF(Table1[[#This Row],[Response]]="Male",0,1)+IF(Table1[[#This Row],[Response]]="Female",0,1)=2,E349,Table1[[#This Row],[Response]]),"")</f>
        <v/>
      </c>
      <c r="F350" s="1">
        <v>10</v>
      </c>
      <c r="G350" s="1" t="s">
        <v>18</v>
      </c>
      <c r="H350" s="1" t="s">
        <v>9</v>
      </c>
      <c r="I35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5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5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51" spans="1:11">
      <c r="A351" s="1" t="s">
        <v>12</v>
      </c>
      <c r="B351" s="1" t="s">
        <v>10</v>
      </c>
      <c r="C351" s="1">
        <v>18</v>
      </c>
      <c r="D351" s="1" t="s">
        <v>16</v>
      </c>
      <c r="E351" s="5" t="str">
        <f>IF(Table1[[#This Row],[Pre or Post]]="Pre",IF(IF(Table1[[#This Row],[Response]]="Male",0,1)+IF(Table1[[#This Row],[Response]]="Female",0,1)=2,E350,Table1[[#This Row],[Response]]),"")</f>
        <v/>
      </c>
      <c r="F351" s="2">
        <v>11</v>
      </c>
      <c r="G351" s="1" t="s">
        <v>9</v>
      </c>
      <c r="H351" s="1" t="s">
        <v>9</v>
      </c>
      <c r="I35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5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11:00AM</v>
      </c>
      <c r="K35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Carly</v>
      </c>
    </row>
    <row r="352" spans="1:11">
      <c r="A352" s="2" t="s">
        <v>12</v>
      </c>
      <c r="B352" s="2" t="s">
        <v>21</v>
      </c>
      <c r="C352" s="1">
        <v>1</v>
      </c>
      <c r="D352" s="2" t="s">
        <v>6</v>
      </c>
      <c r="E352" s="5" t="str">
        <f>IF(Table1[[#This Row],[Pre or Post]]="Pre",IF(IF(Table1[[#This Row],[Response]]="Male",0,1)+IF(Table1[[#This Row],[Response]]="Female",0,1)=2,E351,Table1[[#This Row],[Response]]),"")</f>
        <v>Female</v>
      </c>
      <c r="F352" s="1">
        <v>2</v>
      </c>
      <c r="G352" s="2" t="s">
        <v>13</v>
      </c>
      <c r="H352" s="2" t="s">
        <v>8</v>
      </c>
      <c r="I35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5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5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53" spans="1:11">
      <c r="A353" s="2" t="s">
        <v>12</v>
      </c>
      <c r="B353" s="2" t="s">
        <v>21</v>
      </c>
      <c r="C353" s="1">
        <v>1</v>
      </c>
      <c r="D353" s="2" t="s">
        <v>6</v>
      </c>
      <c r="E353" s="5" t="str">
        <f>IF(Table1[[#This Row],[Pre or Post]]="Pre",IF(IF(Table1[[#This Row],[Response]]="Male",0,1)+IF(Table1[[#This Row],[Response]]="Female",0,1)=2,E352,Table1[[#This Row],[Response]]),"")</f>
        <v>Female</v>
      </c>
      <c r="F353" s="1">
        <v>3</v>
      </c>
      <c r="G353" s="1" t="s">
        <v>8</v>
      </c>
      <c r="H353" s="2" t="s">
        <v>8</v>
      </c>
      <c r="I35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5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5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54" spans="1:11">
      <c r="A354" s="2" t="s">
        <v>12</v>
      </c>
      <c r="B354" s="2" t="s">
        <v>21</v>
      </c>
      <c r="C354" s="1">
        <v>1</v>
      </c>
      <c r="D354" s="2" t="s">
        <v>6</v>
      </c>
      <c r="E354" s="5" t="str">
        <f>IF(Table1[[#This Row],[Pre or Post]]="Pre",IF(IF(Table1[[#This Row],[Response]]="Male",0,1)+IF(Table1[[#This Row],[Response]]="Female",0,1)=2,E353,Table1[[#This Row],[Response]]),"")</f>
        <v>Female</v>
      </c>
      <c r="F354" s="1">
        <v>4</v>
      </c>
      <c r="G354" s="1" t="s">
        <v>8</v>
      </c>
      <c r="H354" s="2" t="s">
        <v>8</v>
      </c>
      <c r="I35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5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5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55" spans="1:11">
      <c r="A355" s="2" t="s">
        <v>12</v>
      </c>
      <c r="B355" s="2" t="s">
        <v>21</v>
      </c>
      <c r="C355" s="1">
        <v>1</v>
      </c>
      <c r="D355" s="2" t="s">
        <v>6</v>
      </c>
      <c r="E355" s="5" t="str">
        <f>IF(Table1[[#This Row],[Pre or Post]]="Pre",IF(IF(Table1[[#This Row],[Response]]="Male",0,1)+IF(Table1[[#This Row],[Response]]="Female",0,1)=2,E354,Table1[[#This Row],[Response]]),"")</f>
        <v>Female</v>
      </c>
      <c r="F355" s="1">
        <v>5</v>
      </c>
      <c r="G355" s="1" t="s">
        <v>8</v>
      </c>
      <c r="H355" s="2" t="s">
        <v>8</v>
      </c>
      <c r="I35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5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5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56" spans="1:11">
      <c r="A356" s="2" t="s">
        <v>12</v>
      </c>
      <c r="B356" s="2" t="s">
        <v>21</v>
      </c>
      <c r="C356" s="1">
        <v>1</v>
      </c>
      <c r="D356" s="2" t="s">
        <v>6</v>
      </c>
      <c r="E356" s="5" t="str">
        <f>IF(Table1[[#This Row],[Pre or Post]]="Pre",IF(IF(Table1[[#This Row],[Response]]="Male",0,1)+IF(Table1[[#This Row],[Response]]="Female",0,1)=2,E355,Table1[[#This Row],[Response]]),"")</f>
        <v>Female</v>
      </c>
      <c r="F356" s="1">
        <v>6</v>
      </c>
      <c r="G356" s="1" t="s">
        <v>8</v>
      </c>
      <c r="H356" s="2" t="s">
        <v>8</v>
      </c>
      <c r="I35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5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5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57" spans="1:11">
      <c r="A357" s="2" t="s">
        <v>12</v>
      </c>
      <c r="B357" s="2" t="s">
        <v>21</v>
      </c>
      <c r="C357" s="1">
        <v>1</v>
      </c>
      <c r="D357" s="2" t="s">
        <v>6</v>
      </c>
      <c r="E357" s="5" t="str">
        <f>IF(Table1[[#This Row],[Pre or Post]]="Pre",IF(IF(Table1[[#This Row],[Response]]="Male",0,1)+IF(Table1[[#This Row],[Response]]="Female",0,1)=2,E356,Table1[[#This Row],[Response]]),"")</f>
        <v>Female</v>
      </c>
      <c r="F357" s="1">
        <v>7</v>
      </c>
      <c r="G357" s="1" t="s">
        <v>8</v>
      </c>
      <c r="H357" s="2" t="s">
        <v>8</v>
      </c>
      <c r="I35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5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5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58" spans="1:11">
      <c r="A358" s="2" t="s">
        <v>12</v>
      </c>
      <c r="B358" s="2" t="s">
        <v>21</v>
      </c>
      <c r="C358" s="1">
        <v>1</v>
      </c>
      <c r="D358" s="2" t="s">
        <v>6</v>
      </c>
      <c r="E358" s="5" t="str">
        <f>IF(Table1[[#This Row],[Pre or Post]]="Pre",IF(IF(Table1[[#This Row],[Response]]="Male",0,1)+IF(Table1[[#This Row],[Response]]="Female",0,1)=2,E357,Table1[[#This Row],[Response]]),"")</f>
        <v>Female</v>
      </c>
      <c r="F358" s="1">
        <v>8</v>
      </c>
      <c r="G358" s="1"/>
      <c r="H358" s="2" t="s">
        <v>8</v>
      </c>
      <c r="I35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5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5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59" spans="1:11">
      <c r="A359" s="2" t="s">
        <v>12</v>
      </c>
      <c r="B359" s="2" t="s">
        <v>21</v>
      </c>
      <c r="C359" s="1">
        <v>1</v>
      </c>
      <c r="D359" s="2" t="s">
        <v>6</v>
      </c>
      <c r="E359" s="5" t="str">
        <f>IF(Table1[[#This Row],[Pre or Post]]="Pre",IF(IF(Table1[[#This Row],[Response]]="Male",0,1)+IF(Table1[[#This Row],[Response]]="Female",0,1)=2,E358,Table1[[#This Row],[Response]]),"")</f>
        <v>Female</v>
      </c>
      <c r="F359" s="1">
        <v>9</v>
      </c>
      <c r="G359" s="1">
        <v>3</v>
      </c>
      <c r="H359" s="2" t="s">
        <v>8</v>
      </c>
      <c r="I35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5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5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60" spans="1:11">
      <c r="A360" s="2" t="s">
        <v>12</v>
      </c>
      <c r="B360" s="2" t="s">
        <v>21</v>
      </c>
      <c r="C360" s="1">
        <v>1</v>
      </c>
      <c r="D360" s="2" t="s">
        <v>6</v>
      </c>
      <c r="E360" s="5" t="str">
        <f>IF(Table1[[#This Row],[Pre or Post]]="Pre",IF(IF(Table1[[#This Row],[Response]]="Male",0,1)+IF(Table1[[#This Row],[Response]]="Female",0,1)=2,E359,Table1[[#This Row],[Response]]),"")</f>
        <v>Female</v>
      </c>
      <c r="F360" s="1">
        <v>10</v>
      </c>
      <c r="G360" s="1">
        <v>4</v>
      </c>
      <c r="H360" s="2" t="s">
        <v>8</v>
      </c>
      <c r="I36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6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6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61" spans="1:11">
      <c r="A361" s="2" t="s">
        <v>12</v>
      </c>
      <c r="B361" s="2" t="s">
        <v>21</v>
      </c>
      <c r="C361" s="1">
        <v>1</v>
      </c>
      <c r="D361" s="2" t="s">
        <v>6</v>
      </c>
      <c r="E361" s="5" t="str">
        <f>IF(Table1[[#This Row],[Pre or Post]]="Pre",IF(IF(Table1[[#This Row],[Response]]="Male",0,1)+IF(Table1[[#This Row],[Response]]="Female",0,1)=2,E360,Table1[[#This Row],[Response]]),"")</f>
        <v>Female</v>
      </c>
      <c r="F361" s="1">
        <v>11</v>
      </c>
      <c r="G361" s="1">
        <v>4</v>
      </c>
      <c r="H361" s="2" t="s">
        <v>8</v>
      </c>
      <c r="I36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6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6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62" spans="1:11">
      <c r="A362" s="2" t="s">
        <v>12</v>
      </c>
      <c r="B362" s="2" t="s">
        <v>21</v>
      </c>
      <c r="C362" s="1">
        <v>2</v>
      </c>
      <c r="D362" s="2" t="s">
        <v>6</v>
      </c>
      <c r="E362" s="5" t="str">
        <f>IF(Table1[[#This Row],[Pre or Post]]="Pre",IF(IF(Table1[[#This Row],[Response]]="Male",0,1)+IF(Table1[[#This Row],[Response]]="Female",0,1)=2,E361,Table1[[#This Row],[Response]]),"")</f>
        <v>Male</v>
      </c>
      <c r="F362" s="1">
        <v>2</v>
      </c>
      <c r="G362" s="1" t="s">
        <v>7</v>
      </c>
      <c r="H362" s="2" t="s">
        <v>8</v>
      </c>
      <c r="I36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6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6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63" spans="1:11">
      <c r="A363" s="2" t="s">
        <v>12</v>
      </c>
      <c r="B363" s="2" t="s">
        <v>21</v>
      </c>
      <c r="C363" s="1">
        <v>2</v>
      </c>
      <c r="D363" s="2" t="s">
        <v>6</v>
      </c>
      <c r="E363" s="5" t="str">
        <f>IF(Table1[[#This Row],[Pre or Post]]="Pre",IF(IF(Table1[[#This Row],[Response]]="Male",0,1)+IF(Table1[[#This Row],[Response]]="Female",0,1)=2,E362,Table1[[#This Row],[Response]]),"")</f>
        <v>Male</v>
      </c>
      <c r="F363" s="1">
        <v>3</v>
      </c>
      <c r="G363" s="1" t="s">
        <v>8</v>
      </c>
      <c r="H363" s="2" t="s">
        <v>8</v>
      </c>
      <c r="I36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6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6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64" spans="1:11">
      <c r="A364" s="2" t="s">
        <v>12</v>
      </c>
      <c r="B364" s="2" t="s">
        <v>21</v>
      </c>
      <c r="C364" s="1">
        <v>2</v>
      </c>
      <c r="D364" s="2" t="s">
        <v>6</v>
      </c>
      <c r="E364" s="5" t="str">
        <f>IF(Table1[[#This Row],[Pre or Post]]="Pre",IF(IF(Table1[[#This Row],[Response]]="Male",0,1)+IF(Table1[[#This Row],[Response]]="Female",0,1)=2,E363,Table1[[#This Row],[Response]]),"")</f>
        <v>Male</v>
      </c>
      <c r="F364" s="1">
        <v>4</v>
      </c>
      <c r="G364" s="1" t="s">
        <v>9</v>
      </c>
      <c r="H364" s="2" t="s">
        <v>8</v>
      </c>
      <c r="I36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6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6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65" spans="1:11">
      <c r="A365" s="2" t="s">
        <v>12</v>
      </c>
      <c r="B365" s="2" t="s">
        <v>21</v>
      </c>
      <c r="C365" s="1">
        <v>2</v>
      </c>
      <c r="D365" s="2" t="s">
        <v>6</v>
      </c>
      <c r="E365" s="5" t="str">
        <f>IF(Table1[[#This Row],[Pre or Post]]="Pre",IF(IF(Table1[[#This Row],[Response]]="Male",0,1)+IF(Table1[[#This Row],[Response]]="Female",0,1)=2,E364,Table1[[#This Row],[Response]]),"")</f>
        <v>Male</v>
      </c>
      <c r="F365" s="1">
        <v>5</v>
      </c>
      <c r="G365" s="1" t="s">
        <v>8</v>
      </c>
      <c r="H365" s="2" t="s">
        <v>8</v>
      </c>
      <c r="I36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6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6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66" spans="1:11">
      <c r="A366" s="2" t="s">
        <v>12</v>
      </c>
      <c r="B366" s="2" t="s">
        <v>21</v>
      </c>
      <c r="C366" s="1">
        <v>2</v>
      </c>
      <c r="D366" s="2" t="s">
        <v>6</v>
      </c>
      <c r="E366" s="5" t="str">
        <f>IF(Table1[[#This Row],[Pre or Post]]="Pre",IF(IF(Table1[[#This Row],[Response]]="Male",0,1)+IF(Table1[[#This Row],[Response]]="Female",0,1)=2,E365,Table1[[#This Row],[Response]]),"")</f>
        <v>Male</v>
      </c>
      <c r="F366" s="1">
        <v>6</v>
      </c>
      <c r="G366" s="1" t="s">
        <v>8</v>
      </c>
      <c r="H366" s="2" t="s">
        <v>8</v>
      </c>
      <c r="I36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6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6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67" spans="1:11">
      <c r="A367" s="2" t="s">
        <v>12</v>
      </c>
      <c r="B367" s="2" t="s">
        <v>21</v>
      </c>
      <c r="C367" s="1">
        <v>2</v>
      </c>
      <c r="D367" s="2" t="s">
        <v>6</v>
      </c>
      <c r="E367" s="5" t="str">
        <f>IF(Table1[[#This Row],[Pre or Post]]="Pre",IF(IF(Table1[[#This Row],[Response]]="Male",0,1)+IF(Table1[[#This Row],[Response]]="Female",0,1)=2,E366,Table1[[#This Row],[Response]]),"")</f>
        <v>Male</v>
      </c>
      <c r="F367" s="1">
        <v>7</v>
      </c>
      <c r="G367" s="1" t="s">
        <v>9</v>
      </c>
      <c r="H367" s="2" t="s">
        <v>8</v>
      </c>
      <c r="I36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6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6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68" spans="1:11">
      <c r="A368" s="2" t="s">
        <v>12</v>
      </c>
      <c r="B368" s="2" t="s">
        <v>21</v>
      </c>
      <c r="C368" s="1">
        <v>2</v>
      </c>
      <c r="D368" s="2" t="s">
        <v>6</v>
      </c>
      <c r="E368" s="5" t="str">
        <f>IF(Table1[[#This Row],[Pre or Post]]="Pre",IF(IF(Table1[[#This Row],[Response]]="Male",0,1)+IF(Table1[[#This Row],[Response]]="Female",0,1)=2,E367,Table1[[#This Row],[Response]]),"")</f>
        <v>Male</v>
      </c>
      <c r="F368" s="1">
        <v>8</v>
      </c>
      <c r="G368" s="1"/>
      <c r="H368" s="2" t="s">
        <v>8</v>
      </c>
      <c r="I36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6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6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69" spans="1:11">
      <c r="A369" s="2" t="s">
        <v>12</v>
      </c>
      <c r="B369" s="2" t="s">
        <v>21</v>
      </c>
      <c r="C369" s="1">
        <v>2</v>
      </c>
      <c r="D369" s="2" t="s">
        <v>6</v>
      </c>
      <c r="E369" s="5" t="str">
        <f>IF(Table1[[#This Row],[Pre or Post]]="Pre",IF(IF(Table1[[#This Row],[Response]]="Male",0,1)+IF(Table1[[#This Row],[Response]]="Female",0,1)=2,E368,Table1[[#This Row],[Response]]),"")</f>
        <v>Male</v>
      </c>
      <c r="F369" s="1">
        <v>9</v>
      </c>
      <c r="G369" s="1">
        <v>2</v>
      </c>
      <c r="H369" s="2" t="s">
        <v>8</v>
      </c>
      <c r="I36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6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6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70" spans="1:11">
      <c r="A370" s="2" t="s">
        <v>12</v>
      </c>
      <c r="B370" s="2" t="s">
        <v>21</v>
      </c>
      <c r="C370" s="1">
        <v>2</v>
      </c>
      <c r="D370" s="2" t="s">
        <v>6</v>
      </c>
      <c r="E370" s="5" t="str">
        <f>IF(Table1[[#This Row],[Pre or Post]]="Pre",IF(IF(Table1[[#This Row],[Response]]="Male",0,1)+IF(Table1[[#This Row],[Response]]="Female",0,1)=2,E369,Table1[[#This Row],[Response]]),"")</f>
        <v>Male</v>
      </c>
      <c r="F370" s="1">
        <v>10</v>
      </c>
      <c r="G370" s="1">
        <v>3</v>
      </c>
      <c r="H370" s="2" t="s">
        <v>8</v>
      </c>
      <c r="I37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7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7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71" spans="1:11">
      <c r="A371" s="2" t="s">
        <v>12</v>
      </c>
      <c r="B371" s="2" t="s">
        <v>21</v>
      </c>
      <c r="C371" s="1">
        <v>2</v>
      </c>
      <c r="D371" s="2" t="s">
        <v>6</v>
      </c>
      <c r="E371" s="5" t="str">
        <f>IF(Table1[[#This Row],[Pre or Post]]="Pre",IF(IF(Table1[[#This Row],[Response]]="Male",0,1)+IF(Table1[[#This Row],[Response]]="Female",0,1)=2,E370,Table1[[#This Row],[Response]]),"")</f>
        <v>Male</v>
      </c>
      <c r="F371" s="1">
        <v>11</v>
      </c>
      <c r="G371" s="1">
        <v>4</v>
      </c>
      <c r="H371" s="2" t="s">
        <v>8</v>
      </c>
      <c r="I37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7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7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72" spans="1:11">
      <c r="A372" s="2" t="s">
        <v>12</v>
      </c>
      <c r="B372" s="2" t="s">
        <v>21</v>
      </c>
      <c r="C372" s="1">
        <v>3</v>
      </c>
      <c r="D372" s="2" t="s">
        <v>6</v>
      </c>
      <c r="E372" s="5" t="str">
        <f>IF(Table1[[#This Row],[Pre or Post]]="Pre",IF(IF(Table1[[#This Row],[Response]]="Male",0,1)+IF(Table1[[#This Row],[Response]]="Female",0,1)=2,E371,Table1[[#This Row],[Response]]),"")</f>
        <v>Male</v>
      </c>
      <c r="F372" s="1">
        <v>2</v>
      </c>
      <c r="G372" s="1" t="s">
        <v>7</v>
      </c>
      <c r="H372" s="2" t="s">
        <v>8</v>
      </c>
      <c r="I37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7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7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73" spans="1:11">
      <c r="A373" s="2" t="s">
        <v>12</v>
      </c>
      <c r="B373" s="2" t="s">
        <v>21</v>
      </c>
      <c r="C373" s="1">
        <v>3</v>
      </c>
      <c r="D373" s="2" t="s">
        <v>6</v>
      </c>
      <c r="E373" s="5" t="str">
        <f>IF(Table1[[#This Row],[Pre or Post]]="Pre",IF(IF(Table1[[#This Row],[Response]]="Male",0,1)+IF(Table1[[#This Row],[Response]]="Female",0,1)=2,E372,Table1[[#This Row],[Response]]),"")</f>
        <v>Male</v>
      </c>
      <c r="F373" s="1">
        <v>3</v>
      </c>
      <c r="G373" s="1" t="s">
        <v>8</v>
      </c>
      <c r="H373" s="2" t="s">
        <v>8</v>
      </c>
      <c r="I37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7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7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74" spans="1:11">
      <c r="A374" s="2" t="s">
        <v>12</v>
      </c>
      <c r="B374" s="2" t="s">
        <v>21</v>
      </c>
      <c r="C374" s="1">
        <v>3</v>
      </c>
      <c r="D374" s="2" t="s">
        <v>6</v>
      </c>
      <c r="E374" s="5" t="str">
        <f>IF(Table1[[#This Row],[Pre or Post]]="Pre",IF(IF(Table1[[#This Row],[Response]]="Male",0,1)+IF(Table1[[#This Row],[Response]]="Female",0,1)=2,E373,Table1[[#This Row],[Response]]),"")</f>
        <v>Male</v>
      </c>
      <c r="F374" s="1">
        <v>4</v>
      </c>
      <c r="G374" s="1" t="s">
        <v>9</v>
      </c>
      <c r="H374" s="2" t="s">
        <v>8</v>
      </c>
      <c r="I37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7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7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75" spans="1:11">
      <c r="A375" s="2" t="s">
        <v>12</v>
      </c>
      <c r="B375" s="2" t="s">
        <v>21</v>
      </c>
      <c r="C375" s="1">
        <v>3</v>
      </c>
      <c r="D375" s="2" t="s">
        <v>6</v>
      </c>
      <c r="E375" s="5" t="str">
        <f>IF(Table1[[#This Row],[Pre or Post]]="Pre",IF(IF(Table1[[#This Row],[Response]]="Male",0,1)+IF(Table1[[#This Row],[Response]]="Female",0,1)=2,E374,Table1[[#This Row],[Response]]),"")</f>
        <v>Male</v>
      </c>
      <c r="F375" s="1">
        <v>5</v>
      </c>
      <c r="G375" s="1" t="s">
        <v>8</v>
      </c>
      <c r="H375" s="2" t="s">
        <v>8</v>
      </c>
      <c r="I37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7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7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76" spans="1:11">
      <c r="A376" s="2" t="s">
        <v>12</v>
      </c>
      <c r="B376" s="2" t="s">
        <v>21</v>
      </c>
      <c r="C376" s="1">
        <v>3</v>
      </c>
      <c r="D376" s="2" t="s">
        <v>6</v>
      </c>
      <c r="E376" s="5" t="str">
        <f>IF(Table1[[#This Row],[Pre or Post]]="Pre",IF(IF(Table1[[#This Row],[Response]]="Male",0,1)+IF(Table1[[#This Row],[Response]]="Female",0,1)=2,E375,Table1[[#This Row],[Response]]),"")</f>
        <v>Male</v>
      </c>
      <c r="F376" s="1">
        <v>6</v>
      </c>
      <c r="G376" s="1" t="s">
        <v>8</v>
      </c>
      <c r="H376" s="2" t="s">
        <v>8</v>
      </c>
      <c r="I37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7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7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77" spans="1:11">
      <c r="A377" s="2" t="s">
        <v>12</v>
      </c>
      <c r="B377" s="2" t="s">
        <v>21</v>
      </c>
      <c r="C377" s="1">
        <v>3</v>
      </c>
      <c r="D377" s="2" t="s">
        <v>6</v>
      </c>
      <c r="E377" s="5" t="str">
        <f>IF(Table1[[#This Row],[Pre or Post]]="Pre",IF(IF(Table1[[#This Row],[Response]]="Male",0,1)+IF(Table1[[#This Row],[Response]]="Female",0,1)=2,E376,Table1[[#This Row],[Response]]),"")</f>
        <v>Male</v>
      </c>
      <c r="F377" s="1">
        <v>7</v>
      </c>
      <c r="G377" s="1" t="s">
        <v>8</v>
      </c>
      <c r="H377" s="2" t="s">
        <v>8</v>
      </c>
      <c r="I37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7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7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78" spans="1:11">
      <c r="A378" s="2" t="s">
        <v>12</v>
      </c>
      <c r="B378" s="2" t="s">
        <v>21</v>
      </c>
      <c r="C378" s="1">
        <v>3</v>
      </c>
      <c r="D378" s="2" t="s">
        <v>6</v>
      </c>
      <c r="E378" s="5" t="str">
        <f>IF(Table1[[#This Row],[Pre or Post]]="Pre",IF(IF(Table1[[#This Row],[Response]]="Male",0,1)+IF(Table1[[#This Row],[Response]]="Female",0,1)=2,E377,Table1[[#This Row],[Response]]),"")</f>
        <v>Male</v>
      </c>
      <c r="F378" s="1">
        <v>8</v>
      </c>
      <c r="G378" s="1"/>
      <c r="H378" s="2" t="s">
        <v>8</v>
      </c>
      <c r="I37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7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7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79" spans="1:11">
      <c r="A379" s="2" t="s">
        <v>12</v>
      </c>
      <c r="B379" s="2" t="s">
        <v>21</v>
      </c>
      <c r="C379" s="1">
        <v>3</v>
      </c>
      <c r="D379" s="2" t="s">
        <v>6</v>
      </c>
      <c r="E379" s="5" t="str">
        <f>IF(Table1[[#This Row],[Pre or Post]]="Pre",IF(IF(Table1[[#This Row],[Response]]="Male",0,1)+IF(Table1[[#This Row],[Response]]="Female",0,1)=2,E378,Table1[[#This Row],[Response]]),"")</f>
        <v>Male</v>
      </c>
      <c r="F379" s="1">
        <v>9</v>
      </c>
      <c r="G379" s="1">
        <v>3</v>
      </c>
      <c r="H379" s="2" t="s">
        <v>8</v>
      </c>
      <c r="I37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7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7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80" spans="1:11">
      <c r="A380" s="2" t="s">
        <v>12</v>
      </c>
      <c r="B380" s="2" t="s">
        <v>21</v>
      </c>
      <c r="C380" s="1">
        <v>3</v>
      </c>
      <c r="D380" s="2" t="s">
        <v>6</v>
      </c>
      <c r="E380" s="5" t="str">
        <f>IF(Table1[[#This Row],[Pre or Post]]="Pre",IF(IF(Table1[[#This Row],[Response]]="Male",0,1)+IF(Table1[[#This Row],[Response]]="Female",0,1)=2,E379,Table1[[#This Row],[Response]]),"")</f>
        <v>Male</v>
      </c>
      <c r="F380" s="1">
        <v>10</v>
      </c>
      <c r="G380" s="1">
        <v>3</v>
      </c>
      <c r="H380" s="2" t="s">
        <v>8</v>
      </c>
      <c r="I38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8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8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81" spans="1:11">
      <c r="A381" s="2" t="s">
        <v>12</v>
      </c>
      <c r="B381" s="2" t="s">
        <v>21</v>
      </c>
      <c r="C381" s="1">
        <v>3</v>
      </c>
      <c r="D381" s="2" t="s">
        <v>6</v>
      </c>
      <c r="E381" s="5" t="str">
        <f>IF(Table1[[#This Row],[Pre or Post]]="Pre",IF(IF(Table1[[#This Row],[Response]]="Male",0,1)+IF(Table1[[#This Row],[Response]]="Female",0,1)=2,E380,Table1[[#This Row],[Response]]),"")</f>
        <v>Male</v>
      </c>
      <c r="F381" s="1">
        <v>11</v>
      </c>
      <c r="G381" s="1">
        <v>3</v>
      </c>
      <c r="H381" s="2" t="s">
        <v>8</v>
      </c>
      <c r="I38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8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8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82" spans="1:11">
      <c r="A382" s="2" t="s">
        <v>12</v>
      </c>
      <c r="B382" s="2" t="s">
        <v>21</v>
      </c>
      <c r="C382" s="1">
        <v>4</v>
      </c>
      <c r="D382" s="2" t="s">
        <v>6</v>
      </c>
      <c r="E382" s="5" t="str">
        <f>IF(Table1[[#This Row],[Pre or Post]]="Pre",IF(IF(Table1[[#This Row],[Response]]="Male",0,1)+IF(Table1[[#This Row],[Response]]="Female",0,1)=2,E381,Table1[[#This Row],[Response]]),"")</f>
        <v>Male</v>
      </c>
      <c r="F382" s="1">
        <v>2</v>
      </c>
      <c r="G382" s="1" t="s">
        <v>7</v>
      </c>
      <c r="H382" s="2" t="s">
        <v>8</v>
      </c>
      <c r="I38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8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8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83" spans="1:11">
      <c r="A383" s="2" t="s">
        <v>12</v>
      </c>
      <c r="B383" s="2" t="s">
        <v>21</v>
      </c>
      <c r="C383" s="1">
        <v>4</v>
      </c>
      <c r="D383" s="2" t="s">
        <v>6</v>
      </c>
      <c r="E383" s="5" t="str">
        <f>IF(Table1[[#This Row],[Pre or Post]]="Pre",IF(IF(Table1[[#This Row],[Response]]="Male",0,1)+IF(Table1[[#This Row],[Response]]="Female",0,1)=2,E382,Table1[[#This Row],[Response]]),"")</f>
        <v>Male</v>
      </c>
      <c r="F383" s="1">
        <v>3</v>
      </c>
      <c r="G383" s="1" t="s">
        <v>8</v>
      </c>
      <c r="H383" s="2" t="s">
        <v>8</v>
      </c>
      <c r="I38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8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8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84" spans="1:11">
      <c r="A384" s="2" t="s">
        <v>12</v>
      </c>
      <c r="B384" s="2" t="s">
        <v>21</v>
      </c>
      <c r="C384" s="1">
        <v>4</v>
      </c>
      <c r="D384" s="2" t="s">
        <v>6</v>
      </c>
      <c r="E384" s="5" t="str">
        <f>IF(Table1[[#This Row],[Pre or Post]]="Pre",IF(IF(Table1[[#This Row],[Response]]="Male",0,1)+IF(Table1[[#This Row],[Response]]="Female",0,1)=2,E383,Table1[[#This Row],[Response]]),"")</f>
        <v>Male</v>
      </c>
      <c r="F384" s="1">
        <v>4</v>
      </c>
      <c r="G384" s="1" t="s">
        <v>8</v>
      </c>
      <c r="H384" s="2" t="s">
        <v>8</v>
      </c>
      <c r="I38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8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8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85" spans="1:11">
      <c r="A385" s="2" t="s">
        <v>12</v>
      </c>
      <c r="B385" s="2" t="s">
        <v>21</v>
      </c>
      <c r="C385" s="1">
        <v>4</v>
      </c>
      <c r="D385" s="2" t="s">
        <v>6</v>
      </c>
      <c r="E385" s="5" t="str">
        <f>IF(Table1[[#This Row],[Pre or Post]]="Pre",IF(IF(Table1[[#This Row],[Response]]="Male",0,1)+IF(Table1[[#This Row],[Response]]="Female",0,1)=2,E384,Table1[[#This Row],[Response]]),"")</f>
        <v>Male</v>
      </c>
      <c r="F385" s="1">
        <v>5</v>
      </c>
      <c r="G385" s="1" t="s">
        <v>8</v>
      </c>
      <c r="H385" s="2" t="s">
        <v>8</v>
      </c>
      <c r="I38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8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8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86" spans="1:11">
      <c r="A386" s="2" t="s">
        <v>12</v>
      </c>
      <c r="B386" s="2" t="s">
        <v>21</v>
      </c>
      <c r="C386" s="1">
        <v>4</v>
      </c>
      <c r="D386" s="2" t="s">
        <v>6</v>
      </c>
      <c r="E386" s="5" t="str">
        <f>IF(Table1[[#This Row],[Pre or Post]]="Pre",IF(IF(Table1[[#This Row],[Response]]="Male",0,1)+IF(Table1[[#This Row],[Response]]="Female",0,1)=2,E385,Table1[[#This Row],[Response]]),"")</f>
        <v>Male</v>
      </c>
      <c r="F386" s="1">
        <v>6</v>
      </c>
      <c r="G386" s="1" t="s">
        <v>8</v>
      </c>
      <c r="H386" s="2" t="s">
        <v>8</v>
      </c>
      <c r="I38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8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8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87" spans="1:11">
      <c r="A387" s="2" t="s">
        <v>12</v>
      </c>
      <c r="B387" s="2" t="s">
        <v>21</v>
      </c>
      <c r="C387" s="1">
        <v>4</v>
      </c>
      <c r="D387" s="2" t="s">
        <v>6</v>
      </c>
      <c r="E387" s="5" t="str">
        <f>IF(Table1[[#This Row],[Pre or Post]]="Pre",IF(IF(Table1[[#This Row],[Response]]="Male",0,1)+IF(Table1[[#This Row],[Response]]="Female",0,1)=2,E386,Table1[[#This Row],[Response]]),"")</f>
        <v>Male</v>
      </c>
      <c r="F387" s="1">
        <v>7</v>
      </c>
      <c r="G387" s="1" t="s">
        <v>8</v>
      </c>
      <c r="H387" s="2" t="s">
        <v>8</v>
      </c>
      <c r="I38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8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8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88" spans="1:11">
      <c r="A388" s="2" t="s">
        <v>12</v>
      </c>
      <c r="B388" s="2" t="s">
        <v>21</v>
      </c>
      <c r="C388" s="1">
        <v>4</v>
      </c>
      <c r="D388" s="2" t="s">
        <v>6</v>
      </c>
      <c r="E388" s="5" t="str">
        <f>IF(Table1[[#This Row],[Pre or Post]]="Pre",IF(IF(Table1[[#This Row],[Response]]="Male",0,1)+IF(Table1[[#This Row],[Response]]="Female",0,1)=2,E387,Table1[[#This Row],[Response]]),"")</f>
        <v>Male</v>
      </c>
      <c r="F388" s="1">
        <v>8</v>
      </c>
      <c r="G388" s="1"/>
      <c r="H388" s="2" t="s">
        <v>8</v>
      </c>
      <c r="I38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8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8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89" spans="1:11">
      <c r="A389" s="2" t="s">
        <v>12</v>
      </c>
      <c r="B389" s="2" t="s">
        <v>21</v>
      </c>
      <c r="C389" s="1">
        <v>4</v>
      </c>
      <c r="D389" s="2" t="s">
        <v>6</v>
      </c>
      <c r="E389" s="5" t="str">
        <f>IF(Table1[[#This Row],[Pre or Post]]="Pre",IF(IF(Table1[[#This Row],[Response]]="Male",0,1)+IF(Table1[[#This Row],[Response]]="Female",0,1)=2,E388,Table1[[#This Row],[Response]]),"")</f>
        <v>Male</v>
      </c>
      <c r="F389" s="1">
        <v>9</v>
      </c>
      <c r="G389" s="1">
        <v>4</v>
      </c>
      <c r="H389" s="2" t="s">
        <v>8</v>
      </c>
      <c r="I38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8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8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90" spans="1:11">
      <c r="A390" s="2" t="s">
        <v>12</v>
      </c>
      <c r="B390" s="2" t="s">
        <v>21</v>
      </c>
      <c r="C390" s="1">
        <v>4</v>
      </c>
      <c r="D390" s="2" t="s">
        <v>6</v>
      </c>
      <c r="E390" s="5" t="str">
        <f>IF(Table1[[#This Row],[Pre or Post]]="Pre",IF(IF(Table1[[#This Row],[Response]]="Male",0,1)+IF(Table1[[#This Row],[Response]]="Female",0,1)=2,E389,Table1[[#This Row],[Response]]),"")</f>
        <v>Male</v>
      </c>
      <c r="F390" s="1">
        <v>10</v>
      </c>
      <c r="G390" s="1">
        <v>3</v>
      </c>
      <c r="H390" s="2" t="s">
        <v>8</v>
      </c>
      <c r="I39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9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9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91" spans="1:11">
      <c r="A391" s="2" t="s">
        <v>12</v>
      </c>
      <c r="B391" s="2" t="s">
        <v>21</v>
      </c>
      <c r="C391" s="1">
        <v>4</v>
      </c>
      <c r="D391" s="2" t="s">
        <v>6</v>
      </c>
      <c r="E391" s="5" t="str">
        <f>IF(Table1[[#This Row],[Pre or Post]]="Pre",IF(IF(Table1[[#This Row],[Response]]="Male",0,1)+IF(Table1[[#This Row],[Response]]="Female",0,1)=2,E390,Table1[[#This Row],[Response]]),"")</f>
        <v>Male</v>
      </c>
      <c r="F391" s="1">
        <v>11</v>
      </c>
      <c r="G391" s="1">
        <v>4</v>
      </c>
      <c r="H391" s="2" t="s">
        <v>8</v>
      </c>
      <c r="I39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9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9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92" spans="1:11">
      <c r="A392" s="2" t="s">
        <v>12</v>
      </c>
      <c r="B392" s="2" t="s">
        <v>21</v>
      </c>
      <c r="C392" s="1">
        <v>5</v>
      </c>
      <c r="D392" s="2" t="s">
        <v>6</v>
      </c>
      <c r="E392" s="5" t="str">
        <f>IF(Table1[[#This Row],[Pre or Post]]="Pre",IF(IF(Table1[[#This Row],[Response]]="Male",0,1)+IF(Table1[[#This Row],[Response]]="Female",0,1)=2,E391,Table1[[#This Row],[Response]]),"")</f>
        <v>Female</v>
      </c>
      <c r="F392" s="1">
        <v>2</v>
      </c>
      <c r="G392" s="1" t="s">
        <v>13</v>
      </c>
      <c r="H392" s="2" t="s">
        <v>8</v>
      </c>
      <c r="I39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9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9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93" spans="1:11">
      <c r="A393" s="2" t="s">
        <v>12</v>
      </c>
      <c r="B393" s="2" t="s">
        <v>21</v>
      </c>
      <c r="C393" s="1">
        <v>5</v>
      </c>
      <c r="D393" s="2" t="s">
        <v>6</v>
      </c>
      <c r="E393" s="5" t="str">
        <f>IF(Table1[[#This Row],[Pre or Post]]="Pre",IF(IF(Table1[[#This Row],[Response]]="Male",0,1)+IF(Table1[[#This Row],[Response]]="Female",0,1)=2,E392,Table1[[#This Row],[Response]]),"")</f>
        <v>Female</v>
      </c>
      <c r="F393" s="1">
        <v>3</v>
      </c>
      <c r="G393" s="1" t="s">
        <v>8</v>
      </c>
      <c r="H393" s="2" t="s">
        <v>8</v>
      </c>
      <c r="I39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9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9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94" spans="1:11">
      <c r="A394" s="2" t="s">
        <v>12</v>
      </c>
      <c r="B394" s="2" t="s">
        <v>21</v>
      </c>
      <c r="C394" s="1">
        <v>5</v>
      </c>
      <c r="D394" s="2" t="s">
        <v>6</v>
      </c>
      <c r="E394" s="5" t="str">
        <f>IF(Table1[[#This Row],[Pre or Post]]="Pre",IF(IF(Table1[[#This Row],[Response]]="Male",0,1)+IF(Table1[[#This Row],[Response]]="Female",0,1)=2,E393,Table1[[#This Row],[Response]]),"")</f>
        <v>Female</v>
      </c>
      <c r="F394" s="1">
        <v>4</v>
      </c>
      <c r="G394" s="1" t="s">
        <v>9</v>
      </c>
      <c r="H394" s="2" t="s">
        <v>8</v>
      </c>
      <c r="I39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9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9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95" spans="1:11">
      <c r="A395" s="2" t="s">
        <v>12</v>
      </c>
      <c r="B395" s="2" t="s">
        <v>21</v>
      </c>
      <c r="C395" s="1">
        <v>5</v>
      </c>
      <c r="D395" s="2" t="s">
        <v>6</v>
      </c>
      <c r="E395" s="5" t="str">
        <f>IF(Table1[[#This Row],[Pre or Post]]="Pre",IF(IF(Table1[[#This Row],[Response]]="Male",0,1)+IF(Table1[[#This Row],[Response]]="Female",0,1)=2,E394,Table1[[#This Row],[Response]]),"")</f>
        <v>Female</v>
      </c>
      <c r="F395" s="1">
        <v>5</v>
      </c>
      <c r="G395" s="1" t="s">
        <v>8</v>
      </c>
      <c r="H395" s="2" t="s">
        <v>8</v>
      </c>
      <c r="I39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9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9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96" spans="1:11">
      <c r="A396" s="2" t="s">
        <v>12</v>
      </c>
      <c r="B396" s="2" t="s">
        <v>21</v>
      </c>
      <c r="C396" s="1">
        <v>5</v>
      </c>
      <c r="D396" s="2" t="s">
        <v>6</v>
      </c>
      <c r="E396" s="5" t="str">
        <f>IF(Table1[[#This Row],[Pre or Post]]="Pre",IF(IF(Table1[[#This Row],[Response]]="Male",0,1)+IF(Table1[[#This Row],[Response]]="Female",0,1)=2,E395,Table1[[#This Row],[Response]]),"")</f>
        <v>Female</v>
      </c>
      <c r="F396" s="1">
        <v>6</v>
      </c>
      <c r="G396" s="1" t="s">
        <v>8</v>
      </c>
      <c r="H396" s="2" t="s">
        <v>8</v>
      </c>
      <c r="I39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9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9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97" spans="1:11">
      <c r="A397" s="2" t="s">
        <v>12</v>
      </c>
      <c r="B397" s="2" t="s">
        <v>21</v>
      </c>
      <c r="C397" s="1">
        <v>5</v>
      </c>
      <c r="D397" s="2" t="s">
        <v>6</v>
      </c>
      <c r="E397" s="5" t="str">
        <f>IF(Table1[[#This Row],[Pre or Post]]="Pre",IF(IF(Table1[[#This Row],[Response]]="Male",0,1)+IF(Table1[[#This Row],[Response]]="Female",0,1)=2,E396,Table1[[#This Row],[Response]]),"")</f>
        <v>Female</v>
      </c>
      <c r="F397" s="1">
        <v>7</v>
      </c>
      <c r="G397" s="1" t="s">
        <v>9</v>
      </c>
      <c r="H397" s="2" t="s">
        <v>8</v>
      </c>
      <c r="I39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9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9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98" spans="1:11">
      <c r="A398" s="2" t="s">
        <v>12</v>
      </c>
      <c r="B398" s="2" t="s">
        <v>21</v>
      </c>
      <c r="C398" s="1">
        <v>5</v>
      </c>
      <c r="D398" s="2" t="s">
        <v>6</v>
      </c>
      <c r="E398" s="5" t="str">
        <f>IF(Table1[[#This Row],[Pre or Post]]="Pre",IF(IF(Table1[[#This Row],[Response]]="Male",0,1)+IF(Table1[[#This Row],[Response]]="Female",0,1)=2,E397,Table1[[#This Row],[Response]]),"")</f>
        <v>Female</v>
      </c>
      <c r="F398" s="1">
        <v>8</v>
      </c>
      <c r="G398" s="1"/>
      <c r="H398" s="2" t="s">
        <v>8</v>
      </c>
      <c r="I39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9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9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399" spans="1:11">
      <c r="A399" s="2" t="s">
        <v>12</v>
      </c>
      <c r="B399" s="2" t="s">
        <v>21</v>
      </c>
      <c r="C399" s="1">
        <v>5</v>
      </c>
      <c r="D399" s="2" t="s">
        <v>6</v>
      </c>
      <c r="E399" s="5" t="str">
        <f>IF(Table1[[#This Row],[Pre or Post]]="Pre",IF(IF(Table1[[#This Row],[Response]]="Male",0,1)+IF(Table1[[#This Row],[Response]]="Female",0,1)=2,E398,Table1[[#This Row],[Response]]),"")</f>
        <v>Female</v>
      </c>
      <c r="F399" s="1">
        <v>9</v>
      </c>
      <c r="G399" s="1">
        <v>3</v>
      </c>
      <c r="H399" s="2" t="s">
        <v>8</v>
      </c>
      <c r="I39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39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39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00" spans="1:11">
      <c r="A400" s="2" t="s">
        <v>12</v>
      </c>
      <c r="B400" s="2" t="s">
        <v>21</v>
      </c>
      <c r="C400" s="1">
        <v>5</v>
      </c>
      <c r="D400" s="2" t="s">
        <v>6</v>
      </c>
      <c r="E400" s="5" t="str">
        <f>IF(Table1[[#This Row],[Pre or Post]]="Pre",IF(IF(Table1[[#This Row],[Response]]="Male",0,1)+IF(Table1[[#This Row],[Response]]="Female",0,1)=2,E399,Table1[[#This Row],[Response]]),"")</f>
        <v>Female</v>
      </c>
      <c r="F400" s="1">
        <v>10</v>
      </c>
      <c r="G400" s="1">
        <v>3</v>
      </c>
      <c r="H400" s="2" t="s">
        <v>8</v>
      </c>
      <c r="I40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0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0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01" spans="1:11">
      <c r="A401" s="2" t="s">
        <v>12</v>
      </c>
      <c r="B401" s="2" t="s">
        <v>21</v>
      </c>
      <c r="C401" s="1">
        <v>5</v>
      </c>
      <c r="D401" s="2" t="s">
        <v>6</v>
      </c>
      <c r="E401" s="5" t="str">
        <f>IF(Table1[[#This Row],[Pre or Post]]="Pre",IF(IF(Table1[[#This Row],[Response]]="Male",0,1)+IF(Table1[[#This Row],[Response]]="Female",0,1)=2,E400,Table1[[#This Row],[Response]]),"")</f>
        <v>Female</v>
      </c>
      <c r="F401" s="1">
        <v>11</v>
      </c>
      <c r="G401" s="1">
        <v>1</v>
      </c>
      <c r="H401" s="2" t="s">
        <v>8</v>
      </c>
      <c r="I40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0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0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02" spans="1:11">
      <c r="A402" s="2" t="s">
        <v>12</v>
      </c>
      <c r="B402" s="2" t="s">
        <v>21</v>
      </c>
      <c r="C402" s="1">
        <v>6</v>
      </c>
      <c r="D402" s="2" t="s">
        <v>6</v>
      </c>
      <c r="E402" s="5" t="str">
        <f>IF(Table1[[#This Row],[Pre or Post]]="Pre",IF(IF(Table1[[#This Row],[Response]]="Male",0,1)+IF(Table1[[#This Row],[Response]]="Female",0,1)=2,E401,Table1[[#This Row],[Response]]),"")</f>
        <v>Male</v>
      </c>
      <c r="F402" s="1">
        <v>2</v>
      </c>
      <c r="G402" s="1" t="s">
        <v>7</v>
      </c>
      <c r="H402" s="2" t="s">
        <v>8</v>
      </c>
      <c r="I40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0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0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03" spans="1:11">
      <c r="A403" s="2" t="s">
        <v>12</v>
      </c>
      <c r="B403" s="2" t="s">
        <v>21</v>
      </c>
      <c r="C403" s="1">
        <v>6</v>
      </c>
      <c r="D403" s="2" t="s">
        <v>6</v>
      </c>
      <c r="E403" s="5" t="str">
        <f>IF(Table1[[#This Row],[Pre or Post]]="Pre",IF(IF(Table1[[#This Row],[Response]]="Male",0,1)+IF(Table1[[#This Row],[Response]]="Female",0,1)=2,E402,Table1[[#This Row],[Response]]),"")</f>
        <v>Male</v>
      </c>
      <c r="F403" s="1">
        <v>3</v>
      </c>
      <c r="G403" s="1" t="s">
        <v>8</v>
      </c>
      <c r="H403" s="2" t="s">
        <v>8</v>
      </c>
      <c r="I40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0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0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04" spans="1:11">
      <c r="A404" s="2" t="s">
        <v>12</v>
      </c>
      <c r="B404" s="2" t="s">
        <v>21</v>
      </c>
      <c r="C404" s="1">
        <v>6</v>
      </c>
      <c r="D404" s="2" t="s">
        <v>6</v>
      </c>
      <c r="E404" s="5" t="str">
        <f>IF(Table1[[#This Row],[Pre or Post]]="Pre",IF(IF(Table1[[#This Row],[Response]]="Male",0,1)+IF(Table1[[#This Row],[Response]]="Female",0,1)=2,E403,Table1[[#This Row],[Response]]),"")</f>
        <v>Male</v>
      </c>
      <c r="F404" s="1">
        <v>4</v>
      </c>
      <c r="G404" s="1" t="s">
        <v>8</v>
      </c>
      <c r="H404" s="2" t="s">
        <v>8</v>
      </c>
      <c r="I40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0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0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05" spans="1:11">
      <c r="A405" s="2" t="s">
        <v>12</v>
      </c>
      <c r="B405" s="2" t="s">
        <v>21</v>
      </c>
      <c r="C405" s="1">
        <v>6</v>
      </c>
      <c r="D405" s="2" t="s">
        <v>6</v>
      </c>
      <c r="E405" s="5" t="str">
        <f>IF(Table1[[#This Row],[Pre or Post]]="Pre",IF(IF(Table1[[#This Row],[Response]]="Male",0,1)+IF(Table1[[#This Row],[Response]]="Female",0,1)=2,E404,Table1[[#This Row],[Response]]),"")</f>
        <v>Male</v>
      </c>
      <c r="F405" s="1">
        <v>5</v>
      </c>
      <c r="G405" s="1" t="s">
        <v>8</v>
      </c>
      <c r="H405" s="2" t="s">
        <v>8</v>
      </c>
      <c r="I40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0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0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06" spans="1:11">
      <c r="A406" s="2" t="s">
        <v>12</v>
      </c>
      <c r="B406" s="2" t="s">
        <v>21</v>
      </c>
      <c r="C406" s="1">
        <v>6</v>
      </c>
      <c r="D406" s="2" t="s">
        <v>6</v>
      </c>
      <c r="E406" s="5" t="str">
        <f>IF(Table1[[#This Row],[Pre or Post]]="Pre",IF(IF(Table1[[#This Row],[Response]]="Male",0,1)+IF(Table1[[#This Row],[Response]]="Female",0,1)=2,E405,Table1[[#This Row],[Response]]),"")</f>
        <v>Male</v>
      </c>
      <c r="F406" s="1">
        <v>6</v>
      </c>
      <c r="G406" s="1" t="s">
        <v>8</v>
      </c>
      <c r="H406" s="2" t="s">
        <v>8</v>
      </c>
      <c r="I40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0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0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07" spans="1:11">
      <c r="A407" s="2" t="s">
        <v>12</v>
      </c>
      <c r="B407" s="2" t="s">
        <v>21</v>
      </c>
      <c r="C407" s="1">
        <v>6</v>
      </c>
      <c r="D407" s="2" t="s">
        <v>6</v>
      </c>
      <c r="E407" s="5" t="str">
        <f>IF(Table1[[#This Row],[Pre or Post]]="Pre",IF(IF(Table1[[#This Row],[Response]]="Male",0,1)+IF(Table1[[#This Row],[Response]]="Female",0,1)=2,E406,Table1[[#This Row],[Response]]),"")</f>
        <v>Male</v>
      </c>
      <c r="F407" s="1">
        <v>7</v>
      </c>
      <c r="G407" s="1" t="s">
        <v>8</v>
      </c>
      <c r="H407" s="2" t="s">
        <v>8</v>
      </c>
      <c r="I40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0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0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08" spans="1:11">
      <c r="A408" s="2" t="s">
        <v>12</v>
      </c>
      <c r="B408" s="2" t="s">
        <v>21</v>
      </c>
      <c r="C408" s="1">
        <v>6</v>
      </c>
      <c r="D408" s="2" t="s">
        <v>6</v>
      </c>
      <c r="E408" s="5" t="str">
        <f>IF(Table1[[#This Row],[Pre or Post]]="Pre",IF(IF(Table1[[#This Row],[Response]]="Male",0,1)+IF(Table1[[#This Row],[Response]]="Female",0,1)=2,E407,Table1[[#This Row],[Response]]),"")</f>
        <v>Male</v>
      </c>
      <c r="F408" s="1">
        <v>8</v>
      </c>
      <c r="G408" s="1"/>
      <c r="H408" s="2" t="s">
        <v>8</v>
      </c>
      <c r="I40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0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0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09" spans="1:11">
      <c r="A409" s="2" t="s">
        <v>12</v>
      </c>
      <c r="B409" s="2" t="s">
        <v>21</v>
      </c>
      <c r="C409" s="1">
        <v>6</v>
      </c>
      <c r="D409" s="2" t="s">
        <v>6</v>
      </c>
      <c r="E409" s="5" t="str">
        <f>IF(Table1[[#This Row],[Pre or Post]]="Pre",IF(IF(Table1[[#This Row],[Response]]="Male",0,1)+IF(Table1[[#This Row],[Response]]="Female",0,1)=2,E408,Table1[[#This Row],[Response]]),"")</f>
        <v>Male</v>
      </c>
      <c r="F409" s="1">
        <v>9</v>
      </c>
      <c r="G409" s="1">
        <v>3</v>
      </c>
      <c r="H409" s="2" t="s">
        <v>8</v>
      </c>
      <c r="I40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0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0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10" spans="1:11">
      <c r="A410" s="2" t="s">
        <v>12</v>
      </c>
      <c r="B410" s="2" t="s">
        <v>21</v>
      </c>
      <c r="C410" s="1">
        <v>6</v>
      </c>
      <c r="D410" s="2" t="s">
        <v>6</v>
      </c>
      <c r="E410" s="5" t="str">
        <f>IF(Table1[[#This Row],[Pre or Post]]="Pre",IF(IF(Table1[[#This Row],[Response]]="Male",0,1)+IF(Table1[[#This Row],[Response]]="Female",0,1)=2,E409,Table1[[#This Row],[Response]]),"")</f>
        <v>Male</v>
      </c>
      <c r="F410" s="1">
        <v>10</v>
      </c>
      <c r="G410" s="1">
        <v>3</v>
      </c>
      <c r="H410" s="2" t="s">
        <v>8</v>
      </c>
      <c r="I41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1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1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11" spans="1:11">
      <c r="A411" s="2" t="s">
        <v>12</v>
      </c>
      <c r="B411" s="2" t="s">
        <v>21</v>
      </c>
      <c r="C411" s="1">
        <v>6</v>
      </c>
      <c r="D411" s="2" t="s">
        <v>6</v>
      </c>
      <c r="E411" s="5" t="str">
        <f>IF(Table1[[#This Row],[Pre or Post]]="Pre",IF(IF(Table1[[#This Row],[Response]]="Male",0,1)+IF(Table1[[#This Row],[Response]]="Female",0,1)=2,E410,Table1[[#This Row],[Response]]),"")</f>
        <v>Male</v>
      </c>
      <c r="F411" s="1">
        <v>11</v>
      </c>
      <c r="G411" s="1">
        <v>2</v>
      </c>
      <c r="H411" s="2" t="s">
        <v>8</v>
      </c>
      <c r="I41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1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1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12" spans="1:11">
      <c r="A412" s="2" t="s">
        <v>12</v>
      </c>
      <c r="B412" s="2" t="s">
        <v>21</v>
      </c>
      <c r="C412" s="1">
        <v>7</v>
      </c>
      <c r="D412" s="2" t="s">
        <v>6</v>
      </c>
      <c r="E412" s="5" t="str">
        <f>IF(Table1[[#This Row],[Pre or Post]]="Pre",IF(IF(Table1[[#This Row],[Response]]="Male",0,1)+IF(Table1[[#This Row],[Response]]="Female",0,1)=2,E411,Table1[[#This Row],[Response]]),"")</f>
        <v>Male</v>
      </c>
      <c r="F412" s="1">
        <v>2</v>
      </c>
      <c r="G412" s="1" t="s">
        <v>7</v>
      </c>
      <c r="H412" s="2" t="s">
        <v>8</v>
      </c>
      <c r="I41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1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1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13" spans="1:11">
      <c r="A413" s="2" t="s">
        <v>12</v>
      </c>
      <c r="B413" s="2" t="s">
        <v>21</v>
      </c>
      <c r="C413" s="1">
        <v>7</v>
      </c>
      <c r="D413" s="2" t="s">
        <v>6</v>
      </c>
      <c r="E413" s="5" t="str">
        <f>IF(Table1[[#This Row],[Pre or Post]]="Pre",IF(IF(Table1[[#This Row],[Response]]="Male",0,1)+IF(Table1[[#This Row],[Response]]="Female",0,1)=2,E412,Table1[[#This Row],[Response]]),"")</f>
        <v>Male</v>
      </c>
      <c r="F413" s="1">
        <v>3</v>
      </c>
      <c r="G413" s="1" t="s">
        <v>8</v>
      </c>
      <c r="H413" s="2" t="s">
        <v>8</v>
      </c>
      <c r="I41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1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1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14" spans="1:11">
      <c r="A414" s="2" t="s">
        <v>12</v>
      </c>
      <c r="B414" s="2" t="s">
        <v>21</v>
      </c>
      <c r="C414" s="1">
        <v>7</v>
      </c>
      <c r="D414" s="2" t="s">
        <v>6</v>
      </c>
      <c r="E414" s="5" t="str">
        <f>IF(Table1[[#This Row],[Pre or Post]]="Pre",IF(IF(Table1[[#This Row],[Response]]="Male",0,1)+IF(Table1[[#This Row],[Response]]="Female",0,1)=2,E413,Table1[[#This Row],[Response]]),"")</f>
        <v>Male</v>
      </c>
      <c r="F414" s="1">
        <v>4</v>
      </c>
      <c r="G414" s="1" t="s">
        <v>8</v>
      </c>
      <c r="H414" s="2" t="s">
        <v>8</v>
      </c>
      <c r="I41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1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1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15" spans="1:11">
      <c r="A415" s="2" t="s">
        <v>12</v>
      </c>
      <c r="B415" s="2" t="s">
        <v>21</v>
      </c>
      <c r="C415" s="1">
        <v>7</v>
      </c>
      <c r="D415" s="2" t="s">
        <v>6</v>
      </c>
      <c r="E415" s="5" t="str">
        <f>IF(Table1[[#This Row],[Pre or Post]]="Pre",IF(IF(Table1[[#This Row],[Response]]="Male",0,1)+IF(Table1[[#This Row],[Response]]="Female",0,1)=2,E414,Table1[[#This Row],[Response]]),"")</f>
        <v>Male</v>
      </c>
      <c r="F415" s="1">
        <v>5</v>
      </c>
      <c r="G415" s="1" t="s">
        <v>8</v>
      </c>
      <c r="H415" s="2" t="s">
        <v>8</v>
      </c>
      <c r="I41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1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1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16" spans="1:11">
      <c r="A416" s="2" t="s">
        <v>12</v>
      </c>
      <c r="B416" s="2" t="s">
        <v>21</v>
      </c>
      <c r="C416" s="1">
        <v>7</v>
      </c>
      <c r="D416" s="2" t="s">
        <v>6</v>
      </c>
      <c r="E416" s="5" t="str">
        <f>IF(Table1[[#This Row],[Pre or Post]]="Pre",IF(IF(Table1[[#This Row],[Response]]="Male",0,1)+IF(Table1[[#This Row],[Response]]="Female",0,1)=2,E415,Table1[[#This Row],[Response]]),"")</f>
        <v>Male</v>
      </c>
      <c r="F416" s="1">
        <v>6</v>
      </c>
      <c r="G416" s="1" t="s">
        <v>8</v>
      </c>
      <c r="H416" s="2" t="s">
        <v>8</v>
      </c>
      <c r="I41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1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1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17" spans="1:11">
      <c r="A417" s="2" t="s">
        <v>12</v>
      </c>
      <c r="B417" s="2" t="s">
        <v>21</v>
      </c>
      <c r="C417" s="1">
        <v>7</v>
      </c>
      <c r="D417" s="2" t="s">
        <v>6</v>
      </c>
      <c r="E417" s="5" t="str">
        <f>IF(Table1[[#This Row],[Pre or Post]]="Pre",IF(IF(Table1[[#This Row],[Response]]="Male",0,1)+IF(Table1[[#This Row],[Response]]="Female",0,1)=2,E416,Table1[[#This Row],[Response]]),"")</f>
        <v>Male</v>
      </c>
      <c r="F417" s="1">
        <v>7</v>
      </c>
      <c r="G417" s="1" t="s">
        <v>8</v>
      </c>
      <c r="H417" s="2" t="s">
        <v>8</v>
      </c>
      <c r="I41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1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1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18" spans="1:11">
      <c r="A418" s="2" t="s">
        <v>12</v>
      </c>
      <c r="B418" s="2" t="s">
        <v>21</v>
      </c>
      <c r="C418" s="1">
        <v>7</v>
      </c>
      <c r="D418" s="2" t="s">
        <v>6</v>
      </c>
      <c r="E418" s="5" t="str">
        <f>IF(Table1[[#This Row],[Pre or Post]]="Pre",IF(IF(Table1[[#This Row],[Response]]="Male",0,1)+IF(Table1[[#This Row],[Response]]="Female",0,1)=2,E417,Table1[[#This Row],[Response]]),"")</f>
        <v>Male</v>
      </c>
      <c r="F418" s="1">
        <v>8</v>
      </c>
      <c r="G418" s="1"/>
      <c r="H418" s="2" t="s">
        <v>8</v>
      </c>
      <c r="I41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1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1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19" spans="1:11">
      <c r="A419" s="2" t="s">
        <v>12</v>
      </c>
      <c r="B419" s="2" t="s">
        <v>21</v>
      </c>
      <c r="C419" s="1">
        <v>7</v>
      </c>
      <c r="D419" s="2" t="s">
        <v>6</v>
      </c>
      <c r="E419" s="5" t="str">
        <f>IF(Table1[[#This Row],[Pre or Post]]="Pre",IF(IF(Table1[[#This Row],[Response]]="Male",0,1)+IF(Table1[[#This Row],[Response]]="Female",0,1)=2,E418,Table1[[#This Row],[Response]]),"")</f>
        <v>Male</v>
      </c>
      <c r="F419" s="1">
        <v>9</v>
      </c>
      <c r="G419" s="1">
        <v>4</v>
      </c>
      <c r="H419" s="2" t="s">
        <v>8</v>
      </c>
      <c r="I41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1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1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20" spans="1:11">
      <c r="A420" s="2" t="s">
        <v>12</v>
      </c>
      <c r="B420" s="2" t="s">
        <v>21</v>
      </c>
      <c r="C420" s="1">
        <v>7</v>
      </c>
      <c r="D420" s="2" t="s">
        <v>6</v>
      </c>
      <c r="E420" s="5" t="str">
        <f>IF(Table1[[#This Row],[Pre or Post]]="Pre",IF(IF(Table1[[#This Row],[Response]]="Male",0,1)+IF(Table1[[#This Row],[Response]]="Female",0,1)=2,E419,Table1[[#This Row],[Response]]),"")</f>
        <v>Male</v>
      </c>
      <c r="F420" s="1">
        <v>10</v>
      </c>
      <c r="G420" s="1">
        <v>3</v>
      </c>
      <c r="H420" s="2" t="s">
        <v>8</v>
      </c>
      <c r="I42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2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2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21" spans="1:11">
      <c r="A421" s="2" t="s">
        <v>12</v>
      </c>
      <c r="B421" s="2" t="s">
        <v>21</v>
      </c>
      <c r="C421" s="1">
        <v>7</v>
      </c>
      <c r="D421" s="2" t="s">
        <v>6</v>
      </c>
      <c r="E421" s="5" t="str">
        <f>IF(Table1[[#This Row],[Pre or Post]]="Pre",IF(IF(Table1[[#This Row],[Response]]="Male",0,1)+IF(Table1[[#This Row],[Response]]="Female",0,1)=2,E420,Table1[[#This Row],[Response]]),"")</f>
        <v>Male</v>
      </c>
      <c r="F421" s="2">
        <v>11</v>
      </c>
      <c r="G421" s="1">
        <v>5</v>
      </c>
      <c r="H421" s="2" t="s">
        <v>8</v>
      </c>
      <c r="I42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2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2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22" spans="1:11">
      <c r="A422" s="2" t="s">
        <v>12</v>
      </c>
      <c r="B422" s="2" t="s">
        <v>21</v>
      </c>
      <c r="C422" s="1">
        <v>8</v>
      </c>
      <c r="D422" s="2" t="s">
        <v>6</v>
      </c>
      <c r="E422" s="5" t="str">
        <f>IF(Table1[[#This Row],[Pre or Post]]="Pre",IF(IF(Table1[[#This Row],[Response]]="Male",0,1)+IF(Table1[[#This Row],[Response]]="Female",0,1)=2,E421,Table1[[#This Row],[Response]]),"")</f>
        <v>Female</v>
      </c>
      <c r="F422" s="1">
        <v>2</v>
      </c>
      <c r="G422" s="1" t="s">
        <v>13</v>
      </c>
      <c r="H422" s="2" t="s">
        <v>8</v>
      </c>
      <c r="I42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2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2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23" spans="1:11">
      <c r="A423" s="2" t="s">
        <v>12</v>
      </c>
      <c r="B423" s="2" t="s">
        <v>21</v>
      </c>
      <c r="C423" s="1">
        <v>8</v>
      </c>
      <c r="D423" s="2" t="s">
        <v>6</v>
      </c>
      <c r="E423" s="5" t="str">
        <f>IF(Table1[[#This Row],[Pre or Post]]="Pre",IF(IF(Table1[[#This Row],[Response]]="Male",0,1)+IF(Table1[[#This Row],[Response]]="Female",0,1)=2,E422,Table1[[#This Row],[Response]]),"")</f>
        <v>Female</v>
      </c>
      <c r="F423" s="1">
        <v>3</v>
      </c>
      <c r="G423" s="1" t="s">
        <v>8</v>
      </c>
      <c r="H423" s="2" t="s">
        <v>8</v>
      </c>
      <c r="I42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2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2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24" spans="1:11">
      <c r="A424" s="2" t="s">
        <v>12</v>
      </c>
      <c r="B424" s="2" t="s">
        <v>21</v>
      </c>
      <c r="C424" s="1">
        <v>8</v>
      </c>
      <c r="D424" s="2" t="s">
        <v>6</v>
      </c>
      <c r="E424" s="5" t="str">
        <f>IF(Table1[[#This Row],[Pre or Post]]="Pre",IF(IF(Table1[[#This Row],[Response]]="Male",0,1)+IF(Table1[[#This Row],[Response]]="Female",0,1)=2,E423,Table1[[#This Row],[Response]]),"")</f>
        <v>Female</v>
      </c>
      <c r="F424" s="1">
        <v>4</v>
      </c>
      <c r="G424" s="1" t="s">
        <v>9</v>
      </c>
      <c r="H424" s="2" t="s">
        <v>8</v>
      </c>
      <c r="I42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2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2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25" spans="1:11">
      <c r="A425" s="2" t="s">
        <v>12</v>
      </c>
      <c r="B425" s="2" t="s">
        <v>21</v>
      </c>
      <c r="C425" s="1">
        <v>8</v>
      </c>
      <c r="D425" s="2" t="s">
        <v>6</v>
      </c>
      <c r="E425" s="5" t="str">
        <f>IF(Table1[[#This Row],[Pre or Post]]="Pre",IF(IF(Table1[[#This Row],[Response]]="Male",0,1)+IF(Table1[[#This Row],[Response]]="Female",0,1)=2,E424,Table1[[#This Row],[Response]]),"")</f>
        <v>Female</v>
      </c>
      <c r="F425" s="1">
        <v>5</v>
      </c>
      <c r="G425" s="1" t="s">
        <v>8</v>
      </c>
      <c r="H425" s="2" t="s">
        <v>8</v>
      </c>
      <c r="I42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2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2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26" spans="1:11">
      <c r="A426" s="2" t="s">
        <v>12</v>
      </c>
      <c r="B426" s="2" t="s">
        <v>21</v>
      </c>
      <c r="C426" s="1">
        <v>8</v>
      </c>
      <c r="D426" s="2" t="s">
        <v>6</v>
      </c>
      <c r="E426" s="5" t="str">
        <f>IF(Table1[[#This Row],[Pre or Post]]="Pre",IF(IF(Table1[[#This Row],[Response]]="Male",0,1)+IF(Table1[[#This Row],[Response]]="Female",0,1)=2,E425,Table1[[#This Row],[Response]]),"")</f>
        <v>Female</v>
      </c>
      <c r="F426" s="1">
        <v>6</v>
      </c>
      <c r="G426" s="1" t="s">
        <v>8</v>
      </c>
      <c r="H426" s="2" t="s">
        <v>8</v>
      </c>
      <c r="I42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2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2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27" spans="1:11">
      <c r="A427" s="2" t="s">
        <v>12</v>
      </c>
      <c r="B427" s="2" t="s">
        <v>21</v>
      </c>
      <c r="C427" s="1">
        <v>8</v>
      </c>
      <c r="D427" s="2" t="s">
        <v>6</v>
      </c>
      <c r="E427" s="5" t="str">
        <f>IF(Table1[[#This Row],[Pre or Post]]="Pre",IF(IF(Table1[[#This Row],[Response]]="Male",0,1)+IF(Table1[[#This Row],[Response]]="Female",0,1)=2,E426,Table1[[#This Row],[Response]]),"")</f>
        <v>Female</v>
      </c>
      <c r="F427" s="1">
        <v>7</v>
      </c>
      <c r="G427" s="1" t="s">
        <v>8</v>
      </c>
      <c r="H427" s="2" t="s">
        <v>8</v>
      </c>
      <c r="I42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2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2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28" spans="1:11">
      <c r="A428" s="2" t="s">
        <v>12</v>
      </c>
      <c r="B428" s="2" t="s">
        <v>21</v>
      </c>
      <c r="C428" s="1">
        <v>8</v>
      </c>
      <c r="D428" s="2" t="s">
        <v>6</v>
      </c>
      <c r="E428" s="5" t="str">
        <f>IF(Table1[[#This Row],[Pre or Post]]="Pre",IF(IF(Table1[[#This Row],[Response]]="Male",0,1)+IF(Table1[[#This Row],[Response]]="Female",0,1)=2,E427,Table1[[#This Row],[Response]]),"")</f>
        <v>Female</v>
      </c>
      <c r="F428" s="1">
        <v>8</v>
      </c>
      <c r="G428" s="1"/>
      <c r="H428" s="2" t="s">
        <v>8</v>
      </c>
      <c r="I42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2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2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29" spans="1:11">
      <c r="A429" s="2" t="s">
        <v>12</v>
      </c>
      <c r="B429" s="2" t="s">
        <v>21</v>
      </c>
      <c r="C429" s="1">
        <v>8</v>
      </c>
      <c r="D429" s="2" t="s">
        <v>6</v>
      </c>
      <c r="E429" s="5" t="str">
        <f>IF(Table1[[#This Row],[Pre or Post]]="Pre",IF(IF(Table1[[#This Row],[Response]]="Male",0,1)+IF(Table1[[#This Row],[Response]]="Female",0,1)=2,E428,Table1[[#This Row],[Response]]),"")</f>
        <v>Female</v>
      </c>
      <c r="F429" s="1">
        <v>9</v>
      </c>
      <c r="G429" s="1">
        <v>4</v>
      </c>
      <c r="H429" s="2" t="s">
        <v>8</v>
      </c>
      <c r="I42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2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2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30" spans="1:11">
      <c r="A430" s="2" t="s">
        <v>12</v>
      </c>
      <c r="B430" s="2" t="s">
        <v>21</v>
      </c>
      <c r="C430" s="1">
        <v>8</v>
      </c>
      <c r="D430" s="2" t="s">
        <v>6</v>
      </c>
      <c r="E430" s="5" t="str">
        <f>IF(Table1[[#This Row],[Pre or Post]]="Pre",IF(IF(Table1[[#This Row],[Response]]="Male",0,1)+IF(Table1[[#This Row],[Response]]="Female",0,1)=2,E429,Table1[[#This Row],[Response]]),"")</f>
        <v>Female</v>
      </c>
      <c r="F430" s="1">
        <v>10</v>
      </c>
      <c r="G430" s="1">
        <v>2</v>
      </c>
      <c r="H430" s="2" t="s">
        <v>8</v>
      </c>
      <c r="I43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3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3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31" spans="1:11">
      <c r="A431" s="2" t="s">
        <v>12</v>
      </c>
      <c r="B431" s="2" t="s">
        <v>21</v>
      </c>
      <c r="C431" s="1">
        <v>8</v>
      </c>
      <c r="D431" s="2" t="s">
        <v>6</v>
      </c>
      <c r="E431" s="5" t="str">
        <f>IF(Table1[[#This Row],[Pre or Post]]="Pre",IF(IF(Table1[[#This Row],[Response]]="Male",0,1)+IF(Table1[[#This Row],[Response]]="Female",0,1)=2,E430,Table1[[#This Row],[Response]]),"")</f>
        <v>Female</v>
      </c>
      <c r="F431" s="1">
        <v>11</v>
      </c>
      <c r="G431" s="1">
        <v>2</v>
      </c>
      <c r="H431" s="2" t="s">
        <v>8</v>
      </c>
      <c r="I43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3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3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32" spans="1:11">
      <c r="A432" s="2" t="s">
        <v>12</v>
      </c>
      <c r="B432" s="2" t="s">
        <v>21</v>
      </c>
      <c r="C432" s="1">
        <v>9</v>
      </c>
      <c r="D432" s="2" t="s">
        <v>6</v>
      </c>
      <c r="E432" s="5" t="str">
        <f>IF(Table1[[#This Row],[Pre or Post]]="Pre",IF(IF(Table1[[#This Row],[Response]]="Male",0,1)+IF(Table1[[#This Row],[Response]]="Female",0,1)=2,E431,Table1[[#This Row],[Response]]),"")</f>
        <v>Female</v>
      </c>
      <c r="F432" s="1">
        <v>2</v>
      </c>
      <c r="G432" s="1" t="s">
        <v>13</v>
      </c>
      <c r="H432" s="2" t="s">
        <v>8</v>
      </c>
      <c r="I43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3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3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33" spans="1:11">
      <c r="A433" s="2" t="s">
        <v>12</v>
      </c>
      <c r="B433" s="2" t="s">
        <v>21</v>
      </c>
      <c r="C433" s="1">
        <v>9</v>
      </c>
      <c r="D433" s="2" t="s">
        <v>6</v>
      </c>
      <c r="E433" s="5" t="str">
        <f>IF(Table1[[#This Row],[Pre or Post]]="Pre",IF(IF(Table1[[#This Row],[Response]]="Male",0,1)+IF(Table1[[#This Row],[Response]]="Female",0,1)=2,E432,Table1[[#This Row],[Response]]),"")</f>
        <v>Female</v>
      </c>
      <c r="F433" s="1">
        <v>3</v>
      </c>
      <c r="G433" s="1" t="s">
        <v>8</v>
      </c>
      <c r="H433" s="2" t="s">
        <v>8</v>
      </c>
      <c r="I43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3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3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34" spans="1:11">
      <c r="A434" s="2" t="s">
        <v>12</v>
      </c>
      <c r="B434" s="2" t="s">
        <v>21</v>
      </c>
      <c r="C434" s="1">
        <v>9</v>
      </c>
      <c r="D434" s="2" t="s">
        <v>6</v>
      </c>
      <c r="E434" s="5" t="str">
        <f>IF(Table1[[#This Row],[Pre or Post]]="Pre",IF(IF(Table1[[#This Row],[Response]]="Male",0,1)+IF(Table1[[#This Row],[Response]]="Female",0,1)=2,E433,Table1[[#This Row],[Response]]),"")</f>
        <v>Female</v>
      </c>
      <c r="F434" s="1">
        <v>4</v>
      </c>
      <c r="G434" s="1" t="s">
        <v>8</v>
      </c>
      <c r="H434" s="2" t="s">
        <v>8</v>
      </c>
      <c r="I43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3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3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35" spans="1:11">
      <c r="A435" s="2" t="s">
        <v>12</v>
      </c>
      <c r="B435" s="2" t="s">
        <v>21</v>
      </c>
      <c r="C435" s="1">
        <v>9</v>
      </c>
      <c r="D435" s="2" t="s">
        <v>6</v>
      </c>
      <c r="E435" s="5" t="str">
        <f>IF(Table1[[#This Row],[Pre or Post]]="Pre",IF(IF(Table1[[#This Row],[Response]]="Male",0,1)+IF(Table1[[#This Row],[Response]]="Female",0,1)=2,E434,Table1[[#This Row],[Response]]),"")</f>
        <v>Female</v>
      </c>
      <c r="F435" s="1">
        <v>5</v>
      </c>
      <c r="G435" s="1" t="s">
        <v>8</v>
      </c>
      <c r="H435" s="2" t="s">
        <v>8</v>
      </c>
      <c r="I43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3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3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36" spans="1:11">
      <c r="A436" s="2" t="s">
        <v>12</v>
      </c>
      <c r="B436" s="2" t="s">
        <v>21</v>
      </c>
      <c r="C436" s="1">
        <v>9</v>
      </c>
      <c r="D436" s="2" t="s">
        <v>6</v>
      </c>
      <c r="E436" s="5" t="str">
        <f>IF(Table1[[#This Row],[Pre or Post]]="Pre",IF(IF(Table1[[#This Row],[Response]]="Male",0,1)+IF(Table1[[#This Row],[Response]]="Female",0,1)=2,E435,Table1[[#This Row],[Response]]),"")</f>
        <v>Female</v>
      </c>
      <c r="F436" s="1">
        <v>6</v>
      </c>
      <c r="G436" s="1" t="s">
        <v>8</v>
      </c>
      <c r="H436" s="2" t="s">
        <v>8</v>
      </c>
      <c r="I43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3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3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37" spans="1:11">
      <c r="A437" s="2" t="s">
        <v>12</v>
      </c>
      <c r="B437" s="2" t="s">
        <v>21</v>
      </c>
      <c r="C437" s="1">
        <v>9</v>
      </c>
      <c r="D437" s="2" t="s">
        <v>6</v>
      </c>
      <c r="E437" s="5" t="str">
        <f>IF(Table1[[#This Row],[Pre or Post]]="Pre",IF(IF(Table1[[#This Row],[Response]]="Male",0,1)+IF(Table1[[#This Row],[Response]]="Female",0,1)=2,E436,Table1[[#This Row],[Response]]),"")</f>
        <v>Female</v>
      </c>
      <c r="F437" s="1">
        <v>7</v>
      </c>
      <c r="G437" s="1" t="s">
        <v>9</v>
      </c>
      <c r="H437" s="2" t="s">
        <v>8</v>
      </c>
      <c r="I43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3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3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38" spans="1:11">
      <c r="A438" s="2" t="s">
        <v>12</v>
      </c>
      <c r="B438" s="2" t="s">
        <v>21</v>
      </c>
      <c r="C438" s="1">
        <v>9</v>
      </c>
      <c r="D438" s="2" t="s">
        <v>6</v>
      </c>
      <c r="E438" s="5" t="str">
        <f>IF(Table1[[#This Row],[Pre or Post]]="Pre",IF(IF(Table1[[#This Row],[Response]]="Male",0,1)+IF(Table1[[#This Row],[Response]]="Female",0,1)=2,E437,Table1[[#This Row],[Response]]),"")</f>
        <v>Female</v>
      </c>
      <c r="F438" s="1">
        <v>8</v>
      </c>
      <c r="G438" s="1"/>
      <c r="H438" s="2" t="s">
        <v>8</v>
      </c>
      <c r="I43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3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3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39" spans="1:11">
      <c r="A439" s="2" t="s">
        <v>12</v>
      </c>
      <c r="B439" s="2" t="s">
        <v>21</v>
      </c>
      <c r="C439" s="1">
        <v>9</v>
      </c>
      <c r="D439" s="2" t="s">
        <v>6</v>
      </c>
      <c r="E439" s="5" t="str">
        <f>IF(Table1[[#This Row],[Pre or Post]]="Pre",IF(IF(Table1[[#This Row],[Response]]="Male",0,1)+IF(Table1[[#This Row],[Response]]="Female",0,1)=2,E438,Table1[[#This Row],[Response]]),"")</f>
        <v>Female</v>
      </c>
      <c r="F439" s="1">
        <v>9</v>
      </c>
      <c r="G439" s="1">
        <v>5</v>
      </c>
      <c r="H439" s="2" t="s">
        <v>8</v>
      </c>
      <c r="I43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3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3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40" spans="1:11">
      <c r="A440" s="2" t="s">
        <v>12</v>
      </c>
      <c r="B440" s="2" t="s">
        <v>21</v>
      </c>
      <c r="C440" s="1">
        <v>9</v>
      </c>
      <c r="D440" s="2" t="s">
        <v>6</v>
      </c>
      <c r="E440" s="5" t="str">
        <f>IF(Table1[[#This Row],[Pre or Post]]="Pre",IF(IF(Table1[[#This Row],[Response]]="Male",0,1)+IF(Table1[[#This Row],[Response]]="Female",0,1)=2,E439,Table1[[#This Row],[Response]]),"")</f>
        <v>Female</v>
      </c>
      <c r="F440" s="1">
        <v>10</v>
      </c>
      <c r="G440" s="1">
        <v>4</v>
      </c>
      <c r="H440" s="2" t="s">
        <v>8</v>
      </c>
      <c r="I44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4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4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41" spans="1:11">
      <c r="A441" s="2" t="s">
        <v>12</v>
      </c>
      <c r="B441" s="2" t="s">
        <v>21</v>
      </c>
      <c r="C441" s="1">
        <v>9</v>
      </c>
      <c r="D441" s="2" t="s">
        <v>6</v>
      </c>
      <c r="E441" s="5" t="str">
        <f>IF(Table1[[#This Row],[Pre or Post]]="Pre",IF(IF(Table1[[#This Row],[Response]]="Male",0,1)+IF(Table1[[#This Row],[Response]]="Female",0,1)=2,E440,Table1[[#This Row],[Response]]),"")</f>
        <v>Female</v>
      </c>
      <c r="F441" s="2">
        <v>11</v>
      </c>
      <c r="G441" s="1">
        <v>1</v>
      </c>
      <c r="H441" s="2" t="s">
        <v>8</v>
      </c>
      <c r="I44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4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4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42" spans="1:11">
      <c r="A442" s="2" t="s">
        <v>12</v>
      </c>
      <c r="B442" s="2" t="s">
        <v>21</v>
      </c>
      <c r="C442" s="1">
        <v>10</v>
      </c>
      <c r="D442" s="2" t="s">
        <v>6</v>
      </c>
      <c r="E442" s="5" t="str">
        <f>IF(Table1[[#This Row],[Pre or Post]]="Pre",IF(IF(Table1[[#This Row],[Response]]="Male",0,1)+IF(Table1[[#This Row],[Response]]="Female",0,1)=2,E441,Table1[[#This Row],[Response]]),"")</f>
        <v>Female</v>
      </c>
      <c r="F442" s="1">
        <v>2</v>
      </c>
      <c r="G442" s="1" t="s">
        <v>13</v>
      </c>
      <c r="H442" s="2" t="s">
        <v>8</v>
      </c>
      <c r="I44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4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4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43" spans="1:11">
      <c r="A443" s="2" t="s">
        <v>12</v>
      </c>
      <c r="B443" s="2" t="s">
        <v>21</v>
      </c>
      <c r="C443" s="1">
        <v>10</v>
      </c>
      <c r="D443" s="2" t="s">
        <v>6</v>
      </c>
      <c r="E443" s="5" t="str">
        <f>IF(Table1[[#This Row],[Pre or Post]]="Pre",IF(IF(Table1[[#This Row],[Response]]="Male",0,1)+IF(Table1[[#This Row],[Response]]="Female",0,1)=2,E442,Table1[[#This Row],[Response]]),"")</f>
        <v>Female</v>
      </c>
      <c r="F443" s="1">
        <v>3</v>
      </c>
      <c r="G443" s="1" t="s">
        <v>9</v>
      </c>
      <c r="H443" s="2" t="s">
        <v>8</v>
      </c>
      <c r="I44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4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4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44" spans="1:11">
      <c r="A444" s="2" t="s">
        <v>12</v>
      </c>
      <c r="B444" s="2" t="s">
        <v>21</v>
      </c>
      <c r="C444" s="1">
        <v>10</v>
      </c>
      <c r="D444" s="2" t="s">
        <v>6</v>
      </c>
      <c r="E444" s="5" t="str">
        <f>IF(Table1[[#This Row],[Pre or Post]]="Pre",IF(IF(Table1[[#This Row],[Response]]="Male",0,1)+IF(Table1[[#This Row],[Response]]="Female",0,1)=2,E443,Table1[[#This Row],[Response]]),"")</f>
        <v>Female</v>
      </c>
      <c r="F444" s="1">
        <v>4</v>
      </c>
      <c r="G444" s="1" t="s">
        <v>9</v>
      </c>
      <c r="H444" s="2" t="s">
        <v>8</v>
      </c>
      <c r="I44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4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4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45" spans="1:11">
      <c r="A445" s="2" t="s">
        <v>12</v>
      </c>
      <c r="B445" s="2" t="s">
        <v>21</v>
      </c>
      <c r="C445" s="1">
        <v>10</v>
      </c>
      <c r="D445" s="2" t="s">
        <v>6</v>
      </c>
      <c r="E445" s="5" t="str">
        <f>IF(Table1[[#This Row],[Pre or Post]]="Pre",IF(IF(Table1[[#This Row],[Response]]="Male",0,1)+IF(Table1[[#This Row],[Response]]="Female",0,1)=2,E444,Table1[[#This Row],[Response]]),"")</f>
        <v>Female</v>
      </c>
      <c r="F445" s="1">
        <v>5</v>
      </c>
      <c r="G445" s="1" t="s">
        <v>8</v>
      </c>
      <c r="H445" s="2" t="s">
        <v>8</v>
      </c>
      <c r="I44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4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4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46" spans="1:11">
      <c r="A446" s="2" t="s">
        <v>12</v>
      </c>
      <c r="B446" s="2" t="s">
        <v>21</v>
      </c>
      <c r="C446" s="1">
        <v>10</v>
      </c>
      <c r="D446" s="2" t="s">
        <v>6</v>
      </c>
      <c r="E446" s="5" t="str">
        <f>IF(Table1[[#This Row],[Pre or Post]]="Pre",IF(IF(Table1[[#This Row],[Response]]="Male",0,1)+IF(Table1[[#This Row],[Response]]="Female",0,1)=2,E445,Table1[[#This Row],[Response]]),"")</f>
        <v>Female</v>
      </c>
      <c r="F446" s="1">
        <v>6</v>
      </c>
      <c r="G446" s="1" t="s">
        <v>9</v>
      </c>
      <c r="H446" s="2" t="s">
        <v>8</v>
      </c>
      <c r="I44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4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4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47" spans="1:11">
      <c r="A447" s="2" t="s">
        <v>12</v>
      </c>
      <c r="B447" s="2" t="s">
        <v>21</v>
      </c>
      <c r="C447" s="1">
        <v>10</v>
      </c>
      <c r="D447" s="2" t="s">
        <v>6</v>
      </c>
      <c r="E447" s="5" t="str">
        <f>IF(Table1[[#This Row],[Pre or Post]]="Pre",IF(IF(Table1[[#This Row],[Response]]="Male",0,1)+IF(Table1[[#This Row],[Response]]="Female",0,1)=2,E446,Table1[[#This Row],[Response]]),"")</f>
        <v>Female</v>
      </c>
      <c r="F447" s="1">
        <v>7</v>
      </c>
      <c r="G447" s="1" t="s">
        <v>8</v>
      </c>
      <c r="H447" s="2" t="s">
        <v>8</v>
      </c>
      <c r="I44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4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4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48" spans="1:11">
      <c r="A448" s="2" t="s">
        <v>12</v>
      </c>
      <c r="B448" s="2" t="s">
        <v>21</v>
      </c>
      <c r="C448" s="1">
        <v>10</v>
      </c>
      <c r="D448" s="2" t="s">
        <v>6</v>
      </c>
      <c r="E448" s="5" t="str">
        <f>IF(Table1[[#This Row],[Pre or Post]]="Pre",IF(IF(Table1[[#This Row],[Response]]="Male",0,1)+IF(Table1[[#This Row],[Response]]="Female",0,1)=2,E447,Table1[[#This Row],[Response]]),"")</f>
        <v>Female</v>
      </c>
      <c r="F448" s="1">
        <v>8</v>
      </c>
      <c r="G448" s="1"/>
      <c r="H448" s="2" t="s">
        <v>8</v>
      </c>
      <c r="I44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4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4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49" spans="1:11">
      <c r="A449" s="2" t="s">
        <v>12</v>
      </c>
      <c r="B449" s="2" t="s">
        <v>21</v>
      </c>
      <c r="C449" s="1">
        <v>10</v>
      </c>
      <c r="D449" s="2" t="s">
        <v>6</v>
      </c>
      <c r="E449" s="5" t="str">
        <f>IF(Table1[[#This Row],[Pre or Post]]="Pre",IF(IF(Table1[[#This Row],[Response]]="Male",0,1)+IF(Table1[[#This Row],[Response]]="Female",0,1)=2,E448,Table1[[#This Row],[Response]]),"")</f>
        <v>Female</v>
      </c>
      <c r="F449" s="1">
        <v>9</v>
      </c>
      <c r="G449" s="1">
        <v>3</v>
      </c>
      <c r="H449" s="2" t="s">
        <v>8</v>
      </c>
      <c r="I44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4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4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50" spans="1:11">
      <c r="A450" s="2" t="s">
        <v>12</v>
      </c>
      <c r="B450" s="2" t="s">
        <v>21</v>
      </c>
      <c r="C450" s="1">
        <v>10</v>
      </c>
      <c r="D450" s="2" t="s">
        <v>6</v>
      </c>
      <c r="E450" s="5" t="str">
        <f>IF(Table1[[#This Row],[Pre or Post]]="Pre",IF(IF(Table1[[#This Row],[Response]]="Male",0,1)+IF(Table1[[#This Row],[Response]]="Female",0,1)=2,E449,Table1[[#This Row],[Response]]),"")</f>
        <v>Female</v>
      </c>
      <c r="F450" s="1">
        <v>10</v>
      </c>
      <c r="G450" s="1">
        <v>5</v>
      </c>
      <c r="H450" s="2" t="s">
        <v>8</v>
      </c>
      <c r="I45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5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5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51" spans="1:11">
      <c r="A451" s="2" t="s">
        <v>12</v>
      </c>
      <c r="B451" s="2" t="s">
        <v>21</v>
      </c>
      <c r="C451" s="1">
        <v>10</v>
      </c>
      <c r="D451" s="2" t="s">
        <v>6</v>
      </c>
      <c r="E451" s="5" t="str">
        <f>IF(Table1[[#This Row],[Pre or Post]]="Pre",IF(IF(Table1[[#This Row],[Response]]="Male",0,1)+IF(Table1[[#This Row],[Response]]="Female",0,1)=2,E450,Table1[[#This Row],[Response]]),"")</f>
        <v>Female</v>
      </c>
      <c r="F451" s="1">
        <v>11</v>
      </c>
      <c r="G451" s="1">
        <v>2</v>
      </c>
      <c r="H451" s="2" t="s">
        <v>8</v>
      </c>
      <c r="I45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5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5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52" spans="1:11">
      <c r="A452" s="2" t="s">
        <v>12</v>
      </c>
      <c r="B452" s="2" t="s">
        <v>21</v>
      </c>
      <c r="C452" s="1">
        <v>11</v>
      </c>
      <c r="D452" s="2" t="s">
        <v>6</v>
      </c>
      <c r="E452" s="5" t="str">
        <f>IF(Table1[[#This Row],[Pre or Post]]="Pre",IF(IF(Table1[[#This Row],[Response]]="Male",0,1)+IF(Table1[[#This Row],[Response]]="Female",0,1)=2,E451,Table1[[#This Row],[Response]]),"")</f>
        <v>Female</v>
      </c>
      <c r="F452" s="1">
        <v>2</v>
      </c>
      <c r="G452" s="1" t="s">
        <v>13</v>
      </c>
      <c r="H452" s="2" t="s">
        <v>8</v>
      </c>
      <c r="I45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5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5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53" spans="1:11">
      <c r="A453" s="2" t="s">
        <v>12</v>
      </c>
      <c r="B453" s="2" t="s">
        <v>21</v>
      </c>
      <c r="C453" s="1">
        <v>11</v>
      </c>
      <c r="D453" s="2" t="s">
        <v>6</v>
      </c>
      <c r="E453" s="5" t="str">
        <f>IF(Table1[[#This Row],[Pre or Post]]="Pre",IF(IF(Table1[[#This Row],[Response]]="Male",0,1)+IF(Table1[[#This Row],[Response]]="Female",0,1)=2,E452,Table1[[#This Row],[Response]]),"")</f>
        <v>Female</v>
      </c>
      <c r="F453" s="1">
        <v>3</v>
      </c>
      <c r="G453" s="1" t="s">
        <v>8</v>
      </c>
      <c r="H453" s="2" t="s">
        <v>8</v>
      </c>
      <c r="I45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5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5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54" spans="1:11">
      <c r="A454" s="2" t="s">
        <v>12</v>
      </c>
      <c r="B454" s="2" t="s">
        <v>21</v>
      </c>
      <c r="C454" s="1">
        <v>11</v>
      </c>
      <c r="D454" s="2" t="s">
        <v>6</v>
      </c>
      <c r="E454" s="5" t="str">
        <f>IF(Table1[[#This Row],[Pre or Post]]="Pre",IF(IF(Table1[[#This Row],[Response]]="Male",0,1)+IF(Table1[[#This Row],[Response]]="Female",0,1)=2,E453,Table1[[#This Row],[Response]]),"")</f>
        <v>Female</v>
      </c>
      <c r="F454" s="1">
        <v>4</v>
      </c>
      <c r="G454" s="1" t="s">
        <v>8</v>
      </c>
      <c r="H454" s="2" t="s">
        <v>8</v>
      </c>
      <c r="I45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5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5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55" spans="1:11">
      <c r="A455" s="2" t="s">
        <v>12</v>
      </c>
      <c r="B455" s="2" t="s">
        <v>21</v>
      </c>
      <c r="C455" s="1">
        <v>11</v>
      </c>
      <c r="D455" s="2" t="s">
        <v>6</v>
      </c>
      <c r="E455" s="5" t="str">
        <f>IF(Table1[[#This Row],[Pre or Post]]="Pre",IF(IF(Table1[[#This Row],[Response]]="Male",0,1)+IF(Table1[[#This Row],[Response]]="Female",0,1)=2,E454,Table1[[#This Row],[Response]]),"")</f>
        <v>Female</v>
      </c>
      <c r="F455" s="1">
        <v>5</v>
      </c>
      <c r="G455" s="1" t="s">
        <v>8</v>
      </c>
      <c r="H455" s="2" t="s">
        <v>8</v>
      </c>
      <c r="I45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5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5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56" spans="1:11">
      <c r="A456" s="2" t="s">
        <v>12</v>
      </c>
      <c r="B456" s="2" t="s">
        <v>21</v>
      </c>
      <c r="C456" s="1">
        <v>11</v>
      </c>
      <c r="D456" s="2" t="s">
        <v>6</v>
      </c>
      <c r="E456" s="5" t="str">
        <f>IF(Table1[[#This Row],[Pre or Post]]="Pre",IF(IF(Table1[[#This Row],[Response]]="Male",0,1)+IF(Table1[[#This Row],[Response]]="Female",0,1)=2,E455,Table1[[#This Row],[Response]]),"")</f>
        <v>Female</v>
      </c>
      <c r="F456" s="1">
        <v>6</v>
      </c>
      <c r="G456" s="1" t="s">
        <v>8</v>
      </c>
      <c r="H456" s="2" t="s">
        <v>8</v>
      </c>
      <c r="I45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5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5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57" spans="1:11">
      <c r="A457" s="2" t="s">
        <v>12</v>
      </c>
      <c r="B457" s="2" t="s">
        <v>21</v>
      </c>
      <c r="C457" s="1">
        <v>11</v>
      </c>
      <c r="D457" s="2" t="s">
        <v>6</v>
      </c>
      <c r="E457" s="5" t="str">
        <f>IF(Table1[[#This Row],[Pre or Post]]="Pre",IF(IF(Table1[[#This Row],[Response]]="Male",0,1)+IF(Table1[[#This Row],[Response]]="Female",0,1)=2,E456,Table1[[#This Row],[Response]]),"")</f>
        <v>Female</v>
      </c>
      <c r="F457" s="1">
        <v>7</v>
      </c>
      <c r="G457" s="1" t="s">
        <v>9</v>
      </c>
      <c r="H457" s="2" t="s">
        <v>8</v>
      </c>
      <c r="I45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5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5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58" spans="1:11">
      <c r="A458" s="2" t="s">
        <v>12</v>
      </c>
      <c r="B458" s="2" t="s">
        <v>21</v>
      </c>
      <c r="C458" s="1">
        <v>11</v>
      </c>
      <c r="D458" s="2" t="s">
        <v>6</v>
      </c>
      <c r="E458" s="5" t="str">
        <f>IF(Table1[[#This Row],[Pre or Post]]="Pre",IF(IF(Table1[[#This Row],[Response]]="Male",0,1)+IF(Table1[[#This Row],[Response]]="Female",0,1)=2,E457,Table1[[#This Row],[Response]]),"")</f>
        <v>Female</v>
      </c>
      <c r="F458" s="1">
        <v>8</v>
      </c>
      <c r="G458" s="1"/>
      <c r="H458" s="2" t="s">
        <v>8</v>
      </c>
      <c r="I45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5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5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59" spans="1:11">
      <c r="A459" s="2" t="s">
        <v>12</v>
      </c>
      <c r="B459" s="2" t="s">
        <v>21</v>
      </c>
      <c r="C459" s="1">
        <v>11</v>
      </c>
      <c r="D459" s="2" t="s">
        <v>6</v>
      </c>
      <c r="E459" s="5" t="str">
        <f>IF(Table1[[#This Row],[Pre or Post]]="Pre",IF(IF(Table1[[#This Row],[Response]]="Male",0,1)+IF(Table1[[#This Row],[Response]]="Female",0,1)=2,E458,Table1[[#This Row],[Response]]),"")</f>
        <v>Female</v>
      </c>
      <c r="F459" s="1">
        <v>9</v>
      </c>
      <c r="G459" s="1">
        <v>4</v>
      </c>
      <c r="H459" s="2" t="s">
        <v>8</v>
      </c>
      <c r="I45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5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5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60" spans="1:11">
      <c r="A460" s="2" t="s">
        <v>12</v>
      </c>
      <c r="B460" s="2" t="s">
        <v>21</v>
      </c>
      <c r="C460" s="1">
        <v>11</v>
      </c>
      <c r="D460" s="2" t="s">
        <v>6</v>
      </c>
      <c r="E460" s="5" t="str">
        <f>IF(Table1[[#This Row],[Pre or Post]]="Pre",IF(IF(Table1[[#This Row],[Response]]="Male",0,1)+IF(Table1[[#This Row],[Response]]="Female",0,1)=2,E459,Table1[[#This Row],[Response]]),"")</f>
        <v>Female</v>
      </c>
      <c r="F460" s="1">
        <v>10</v>
      </c>
      <c r="G460" s="1">
        <v>4</v>
      </c>
      <c r="H460" s="2" t="s">
        <v>8</v>
      </c>
      <c r="I46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6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6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61" spans="1:11">
      <c r="A461" s="2" t="s">
        <v>12</v>
      </c>
      <c r="B461" s="2" t="s">
        <v>21</v>
      </c>
      <c r="C461" s="1">
        <v>11</v>
      </c>
      <c r="D461" s="2" t="s">
        <v>6</v>
      </c>
      <c r="E461" s="5" t="str">
        <f>IF(Table1[[#This Row],[Pre or Post]]="Pre",IF(IF(Table1[[#This Row],[Response]]="Male",0,1)+IF(Table1[[#This Row],[Response]]="Female",0,1)=2,E460,Table1[[#This Row],[Response]]),"")</f>
        <v>Female</v>
      </c>
      <c r="F461" s="2">
        <v>11</v>
      </c>
      <c r="G461" s="1">
        <v>4</v>
      </c>
      <c r="H461" s="2" t="s">
        <v>8</v>
      </c>
      <c r="I46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6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6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62" spans="1:11">
      <c r="A462" s="2" t="s">
        <v>12</v>
      </c>
      <c r="B462" s="2" t="s">
        <v>21</v>
      </c>
      <c r="C462" s="1">
        <v>12</v>
      </c>
      <c r="D462" s="2" t="s">
        <v>6</v>
      </c>
      <c r="E462" s="5" t="str">
        <f>IF(Table1[[#This Row],[Pre or Post]]="Pre",IF(IF(Table1[[#This Row],[Response]]="Male",0,1)+IF(Table1[[#This Row],[Response]]="Female",0,1)=2,E461,Table1[[#This Row],[Response]]),"")</f>
        <v>Male</v>
      </c>
      <c r="F462" s="1">
        <v>2</v>
      </c>
      <c r="G462" s="1" t="s">
        <v>7</v>
      </c>
      <c r="H462" s="2" t="s">
        <v>8</v>
      </c>
      <c r="I46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6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6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63" spans="1:11">
      <c r="A463" s="2" t="s">
        <v>12</v>
      </c>
      <c r="B463" s="2" t="s">
        <v>21</v>
      </c>
      <c r="C463" s="1">
        <v>12</v>
      </c>
      <c r="D463" s="2" t="s">
        <v>6</v>
      </c>
      <c r="E463" s="5" t="str">
        <f>IF(Table1[[#This Row],[Pre or Post]]="Pre",IF(IF(Table1[[#This Row],[Response]]="Male",0,1)+IF(Table1[[#This Row],[Response]]="Female",0,1)=2,E462,Table1[[#This Row],[Response]]),"")</f>
        <v>Male</v>
      </c>
      <c r="F463" s="1">
        <v>3</v>
      </c>
      <c r="G463" s="1" t="s">
        <v>8</v>
      </c>
      <c r="H463" s="2" t="s">
        <v>8</v>
      </c>
      <c r="I46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6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6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64" spans="1:11">
      <c r="A464" s="2" t="s">
        <v>12</v>
      </c>
      <c r="B464" s="2" t="s">
        <v>21</v>
      </c>
      <c r="C464" s="1">
        <v>12</v>
      </c>
      <c r="D464" s="2" t="s">
        <v>6</v>
      </c>
      <c r="E464" s="5" t="str">
        <f>IF(Table1[[#This Row],[Pre or Post]]="Pre",IF(IF(Table1[[#This Row],[Response]]="Male",0,1)+IF(Table1[[#This Row],[Response]]="Female",0,1)=2,E463,Table1[[#This Row],[Response]]),"")</f>
        <v>Male</v>
      </c>
      <c r="F464" s="1">
        <v>4</v>
      </c>
      <c r="G464" s="1" t="s">
        <v>9</v>
      </c>
      <c r="H464" s="2" t="s">
        <v>8</v>
      </c>
      <c r="I46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6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6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65" spans="1:11">
      <c r="A465" s="2" t="s">
        <v>12</v>
      </c>
      <c r="B465" s="2" t="s">
        <v>21</v>
      </c>
      <c r="C465" s="1">
        <v>12</v>
      </c>
      <c r="D465" s="2" t="s">
        <v>6</v>
      </c>
      <c r="E465" s="5" t="str">
        <f>IF(Table1[[#This Row],[Pre or Post]]="Pre",IF(IF(Table1[[#This Row],[Response]]="Male",0,1)+IF(Table1[[#This Row],[Response]]="Female",0,1)=2,E464,Table1[[#This Row],[Response]]),"")</f>
        <v>Male</v>
      </c>
      <c r="F465" s="1">
        <v>5</v>
      </c>
      <c r="G465" s="1" t="s">
        <v>8</v>
      </c>
      <c r="H465" s="2" t="s">
        <v>8</v>
      </c>
      <c r="I46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6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6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66" spans="1:11">
      <c r="A466" s="2" t="s">
        <v>12</v>
      </c>
      <c r="B466" s="2" t="s">
        <v>21</v>
      </c>
      <c r="C466" s="1">
        <v>12</v>
      </c>
      <c r="D466" s="2" t="s">
        <v>6</v>
      </c>
      <c r="E466" s="5" t="str">
        <f>IF(Table1[[#This Row],[Pre or Post]]="Pre",IF(IF(Table1[[#This Row],[Response]]="Male",0,1)+IF(Table1[[#This Row],[Response]]="Female",0,1)=2,E465,Table1[[#This Row],[Response]]),"")</f>
        <v>Male</v>
      </c>
      <c r="F466" s="1">
        <v>6</v>
      </c>
      <c r="G466" s="1" t="s">
        <v>8</v>
      </c>
      <c r="H466" s="2" t="s">
        <v>8</v>
      </c>
      <c r="I46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6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6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67" spans="1:11">
      <c r="A467" s="2" t="s">
        <v>12</v>
      </c>
      <c r="B467" s="2" t="s">
        <v>21</v>
      </c>
      <c r="C467" s="1">
        <v>12</v>
      </c>
      <c r="D467" s="2" t="s">
        <v>6</v>
      </c>
      <c r="E467" s="5" t="str">
        <f>IF(Table1[[#This Row],[Pre or Post]]="Pre",IF(IF(Table1[[#This Row],[Response]]="Male",0,1)+IF(Table1[[#This Row],[Response]]="Female",0,1)=2,E466,Table1[[#This Row],[Response]]),"")</f>
        <v>Male</v>
      </c>
      <c r="F467" s="1">
        <v>7</v>
      </c>
      <c r="G467" s="1" t="s">
        <v>8</v>
      </c>
      <c r="H467" s="2" t="s">
        <v>8</v>
      </c>
      <c r="I46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6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6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68" spans="1:11">
      <c r="A468" s="2" t="s">
        <v>12</v>
      </c>
      <c r="B468" s="2" t="s">
        <v>21</v>
      </c>
      <c r="C468" s="1">
        <v>12</v>
      </c>
      <c r="D468" s="2" t="s">
        <v>6</v>
      </c>
      <c r="E468" s="5" t="str">
        <f>IF(Table1[[#This Row],[Pre or Post]]="Pre",IF(IF(Table1[[#This Row],[Response]]="Male",0,1)+IF(Table1[[#This Row],[Response]]="Female",0,1)=2,E467,Table1[[#This Row],[Response]]),"")</f>
        <v>Male</v>
      </c>
      <c r="F468" s="1">
        <v>8</v>
      </c>
      <c r="G468" s="1"/>
      <c r="H468" s="2" t="s">
        <v>8</v>
      </c>
      <c r="I46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6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6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69" spans="1:11">
      <c r="A469" s="2" t="s">
        <v>12</v>
      </c>
      <c r="B469" s="2" t="s">
        <v>21</v>
      </c>
      <c r="C469" s="1">
        <v>12</v>
      </c>
      <c r="D469" s="2" t="s">
        <v>6</v>
      </c>
      <c r="E469" s="5" t="str">
        <f>IF(Table1[[#This Row],[Pre or Post]]="Pre",IF(IF(Table1[[#This Row],[Response]]="Male",0,1)+IF(Table1[[#This Row],[Response]]="Female",0,1)=2,E468,Table1[[#This Row],[Response]]),"")</f>
        <v>Male</v>
      </c>
      <c r="F469" s="1">
        <v>9</v>
      </c>
      <c r="G469" s="1">
        <v>1</v>
      </c>
      <c r="H469" s="2" t="s">
        <v>8</v>
      </c>
      <c r="I46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6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6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70" spans="1:11">
      <c r="A470" s="2" t="s">
        <v>12</v>
      </c>
      <c r="B470" s="2" t="s">
        <v>21</v>
      </c>
      <c r="C470" s="1">
        <v>12</v>
      </c>
      <c r="D470" s="2" t="s">
        <v>6</v>
      </c>
      <c r="E470" s="5" t="str">
        <f>IF(Table1[[#This Row],[Pre or Post]]="Pre",IF(IF(Table1[[#This Row],[Response]]="Male",0,1)+IF(Table1[[#This Row],[Response]]="Female",0,1)=2,E469,Table1[[#This Row],[Response]]),"")</f>
        <v>Male</v>
      </c>
      <c r="F470" s="1">
        <v>10</v>
      </c>
      <c r="G470" s="1">
        <v>1</v>
      </c>
      <c r="H470" s="2" t="s">
        <v>8</v>
      </c>
      <c r="I47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7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7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71" spans="1:11">
      <c r="A471" s="2" t="s">
        <v>12</v>
      </c>
      <c r="B471" s="2" t="s">
        <v>21</v>
      </c>
      <c r="C471" s="1">
        <v>12</v>
      </c>
      <c r="D471" s="2" t="s">
        <v>6</v>
      </c>
      <c r="E471" s="5" t="str">
        <f>IF(Table1[[#This Row],[Pre or Post]]="Pre",IF(IF(Table1[[#This Row],[Response]]="Male",0,1)+IF(Table1[[#This Row],[Response]]="Female",0,1)=2,E470,Table1[[#This Row],[Response]]),"")</f>
        <v>Male</v>
      </c>
      <c r="F471" s="1">
        <v>11</v>
      </c>
      <c r="G471" s="1">
        <v>1</v>
      </c>
      <c r="H471" s="2" t="s">
        <v>8</v>
      </c>
      <c r="I47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7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7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72" spans="1:11">
      <c r="A472" s="2" t="s">
        <v>12</v>
      </c>
      <c r="B472" s="2" t="s">
        <v>21</v>
      </c>
      <c r="C472" s="1">
        <v>13</v>
      </c>
      <c r="D472" s="2" t="s">
        <v>6</v>
      </c>
      <c r="E472" s="5" t="str">
        <f>IF(Table1[[#This Row],[Pre or Post]]="Pre",IF(IF(Table1[[#This Row],[Response]]="Male",0,1)+IF(Table1[[#This Row],[Response]]="Female",0,1)=2,E471,Table1[[#This Row],[Response]]),"")</f>
        <v>Female</v>
      </c>
      <c r="F472" s="1">
        <v>2</v>
      </c>
      <c r="G472" s="1" t="s">
        <v>13</v>
      </c>
      <c r="H472" s="2" t="s">
        <v>8</v>
      </c>
      <c r="I47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7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7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73" spans="1:11">
      <c r="A473" s="2" t="s">
        <v>12</v>
      </c>
      <c r="B473" s="2" t="s">
        <v>21</v>
      </c>
      <c r="C473" s="1">
        <v>13</v>
      </c>
      <c r="D473" s="2" t="s">
        <v>6</v>
      </c>
      <c r="E473" s="5" t="str">
        <f>IF(Table1[[#This Row],[Pre or Post]]="Pre",IF(IF(Table1[[#This Row],[Response]]="Male",0,1)+IF(Table1[[#This Row],[Response]]="Female",0,1)=2,E472,Table1[[#This Row],[Response]]),"")</f>
        <v>Female</v>
      </c>
      <c r="F473" s="1">
        <v>3</v>
      </c>
      <c r="G473" s="1" t="s">
        <v>8</v>
      </c>
      <c r="H473" s="2" t="s">
        <v>8</v>
      </c>
      <c r="I47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7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7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74" spans="1:11">
      <c r="A474" s="2" t="s">
        <v>12</v>
      </c>
      <c r="B474" s="2" t="s">
        <v>21</v>
      </c>
      <c r="C474" s="1">
        <v>13</v>
      </c>
      <c r="D474" s="2" t="s">
        <v>6</v>
      </c>
      <c r="E474" s="5" t="str">
        <f>IF(Table1[[#This Row],[Pre or Post]]="Pre",IF(IF(Table1[[#This Row],[Response]]="Male",0,1)+IF(Table1[[#This Row],[Response]]="Female",0,1)=2,E473,Table1[[#This Row],[Response]]),"")</f>
        <v>Female</v>
      </c>
      <c r="F474" s="1">
        <v>4</v>
      </c>
      <c r="G474" s="1" t="s">
        <v>8</v>
      </c>
      <c r="H474" s="2" t="s">
        <v>8</v>
      </c>
      <c r="I47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7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7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75" spans="1:11">
      <c r="A475" s="2" t="s">
        <v>12</v>
      </c>
      <c r="B475" s="2" t="s">
        <v>21</v>
      </c>
      <c r="C475" s="1">
        <v>13</v>
      </c>
      <c r="D475" s="2" t="s">
        <v>6</v>
      </c>
      <c r="E475" s="5" t="str">
        <f>IF(Table1[[#This Row],[Pre or Post]]="Pre",IF(IF(Table1[[#This Row],[Response]]="Male",0,1)+IF(Table1[[#This Row],[Response]]="Female",0,1)=2,E474,Table1[[#This Row],[Response]]),"")</f>
        <v>Female</v>
      </c>
      <c r="F475" s="1">
        <v>5</v>
      </c>
      <c r="G475" s="1" t="s">
        <v>8</v>
      </c>
      <c r="H475" s="2" t="s">
        <v>8</v>
      </c>
      <c r="I47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7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7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76" spans="1:11">
      <c r="A476" s="2" t="s">
        <v>12</v>
      </c>
      <c r="B476" s="2" t="s">
        <v>21</v>
      </c>
      <c r="C476" s="1">
        <v>13</v>
      </c>
      <c r="D476" s="2" t="s">
        <v>6</v>
      </c>
      <c r="E476" s="5" t="str">
        <f>IF(Table1[[#This Row],[Pre or Post]]="Pre",IF(IF(Table1[[#This Row],[Response]]="Male",0,1)+IF(Table1[[#This Row],[Response]]="Female",0,1)=2,E475,Table1[[#This Row],[Response]]),"")</f>
        <v>Female</v>
      </c>
      <c r="F476" s="1">
        <v>6</v>
      </c>
      <c r="G476" s="1" t="s">
        <v>8</v>
      </c>
      <c r="H476" s="2" t="s">
        <v>8</v>
      </c>
      <c r="I47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7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7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77" spans="1:11">
      <c r="A477" s="2" t="s">
        <v>12</v>
      </c>
      <c r="B477" s="2" t="s">
        <v>21</v>
      </c>
      <c r="C477" s="1">
        <v>13</v>
      </c>
      <c r="D477" s="2" t="s">
        <v>6</v>
      </c>
      <c r="E477" s="5" t="str">
        <f>IF(Table1[[#This Row],[Pre or Post]]="Pre",IF(IF(Table1[[#This Row],[Response]]="Male",0,1)+IF(Table1[[#This Row],[Response]]="Female",0,1)=2,E476,Table1[[#This Row],[Response]]),"")</f>
        <v>Female</v>
      </c>
      <c r="F477" s="1">
        <v>7</v>
      </c>
      <c r="G477" s="1" t="s">
        <v>9</v>
      </c>
      <c r="H477" s="2" t="s">
        <v>8</v>
      </c>
      <c r="I47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7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7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78" spans="1:11">
      <c r="A478" s="2" t="s">
        <v>12</v>
      </c>
      <c r="B478" s="2" t="s">
        <v>21</v>
      </c>
      <c r="C478" s="1">
        <v>13</v>
      </c>
      <c r="D478" s="2" t="s">
        <v>6</v>
      </c>
      <c r="E478" s="5" t="str">
        <f>IF(Table1[[#This Row],[Pre or Post]]="Pre",IF(IF(Table1[[#This Row],[Response]]="Male",0,1)+IF(Table1[[#This Row],[Response]]="Female",0,1)=2,E477,Table1[[#This Row],[Response]]),"")</f>
        <v>Female</v>
      </c>
      <c r="F478" s="1">
        <v>8</v>
      </c>
      <c r="G478" s="1"/>
      <c r="H478" s="2" t="s">
        <v>8</v>
      </c>
      <c r="I47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7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7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79" spans="1:11">
      <c r="A479" s="2" t="s">
        <v>12</v>
      </c>
      <c r="B479" s="2" t="s">
        <v>21</v>
      </c>
      <c r="C479" s="1">
        <v>13</v>
      </c>
      <c r="D479" s="2" t="s">
        <v>6</v>
      </c>
      <c r="E479" s="5" t="str">
        <f>IF(Table1[[#This Row],[Pre or Post]]="Pre",IF(IF(Table1[[#This Row],[Response]]="Male",0,1)+IF(Table1[[#This Row],[Response]]="Female",0,1)=2,E478,Table1[[#This Row],[Response]]),"")</f>
        <v>Female</v>
      </c>
      <c r="F479" s="1">
        <v>9</v>
      </c>
      <c r="G479" s="1">
        <v>4</v>
      </c>
      <c r="H479" s="2" t="s">
        <v>8</v>
      </c>
      <c r="I47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7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7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80" spans="1:11">
      <c r="A480" s="2" t="s">
        <v>12</v>
      </c>
      <c r="B480" s="2" t="s">
        <v>21</v>
      </c>
      <c r="C480" s="1">
        <v>13</v>
      </c>
      <c r="D480" s="2" t="s">
        <v>6</v>
      </c>
      <c r="E480" s="5" t="str">
        <f>IF(Table1[[#This Row],[Pre or Post]]="Pre",IF(IF(Table1[[#This Row],[Response]]="Male",0,1)+IF(Table1[[#This Row],[Response]]="Female",0,1)=2,E479,Table1[[#This Row],[Response]]),"")</f>
        <v>Female</v>
      </c>
      <c r="F480" s="1">
        <v>10</v>
      </c>
      <c r="G480" s="1">
        <v>4</v>
      </c>
      <c r="H480" s="2" t="s">
        <v>8</v>
      </c>
      <c r="I48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8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8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81" spans="1:11">
      <c r="A481" s="2" t="s">
        <v>12</v>
      </c>
      <c r="B481" s="2" t="s">
        <v>21</v>
      </c>
      <c r="C481" s="1">
        <v>13</v>
      </c>
      <c r="D481" s="2" t="s">
        <v>6</v>
      </c>
      <c r="E481" s="5" t="str">
        <f>IF(Table1[[#This Row],[Pre or Post]]="Pre",IF(IF(Table1[[#This Row],[Response]]="Male",0,1)+IF(Table1[[#This Row],[Response]]="Female",0,1)=2,E480,Table1[[#This Row],[Response]]),"")</f>
        <v>Female</v>
      </c>
      <c r="F481" s="2">
        <v>11</v>
      </c>
      <c r="G481" s="1">
        <v>4</v>
      </c>
      <c r="H481" s="2" t="s">
        <v>8</v>
      </c>
      <c r="I48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8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8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82" spans="1:11">
      <c r="A482" s="2" t="s">
        <v>12</v>
      </c>
      <c r="B482" s="2" t="s">
        <v>21</v>
      </c>
      <c r="C482" s="1">
        <v>14</v>
      </c>
      <c r="D482" s="2" t="s">
        <v>6</v>
      </c>
      <c r="E482" s="5" t="str">
        <f>IF(Table1[[#This Row],[Pre or Post]]="Pre",IF(IF(Table1[[#This Row],[Response]]="Male",0,1)+IF(Table1[[#This Row],[Response]]="Female",0,1)=2,E481,Table1[[#This Row],[Response]]),"")</f>
        <v>Female</v>
      </c>
      <c r="F482" s="1">
        <v>2</v>
      </c>
      <c r="G482" s="1" t="s">
        <v>13</v>
      </c>
      <c r="H482" s="2" t="s">
        <v>8</v>
      </c>
      <c r="I48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8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8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83" spans="1:11">
      <c r="A483" s="2" t="s">
        <v>12</v>
      </c>
      <c r="B483" s="2" t="s">
        <v>21</v>
      </c>
      <c r="C483" s="1">
        <v>14</v>
      </c>
      <c r="D483" s="2" t="s">
        <v>6</v>
      </c>
      <c r="E483" s="5" t="str">
        <f>IF(Table1[[#This Row],[Pre or Post]]="Pre",IF(IF(Table1[[#This Row],[Response]]="Male",0,1)+IF(Table1[[#This Row],[Response]]="Female",0,1)=2,E482,Table1[[#This Row],[Response]]),"")</f>
        <v>Female</v>
      </c>
      <c r="F483" s="1">
        <v>3</v>
      </c>
      <c r="G483" s="1" t="s">
        <v>8</v>
      </c>
      <c r="H483" s="2" t="s">
        <v>8</v>
      </c>
      <c r="I48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8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8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84" spans="1:11">
      <c r="A484" s="2" t="s">
        <v>12</v>
      </c>
      <c r="B484" s="2" t="s">
        <v>21</v>
      </c>
      <c r="C484" s="1">
        <v>14</v>
      </c>
      <c r="D484" s="2" t="s">
        <v>6</v>
      </c>
      <c r="E484" s="5" t="str">
        <f>IF(Table1[[#This Row],[Pre or Post]]="Pre",IF(IF(Table1[[#This Row],[Response]]="Male",0,1)+IF(Table1[[#This Row],[Response]]="Female",0,1)=2,E483,Table1[[#This Row],[Response]]),"")</f>
        <v>Female</v>
      </c>
      <c r="F484" s="1">
        <v>4</v>
      </c>
      <c r="G484" s="1" t="s">
        <v>9</v>
      </c>
      <c r="H484" s="2" t="s">
        <v>8</v>
      </c>
      <c r="I48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8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8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85" spans="1:11">
      <c r="A485" s="2" t="s">
        <v>12</v>
      </c>
      <c r="B485" s="2" t="s">
        <v>21</v>
      </c>
      <c r="C485" s="1">
        <v>14</v>
      </c>
      <c r="D485" s="2" t="s">
        <v>6</v>
      </c>
      <c r="E485" s="5" t="str">
        <f>IF(Table1[[#This Row],[Pre or Post]]="Pre",IF(IF(Table1[[#This Row],[Response]]="Male",0,1)+IF(Table1[[#This Row],[Response]]="Female",0,1)=2,E484,Table1[[#This Row],[Response]]),"")</f>
        <v>Female</v>
      </c>
      <c r="F485" s="1">
        <v>5</v>
      </c>
      <c r="G485" s="1" t="s">
        <v>8</v>
      </c>
      <c r="H485" s="2" t="s">
        <v>8</v>
      </c>
      <c r="I48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8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8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86" spans="1:11">
      <c r="A486" s="2" t="s">
        <v>12</v>
      </c>
      <c r="B486" s="2" t="s">
        <v>21</v>
      </c>
      <c r="C486" s="1">
        <v>14</v>
      </c>
      <c r="D486" s="2" t="s">
        <v>6</v>
      </c>
      <c r="E486" s="5" t="str">
        <f>IF(Table1[[#This Row],[Pre or Post]]="Pre",IF(IF(Table1[[#This Row],[Response]]="Male",0,1)+IF(Table1[[#This Row],[Response]]="Female",0,1)=2,E485,Table1[[#This Row],[Response]]),"")</f>
        <v>Female</v>
      </c>
      <c r="F486" s="1">
        <v>6</v>
      </c>
      <c r="G486" s="1" t="s">
        <v>8</v>
      </c>
      <c r="H486" s="2" t="s">
        <v>8</v>
      </c>
      <c r="I48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8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8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87" spans="1:11">
      <c r="A487" s="2" t="s">
        <v>12</v>
      </c>
      <c r="B487" s="2" t="s">
        <v>21</v>
      </c>
      <c r="C487" s="1">
        <v>14</v>
      </c>
      <c r="D487" s="2" t="s">
        <v>6</v>
      </c>
      <c r="E487" s="5" t="str">
        <f>IF(Table1[[#This Row],[Pre or Post]]="Pre",IF(IF(Table1[[#This Row],[Response]]="Male",0,1)+IF(Table1[[#This Row],[Response]]="Female",0,1)=2,E486,Table1[[#This Row],[Response]]),"")</f>
        <v>Female</v>
      </c>
      <c r="F487" s="1">
        <v>7</v>
      </c>
      <c r="G487" s="1" t="s">
        <v>9</v>
      </c>
      <c r="H487" s="2" t="s">
        <v>8</v>
      </c>
      <c r="I48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8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8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88" spans="1:11">
      <c r="A488" s="2" t="s">
        <v>12</v>
      </c>
      <c r="B488" s="2" t="s">
        <v>21</v>
      </c>
      <c r="C488" s="1">
        <v>14</v>
      </c>
      <c r="D488" s="2" t="s">
        <v>6</v>
      </c>
      <c r="E488" s="5" t="str">
        <f>IF(Table1[[#This Row],[Pre or Post]]="Pre",IF(IF(Table1[[#This Row],[Response]]="Male",0,1)+IF(Table1[[#This Row],[Response]]="Female",0,1)=2,E487,Table1[[#This Row],[Response]]),"")</f>
        <v>Female</v>
      </c>
      <c r="F488" s="1">
        <v>8</v>
      </c>
      <c r="G488" s="1"/>
      <c r="H488" s="2" t="s">
        <v>8</v>
      </c>
      <c r="I48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8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8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89" spans="1:11">
      <c r="A489" s="2" t="s">
        <v>12</v>
      </c>
      <c r="B489" s="2" t="s">
        <v>21</v>
      </c>
      <c r="C489" s="1">
        <v>14</v>
      </c>
      <c r="D489" s="2" t="s">
        <v>6</v>
      </c>
      <c r="E489" s="5" t="str">
        <f>IF(Table1[[#This Row],[Pre or Post]]="Pre",IF(IF(Table1[[#This Row],[Response]]="Male",0,1)+IF(Table1[[#This Row],[Response]]="Female",0,1)=2,E488,Table1[[#This Row],[Response]]),"")</f>
        <v>Female</v>
      </c>
      <c r="F489" s="1">
        <v>9</v>
      </c>
      <c r="G489" s="1">
        <v>3</v>
      </c>
      <c r="H489" s="2" t="s">
        <v>8</v>
      </c>
      <c r="I48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8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8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90" spans="1:11">
      <c r="A490" s="2" t="s">
        <v>12</v>
      </c>
      <c r="B490" s="2" t="s">
        <v>21</v>
      </c>
      <c r="C490" s="1">
        <v>14</v>
      </c>
      <c r="D490" s="2" t="s">
        <v>6</v>
      </c>
      <c r="E490" s="5" t="str">
        <f>IF(Table1[[#This Row],[Pre or Post]]="Pre",IF(IF(Table1[[#This Row],[Response]]="Male",0,1)+IF(Table1[[#This Row],[Response]]="Female",0,1)=2,E489,Table1[[#This Row],[Response]]),"")</f>
        <v>Female</v>
      </c>
      <c r="F490" s="1">
        <v>10</v>
      </c>
      <c r="G490" s="1">
        <v>2</v>
      </c>
      <c r="H490" s="2" t="s">
        <v>8</v>
      </c>
      <c r="I49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9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9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91" spans="1:11">
      <c r="A491" s="2" t="s">
        <v>12</v>
      </c>
      <c r="B491" s="2" t="s">
        <v>21</v>
      </c>
      <c r="C491" s="1">
        <v>14</v>
      </c>
      <c r="D491" s="2" t="s">
        <v>6</v>
      </c>
      <c r="E491" s="5" t="str">
        <f>IF(Table1[[#This Row],[Pre or Post]]="Pre",IF(IF(Table1[[#This Row],[Response]]="Male",0,1)+IF(Table1[[#This Row],[Response]]="Female",0,1)=2,E490,Table1[[#This Row],[Response]]),"")</f>
        <v>Female</v>
      </c>
      <c r="F491" s="1">
        <v>11</v>
      </c>
      <c r="G491" s="1">
        <v>2</v>
      </c>
      <c r="H491" s="2" t="s">
        <v>8</v>
      </c>
      <c r="I49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9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9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92" spans="1:11">
      <c r="A492" s="2" t="s">
        <v>12</v>
      </c>
      <c r="B492" s="2" t="s">
        <v>21</v>
      </c>
      <c r="C492" s="1">
        <v>15</v>
      </c>
      <c r="D492" s="2" t="s">
        <v>6</v>
      </c>
      <c r="E492" s="5" t="str">
        <f>IF(Table1[[#This Row],[Pre or Post]]="Pre",IF(IF(Table1[[#This Row],[Response]]="Male",0,1)+IF(Table1[[#This Row],[Response]]="Female",0,1)=2,E491,Table1[[#This Row],[Response]]),"")</f>
        <v>Female</v>
      </c>
      <c r="F492" s="1">
        <v>2</v>
      </c>
      <c r="G492" s="1" t="s">
        <v>13</v>
      </c>
      <c r="H492" s="2" t="s">
        <v>8</v>
      </c>
      <c r="I49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9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9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93" spans="1:11">
      <c r="A493" s="2" t="s">
        <v>12</v>
      </c>
      <c r="B493" s="2" t="s">
        <v>21</v>
      </c>
      <c r="C493" s="1">
        <v>15</v>
      </c>
      <c r="D493" s="2" t="s">
        <v>6</v>
      </c>
      <c r="E493" s="5" t="str">
        <f>IF(Table1[[#This Row],[Pre or Post]]="Pre",IF(IF(Table1[[#This Row],[Response]]="Male",0,1)+IF(Table1[[#This Row],[Response]]="Female",0,1)=2,E492,Table1[[#This Row],[Response]]),"")</f>
        <v>Female</v>
      </c>
      <c r="F493" s="1">
        <v>3</v>
      </c>
      <c r="G493" s="1" t="s">
        <v>8</v>
      </c>
      <c r="H493" s="2" t="s">
        <v>8</v>
      </c>
      <c r="I49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9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9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94" spans="1:11">
      <c r="A494" s="2" t="s">
        <v>12</v>
      </c>
      <c r="B494" s="2" t="s">
        <v>21</v>
      </c>
      <c r="C494" s="1">
        <v>15</v>
      </c>
      <c r="D494" s="2" t="s">
        <v>6</v>
      </c>
      <c r="E494" s="5" t="str">
        <f>IF(Table1[[#This Row],[Pre or Post]]="Pre",IF(IF(Table1[[#This Row],[Response]]="Male",0,1)+IF(Table1[[#This Row],[Response]]="Female",0,1)=2,E493,Table1[[#This Row],[Response]]),"")</f>
        <v>Female</v>
      </c>
      <c r="F494" s="1">
        <v>4</v>
      </c>
      <c r="G494" s="1" t="s">
        <v>9</v>
      </c>
      <c r="H494" s="2" t="s">
        <v>8</v>
      </c>
      <c r="I49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9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9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95" spans="1:11">
      <c r="A495" s="2" t="s">
        <v>12</v>
      </c>
      <c r="B495" s="2" t="s">
        <v>21</v>
      </c>
      <c r="C495" s="1">
        <v>15</v>
      </c>
      <c r="D495" s="2" t="s">
        <v>6</v>
      </c>
      <c r="E495" s="5" t="str">
        <f>IF(Table1[[#This Row],[Pre or Post]]="Pre",IF(IF(Table1[[#This Row],[Response]]="Male",0,1)+IF(Table1[[#This Row],[Response]]="Female",0,1)=2,E494,Table1[[#This Row],[Response]]),"")</f>
        <v>Female</v>
      </c>
      <c r="F495" s="1">
        <v>5</v>
      </c>
      <c r="G495" s="1" t="s">
        <v>8</v>
      </c>
      <c r="H495" s="2" t="s">
        <v>8</v>
      </c>
      <c r="I49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9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9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96" spans="1:11">
      <c r="A496" s="2" t="s">
        <v>12</v>
      </c>
      <c r="B496" s="2" t="s">
        <v>21</v>
      </c>
      <c r="C496" s="1">
        <v>15</v>
      </c>
      <c r="D496" s="2" t="s">
        <v>6</v>
      </c>
      <c r="E496" s="5" t="str">
        <f>IF(Table1[[#This Row],[Pre or Post]]="Pre",IF(IF(Table1[[#This Row],[Response]]="Male",0,1)+IF(Table1[[#This Row],[Response]]="Female",0,1)=2,E495,Table1[[#This Row],[Response]]),"")</f>
        <v>Female</v>
      </c>
      <c r="F496" s="1">
        <v>6</v>
      </c>
      <c r="G496" s="1" t="s">
        <v>8</v>
      </c>
      <c r="H496" s="2" t="s">
        <v>8</v>
      </c>
      <c r="I49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9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9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97" spans="1:11">
      <c r="A497" s="2" t="s">
        <v>12</v>
      </c>
      <c r="B497" s="2" t="s">
        <v>21</v>
      </c>
      <c r="C497" s="1">
        <v>15</v>
      </c>
      <c r="D497" s="2" t="s">
        <v>6</v>
      </c>
      <c r="E497" s="5" t="str">
        <f>IF(Table1[[#This Row],[Pre or Post]]="Pre",IF(IF(Table1[[#This Row],[Response]]="Male",0,1)+IF(Table1[[#This Row],[Response]]="Female",0,1)=2,E496,Table1[[#This Row],[Response]]),"")</f>
        <v>Female</v>
      </c>
      <c r="F497" s="1">
        <v>7</v>
      </c>
      <c r="G497" s="1" t="s">
        <v>9</v>
      </c>
      <c r="H497" s="2" t="s">
        <v>8</v>
      </c>
      <c r="I49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9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9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98" spans="1:11">
      <c r="A498" s="2" t="s">
        <v>12</v>
      </c>
      <c r="B498" s="2" t="s">
        <v>21</v>
      </c>
      <c r="C498" s="1">
        <v>15</v>
      </c>
      <c r="D498" s="2" t="s">
        <v>6</v>
      </c>
      <c r="E498" s="5" t="str">
        <f>IF(Table1[[#This Row],[Pre or Post]]="Pre",IF(IF(Table1[[#This Row],[Response]]="Male",0,1)+IF(Table1[[#This Row],[Response]]="Female",0,1)=2,E497,Table1[[#This Row],[Response]]),"")</f>
        <v>Female</v>
      </c>
      <c r="F498" s="1">
        <v>8</v>
      </c>
      <c r="G498" s="1"/>
      <c r="H498" s="2" t="s">
        <v>8</v>
      </c>
      <c r="I49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9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9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499" spans="1:11">
      <c r="A499" s="2" t="s">
        <v>12</v>
      </c>
      <c r="B499" s="2" t="s">
        <v>21</v>
      </c>
      <c r="C499" s="1">
        <v>15</v>
      </c>
      <c r="D499" s="2" t="s">
        <v>6</v>
      </c>
      <c r="E499" s="5" t="str">
        <f>IF(Table1[[#This Row],[Pre or Post]]="Pre",IF(IF(Table1[[#This Row],[Response]]="Male",0,1)+IF(Table1[[#This Row],[Response]]="Female",0,1)=2,E498,Table1[[#This Row],[Response]]),"")</f>
        <v>Female</v>
      </c>
      <c r="F499" s="1">
        <v>9</v>
      </c>
      <c r="G499" s="1">
        <v>3</v>
      </c>
      <c r="H499" s="2" t="s">
        <v>8</v>
      </c>
      <c r="I49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49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49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00" spans="1:11">
      <c r="A500" s="2" t="s">
        <v>12</v>
      </c>
      <c r="B500" s="2" t="s">
        <v>21</v>
      </c>
      <c r="C500" s="1">
        <v>15</v>
      </c>
      <c r="D500" s="2" t="s">
        <v>6</v>
      </c>
      <c r="E500" s="5" t="str">
        <f>IF(Table1[[#This Row],[Pre or Post]]="Pre",IF(IF(Table1[[#This Row],[Response]]="Male",0,1)+IF(Table1[[#This Row],[Response]]="Female",0,1)=2,E499,Table1[[#This Row],[Response]]),"")</f>
        <v>Female</v>
      </c>
      <c r="F500" s="1">
        <v>10</v>
      </c>
      <c r="G500" s="1">
        <v>2</v>
      </c>
      <c r="H500" s="2" t="s">
        <v>8</v>
      </c>
      <c r="I50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0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0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01" spans="1:11">
      <c r="A501" s="2" t="s">
        <v>12</v>
      </c>
      <c r="B501" s="2" t="s">
        <v>21</v>
      </c>
      <c r="C501" s="1">
        <v>15</v>
      </c>
      <c r="D501" s="2" t="s">
        <v>6</v>
      </c>
      <c r="E501" s="5" t="str">
        <f>IF(Table1[[#This Row],[Pre or Post]]="Pre",IF(IF(Table1[[#This Row],[Response]]="Male",0,1)+IF(Table1[[#This Row],[Response]]="Female",0,1)=2,E500,Table1[[#This Row],[Response]]),"")</f>
        <v>Female</v>
      </c>
      <c r="F501" s="2">
        <v>11</v>
      </c>
      <c r="G501" s="1">
        <v>2</v>
      </c>
      <c r="H501" s="2" t="s">
        <v>8</v>
      </c>
      <c r="I50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0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0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02" spans="1:11">
      <c r="A502" s="2" t="s">
        <v>12</v>
      </c>
      <c r="B502" s="2" t="s">
        <v>21</v>
      </c>
      <c r="C502" s="1">
        <v>16</v>
      </c>
      <c r="D502" s="2" t="s">
        <v>6</v>
      </c>
      <c r="E502" s="5" t="str">
        <f>IF(Table1[[#This Row],[Pre or Post]]="Pre",IF(IF(Table1[[#This Row],[Response]]="Male",0,1)+IF(Table1[[#This Row],[Response]]="Female",0,1)=2,E501,Table1[[#This Row],[Response]]),"")</f>
        <v>Female</v>
      </c>
      <c r="F502" s="1">
        <v>2</v>
      </c>
      <c r="G502" s="1" t="s">
        <v>13</v>
      </c>
      <c r="H502" s="2" t="s">
        <v>8</v>
      </c>
      <c r="I50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0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0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03" spans="1:11">
      <c r="A503" s="2" t="s">
        <v>12</v>
      </c>
      <c r="B503" s="2" t="s">
        <v>21</v>
      </c>
      <c r="C503" s="1">
        <v>16</v>
      </c>
      <c r="D503" s="2" t="s">
        <v>6</v>
      </c>
      <c r="E503" s="5" t="str">
        <f>IF(Table1[[#This Row],[Pre or Post]]="Pre",IF(IF(Table1[[#This Row],[Response]]="Male",0,1)+IF(Table1[[#This Row],[Response]]="Female",0,1)=2,E502,Table1[[#This Row],[Response]]),"")</f>
        <v>Female</v>
      </c>
      <c r="F503" s="1">
        <v>3</v>
      </c>
      <c r="G503" s="1" t="s">
        <v>8</v>
      </c>
      <c r="H503" s="2" t="s">
        <v>8</v>
      </c>
      <c r="I50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0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0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04" spans="1:11">
      <c r="A504" s="2" t="s">
        <v>12</v>
      </c>
      <c r="B504" s="2" t="s">
        <v>21</v>
      </c>
      <c r="C504" s="1">
        <v>16</v>
      </c>
      <c r="D504" s="2" t="s">
        <v>6</v>
      </c>
      <c r="E504" s="5" t="str">
        <f>IF(Table1[[#This Row],[Pre or Post]]="Pre",IF(IF(Table1[[#This Row],[Response]]="Male",0,1)+IF(Table1[[#This Row],[Response]]="Female",0,1)=2,E503,Table1[[#This Row],[Response]]),"")</f>
        <v>Female</v>
      </c>
      <c r="F504" s="1">
        <v>4</v>
      </c>
      <c r="G504" s="1" t="s">
        <v>9</v>
      </c>
      <c r="H504" s="2" t="s">
        <v>8</v>
      </c>
      <c r="I50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0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0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05" spans="1:11">
      <c r="A505" s="2" t="s">
        <v>12</v>
      </c>
      <c r="B505" s="2" t="s">
        <v>21</v>
      </c>
      <c r="C505" s="1">
        <v>16</v>
      </c>
      <c r="D505" s="2" t="s">
        <v>6</v>
      </c>
      <c r="E505" s="5" t="str">
        <f>IF(Table1[[#This Row],[Pre or Post]]="Pre",IF(IF(Table1[[#This Row],[Response]]="Male",0,1)+IF(Table1[[#This Row],[Response]]="Female",0,1)=2,E504,Table1[[#This Row],[Response]]),"")</f>
        <v>Female</v>
      </c>
      <c r="F505" s="1">
        <v>5</v>
      </c>
      <c r="G505" s="1" t="s">
        <v>8</v>
      </c>
      <c r="H505" s="2" t="s">
        <v>8</v>
      </c>
      <c r="I50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0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0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06" spans="1:11">
      <c r="A506" s="2" t="s">
        <v>12</v>
      </c>
      <c r="B506" s="2" t="s">
        <v>21</v>
      </c>
      <c r="C506" s="1">
        <v>16</v>
      </c>
      <c r="D506" s="2" t="s">
        <v>6</v>
      </c>
      <c r="E506" s="5" t="str">
        <f>IF(Table1[[#This Row],[Pre or Post]]="Pre",IF(IF(Table1[[#This Row],[Response]]="Male",0,1)+IF(Table1[[#This Row],[Response]]="Female",0,1)=2,E505,Table1[[#This Row],[Response]]),"")</f>
        <v>Female</v>
      </c>
      <c r="F506" s="1">
        <v>6</v>
      </c>
      <c r="G506" s="1" t="s">
        <v>8</v>
      </c>
      <c r="H506" s="2" t="s">
        <v>8</v>
      </c>
      <c r="I50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0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0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07" spans="1:11">
      <c r="A507" s="2" t="s">
        <v>12</v>
      </c>
      <c r="B507" s="2" t="s">
        <v>21</v>
      </c>
      <c r="C507" s="1">
        <v>16</v>
      </c>
      <c r="D507" s="2" t="s">
        <v>6</v>
      </c>
      <c r="E507" s="5" t="str">
        <f>IF(Table1[[#This Row],[Pre or Post]]="Pre",IF(IF(Table1[[#This Row],[Response]]="Male",0,1)+IF(Table1[[#This Row],[Response]]="Female",0,1)=2,E506,Table1[[#This Row],[Response]]),"")</f>
        <v>Female</v>
      </c>
      <c r="F507" s="1">
        <v>7</v>
      </c>
      <c r="G507" s="1" t="s">
        <v>9</v>
      </c>
      <c r="H507" s="2" t="s">
        <v>8</v>
      </c>
      <c r="I50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0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0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08" spans="1:11">
      <c r="A508" s="2" t="s">
        <v>12</v>
      </c>
      <c r="B508" s="2" t="s">
        <v>21</v>
      </c>
      <c r="C508" s="1">
        <v>16</v>
      </c>
      <c r="D508" s="2" t="s">
        <v>6</v>
      </c>
      <c r="E508" s="5" t="str">
        <f>IF(Table1[[#This Row],[Pre or Post]]="Pre",IF(IF(Table1[[#This Row],[Response]]="Male",0,1)+IF(Table1[[#This Row],[Response]]="Female",0,1)=2,E507,Table1[[#This Row],[Response]]),"")</f>
        <v>Female</v>
      </c>
      <c r="F508" s="1">
        <v>8</v>
      </c>
      <c r="G508" s="1"/>
      <c r="H508" s="2" t="s">
        <v>8</v>
      </c>
      <c r="I50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0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0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09" spans="1:11">
      <c r="A509" s="2" t="s">
        <v>12</v>
      </c>
      <c r="B509" s="2" t="s">
        <v>21</v>
      </c>
      <c r="C509" s="1">
        <v>16</v>
      </c>
      <c r="D509" s="2" t="s">
        <v>6</v>
      </c>
      <c r="E509" s="5" t="str">
        <f>IF(Table1[[#This Row],[Pre or Post]]="Pre",IF(IF(Table1[[#This Row],[Response]]="Male",0,1)+IF(Table1[[#This Row],[Response]]="Female",0,1)=2,E508,Table1[[#This Row],[Response]]),"")</f>
        <v>Female</v>
      </c>
      <c r="F509" s="1">
        <v>9</v>
      </c>
      <c r="G509" s="1">
        <v>3</v>
      </c>
      <c r="H509" s="2" t="s">
        <v>8</v>
      </c>
      <c r="I50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0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0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10" spans="1:11">
      <c r="A510" s="2" t="s">
        <v>12</v>
      </c>
      <c r="B510" s="2" t="s">
        <v>21</v>
      </c>
      <c r="C510" s="1">
        <v>16</v>
      </c>
      <c r="D510" s="2" t="s">
        <v>6</v>
      </c>
      <c r="E510" s="5" t="str">
        <f>IF(Table1[[#This Row],[Pre or Post]]="Pre",IF(IF(Table1[[#This Row],[Response]]="Male",0,1)+IF(Table1[[#This Row],[Response]]="Female",0,1)=2,E509,Table1[[#This Row],[Response]]),"")</f>
        <v>Female</v>
      </c>
      <c r="F510" s="1">
        <v>10</v>
      </c>
      <c r="G510" s="1">
        <v>3</v>
      </c>
      <c r="H510" s="2" t="s">
        <v>8</v>
      </c>
      <c r="I51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1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1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11" spans="1:11">
      <c r="A511" s="2" t="s">
        <v>12</v>
      </c>
      <c r="B511" s="2" t="s">
        <v>21</v>
      </c>
      <c r="C511" s="1">
        <v>16</v>
      </c>
      <c r="D511" s="2" t="s">
        <v>6</v>
      </c>
      <c r="E511" s="5" t="str">
        <f>IF(Table1[[#This Row],[Pre or Post]]="Pre",IF(IF(Table1[[#This Row],[Response]]="Male",0,1)+IF(Table1[[#This Row],[Response]]="Female",0,1)=2,E510,Table1[[#This Row],[Response]]),"")</f>
        <v>Female</v>
      </c>
      <c r="F511" s="1">
        <v>11</v>
      </c>
      <c r="G511" s="1">
        <v>2</v>
      </c>
      <c r="H511" s="2" t="s">
        <v>8</v>
      </c>
      <c r="I51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1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1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12" spans="1:11">
      <c r="A512" s="2" t="s">
        <v>12</v>
      </c>
      <c r="B512" s="2" t="s">
        <v>21</v>
      </c>
      <c r="C512" s="1">
        <v>17</v>
      </c>
      <c r="D512" s="2" t="s">
        <v>6</v>
      </c>
      <c r="E512" s="5" t="str">
        <f>IF(Table1[[#This Row],[Pre or Post]]="Pre",IF(IF(Table1[[#This Row],[Response]]="Male",0,1)+IF(Table1[[#This Row],[Response]]="Female",0,1)=2,E511,Table1[[#This Row],[Response]]),"")</f>
        <v>Female</v>
      </c>
      <c r="F512" s="1">
        <v>2</v>
      </c>
      <c r="G512" s="1" t="s">
        <v>13</v>
      </c>
      <c r="H512" s="2" t="s">
        <v>8</v>
      </c>
      <c r="I51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1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1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13" spans="1:11">
      <c r="A513" s="2" t="s">
        <v>12</v>
      </c>
      <c r="B513" s="2" t="s">
        <v>21</v>
      </c>
      <c r="C513" s="1">
        <v>17</v>
      </c>
      <c r="D513" s="2" t="s">
        <v>6</v>
      </c>
      <c r="E513" s="5" t="str">
        <f>IF(Table1[[#This Row],[Pre or Post]]="Pre",IF(IF(Table1[[#This Row],[Response]]="Male",0,1)+IF(Table1[[#This Row],[Response]]="Female",0,1)=2,E512,Table1[[#This Row],[Response]]),"")</f>
        <v>Female</v>
      </c>
      <c r="F513" s="1">
        <v>3</v>
      </c>
      <c r="G513" s="1" t="s">
        <v>8</v>
      </c>
      <c r="H513" s="2" t="s">
        <v>8</v>
      </c>
      <c r="I51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1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1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14" spans="1:11">
      <c r="A514" s="2" t="s">
        <v>12</v>
      </c>
      <c r="B514" s="2" t="s">
        <v>21</v>
      </c>
      <c r="C514" s="1">
        <v>17</v>
      </c>
      <c r="D514" s="2" t="s">
        <v>6</v>
      </c>
      <c r="E514" s="5" t="str">
        <f>IF(Table1[[#This Row],[Pre or Post]]="Pre",IF(IF(Table1[[#This Row],[Response]]="Male",0,1)+IF(Table1[[#This Row],[Response]]="Female",0,1)=2,E513,Table1[[#This Row],[Response]]),"")</f>
        <v>Female</v>
      </c>
      <c r="F514" s="1">
        <v>4</v>
      </c>
      <c r="G514" s="1" t="s">
        <v>9</v>
      </c>
      <c r="H514" s="2" t="s">
        <v>8</v>
      </c>
      <c r="I51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1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1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15" spans="1:11">
      <c r="A515" s="2" t="s">
        <v>12</v>
      </c>
      <c r="B515" s="2" t="s">
        <v>21</v>
      </c>
      <c r="C515" s="1">
        <v>17</v>
      </c>
      <c r="D515" s="2" t="s">
        <v>6</v>
      </c>
      <c r="E515" s="5" t="str">
        <f>IF(Table1[[#This Row],[Pre or Post]]="Pre",IF(IF(Table1[[#This Row],[Response]]="Male",0,1)+IF(Table1[[#This Row],[Response]]="Female",0,1)=2,E514,Table1[[#This Row],[Response]]),"")</f>
        <v>Female</v>
      </c>
      <c r="F515" s="1">
        <v>5</v>
      </c>
      <c r="G515" s="1" t="s">
        <v>8</v>
      </c>
      <c r="H515" s="2" t="s">
        <v>8</v>
      </c>
      <c r="I51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1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1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16" spans="1:11">
      <c r="A516" s="2" t="s">
        <v>12</v>
      </c>
      <c r="B516" s="2" t="s">
        <v>21</v>
      </c>
      <c r="C516" s="1">
        <v>17</v>
      </c>
      <c r="D516" s="2" t="s">
        <v>6</v>
      </c>
      <c r="E516" s="5" t="str">
        <f>IF(Table1[[#This Row],[Pre or Post]]="Pre",IF(IF(Table1[[#This Row],[Response]]="Male",0,1)+IF(Table1[[#This Row],[Response]]="Female",0,1)=2,E515,Table1[[#This Row],[Response]]),"")</f>
        <v>Female</v>
      </c>
      <c r="F516" s="1">
        <v>6</v>
      </c>
      <c r="G516" s="1" t="s">
        <v>8</v>
      </c>
      <c r="H516" s="2" t="s">
        <v>8</v>
      </c>
      <c r="I51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1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1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17" spans="1:11">
      <c r="A517" s="2" t="s">
        <v>12</v>
      </c>
      <c r="B517" s="2" t="s">
        <v>21</v>
      </c>
      <c r="C517" s="1">
        <v>17</v>
      </c>
      <c r="D517" s="2" t="s">
        <v>6</v>
      </c>
      <c r="E517" s="5" t="str">
        <f>IF(Table1[[#This Row],[Pre or Post]]="Pre",IF(IF(Table1[[#This Row],[Response]]="Male",0,1)+IF(Table1[[#This Row],[Response]]="Female",0,1)=2,E516,Table1[[#This Row],[Response]]),"")</f>
        <v>Female</v>
      </c>
      <c r="F517" s="1">
        <v>7</v>
      </c>
      <c r="G517" s="1" t="s">
        <v>9</v>
      </c>
      <c r="H517" s="2" t="s">
        <v>8</v>
      </c>
      <c r="I51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1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1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18" spans="1:11">
      <c r="A518" s="2" t="s">
        <v>12</v>
      </c>
      <c r="B518" s="2" t="s">
        <v>21</v>
      </c>
      <c r="C518" s="1">
        <v>17</v>
      </c>
      <c r="D518" s="2" t="s">
        <v>6</v>
      </c>
      <c r="E518" s="5" t="str">
        <f>IF(Table1[[#This Row],[Pre or Post]]="Pre",IF(IF(Table1[[#This Row],[Response]]="Male",0,1)+IF(Table1[[#This Row],[Response]]="Female",0,1)=2,E517,Table1[[#This Row],[Response]]),"")</f>
        <v>Female</v>
      </c>
      <c r="F518" s="1">
        <v>8</v>
      </c>
      <c r="G518" s="1"/>
      <c r="H518" s="2" t="s">
        <v>8</v>
      </c>
      <c r="I51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1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1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19" spans="1:11">
      <c r="A519" s="2" t="s">
        <v>12</v>
      </c>
      <c r="B519" s="2" t="s">
        <v>21</v>
      </c>
      <c r="C519" s="1">
        <v>17</v>
      </c>
      <c r="D519" s="2" t="s">
        <v>6</v>
      </c>
      <c r="E519" s="5" t="str">
        <f>IF(Table1[[#This Row],[Pre or Post]]="Pre",IF(IF(Table1[[#This Row],[Response]]="Male",0,1)+IF(Table1[[#This Row],[Response]]="Female",0,1)=2,E518,Table1[[#This Row],[Response]]),"")</f>
        <v>Female</v>
      </c>
      <c r="F519" s="1">
        <v>9</v>
      </c>
      <c r="G519" s="1">
        <v>1</v>
      </c>
      <c r="H519" s="2" t="s">
        <v>8</v>
      </c>
      <c r="I51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1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1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20" spans="1:11">
      <c r="A520" s="2" t="s">
        <v>12</v>
      </c>
      <c r="B520" s="2" t="s">
        <v>21</v>
      </c>
      <c r="C520" s="1">
        <v>17</v>
      </c>
      <c r="D520" s="2" t="s">
        <v>6</v>
      </c>
      <c r="E520" s="5" t="str">
        <f>IF(Table1[[#This Row],[Pre or Post]]="Pre",IF(IF(Table1[[#This Row],[Response]]="Male",0,1)+IF(Table1[[#This Row],[Response]]="Female",0,1)=2,E519,Table1[[#This Row],[Response]]),"")</f>
        <v>Female</v>
      </c>
      <c r="F520" s="1">
        <v>10</v>
      </c>
      <c r="G520" s="1">
        <v>1</v>
      </c>
      <c r="H520" s="2" t="s">
        <v>8</v>
      </c>
      <c r="I52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2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2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21" spans="1:11">
      <c r="A521" s="2" t="s">
        <v>12</v>
      </c>
      <c r="B521" s="2" t="s">
        <v>21</v>
      </c>
      <c r="C521" s="1">
        <v>17</v>
      </c>
      <c r="D521" s="2" t="s">
        <v>6</v>
      </c>
      <c r="E521" s="5" t="str">
        <f>IF(Table1[[#This Row],[Pre or Post]]="Pre",IF(IF(Table1[[#This Row],[Response]]="Male",0,1)+IF(Table1[[#This Row],[Response]]="Female",0,1)=2,E520,Table1[[#This Row],[Response]]),"")</f>
        <v>Female</v>
      </c>
      <c r="F521" s="1">
        <v>11</v>
      </c>
      <c r="G521" s="1">
        <v>1</v>
      </c>
      <c r="H521" s="2" t="s">
        <v>8</v>
      </c>
      <c r="I52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2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2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22" spans="1:11">
      <c r="A522" s="2" t="s">
        <v>12</v>
      </c>
      <c r="B522" s="2" t="s">
        <v>21</v>
      </c>
      <c r="C522" s="1">
        <v>18</v>
      </c>
      <c r="D522" s="2" t="s">
        <v>6</v>
      </c>
      <c r="E522" s="5" t="str">
        <f>IF(Table1[[#This Row],[Pre or Post]]="Pre",IF(IF(Table1[[#This Row],[Response]]="Male",0,1)+IF(Table1[[#This Row],[Response]]="Female",0,1)=2,E521,Table1[[#This Row],[Response]]),"")</f>
        <v>Male</v>
      </c>
      <c r="F522" s="1">
        <v>2</v>
      </c>
      <c r="G522" s="1" t="s">
        <v>7</v>
      </c>
      <c r="H522" s="2" t="s">
        <v>8</v>
      </c>
      <c r="I52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2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2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23" spans="1:11">
      <c r="A523" s="2" t="s">
        <v>12</v>
      </c>
      <c r="B523" s="2" t="s">
        <v>21</v>
      </c>
      <c r="C523" s="1">
        <v>18</v>
      </c>
      <c r="D523" s="2" t="s">
        <v>6</v>
      </c>
      <c r="E523" s="5" t="str">
        <f>IF(Table1[[#This Row],[Pre or Post]]="Pre",IF(IF(Table1[[#This Row],[Response]]="Male",0,1)+IF(Table1[[#This Row],[Response]]="Female",0,1)=2,E522,Table1[[#This Row],[Response]]),"")</f>
        <v>Male</v>
      </c>
      <c r="F523" s="1">
        <v>3</v>
      </c>
      <c r="G523" s="1" t="s">
        <v>8</v>
      </c>
      <c r="H523" s="2" t="s">
        <v>8</v>
      </c>
      <c r="I52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2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2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24" spans="1:11">
      <c r="A524" s="2" t="s">
        <v>12</v>
      </c>
      <c r="B524" s="2" t="s">
        <v>21</v>
      </c>
      <c r="C524" s="1">
        <v>18</v>
      </c>
      <c r="D524" s="2" t="s">
        <v>6</v>
      </c>
      <c r="E524" s="5" t="str">
        <f>IF(Table1[[#This Row],[Pre or Post]]="Pre",IF(IF(Table1[[#This Row],[Response]]="Male",0,1)+IF(Table1[[#This Row],[Response]]="Female",0,1)=2,E523,Table1[[#This Row],[Response]]),"")</f>
        <v>Male</v>
      </c>
      <c r="F524" s="1">
        <v>4</v>
      </c>
      <c r="G524" s="1" t="s">
        <v>8</v>
      </c>
      <c r="H524" s="2" t="s">
        <v>8</v>
      </c>
      <c r="I52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2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2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25" spans="1:11">
      <c r="A525" s="2" t="s">
        <v>12</v>
      </c>
      <c r="B525" s="2" t="s">
        <v>21</v>
      </c>
      <c r="C525" s="1">
        <v>18</v>
      </c>
      <c r="D525" s="2" t="s">
        <v>6</v>
      </c>
      <c r="E525" s="5" t="str">
        <f>IF(Table1[[#This Row],[Pre or Post]]="Pre",IF(IF(Table1[[#This Row],[Response]]="Male",0,1)+IF(Table1[[#This Row],[Response]]="Female",0,1)=2,E524,Table1[[#This Row],[Response]]),"")</f>
        <v>Male</v>
      </c>
      <c r="F525" s="1">
        <v>5</v>
      </c>
      <c r="G525" s="1" t="s">
        <v>8</v>
      </c>
      <c r="H525" s="2" t="s">
        <v>8</v>
      </c>
      <c r="I52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2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2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26" spans="1:11">
      <c r="A526" s="2" t="s">
        <v>12</v>
      </c>
      <c r="B526" s="2" t="s">
        <v>21</v>
      </c>
      <c r="C526" s="1">
        <v>18</v>
      </c>
      <c r="D526" s="2" t="s">
        <v>6</v>
      </c>
      <c r="E526" s="5" t="str">
        <f>IF(Table1[[#This Row],[Pre or Post]]="Pre",IF(IF(Table1[[#This Row],[Response]]="Male",0,1)+IF(Table1[[#This Row],[Response]]="Female",0,1)=2,E525,Table1[[#This Row],[Response]]),"")</f>
        <v>Male</v>
      </c>
      <c r="F526" s="1">
        <v>6</v>
      </c>
      <c r="G526" s="1" t="s">
        <v>8</v>
      </c>
      <c r="H526" s="2" t="s">
        <v>8</v>
      </c>
      <c r="I52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2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2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27" spans="1:11">
      <c r="A527" s="2" t="s">
        <v>12</v>
      </c>
      <c r="B527" s="2" t="s">
        <v>21</v>
      </c>
      <c r="C527" s="1">
        <v>18</v>
      </c>
      <c r="D527" s="2" t="s">
        <v>6</v>
      </c>
      <c r="E527" s="5" t="str">
        <f>IF(Table1[[#This Row],[Pre or Post]]="Pre",IF(IF(Table1[[#This Row],[Response]]="Male",0,1)+IF(Table1[[#This Row],[Response]]="Female",0,1)=2,E526,Table1[[#This Row],[Response]]),"")</f>
        <v>Male</v>
      </c>
      <c r="F527" s="1">
        <v>7</v>
      </c>
      <c r="G527" s="1" t="s">
        <v>9</v>
      </c>
      <c r="H527" s="2" t="s">
        <v>8</v>
      </c>
      <c r="I52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2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2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28" spans="1:11">
      <c r="A528" s="2" t="s">
        <v>12</v>
      </c>
      <c r="B528" s="2" t="s">
        <v>21</v>
      </c>
      <c r="C528" s="1">
        <v>18</v>
      </c>
      <c r="D528" s="2" t="s">
        <v>6</v>
      </c>
      <c r="E528" s="5" t="str">
        <f>IF(Table1[[#This Row],[Pre or Post]]="Pre",IF(IF(Table1[[#This Row],[Response]]="Male",0,1)+IF(Table1[[#This Row],[Response]]="Female",0,1)=2,E527,Table1[[#This Row],[Response]]),"")</f>
        <v>Male</v>
      </c>
      <c r="F528" s="1">
        <v>8</v>
      </c>
      <c r="G528" s="1"/>
      <c r="H528" s="2" t="s">
        <v>8</v>
      </c>
      <c r="I52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2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2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29" spans="1:11">
      <c r="A529" s="2" t="s">
        <v>12</v>
      </c>
      <c r="B529" s="2" t="s">
        <v>21</v>
      </c>
      <c r="C529" s="1">
        <v>18</v>
      </c>
      <c r="D529" s="2" t="s">
        <v>6</v>
      </c>
      <c r="E529" s="5" t="str">
        <f>IF(Table1[[#This Row],[Pre or Post]]="Pre",IF(IF(Table1[[#This Row],[Response]]="Male",0,1)+IF(Table1[[#This Row],[Response]]="Female",0,1)=2,E528,Table1[[#This Row],[Response]]),"")</f>
        <v>Male</v>
      </c>
      <c r="F529" s="1">
        <v>9</v>
      </c>
      <c r="G529" s="1">
        <v>4</v>
      </c>
      <c r="H529" s="2" t="s">
        <v>8</v>
      </c>
      <c r="I52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2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2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30" spans="1:11">
      <c r="A530" s="2" t="s">
        <v>12</v>
      </c>
      <c r="B530" s="2" t="s">
        <v>21</v>
      </c>
      <c r="C530" s="1">
        <v>18</v>
      </c>
      <c r="D530" s="2" t="s">
        <v>6</v>
      </c>
      <c r="E530" s="5" t="str">
        <f>IF(Table1[[#This Row],[Pre or Post]]="Pre",IF(IF(Table1[[#This Row],[Response]]="Male",0,1)+IF(Table1[[#This Row],[Response]]="Female",0,1)=2,E529,Table1[[#This Row],[Response]]),"")</f>
        <v>Male</v>
      </c>
      <c r="F530" s="1">
        <v>10</v>
      </c>
      <c r="G530" s="1">
        <v>5</v>
      </c>
      <c r="H530" s="2" t="s">
        <v>8</v>
      </c>
      <c r="I53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3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3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31" spans="1:11">
      <c r="A531" s="2" t="s">
        <v>12</v>
      </c>
      <c r="B531" s="2" t="s">
        <v>21</v>
      </c>
      <c r="C531" s="1">
        <v>18</v>
      </c>
      <c r="D531" s="2" t="s">
        <v>6</v>
      </c>
      <c r="E531" s="5" t="str">
        <f>IF(Table1[[#This Row],[Pre or Post]]="Pre",IF(IF(Table1[[#This Row],[Response]]="Male",0,1)+IF(Table1[[#This Row],[Response]]="Female",0,1)=2,E530,Table1[[#This Row],[Response]]),"")</f>
        <v>Male</v>
      </c>
      <c r="F531" s="2">
        <v>11</v>
      </c>
      <c r="G531" s="1">
        <v>5</v>
      </c>
      <c r="H531" s="2" t="s">
        <v>8</v>
      </c>
      <c r="I53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3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3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32" spans="1:11">
      <c r="A532" s="2" t="s">
        <v>12</v>
      </c>
      <c r="B532" s="2" t="s">
        <v>21</v>
      </c>
      <c r="C532" s="1">
        <v>19</v>
      </c>
      <c r="D532" s="2" t="s">
        <v>6</v>
      </c>
      <c r="E532" s="5" t="str">
        <f>IF(Table1[[#This Row],[Pre or Post]]="Pre",IF(IF(Table1[[#This Row],[Response]]="Male",0,1)+IF(Table1[[#This Row],[Response]]="Female",0,1)=2,E531,Table1[[#This Row],[Response]]),"")</f>
        <v>Female</v>
      </c>
      <c r="F532" s="1">
        <v>2</v>
      </c>
      <c r="G532" s="1" t="s">
        <v>13</v>
      </c>
      <c r="H532" s="2" t="s">
        <v>8</v>
      </c>
      <c r="I53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3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3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33" spans="1:11">
      <c r="A533" s="2" t="s">
        <v>12</v>
      </c>
      <c r="B533" s="2" t="s">
        <v>21</v>
      </c>
      <c r="C533" s="1">
        <v>19</v>
      </c>
      <c r="D533" s="2" t="s">
        <v>6</v>
      </c>
      <c r="E533" s="5" t="str">
        <f>IF(Table1[[#This Row],[Pre or Post]]="Pre",IF(IF(Table1[[#This Row],[Response]]="Male",0,1)+IF(Table1[[#This Row],[Response]]="Female",0,1)=2,E532,Table1[[#This Row],[Response]]),"")</f>
        <v>Female</v>
      </c>
      <c r="F533" s="1">
        <v>3</v>
      </c>
      <c r="G533" s="1" t="s">
        <v>9</v>
      </c>
      <c r="H533" s="2" t="s">
        <v>8</v>
      </c>
      <c r="I53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3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3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34" spans="1:11">
      <c r="A534" s="2" t="s">
        <v>12</v>
      </c>
      <c r="B534" s="2" t="s">
        <v>21</v>
      </c>
      <c r="C534" s="1">
        <v>19</v>
      </c>
      <c r="D534" s="2" t="s">
        <v>6</v>
      </c>
      <c r="E534" s="5" t="str">
        <f>IF(Table1[[#This Row],[Pre or Post]]="Pre",IF(IF(Table1[[#This Row],[Response]]="Male",0,1)+IF(Table1[[#This Row],[Response]]="Female",0,1)=2,E533,Table1[[#This Row],[Response]]),"")</f>
        <v>Female</v>
      </c>
      <c r="F534" s="1">
        <v>4</v>
      </c>
      <c r="G534" s="1" t="s">
        <v>8</v>
      </c>
      <c r="H534" s="2" t="s">
        <v>8</v>
      </c>
      <c r="I53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3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3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35" spans="1:11">
      <c r="A535" s="2" t="s">
        <v>12</v>
      </c>
      <c r="B535" s="2" t="s">
        <v>21</v>
      </c>
      <c r="C535" s="1">
        <v>19</v>
      </c>
      <c r="D535" s="2" t="s">
        <v>6</v>
      </c>
      <c r="E535" s="5" t="str">
        <f>IF(Table1[[#This Row],[Pre or Post]]="Pre",IF(IF(Table1[[#This Row],[Response]]="Male",0,1)+IF(Table1[[#This Row],[Response]]="Female",0,1)=2,E534,Table1[[#This Row],[Response]]),"")</f>
        <v>Female</v>
      </c>
      <c r="F535" s="1">
        <v>5</v>
      </c>
      <c r="G535" s="1" t="s">
        <v>8</v>
      </c>
      <c r="H535" s="2" t="s">
        <v>8</v>
      </c>
      <c r="I53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3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3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36" spans="1:11">
      <c r="A536" s="2" t="s">
        <v>12</v>
      </c>
      <c r="B536" s="2" t="s">
        <v>21</v>
      </c>
      <c r="C536" s="1">
        <v>19</v>
      </c>
      <c r="D536" s="2" t="s">
        <v>6</v>
      </c>
      <c r="E536" s="5" t="str">
        <f>IF(Table1[[#This Row],[Pre or Post]]="Pre",IF(IF(Table1[[#This Row],[Response]]="Male",0,1)+IF(Table1[[#This Row],[Response]]="Female",0,1)=2,E535,Table1[[#This Row],[Response]]),"")</f>
        <v>Female</v>
      </c>
      <c r="F536" s="1">
        <v>6</v>
      </c>
      <c r="G536" s="1" t="s">
        <v>8</v>
      </c>
      <c r="H536" s="2" t="s">
        <v>8</v>
      </c>
      <c r="I53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3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3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37" spans="1:11">
      <c r="A537" s="2" t="s">
        <v>12</v>
      </c>
      <c r="B537" s="2" t="s">
        <v>21</v>
      </c>
      <c r="C537" s="1">
        <v>19</v>
      </c>
      <c r="D537" s="2" t="s">
        <v>6</v>
      </c>
      <c r="E537" s="5" t="str">
        <f>IF(Table1[[#This Row],[Pre or Post]]="Pre",IF(IF(Table1[[#This Row],[Response]]="Male",0,1)+IF(Table1[[#This Row],[Response]]="Female",0,1)=2,E536,Table1[[#This Row],[Response]]),"")</f>
        <v>Female</v>
      </c>
      <c r="F537" s="1">
        <v>7</v>
      </c>
      <c r="G537" s="1" t="s">
        <v>9</v>
      </c>
      <c r="H537" s="2" t="s">
        <v>8</v>
      </c>
      <c r="I53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3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3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38" spans="1:11">
      <c r="A538" s="2" t="s">
        <v>12</v>
      </c>
      <c r="B538" s="2" t="s">
        <v>21</v>
      </c>
      <c r="C538" s="1">
        <v>19</v>
      </c>
      <c r="D538" s="2" t="s">
        <v>6</v>
      </c>
      <c r="E538" s="5" t="str">
        <f>IF(Table1[[#This Row],[Pre or Post]]="Pre",IF(IF(Table1[[#This Row],[Response]]="Male",0,1)+IF(Table1[[#This Row],[Response]]="Female",0,1)=2,E537,Table1[[#This Row],[Response]]),"")</f>
        <v>Female</v>
      </c>
      <c r="F538" s="1">
        <v>8</v>
      </c>
      <c r="G538" s="1"/>
      <c r="H538" s="2" t="s">
        <v>8</v>
      </c>
      <c r="I53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3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3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39" spans="1:11">
      <c r="A539" s="2" t="s">
        <v>12</v>
      </c>
      <c r="B539" s="2" t="s">
        <v>21</v>
      </c>
      <c r="C539" s="1">
        <v>19</v>
      </c>
      <c r="D539" s="2" t="s">
        <v>6</v>
      </c>
      <c r="E539" s="5" t="str">
        <f>IF(Table1[[#This Row],[Pre or Post]]="Pre",IF(IF(Table1[[#This Row],[Response]]="Male",0,1)+IF(Table1[[#This Row],[Response]]="Female",0,1)=2,E538,Table1[[#This Row],[Response]]),"")</f>
        <v>Female</v>
      </c>
      <c r="F539" s="1">
        <v>9</v>
      </c>
      <c r="G539" s="1">
        <v>2</v>
      </c>
      <c r="H539" s="2" t="s">
        <v>8</v>
      </c>
      <c r="I53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3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3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40" spans="1:11">
      <c r="A540" s="2" t="s">
        <v>12</v>
      </c>
      <c r="B540" s="2" t="s">
        <v>21</v>
      </c>
      <c r="C540" s="1">
        <v>19</v>
      </c>
      <c r="D540" s="2" t="s">
        <v>6</v>
      </c>
      <c r="E540" s="5" t="str">
        <f>IF(Table1[[#This Row],[Pre or Post]]="Pre",IF(IF(Table1[[#This Row],[Response]]="Male",0,1)+IF(Table1[[#This Row],[Response]]="Female",0,1)=2,E539,Table1[[#This Row],[Response]]),"")</f>
        <v>Female</v>
      </c>
      <c r="F540" s="1">
        <v>10</v>
      </c>
      <c r="G540" s="1">
        <v>3</v>
      </c>
      <c r="H540" s="2" t="s">
        <v>8</v>
      </c>
      <c r="I54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4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4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41" spans="1:11">
      <c r="A541" s="2" t="s">
        <v>12</v>
      </c>
      <c r="B541" s="2" t="s">
        <v>21</v>
      </c>
      <c r="C541" s="1">
        <v>19</v>
      </c>
      <c r="D541" s="2" t="s">
        <v>6</v>
      </c>
      <c r="E541" s="5" t="str">
        <f>IF(Table1[[#This Row],[Pre or Post]]="Pre",IF(IF(Table1[[#This Row],[Response]]="Male",0,1)+IF(Table1[[#This Row],[Response]]="Female",0,1)=2,E540,Table1[[#This Row],[Response]]),"")</f>
        <v>Female</v>
      </c>
      <c r="F541" s="2">
        <v>11</v>
      </c>
      <c r="G541" s="1">
        <v>5</v>
      </c>
      <c r="H541" s="2" t="s">
        <v>8</v>
      </c>
      <c r="I54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4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4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42" spans="1:11">
      <c r="A542" s="2" t="s">
        <v>12</v>
      </c>
      <c r="B542" s="2" t="s">
        <v>21</v>
      </c>
      <c r="C542" s="1">
        <v>20</v>
      </c>
      <c r="D542" s="2" t="s">
        <v>6</v>
      </c>
      <c r="E542" s="5" t="str">
        <f>IF(Table1[[#This Row],[Pre or Post]]="Pre",IF(IF(Table1[[#This Row],[Response]]="Male",0,1)+IF(Table1[[#This Row],[Response]]="Female",0,1)=2,E541,Table1[[#This Row],[Response]]),"")</f>
        <v>Female</v>
      </c>
      <c r="F542" s="1">
        <v>2</v>
      </c>
      <c r="G542" s="1" t="s">
        <v>13</v>
      </c>
      <c r="H542" s="2" t="s">
        <v>8</v>
      </c>
      <c r="I54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4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4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43" spans="1:11">
      <c r="A543" s="2" t="s">
        <v>12</v>
      </c>
      <c r="B543" s="2" t="s">
        <v>21</v>
      </c>
      <c r="C543" s="1">
        <v>20</v>
      </c>
      <c r="D543" s="2" t="s">
        <v>6</v>
      </c>
      <c r="E543" s="5" t="str">
        <f>IF(Table1[[#This Row],[Pre or Post]]="Pre",IF(IF(Table1[[#This Row],[Response]]="Male",0,1)+IF(Table1[[#This Row],[Response]]="Female",0,1)=2,E542,Table1[[#This Row],[Response]]),"")</f>
        <v>Female</v>
      </c>
      <c r="F543" s="1">
        <v>3</v>
      </c>
      <c r="G543" s="1" t="s">
        <v>8</v>
      </c>
      <c r="H543" s="2" t="s">
        <v>8</v>
      </c>
      <c r="I54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4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4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44" spans="1:11">
      <c r="A544" s="2" t="s">
        <v>12</v>
      </c>
      <c r="B544" s="2" t="s">
        <v>21</v>
      </c>
      <c r="C544" s="1">
        <v>20</v>
      </c>
      <c r="D544" s="2" t="s">
        <v>6</v>
      </c>
      <c r="E544" s="5" t="str">
        <f>IF(Table1[[#This Row],[Pre or Post]]="Pre",IF(IF(Table1[[#This Row],[Response]]="Male",0,1)+IF(Table1[[#This Row],[Response]]="Female",0,1)=2,E543,Table1[[#This Row],[Response]]),"")</f>
        <v>Female</v>
      </c>
      <c r="F544" s="1">
        <v>4</v>
      </c>
      <c r="G544" s="1" t="s">
        <v>9</v>
      </c>
      <c r="H544" s="2" t="s">
        <v>8</v>
      </c>
      <c r="I54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4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4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45" spans="1:11">
      <c r="A545" s="2" t="s">
        <v>12</v>
      </c>
      <c r="B545" s="2" t="s">
        <v>21</v>
      </c>
      <c r="C545" s="1">
        <v>20</v>
      </c>
      <c r="D545" s="2" t="s">
        <v>6</v>
      </c>
      <c r="E545" s="5" t="str">
        <f>IF(Table1[[#This Row],[Pre or Post]]="Pre",IF(IF(Table1[[#This Row],[Response]]="Male",0,1)+IF(Table1[[#This Row],[Response]]="Female",0,1)=2,E544,Table1[[#This Row],[Response]]),"")</f>
        <v>Female</v>
      </c>
      <c r="F545" s="1">
        <v>5</v>
      </c>
      <c r="G545" s="1" t="s">
        <v>8</v>
      </c>
      <c r="H545" s="2" t="s">
        <v>8</v>
      </c>
      <c r="I54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4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4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46" spans="1:11">
      <c r="A546" s="2" t="s">
        <v>12</v>
      </c>
      <c r="B546" s="2" t="s">
        <v>21</v>
      </c>
      <c r="C546" s="1">
        <v>20</v>
      </c>
      <c r="D546" s="2" t="s">
        <v>6</v>
      </c>
      <c r="E546" s="5" t="str">
        <f>IF(Table1[[#This Row],[Pre or Post]]="Pre",IF(IF(Table1[[#This Row],[Response]]="Male",0,1)+IF(Table1[[#This Row],[Response]]="Female",0,1)=2,E545,Table1[[#This Row],[Response]]),"")</f>
        <v>Female</v>
      </c>
      <c r="F546" s="1">
        <v>6</v>
      </c>
      <c r="G546" s="1" t="s">
        <v>8</v>
      </c>
      <c r="H546" s="2" t="s">
        <v>8</v>
      </c>
      <c r="I54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4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4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47" spans="1:11">
      <c r="A547" s="2" t="s">
        <v>12</v>
      </c>
      <c r="B547" s="2" t="s">
        <v>21</v>
      </c>
      <c r="C547" s="1">
        <v>20</v>
      </c>
      <c r="D547" s="2" t="s">
        <v>6</v>
      </c>
      <c r="E547" s="5" t="str">
        <f>IF(Table1[[#This Row],[Pre or Post]]="Pre",IF(IF(Table1[[#This Row],[Response]]="Male",0,1)+IF(Table1[[#This Row],[Response]]="Female",0,1)=2,E546,Table1[[#This Row],[Response]]),"")</f>
        <v>Female</v>
      </c>
      <c r="F547" s="1">
        <v>7</v>
      </c>
      <c r="G547" s="1" t="s">
        <v>8</v>
      </c>
      <c r="H547" s="2" t="s">
        <v>8</v>
      </c>
      <c r="I54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4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4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48" spans="1:11">
      <c r="A548" s="2" t="s">
        <v>12</v>
      </c>
      <c r="B548" s="2" t="s">
        <v>21</v>
      </c>
      <c r="C548" s="1">
        <v>20</v>
      </c>
      <c r="D548" s="2" t="s">
        <v>6</v>
      </c>
      <c r="E548" s="5" t="str">
        <f>IF(Table1[[#This Row],[Pre or Post]]="Pre",IF(IF(Table1[[#This Row],[Response]]="Male",0,1)+IF(Table1[[#This Row],[Response]]="Female",0,1)=2,E547,Table1[[#This Row],[Response]]),"")</f>
        <v>Female</v>
      </c>
      <c r="F548" s="1">
        <v>8</v>
      </c>
      <c r="G548" s="1"/>
      <c r="H548" s="2" t="s">
        <v>8</v>
      </c>
      <c r="I54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4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4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49" spans="1:11">
      <c r="A549" s="2" t="s">
        <v>12</v>
      </c>
      <c r="B549" s="2" t="s">
        <v>21</v>
      </c>
      <c r="C549" s="1">
        <v>20</v>
      </c>
      <c r="D549" s="2" t="s">
        <v>6</v>
      </c>
      <c r="E549" s="5" t="str">
        <f>IF(Table1[[#This Row],[Pre or Post]]="Pre",IF(IF(Table1[[#This Row],[Response]]="Male",0,1)+IF(Table1[[#This Row],[Response]]="Female",0,1)=2,E548,Table1[[#This Row],[Response]]),"")</f>
        <v>Female</v>
      </c>
      <c r="F549" s="1">
        <v>9</v>
      </c>
      <c r="G549" s="1">
        <v>4</v>
      </c>
      <c r="H549" s="2" t="s">
        <v>8</v>
      </c>
      <c r="I54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4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4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50" spans="1:11">
      <c r="A550" s="2" t="s">
        <v>12</v>
      </c>
      <c r="B550" s="2" t="s">
        <v>21</v>
      </c>
      <c r="C550" s="1">
        <v>20</v>
      </c>
      <c r="D550" s="2" t="s">
        <v>6</v>
      </c>
      <c r="E550" s="5" t="str">
        <f>IF(Table1[[#This Row],[Pre or Post]]="Pre",IF(IF(Table1[[#This Row],[Response]]="Male",0,1)+IF(Table1[[#This Row],[Response]]="Female",0,1)=2,E549,Table1[[#This Row],[Response]]),"")</f>
        <v>Female</v>
      </c>
      <c r="F550" s="1">
        <v>10</v>
      </c>
      <c r="G550" s="1">
        <v>3</v>
      </c>
      <c r="H550" s="2" t="s">
        <v>8</v>
      </c>
      <c r="I55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5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5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51" spans="1:11">
      <c r="A551" s="2" t="s">
        <v>12</v>
      </c>
      <c r="B551" s="2" t="s">
        <v>21</v>
      </c>
      <c r="C551" s="1">
        <v>20</v>
      </c>
      <c r="D551" s="2" t="s">
        <v>6</v>
      </c>
      <c r="E551" s="5" t="str">
        <f>IF(Table1[[#This Row],[Pre or Post]]="Pre",IF(IF(Table1[[#This Row],[Response]]="Male",0,1)+IF(Table1[[#This Row],[Response]]="Female",0,1)=2,E550,Table1[[#This Row],[Response]]),"")</f>
        <v>Female</v>
      </c>
      <c r="F551" s="1">
        <v>11</v>
      </c>
      <c r="G551" s="1">
        <v>3</v>
      </c>
      <c r="H551" s="2" t="s">
        <v>8</v>
      </c>
      <c r="I55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5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5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52" spans="1:11">
      <c r="A552" s="2" t="s">
        <v>12</v>
      </c>
      <c r="B552" s="2" t="s">
        <v>21</v>
      </c>
      <c r="C552" s="1">
        <v>21</v>
      </c>
      <c r="D552" s="2" t="s">
        <v>6</v>
      </c>
      <c r="E552" s="5" t="str">
        <f>IF(Table1[[#This Row],[Pre or Post]]="Pre",IF(IF(Table1[[#This Row],[Response]]="Male",0,1)+IF(Table1[[#This Row],[Response]]="Female",0,1)=2,E551,Table1[[#This Row],[Response]]),"")</f>
        <v>Female</v>
      </c>
      <c r="F552" s="1">
        <v>2</v>
      </c>
      <c r="G552" s="1" t="s">
        <v>13</v>
      </c>
      <c r="H552" s="2" t="s">
        <v>8</v>
      </c>
      <c r="I55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5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5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53" spans="1:11">
      <c r="A553" s="2" t="s">
        <v>12</v>
      </c>
      <c r="B553" s="2" t="s">
        <v>21</v>
      </c>
      <c r="C553" s="1">
        <v>21</v>
      </c>
      <c r="D553" s="2" t="s">
        <v>6</v>
      </c>
      <c r="E553" s="5" t="str">
        <f>IF(Table1[[#This Row],[Pre or Post]]="Pre",IF(IF(Table1[[#This Row],[Response]]="Male",0,1)+IF(Table1[[#This Row],[Response]]="Female",0,1)=2,E552,Table1[[#This Row],[Response]]),"")</f>
        <v>Female</v>
      </c>
      <c r="F553" s="1">
        <v>3</v>
      </c>
      <c r="G553" s="1" t="s">
        <v>9</v>
      </c>
      <c r="H553" s="2" t="s">
        <v>8</v>
      </c>
      <c r="I55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5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5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54" spans="1:11">
      <c r="A554" s="2" t="s">
        <v>12</v>
      </c>
      <c r="B554" s="2" t="s">
        <v>21</v>
      </c>
      <c r="C554" s="1">
        <v>21</v>
      </c>
      <c r="D554" s="2" t="s">
        <v>6</v>
      </c>
      <c r="E554" s="5" t="str">
        <f>IF(Table1[[#This Row],[Pre or Post]]="Pre",IF(IF(Table1[[#This Row],[Response]]="Male",0,1)+IF(Table1[[#This Row],[Response]]="Female",0,1)=2,E553,Table1[[#This Row],[Response]]),"")</f>
        <v>Female</v>
      </c>
      <c r="F554" s="1">
        <v>4</v>
      </c>
      <c r="G554" s="1" t="s">
        <v>8</v>
      </c>
      <c r="H554" s="2" t="s">
        <v>8</v>
      </c>
      <c r="I55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5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5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55" spans="1:11">
      <c r="A555" s="2" t="s">
        <v>12</v>
      </c>
      <c r="B555" s="2" t="s">
        <v>21</v>
      </c>
      <c r="C555" s="1">
        <v>21</v>
      </c>
      <c r="D555" s="2" t="s">
        <v>6</v>
      </c>
      <c r="E555" s="5" t="str">
        <f>IF(Table1[[#This Row],[Pre or Post]]="Pre",IF(IF(Table1[[#This Row],[Response]]="Male",0,1)+IF(Table1[[#This Row],[Response]]="Female",0,1)=2,E554,Table1[[#This Row],[Response]]),"")</f>
        <v>Female</v>
      </c>
      <c r="F555" s="1">
        <v>5</v>
      </c>
      <c r="G555" s="1" t="s">
        <v>8</v>
      </c>
      <c r="H555" s="2" t="s">
        <v>8</v>
      </c>
      <c r="I55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5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5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56" spans="1:11">
      <c r="A556" s="2" t="s">
        <v>12</v>
      </c>
      <c r="B556" s="2" t="s">
        <v>21</v>
      </c>
      <c r="C556" s="1">
        <v>21</v>
      </c>
      <c r="D556" s="2" t="s">
        <v>6</v>
      </c>
      <c r="E556" s="5" t="str">
        <f>IF(Table1[[#This Row],[Pre or Post]]="Pre",IF(IF(Table1[[#This Row],[Response]]="Male",0,1)+IF(Table1[[#This Row],[Response]]="Female",0,1)=2,E555,Table1[[#This Row],[Response]]),"")</f>
        <v>Female</v>
      </c>
      <c r="F556" s="1">
        <v>6</v>
      </c>
      <c r="G556" s="1" t="s">
        <v>8</v>
      </c>
      <c r="H556" s="2" t="s">
        <v>8</v>
      </c>
      <c r="I55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5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5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57" spans="1:11">
      <c r="A557" s="2" t="s">
        <v>12</v>
      </c>
      <c r="B557" s="2" t="s">
        <v>21</v>
      </c>
      <c r="C557" s="1">
        <v>21</v>
      </c>
      <c r="D557" s="2" t="s">
        <v>6</v>
      </c>
      <c r="E557" s="5" t="str">
        <f>IF(Table1[[#This Row],[Pre or Post]]="Pre",IF(IF(Table1[[#This Row],[Response]]="Male",0,1)+IF(Table1[[#This Row],[Response]]="Female",0,1)=2,E556,Table1[[#This Row],[Response]]),"")</f>
        <v>Female</v>
      </c>
      <c r="F557" s="1">
        <v>7</v>
      </c>
      <c r="G557" s="1" t="s">
        <v>9</v>
      </c>
      <c r="H557" s="2" t="s">
        <v>8</v>
      </c>
      <c r="I55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5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5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58" spans="1:11">
      <c r="A558" s="2" t="s">
        <v>12</v>
      </c>
      <c r="B558" s="2" t="s">
        <v>21</v>
      </c>
      <c r="C558" s="1">
        <v>21</v>
      </c>
      <c r="D558" s="2" t="s">
        <v>6</v>
      </c>
      <c r="E558" s="5" t="str">
        <f>IF(Table1[[#This Row],[Pre or Post]]="Pre",IF(IF(Table1[[#This Row],[Response]]="Male",0,1)+IF(Table1[[#This Row],[Response]]="Female",0,1)=2,E557,Table1[[#This Row],[Response]]),"")</f>
        <v>Female</v>
      </c>
      <c r="F558" s="1">
        <v>8</v>
      </c>
      <c r="G558" s="1"/>
      <c r="H558" s="2" t="s">
        <v>8</v>
      </c>
      <c r="I55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5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5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59" spans="1:11">
      <c r="A559" s="2" t="s">
        <v>12</v>
      </c>
      <c r="B559" s="2" t="s">
        <v>21</v>
      </c>
      <c r="C559" s="1">
        <v>21</v>
      </c>
      <c r="D559" s="2" t="s">
        <v>6</v>
      </c>
      <c r="E559" s="5" t="str">
        <f>IF(Table1[[#This Row],[Pre or Post]]="Pre",IF(IF(Table1[[#This Row],[Response]]="Male",0,1)+IF(Table1[[#This Row],[Response]]="Female",0,1)=2,E558,Table1[[#This Row],[Response]]),"")</f>
        <v>Female</v>
      </c>
      <c r="F559" s="1">
        <v>9</v>
      </c>
      <c r="G559" s="1">
        <v>1</v>
      </c>
      <c r="H559" s="2" t="s">
        <v>8</v>
      </c>
      <c r="I55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5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5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60" spans="1:11">
      <c r="A560" s="2" t="s">
        <v>12</v>
      </c>
      <c r="B560" s="2" t="s">
        <v>21</v>
      </c>
      <c r="C560" s="1">
        <v>21</v>
      </c>
      <c r="D560" s="2" t="s">
        <v>6</v>
      </c>
      <c r="E560" s="5" t="str">
        <f>IF(Table1[[#This Row],[Pre or Post]]="Pre",IF(IF(Table1[[#This Row],[Response]]="Male",0,1)+IF(Table1[[#This Row],[Response]]="Female",0,1)=2,E559,Table1[[#This Row],[Response]]),"")</f>
        <v>Female</v>
      </c>
      <c r="F560" s="1">
        <v>10</v>
      </c>
      <c r="G560" s="1">
        <v>1</v>
      </c>
      <c r="H560" s="2" t="s">
        <v>8</v>
      </c>
      <c r="I56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6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6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61" spans="1:11">
      <c r="A561" s="2" t="s">
        <v>12</v>
      </c>
      <c r="B561" s="2" t="s">
        <v>21</v>
      </c>
      <c r="C561" s="1">
        <v>21</v>
      </c>
      <c r="D561" s="2" t="s">
        <v>6</v>
      </c>
      <c r="E561" s="5" t="str">
        <f>IF(Table1[[#This Row],[Pre or Post]]="Pre",IF(IF(Table1[[#This Row],[Response]]="Male",0,1)+IF(Table1[[#This Row],[Response]]="Female",0,1)=2,E560,Table1[[#This Row],[Response]]),"")</f>
        <v>Female</v>
      </c>
      <c r="F561" s="1">
        <v>11</v>
      </c>
      <c r="G561" s="1">
        <v>1</v>
      </c>
      <c r="H561" s="2" t="s">
        <v>8</v>
      </c>
      <c r="I56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6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6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62" spans="1:11">
      <c r="A562" s="2" t="s">
        <v>12</v>
      </c>
      <c r="B562" s="2" t="s">
        <v>21</v>
      </c>
      <c r="C562" s="1">
        <v>22</v>
      </c>
      <c r="D562" s="2" t="s">
        <v>6</v>
      </c>
      <c r="E562" s="5" t="str">
        <f>IF(Table1[[#This Row],[Pre or Post]]="Pre",IF(IF(Table1[[#This Row],[Response]]="Male",0,1)+IF(Table1[[#This Row],[Response]]="Female",0,1)=2,E561,Table1[[#This Row],[Response]]),"")</f>
        <v>Male</v>
      </c>
      <c r="F562" s="1">
        <v>2</v>
      </c>
      <c r="G562" s="1" t="s">
        <v>7</v>
      </c>
      <c r="H562" s="2" t="s">
        <v>8</v>
      </c>
      <c r="I56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6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6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63" spans="1:11">
      <c r="A563" s="2" t="s">
        <v>12</v>
      </c>
      <c r="B563" s="2" t="s">
        <v>21</v>
      </c>
      <c r="C563" s="1">
        <v>22</v>
      </c>
      <c r="D563" s="2" t="s">
        <v>6</v>
      </c>
      <c r="E563" s="5" t="str">
        <f>IF(Table1[[#This Row],[Pre or Post]]="Pre",IF(IF(Table1[[#This Row],[Response]]="Male",0,1)+IF(Table1[[#This Row],[Response]]="Female",0,1)=2,E562,Table1[[#This Row],[Response]]),"")</f>
        <v>Male</v>
      </c>
      <c r="F563" s="1">
        <v>3</v>
      </c>
      <c r="G563" s="1" t="s">
        <v>8</v>
      </c>
      <c r="H563" s="2" t="s">
        <v>8</v>
      </c>
      <c r="I56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6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6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64" spans="1:11">
      <c r="A564" s="2" t="s">
        <v>12</v>
      </c>
      <c r="B564" s="2" t="s">
        <v>21</v>
      </c>
      <c r="C564" s="1">
        <v>22</v>
      </c>
      <c r="D564" s="2" t="s">
        <v>6</v>
      </c>
      <c r="E564" s="5" t="str">
        <f>IF(Table1[[#This Row],[Pre or Post]]="Pre",IF(IF(Table1[[#This Row],[Response]]="Male",0,1)+IF(Table1[[#This Row],[Response]]="Female",0,1)=2,E563,Table1[[#This Row],[Response]]),"")</f>
        <v>Male</v>
      </c>
      <c r="F564" s="1">
        <v>4</v>
      </c>
      <c r="G564" s="1" t="s">
        <v>8</v>
      </c>
      <c r="H564" s="2" t="s">
        <v>8</v>
      </c>
      <c r="I56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6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6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65" spans="1:11">
      <c r="A565" s="2" t="s">
        <v>12</v>
      </c>
      <c r="B565" s="2" t="s">
        <v>21</v>
      </c>
      <c r="C565" s="1">
        <v>22</v>
      </c>
      <c r="D565" s="2" t="s">
        <v>6</v>
      </c>
      <c r="E565" s="5" t="str">
        <f>IF(Table1[[#This Row],[Pre or Post]]="Pre",IF(IF(Table1[[#This Row],[Response]]="Male",0,1)+IF(Table1[[#This Row],[Response]]="Female",0,1)=2,E564,Table1[[#This Row],[Response]]),"")</f>
        <v>Male</v>
      </c>
      <c r="F565" s="1">
        <v>5</v>
      </c>
      <c r="G565" s="1" t="s">
        <v>8</v>
      </c>
      <c r="H565" s="2" t="s">
        <v>8</v>
      </c>
      <c r="I56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6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6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66" spans="1:11">
      <c r="A566" s="2" t="s">
        <v>12</v>
      </c>
      <c r="B566" s="2" t="s">
        <v>21</v>
      </c>
      <c r="C566" s="1">
        <v>22</v>
      </c>
      <c r="D566" s="2" t="s">
        <v>6</v>
      </c>
      <c r="E566" s="5" t="str">
        <f>IF(Table1[[#This Row],[Pre or Post]]="Pre",IF(IF(Table1[[#This Row],[Response]]="Male",0,1)+IF(Table1[[#This Row],[Response]]="Female",0,1)=2,E565,Table1[[#This Row],[Response]]),"")</f>
        <v>Male</v>
      </c>
      <c r="F566" s="1">
        <v>6</v>
      </c>
      <c r="G566" s="1" t="s">
        <v>8</v>
      </c>
      <c r="H566" s="2" t="s">
        <v>8</v>
      </c>
      <c r="I56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6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6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67" spans="1:11">
      <c r="A567" s="2" t="s">
        <v>12</v>
      </c>
      <c r="B567" s="2" t="s">
        <v>21</v>
      </c>
      <c r="C567" s="1">
        <v>22</v>
      </c>
      <c r="D567" s="2" t="s">
        <v>6</v>
      </c>
      <c r="E567" s="5" t="str">
        <f>IF(Table1[[#This Row],[Pre or Post]]="Pre",IF(IF(Table1[[#This Row],[Response]]="Male",0,1)+IF(Table1[[#This Row],[Response]]="Female",0,1)=2,E566,Table1[[#This Row],[Response]]),"")</f>
        <v>Male</v>
      </c>
      <c r="F567" s="1">
        <v>7</v>
      </c>
      <c r="G567" s="1" t="s">
        <v>9</v>
      </c>
      <c r="H567" s="2" t="s">
        <v>8</v>
      </c>
      <c r="I56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6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6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68" spans="1:11">
      <c r="A568" s="2" t="s">
        <v>12</v>
      </c>
      <c r="B568" s="2" t="s">
        <v>21</v>
      </c>
      <c r="C568" s="1">
        <v>22</v>
      </c>
      <c r="D568" s="2" t="s">
        <v>6</v>
      </c>
      <c r="E568" s="5" t="str">
        <f>IF(Table1[[#This Row],[Pre or Post]]="Pre",IF(IF(Table1[[#This Row],[Response]]="Male",0,1)+IF(Table1[[#This Row],[Response]]="Female",0,1)=2,E567,Table1[[#This Row],[Response]]),"")</f>
        <v>Male</v>
      </c>
      <c r="F568" s="1">
        <v>8</v>
      </c>
      <c r="G568" s="1"/>
      <c r="H568" s="2" t="s">
        <v>8</v>
      </c>
      <c r="I56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6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6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69" spans="1:11">
      <c r="A569" s="2" t="s">
        <v>12</v>
      </c>
      <c r="B569" s="2" t="s">
        <v>21</v>
      </c>
      <c r="C569" s="1">
        <v>22</v>
      </c>
      <c r="D569" s="2" t="s">
        <v>6</v>
      </c>
      <c r="E569" s="5" t="str">
        <f>IF(Table1[[#This Row],[Pre or Post]]="Pre",IF(IF(Table1[[#This Row],[Response]]="Male",0,1)+IF(Table1[[#This Row],[Response]]="Female",0,1)=2,E568,Table1[[#This Row],[Response]]),"")</f>
        <v>Male</v>
      </c>
      <c r="F569" s="1">
        <v>9</v>
      </c>
      <c r="G569" s="1">
        <v>2</v>
      </c>
      <c r="H569" s="2" t="s">
        <v>8</v>
      </c>
      <c r="I56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6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6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70" spans="1:11">
      <c r="A570" s="2" t="s">
        <v>12</v>
      </c>
      <c r="B570" s="2" t="s">
        <v>21</v>
      </c>
      <c r="C570" s="1">
        <v>22</v>
      </c>
      <c r="D570" s="2" t="s">
        <v>6</v>
      </c>
      <c r="E570" s="5" t="str">
        <f>IF(Table1[[#This Row],[Pre or Post]]="Pre",IF(IF(Table1[[#This Row],[Response]]="Male",0,1)+IF(Table1[[#This Row],[Response]]="Female",0,1)=2,E569,Table1[[#This Row],[Response]]),"")</f>
        <v>Male</v>
      </c>
      <c r="F570" s="1">
        <v>10</v>
      </c>
      <c r="G570" s="1">
        <v>5</v>
      </c>
      <c r="H570" s="2" t="s">
        <v>8</v>
      </c>
      <c r="I57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7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7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71" spans="1:11">
      <c r="A571" s="2" t="s">
        <v>12</v>
      </c>
      <c r="B571" s="2" t="s">
        <v>21</v>
      </c>
      <c r="C571" s="1">
        <v>22</v>
      </c>
      <c r="D571" s="2" t="s">
        <v>6</v>
      </c>
      <c r="E571" s="5" t="str">
        <f>IF(Table1[[#This Row],[Pre or Post]]="Pre",IF(IF(Table1[[#This Row],[Response]]="Male",0,1)+IF(Table1[[#This Row],[Response]]="Female",0,1)=2,E570,Table1[[#This Row],[Response]]),"")</f>
        <v>Male</v>
      </c>
      <c r="F571" s="2">
        <v>11</v>
      </c>
      <c r="G571" s="1">
        <v>1</v>
      </c>
      <c r="H571" s="2" t="s">
        <v>8</v>
      </c>
      <c r="I57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7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7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72" spans="1:11">
      <c r="A572" s="2" t="s">
        <v>12</v>
      </c>
      <c r="B572" s="2" t="s">
        <v>21</v>
      </c>
      <c r="C572" s="1">
        <v>23</v>
      </c>
      <c r="D572" s="2" t="s">
        <v>6</v>
      </c>
      <c r="E572" s="5" t="str">
        <f>IF(Table1[[#This Row],[Pre or Post]]="Pre",IF(IF(Table1[[#This Row],[Response]]="Male",0,1)+IF(Table1[[#This Row],[Response]]="Female",0,1)=2,E571,Table1[[#This Row],[Response]]),"")</f>
        <v>Female</v>
      </c>
      <c r="F572" s="1">
        <v>2</v>
      </c>
      <c r="G572" s="1" t="s">
        <v>13</v>
      </c>
      <c r="H572" s="2" t="s">
        <v>8</v>
      </c>
      <c r="I57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7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7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73" spans="1:11">
      <c r="A573" s="2" t="s">
        <v>12</v>
      </c>
      <c r="B573" s="2" t="s">
        <v>21</v>
      </c>
      <c r="C573" s="1">
        <v>23</v>
      </c>
      <c r="D573" s="2" t="s">
        <v>6</v>
      </c>
      <c r="E573" s="5" t="str">
        <f>IF(Table1[[#This Row],[Pre or Post]]="Pre",IF(IF(Table1[[#This Row],[Response]]="Male",0,1)+IF(Table1[[#This Row],[Response]]="Female",0,1)=2,E572,Table1[[#This Row],[Response]]),"")</f>
        <v>Female</v>
      </c>
      <c r="F573" s="1">
        <v>3</v>
      </c>
      <c r="G573" s="1" t="s">
        <v>8</v>
      </c>
      <c r="H573" s="2" t="s">
        <v>8</v>
      </c>
      <c r="I57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7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7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74" spans="1:11">
      <c r="A574" s="2" t="s">
        <v>12</v>
      </c>
      <c r="B574" s="2" t="s">
        <v>21</v>
      </c>
      <c r="C574" s="1">
        <v>23</v>
      </c>
      <c r="D574" s="2" t="s">
        <v>6</v>
      </c>
      <c r="E574" s="5" t="str">
        <f>IF(Table1[[#This Row],[Pre or Post]]="Pre",IF(IF(Table1[[#This Row],[Response]]="Male",0,1)+IF(Table1[[#This Row],[Response]]="Female",0,1)=2,E573,Table1[[#This Row],[Response]]),"")</f>
        <v>Female</v>
      </c>
      <c r="F574" s="1">
        <v>4</v>
      </c>
      <c r="G574" s="1" t="s">
        <v>9</v>
      </c>
      <c r="H574" s="2" t="s">
        <v>8</v>
      </c>
      <c r="I57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7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7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75" spans="1:11">
      <c r="A575" s="2" t="s">
        <v>12</v>
      </c>
      <c r="B575" s="2" t="s">
        <v>21</v>
      </c>
      <c r="C575" s="1">
        <v>23</v>
      </c>
      <c r="D575" s="2" t="s">
        <v>6</v>
      </c>
      <c r="E575" s="5" t="str">
        <f>IF(Table1[[#This Row],[Pre or Post]]="Pre",IF(IF(Table1[[#This Row],[Response]]="Male",0,1)+IF(Table1[[#This Row],[Response]]="Female",0,1)=2,E574,Table1[[#This Row],[Response]]),"")</f>
        <v>Female</v>
      </c>
      <c r="F575" s="1">
        <v>5</v>
      </c>
      <c r="G575" s="1" t="s">
        <v>8</v>
      </c>
      <c r="H575" s="2" t="s">
        <v>8</v>
      </c>
      <c r="I57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7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7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76" spans="1:11">
      <c r="A576" s="2" t="s">
        <v>12</v>
      </c>
      <c r="B576" s="2" t="s">
        <v>21</v>
      </c>
      <c r="C576" s="1">
        <v>23</v>
      </c>
      <c r="D576" s="2" t="s">
        <v>6</v>
      </c>
      <c r="E576" s="5" t="str">
        <f>IF(Table1[[#This Row],[Pre or Post]]="Pre",IF(IF(Table1[[#This Row],[Response]]="Male",0,1)+IF(Table1[[#This Row],[Response]]="Female",0,1)=2,E575,Table1[[#This Row],[Response]]),"")</f>
        <v>Female</v>
      </c>
      <c r="F576" s="1">
        <v>6</v>
      </c>
      <c r="G576" s="1" t="s">
        <v>8</v>
      </c>
      <c r="H576" s="2" t="s">
        <v>8</v>
      </c>
      <c r="I57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7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7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77" spans="1:11">
      <c r="A577" s="2" t="s">
        <v>12</v>
      </c>
      <c r="B577" s="2" t="s">
        <v>21</v>
      </c>
      <c r="C577" s="1">
        <v>23</v>
      </c>
      <c r="D577" s="2" t="s">
        <v>6</v>
      </c>
      <c r="E577" s="5" t="str">
        <f>IF(Table1[[#This Row],[Pre or Post]]="Pre",IF(IF(Table1[[#This Row],[Response]]="Male",0,1)+IF(Table1[[#This Row],[Response]]="Female",0,1)=2,E576,Table1[[#This Row],[Response]]),"")</f>
        <v>Female</v>
      </c>
      <c r="F577" s="1">
        <v>7</v>
      </c>
      <c r="G577" s="1" t="s">
        <v>9</v>
      </c>
      <c r="H577" s="2" t="s">
        <v>8</v>
      </c>
      <c r="I57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7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7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78" spans="1:11">
      <c r="A578" s="2" t="s">
        <v>12</v>
      </c>
      <c r="B578" s="2" t="s">
        <v>21</v>
      </c>
      <c r="C578" s="1">
        <v>23</v>
      </c>
      <c r="D578" s="2" t="s">
        <v>6</v>
      </c>
      <c r="E578" s="5" t="str">
        <f>IF(Table1[[#This Row],[Pre or Post]]="Pre",IF(IF(Table1[[#This Row],[Response]]="Male",0,1)+IF(Table1[[#This Row],[Response]]="Female",0,1)=2,E577,Table1[[#This Row],[Response]]),"")</f>
        <v>Female</v>
      </c>
      <c r="F578" s="1">
        <v>8</v>
      </c>
      <c r="G578" s="1"/>
      <c r="H578" s="2" t="s">
        <v>8</v>
      </c>
      <c r="I57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7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7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79" spans="1:11">
      <c r="A579" s="2" t="s">
        <v>12</v>
      </c>
      <c r="B579" s="2" t="s">
        <v>21</v>
      </c>
      <c r="C579" s="1">
        <v>23</v>
      </c>
      <c r="D579" s="2" t="s">
        <v>6</v>
      </c>
      <c r="E579" s="5" t="str">
        <f>IF(Table1[[#This Row],[Pre or Post]]="Pre",IF(IF(Table1[[#This Row],[Response]]="Male",0,1)+IF(Table1[[#This Row],[Response]]="Female",0,1)=2,E578,Table1[[#This Row],[Response]]),"")</f>
        <v>Female</v>
      </c>
      <c r="F579" s="1">
        <v>9</v>
      </c>
      <c r="G579" s="1">
        <v>3</v>
      </c>
      <c r="H579" s="2" t="s">
        <v>8</v>
      </c>
      <c r="I57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7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7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80" spans="1:11">
      <c r="A580" s="2" t="s">
        <v>12</v>
      </c>
      <c r="B580" s="2" t="s">
        <v>21</v>
      </c>
      <c r="C580" s="1">
        <v>23</v>
      </c>
      <c r="D580" s="2" t="s">
        <v>6</v>
      </c>
      <c r="E580" s="5" t="str">
        <f>IF(Table1[[#This Row],[Pre or Post]]="Pre",IF(IF(Table1[[#This Row],[Response]]="Male",0,1)+IF(Table1[[#This Row],[Response]]="Female",0,1)=2,E579,Table1[[#This Row],[Response]]),"")</f>
        <v>Female</v>
      </c>
      <c r="F580" s="1">
        <v>10</v>
      </c>
      <c r="G580" s="1">
        <v>3</v>
      </c>
      <c r="H580" s="2" t="s">
        <v>8</v>
      </c>
      <c r="I58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8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8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81" spans="1:11">
      <c r="A581" s="2" t="s">
        <v>12</v>
      </c>
      <c r="B581" s="2" t="s">
        <v>21</v>
      </c>
      <c r="C581" s="1">
        <v>23</v>
      </c>
      <c r="D581" s="2" t="s">
        <v>6</v>
      </c>
      <c r="E581" s="5" t="str">
        <f>IF(Table1[[#This Row],[Pre or Post]]="Pre",IF(IF(Table1[[#This Row],[Response]]="Male",0,1)+IF(Table1[[#This Row],[Response]]="Female",0,1)=2,E580,Table1[[#This Row],[Response]]),"")</f>
        <v>Female</v>
      </c>
      <c r="F581" s="2">
        <v>11</v>
      </c>
      <c r="G581" s="2">
        <v>2</v>
      </c>
      <c r="H581" s="2" t="s">
        <v>8</v>
      </c>
      <c r="I58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8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8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82" spans="1:11">
      <c r="A582" s="2" t="s">
        <v>12</v>
      </c>
      <c r="B582" s="2" t="s">
        <v>21</v>
      </c>
      <c r="C582" s="1">
        <v>1</v>
      </c>
      <c r="D582" s="2" t="s">
        <v>16</v>
      </c>
      <c r="E582" s="5" t="str">
        <f>IF(Table1[[#This Row],[Pre or Post]]="Pre",IF(IF(Table1[[#This Row],[Response]]="Male",0,1)+IF(Table1[[#This Row],[Response]]="Female",0,1)=2,E581,Table1[[#This Row],[Response]]),"")</f>
        <v/>
      </c>
      <c r="F582" s="1">
        <v>2</v>
      </c>
      <c r="G582" s="2">
        <v>4</v>
      </c>
      <c r="H582" s="2" t="s">
        <v>8</v>
      </c>
      <c r="I58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8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8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83" spans="1:11">
      <c r="A583" s="2" t="s">
        <v>12</v>
      </c>
      <c r="B583" s="2" t="s">
        <v>21</v>
      </c>
      <c r="C583" s="1">
        <v>1</v>
      </c>
      <c r="D583" s="2" t="s">
        <v>16</v>
      </c>
      <c r="E583" s="5" t="str">
        <f>IF(Table1[[#This Row],[Pre or Post]]="Pre",IF(IF(Table1[[#This Row],[Response]]="Male",0,1)+IF(Table1[[#This Row],[Response]]="Female",0,1)=2,E582,Table1[[#This Row],[Response]]),"")</f>
        <v/>
      </c>
      <c r="F583" s="1">
        <v>3</v>
      </c>
      <c r="G583" s="1">
        <v>5</v>
      </c>
      <c r="H583" s="2" t="s">
        <v>8</v>
      </c>
      <c r="I58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8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8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84" spans="1:11">
      <c r="A584" s="2" t="s">
        <v>12</v>
      </c>
      <c r="B584" s="2" t="s">
        <v>21</v>
      </c>
      <c r="C584" s="1">
        <v>1</v>
      </c>
      <c r="D584" s="2" t="s">
        <v>16</v>
      </c>
      <c r="E584" s="5" t="str">
        <f>IF(Table1[[#This Row],[Pre or Post]]="Pre",IF(IF(Table1[[#This Row],[Response]]="Male",0,1)+IF(Table1[[#This Row],[Response]]="Female",0,1)=2,E583,Table1[[#This Row],[Response]]),"")</f>
        <v/>
      </c>
      <c r="F584" s="1">
        <v>4</v>
      </c>
      <c r="G584" s="1">
        <v>2</v>
      </c>
      <c r="H584" s="2" t="s">
        <v>8</v>
      </c>
      <c r="I58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8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8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85" spans="1:11">
      <c r="A585" s="2" t="s">
        <v>12</v>
      </c>
      <c r="B585" s="2" t="s">
        <v>21</v>
      </c>
      <c r="C585" s="1">
        <v>1</v>
      </c>
      <c r="D585" s="2" t="s">
        <v>16</v>
      </c>
      <c r="E585" s="5" t="str">
        <f>IF(Table1[[#This Row],[Pre or Post]]="Pre",IF(IF(Table1[[#This Row],[Response]]="Male",0,1)+IF(Table1[[#This Row],[Response]]="Female",0,1)=2,E584,Table1[[#This Row],[Response]]),"")</f>
        <v/>
      </c>
      <c r="F585" s="1">
        <v>5</v>
      </c>
      <c r="G585" s="1">
        <v>5</v>
      </c>
      <c r="H585" s="2" t="s">
        <v>8</v>
      </c>
      <c r="I58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8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8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86" spans="1:11">
      <c r="A586" s="2" t="s">
        <v>12</v>
      </c>
      <c r="B586" s="2" t="s">
        <v>21</v>
      </c>
      <c r="C586" s="1">
        <v>1</v>
      </c>
      <c r="D586" s="2" t="s">
        <v>16</v>
      </c>
      <c r="E586" s="5" t="str">
        <f>IF(Table1[[#This Row],[Pre or Post]]="Pre",IF(IF(Table1[[#This Row],[Response]]="Male",0,1)+IF(Table1[[#This Row],[Response]]="Female",0,1)=2,E585,Table1[[#This Row],[Response]]),"")</f>
        <v/>
      </c>
      <c r="F586" s="1">
        <v>6</v>
      </c>
      <c r="G586" s="1">
        <v>1</v>
      </c>
      <c r="H586" s="2" t="s">
        <v>8</v>
      </c>
      <c r="I58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8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8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87" spans="1:11">
      <c r="A587" s="2" t="s">
        <v>12</v>
      </c>
      <c r="B587" s="2" t="s">
        <v>21</v>
      </c>
      <c r="C587" s="1">
        <v>1</v>
      </c>
      <c r="D587" s="2" t="s">
        <v>16</v>
      </c>
      <c r="E587" s="5" t="str">
        <f>IF(Table1[[#This Row],[Pre or Post]]="Pre",IF(IF(Table1[[#This Row],[Response]]="Male",0,1)+IF(Table1[[#This Row],[Response]]="Female",0,1)=2,E586,Table1[[#This Row],[Response]]),"")</f>
        <v/>
      </c>
      <c r="F587" s="1">
        <v>7</v>
      </c>
      <c r="G587" s="1">
        <v>5</v>
      </c>
      <c r="H587" s="2" t="s">
        <v>8</v>
      </c>
      <c r="I58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8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8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88" spans="1:11">
      <c r="A588" s="2" t="s">
        <v>12</v>
      </c>
      <c r="B588" s="2" t="s">
        <v>21</v>
      </c>
      <c r="C588" s="1">
        <v>1</v>
      </c>
      <c r="D588" s="2" t="s">
        <v>16</v>
      </c>
      <c r="E588" s="5" t="str">
        <f>IF(Table1[[#This Row],[Pre or Post]]="Pre",IF(IF(Table1[[#This Row],[Response]]="Male",0,1)+IF(Table1[[#This Row],[Response]]="Female",0,1)=2,E587,Table1[[#This Row],[Response]]),"")</f>
        <v/>
      </c>
      <c r="F588" s="1">
        <v>8</v>
      </c>
      <c r="G588" s="1" t="s">
        <v>8</v>
      </c>
      <c r="H588" s="2" t="s">
        <v>8</v>
      </c>
      <c r="I58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8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8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89" spans="1:11">
      <c r="A589" s="2" t="s">
        <v>12</v>
      </c>
      <c r="B589" s="2" t="s">
        <v>21</v>
      </c>
      <c r="C589" s="1">
        <v>1</v>
      </c>
      <c r="D589" s="2" t="s">
        <v>16</v>
      </c>
      <c r="E589" s="5" t="str">
        <f>IF(Table1[[#This Row],[Pre or Post]]="Pre",IF(IF(Table1[[#This Row],[Response]]="Male",0,1)+IF(Table1[[#This Row],[Response]]="Female",0,1)=2,E588,Table1[[#This Row],[Response]]),"")</f>
        <v/>
      </c>
      <c r="F589" s="1">
        <v>9</v>
      </c>
      <c r="G589" s="1" t="s">
        <v>17</v>
      </c>
      <c r="H589" s="2" t="s">
        <v>8</v>
      </c>
      <c r="I58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8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8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90" spans="1:11">
      <c r="A590" s="2" t="s">
        <v>12</v>
      </c>
      <c r="B590" s="2" t="s">
        <v>21</v>
      </c>
      <c r="C590" s="1">
        <v>1</v>
      </c>
      <c r="D590" s="2" t="s">
        <v>16</v>
      </c>
      <c r="E590" s="5" t="str">
        <f>IF(Table1[[#This Row],[Pre or Post]]="Pre",IF(IF(Table1[[#This Row],[Response]]="Male",0,1)+IF(Table1[[#This Row],[Response]]="Female",0,1)=2,E589,Table1[[#This Row],[Response]]),"")</f>
        <v/>
      </c>
      <c r="F590" s="1">
        <v>10</v>
      </c>
      <c r="G590" s="1" t="s">
        <v>19</v>
      </c>
      <c r="H590" s="2" t="s">
        <v>8</v>
      </c>
      <c r="I59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9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9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91" spans="1:11">
      <c r="A591" s="2" t="s">
        <v>12</v>
      </c>
      <c r="B591" s="2" t="s">
        <v>21</v>
      </c>
      <c r="C591" s="1">
        <v>1</v>
      </c>
      <c r="D591" s="2" t="s">
        <v>16</v>
      </c>
      <c r="E591" s="5" t="str">
        <f>IF(Table1[[#This Row],[Pre or Post]]="Pre",IF(IF(Table1[[#This Row],[Response]]="Male",0,1)+IF(Table1[[#This Row],[Response]]="Female",0,1)=2,E590,Table1[[#This Row],[Response]]),"")</f>
        <v/>
      </c>
      <c r="F591" s="1">
        <v>11</v>
      </c>
      <c r="G591" s="1" t="s">
        <v>9</v>
      </c>
      <c r="H591" s="2" t="s">
        <v>8</v>
      </c>
      <c r="I59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9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9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92" spans="1:11">
      <c r="A592" s="2" t="s">
        <v>12</v>
      </c>
      <c r="B592" s="2" t="s">
        <v>21</v>
      </c>
      <c r="C592" s="1">
        <v>2</v>
      </c>
      <c r="D592" s="2" t="s">
        <v>16</v>
      </c>
      <c r="E592" s="5" t="str">
        <f>IF(Table1[[#This Row],[Pre or Post]]="Pre",IF(IF(Table1[[#This Row],[Response]]="Male",0,1)+IF(Table1[[#This Row],[Response]]="Female",0,1)=2,E591,Table1[[#This Row],[Response]]),"")</f>
        <v/>
      </c>
      <c r="F592" s="1">
        <v>2</v>
      </c>
      <c r="G592" s="1">
        <v>3</v>
      </c>
      <c r="H592" s="2" t="s">
        <v>8</v>
      </c>
      <c r="I59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9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9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93" spans="1:11">
      <c r="A593" s="2" t="s">
        <v>12</v>
      </c>
      <c r="B593" s="2" t="s">
        <v>21</v>
      </c>
      <c r="C593" s="1">
        <v>2</v>
      </c>
      <c r="D593" s="2" t="s">
        <v>16</v>
      </c>
      <c r="E593" s="5" t="str">
        <f>IF(Table1[[#This Row],[Pre or Post]]="Pre",IF(IF(Table1[[#This Row],[Response]]="Male",0,1)+IF(Table1[[#This Row],[Response]]="Female",0,1)=2,E592,Table1[[#This Row],[Response]]),"")</f>
        <v/>
      </c>
      <c r="F593" s="1">
        <v>3</v>
      </c>
      <c r="G593" s="1">
        <v>2</v>
      </c>
      <c r="H593" s="2" t="s">
        <v>8</v>
      </c>
      <c r="I59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9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9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94" spans="1:11">
      <c r="A594" s="2" t="s">
        <v>12</v>
      </c>
      <c r="B594" s="2" t="s">
        <v>21</v>
      </c>
      <c r="C594" s="1">
        <v>2</v>
      </c>
      <c r="D594" s="2" t="s">
        <v>16</v>
      </c>
      <c r="E594" s="5" t="str">
        <f>IF(Table1[[#This Row],[Pre or Post]]="Pre",IF(IF(Table1[[#This Row],[Response]]="Male",0,1)+IF(Table1[[#This Row],[Response]]="Female",0,1)=2,E593,Table1[[#This Row],[Response]]),"")</f>
        <v/>
      </c>
      <c r="F594" s="1">
        <v>4</v>
      </c>
      <c r="G594" s="1">
        <v>3</v>
      </c>
      <c r="H594" s="2" t="s">
        <v>8</v>
      </c>
      <c r="I59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9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9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95" spans="1:11">
      <c r="A595" s="2" t="s">
        <v>12</v>
      </c>
      <c r="B595" s="2" t="s">
        <v>21</v>
      </c>
      <c r="C595" s="1">
        <v>2</v>
      </c>
      <c r="D595" s="2" t="s">
        <v>16</v>
      </c>
      <c r="E595" s="5" t="str">
        <f>IF(Table1[[#This Row],[Pre or Post]]="Pre",IF(IF(Table1[[#This Row],[Response]]="Male",0,1)+IF(Table1[[#This Row],[Response]]="Female",0,1)=2,E594,Table1[[#This Row],[Response]]),"")</f>
        <v/>
      </c>
      <c r="F595" s="1">
        <v>5</v>
      </c>
      <c r="G595" s="1"/>
      <c r="H595" s="2" t="s">
        <v>8</v>
      </c>
      <c r="I59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9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9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96" spans="1:11">
      <c r="A596" s="2" t="s">
        <v>12</v>
      </c>
      <c r="B596" s="2" t="s">
        <v>21</v>
      </c>
      <c r="C596" s="1">
        <v>2</v>
      </c>
      <c r="D596" s="2" t="s">
        <v>16</v>
      </c>
      <c r="E596" s="5" t="str">
        <f>IF(Table1[[#This Row],[Pre or Post]]="Pre",IF(IF(Table1[[#This Row],[Response]]="Male",0,1)+IF(Table1[[#This Row],[Response]]="Female",0,1)=2,E595,Table1[[#This Row],[Response]]),"")</f>
        <v/>
      </c>
      <c r="F596" s="1">
        <v>6</v>
      </c>
      <c r="G596" s="1">
        <v>3</v>
      </c>
      <c r="H596" s="2" t="s">
        <v>8</v>
      </c>
      <c r="I59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9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9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97" spans="1:11">
      <c r="A597" s="2" t="s">
        <v>12</v>
      </c>
      <c r="B597" s="2" t="s">
        <v>21</v>
      </c>
      <c r="C597" s="1">
        <v>2</v>
      </c>
      <c r="D597" s="2" t="s">
        <v>16</v>
      </c>
      <c r="E597" s="5" t="str">
        <f>IF(Table1[[#This Row],[Pre or Post]]="Pre",IF(IF(Table1[[#This Row],[Response]]="Male",0,1)+IF(Table1[[#This Row],[Response]]="Female",0,1)=2,E596,Table1[[#This Row],[Response]]),"")</f>
        <v/>
      </c>
      <c r="F597" s="1">
        <v>7</v>
      </c>
      <c r="G597" s="1">
        <v>2</v>
      </c>
      <c r="H597" s="2" t="s">
        <v>8</v>
      </c>
      <c r="I59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9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9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98" spans="1:11">
      <c r="A598" s="2" t="s">
        <v>12</v>
      </c>
      <c r="B598" s="2" t="s">
        <v>21</v>
      </c>
      <c r="C598" s="1">
        <v>2</v>
      </c>
      <c r="D598" s="2" t="s">
        <v>16</v>
      </c>
      <c r="E598" s="5" t="str">
        <f>IF(Table1[[#This Row],[Pre or Post]]="Pre",IF(IF(Table1[[#This Row],[Response]]="Male",0,1)+IF(Table1[[#This Row],[Response]]="Female",0,1)=2,E597,Table1[[#This Row],[Response]]),"")</f>
        <v/>
      </c>
      <c r="F598" s="1">
        <v>8</v>
      </c>
      <c r="G598" s="1" t="s">
        <v>8</v>
      </c>
      <c r="H598" s="2" t="s">
        <v>8</v>
      </c>
      <c r="I59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9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9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599" spans="1:11">
      <c r="A599" s="2" t="s">
        <v>12</v>
      </c>
      <c r="B599" s="2" t="s">
        <v>21</v>
      </c>
      <c r="C599" s="1">
        <v>2</v>
      </c>
      <c r="D599" s="2" t="s">
        <v>16</v>
      </c>
      <c r="E599" s="5" t="str">
        <f>IF(Table1[[#This Row],[Pre or Post]]="Pre",IF(IF(Table1[[#This Row],[Response]]="Male",0,1)+IF(Table1[[#This Row],[Response]]="Female",0,1)=2,E598,Table1[[#This Row],[Response]]),"")</f>
        <v/>
      </c>
      <c r="F599" s="1">
        <v>9</v>
      </c>
      <c r="G599" s="1" t="s">
        <v>17</v>
      </c>
      <c r="H599" s="2" t="s">
        <v>8</v>
      </c>
      <c r="I59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59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59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00" spans="1:11">
      <c r="A600" s="2" t="s">
        <v>12</v>
      </c>
      <c r="B600" s="2" t="s">
        <v>21</v>
      </c>
      <c r="C600" s="1">
        <v>2</v>
      </c>
      <c r="D600" s="2" t="s">
        <v>16</v>
      </c>
      <c r="E600" s="5" t="str">
        <f>IF(Table1[[#This Row],[Pre or Post]]="Pre",IF(IF(Table1[[#This Row],[Response]]="Male",0,1)+IF(Table1[[#This Row],[Response]]="Female",0,1)=2,E599,Table1[[#This Row],[Response]]),"")</f>
        <v/>
      </c>
      <c r="F600" s="1">
        <v>10</v>
      </c>
      <c r="G600" s="1" t="s">
        <v>19</v>
      </c>
      <c r="H600" s="2" t="s">
        <v>8</v>
      </c>
      <c r="I60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0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0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01" spans="1:11">
      <c r="A601" s="2" t="s">
        <v>12</v>
      </c>
      <c r="B601" s="2" t="s">
        <v>21</v>
      </c>
      <c r="C601" s="1">
        <v>2</v>
      </c>
      <c r="D601" s="2" t="s">
        <v>16</v>
      </c>
      <c r="E601" s="5" t="str">
        <f>IF(Table1[[#This Row],[Pre or Post]]="Pre",IF(IF(Table1[[#This Row],[Response]]="Male",0,1)+IF(Table1[[#This Row],[Response]]="Female",0,1)=2,E600,Table1[[#This Row],[Response]]),"")</f>
        <v/>
      </c>
      <c r="F601" s="1">
        <v>11</v>
      </c>
      <c r="G601" s="1" t="s">
        <v>9</v>
      </c>
      <c r="H601" s="2" t="s">
        <v>8</v>
      </c>
      <c r="I60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0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0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02" spans="1:11">
      <c r="A602" s="2" t="s">
        <v>12</v>
      </c>
      <c r="B602" s="2" t="s">
        <v>21</v>
      </c>
      <c r="C602" s="1">
        <v>3</v>
      </c>
      <c r="D602" s="2" t="s">
        <v>16</v>
      </c>
      <c r="E602" s="5" t="str">
        <f>IF(Table1[[#This Row],[Pre or Post]]="Pre",IF(IF(Table1[[#This Row],[Response]]="Male",0,1)+IF(Table1[[#This Row],[Response]]="Female",0,1)=2,E601,Table1[[#This Row],[Response]]),"")</f>
        <v/>
      </c>
      <c r="F602" s="1">
        <v>2</v>
      </c>
      <c r="G602" s="1">
        <v>3</v>
      </c>
      <c r="H602" s="2" t="s">
        <v>8</v>
      </c>
      <c r="I60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0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0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03" spans="1:11">
      <c r="A603" s="2" t="s">
        <v>12</v>
      </c>
      <c r="B603" s="2" t="s">
        <v>21</v>
      </c>
      <c r="C603" s="1">
        <v>3</v>
      </c>
      <c r="D603" s="2" t="s">
        <v>16</v>
      </c>
      <c r="E603" s="5" t="str">
        <f>IF(Table1[[#This Row],[Pre or Post]]="Pre",IF(IF(Table1[[#This Row],[Response]]="Male",0,1)+IF(Table1[[#This Row],[Response]]="Female",0,1)=2,E602,Table1[[#This Row],[Response]]),"")</f>
        <v/>
      </c>
      <c r="F603" s="1">
        <v>3</v>
      </c>
      <c r="G603" s="1">
        <v>3</v>
      </c>
      <c r="H603" s="2" t="s">
        <v>8</v>
      </c>
      <c r="I60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0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0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04" spans="1:11">
      <c r="A604" s="2" t="s">
        <v>12</v>
      </c>
      <c r="B604" s="2" t="s">
        <v>21</v>
      </c>
      <c r="C604" s="1">
        <v>3</v>
      </c>
      <c r="D604" s="2" t="s">
        <v>16</v>
      </c>
      <c r="E604" s="5" t="str">
        <f>IF(Table1[[#This Row],[Pre or Post]]="Pre",IF(IF(Table1[[#This Row],[Response]]="Male",0,1)+IF(Table1[[#This Row],[Response]]="Female",0,1)=2,E603,Table1[[#This Row],[Response]]),"")</f>
        <v/>
      </c>
      <c r="F604" s="1">
        <v>4</v>
      </c>
      <c r="G604" s="1">
        <v>2</v>
      </c>
      <c r="H604" s="2" t="s">
        <v>8</v>
      </c>
      <c r="I60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0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0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05" spans="1:11">
      <c r="A605" s="2" t="s">
        <v>12</v>
      </c>
      <c r="B605" s="2" t="s">
        <v>21</v>
      </c>
      <c r="C605" s="1">
        <v>3</v>
      </c>
      <c r="D605" s="2" t="s">
        <v>16</v>
      </c>
      <c r="E605" s="5" t="str">
        <f>IF(Table1[[#This Row],[Pre or Post]]="Pre",IF(IF(Table1[[#This Row],[Response]]="Male",0,1)+IF(Table1[[#This Row],[Response]]="Female",0,1)=2,E604,Table1[[#This Row],[Response]]),"")</f>
        <v/>
      </c>
      <c r="F605" s="1">
        <v>5</v>
      </c>
      <c r="G605" s="1">
        <v>4</v>
      </c>
      <c r="H605" s="2" t="s">
        <v>8</v>
      </c>
      <c r="I60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0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0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06" spans="1:11">
      <c r="A606" s="2" t="s">
        <v>12</v>
      </c>
      <c r="B606" s="2" t="s">
        <v>21</v>
      </c>
      <c r="C606" s="1">
        <v>3</v>
      </c>
      <c r="D606" s="2" t="s">
        <v>16</v>
      </c>
      <c r="E606" s="5" t="str">
        <f>IF(Table1[[#This Row],[Pre or Post]]="Pre",IF(IF(Table1[[#This Row],[Response]]="Male",0,1)+IF(Table1[[#This Row],[Response]]="Female",0,1)=2,E605,Table1[[#This Row],[Response]]),"")</f>
        <v/>
      </c>
      <c r="F606" s="1">
        <v>6</v>
      </c>
      <c r="G606" s="1">
        <v>3</v>
      </c>
      <c r="H606" s="2" t="s">
        <v>8</v>
      </c>
      <c r="I60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0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0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07" spans="1:11">
      <c r="A607" s="2" t="s">
        <v>12</v>
      </c>
      <c r="B607" s="2" t="s">
        <v>21</v>
      </c>
      <c r="C607" s="1">
        <v>3</v>
      </c>
      <c r="D607" s="2" t="s">
        <v>16</v>
      </c>
      <c r="E607" s="5" t="str">
        <f>IF(Table1[[#This Row],[Pre or Post]]="Pre",IF(IF(Table1[[#This Row],[Response]]="Male",0,1)+IF(Table1[[#This Row],[Response]]="Female",0,1)=2,E606,Table1[[#This Row],[Response]]),"")</f>
        <v/>
      </c>
      <c r="F607" s="1">
        <v>7</v>
      </c>
      <c r="G607" s="1">
        <v>3</v>
      </c>
      <c r="H607" s="2" t="s">
        <v>8</v>
      </c>
      <c r="I60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0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0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08" spans="1:11">
      <c r="A608" s="2" t="s">
        <v>12</v>
      </c>
      <c r="B608" s="2" t="s">
        <v>21</v>
      </c>
      <c r="C608" s="1">
        <v>3</v>
      </c>
      <c r="D608" s="2" t="s">
        <v>16</v>
      </c>
      <c r="E608" s="5" t="str">
        <f>IF(Table1[[#This Row],[Pre or Post]]="Pre",IF(IF(Table1[[#This Row],[Response]]="Male",0,1)+IF(Table1[[#This Row],[Response]]="Female",0,1)=2,E607,Table1[[#This Row],[Response]]),"")</f>
        <v/>
      </c>
      <c r="F608" s="1">
        <v>8</v>
      </c>
      <c r="G608" s="1" t="s">
        <v>8</v>
      </c>
      <c r="H608" s="2" t="s">
        <v>8</v>
      </c>
      <c r="I60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0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0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09" spans="1:11">
      <c r="A609" s="2" t="s">
        <v>12</v>
      </c>
      <c r="B609" s="2" t="s">
        <v>21</v>
      </c>
      <c r="C609" s="1">
        <v>3</v>
      </c>
      <c r="D609" s="2" t="s">
        <v>16</v>
      </c>
      <c r="E609" s="5" t="str">
        <f>IF(Table1[[#This Row],[Pre or Post]]="Pre",IF(IF(Table1[[#This Row],[Response]]="Male",0,1)+IF(Table1[[#This Row],[Response]]="Female",0,1)=2,E608,Table1[[#This Row],[Response]]),"")</f>
        <v/>
      </c>
      <c r="F609" s="1">
        <v>9</v>
      </c>
      <c r="G609" s="1" t="s">
        <v>17</v>
      </c>
      <c r="H609" s="2" t="s">
        <v>8</v>
      </c>
      <c r="I60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0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0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10" spans="1:11">
      <c r="A610" s="2" t="s">
        <v>12</v>
      </c>
      <c r="B610" s="2" t="s">
        <v>21</v>
      </c>
      <c r="C610" s="1">
        <v>3</v>
      </c>
      <c r="D610" s="2" t="s">
        <v>16</v>
      </c>
      <c r="E610" s="5" t="str">
        <f>IF(Table1[[#This Row],[Pre or Post]]="Pre",IF(IF(Table1[[#This Row],[Response]]="Male",0,1)+IF(Table1[[#This Row],[Response]]="Female",0,1)=2,E609,Table1[[#This Row],[Response]]),"")</f>
        <v/>
      </c>
      <c r="F610" s="1">
        <v>10</v>
      </c>
      <c r="G610" s="1" t="s">
        <v>19</v>
      </c>
      <c r="H610" s="2" t="s">
        <v>8</v>
      </c>
      <c r="I61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1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1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11" spans="1:11">
      <c r="A611" s="2" t="s">
        <v>12</v>
      </c>
      <c r="B611" s="2" t="s">
        <v>21</v>
      </c>
      <c r="C611" s="1">
        <v>3</v>
      </c>
      <c r="D611" s="2" t="s">
        <v>16</v>
      </c>
      <c r="E611" s="5" t="str">
        <f>IF(Table1[[#This Row],[Pre or Post]]="Pre",IF(IF(Table1[[#This Row],[Response]]="Male",0,1)+IF(Table1[[#This Row],[Response]]="Female",0,1)=2,E610,Table1[[#This Row],[Response]]),"")</f>
        <v/>
      </c>
      <c r="F611" s="1">
        <v>11</v>
      </c>
      <c r="G611" s="1" t="s">
        <v>8</v>
      </c>
      <c r="H611" s="2" t="s">
        <v>8</v>
      </c>
      <c r="I61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1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1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12" spans="1:11">
      <c r="A612" s="2" t="s">
        <v>12</v>
      </c>
      <c r="B612" s="2" t="s">
        <v>21</v>
      </c>
      <c r="C612" s="1">
        <v>4</v>
      </c>
      <c r="D612" s="2" t="s">
        <v>16</v>
      </c>
      <c r="E612" s="5" t="str">
        <f>IF(Table1[[#This Row],[Pre or Post]]="Pre",IF(IF(Table1[[#This Row],[Response]]="Male",0,1)+IF(Table1[[#This Row],[Response]]="Female",0,1)=2,E611,Table1[[#This Row],[Response]]),"")</f>
        <v/>
      </c>
      <c r="F612" s="1">
        <v>2</v>
      </c>
      <c r="G612" s="1">
        <v>3</v>
      </c>
      <c r="H612" s="2" t="s">
        <v>8</v>
      </c>
      <c r="I61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1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1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13" spans="1:11">
      <c r="A613" s="2" t="s">
        <v>12</v>
      </c>
      <c r="B613" s="2" t="s">
        <v>21</v>
      </c>
      <c r="C613" s="1">
        <v>4</v>
      </c>
      <c r="D613" s="2" t="s">
        <v>16</v>
      </c>
      <c r="E613" s="5" t="str">
        <f>IF(Table1[[#This Row],[Pre or Post]]="Pre",IF(IF(Table1[[#This Row],[Response]]="Male",0,1)+IF(Table1[[#This Row],[Response]]="Female",0,1)=2,E612,Table1[[#This Row],[Response]]),"")</f>
        <v/>
      </c>
      <c r="F613" s="1">
        <v>3</v>
      </c>
      <c r="G613" s="1">
        <v>4</v>
      </c>
      <c r="H613" s="2" t="s">
        <v>8</v>
      </c>
      <c r="I61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1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1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14" spans="1:11">
      <c r="A614" s="2" t="s">
        <v>12</v>
      </c>
      <c r="B614" s="2" t="s">
        <v>21</v>
      </c>
      <c r="C614" s="1">
        <v>4</v>
      </c>
      <c r="D614" s="2" t="s">
        <v>16</v>
      </c>
      <c r="E614" s="5" t="str">
        <f>IF(Table1[[#This Row],[Pre or Post]]="Pre",IF(IF(Table1[[#This Row],[Response]]="Male",0,1)+IF(Table1[[#This Row],[Response]]="Female",0,1)=2,E613,Table1[[#This Row],[Response]]),"")</f>
        <v/>
      </c>
      <c r="F614" s="1">
        <v>4</v>
      </c>
      <c r="G614" s="1">
        <v>5</v>
      </c>
      <c r="H614" s="2" t="s">
        <v>8</v>
      </c>
      <c r="I61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1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1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15" spans="1:11">
      <c r="A615" s="2" t="s">
        <v>12</v>
      </c>
      <c r="B615" s="2" t="s">
        <v>21</v>
      </c>
      <c r="C615" s="1">
        <v>4</v>
      </c>
      <c r="D615" s="2" t="s">
        <v>16</v>
      </c>
      <c r="E615" s="5" t="str">
        <f>IF(Table1[[#This Row],[Pre or Post]]="Pre",IF(IF(Table1[[#This Row],[Response]]="Male",0,1)+IF(Table1[[#This Row],[Response]]="Female",0,1)=2,E614,Table1[[#This Row],[Response]]),"")</f>
        <v/>
      </c>
      <c r="F615" s="1">
        <v>5</v>
      </c>
      <c r="G615" s="1">
        <v>5</v>
      </c>
      <c r="H615" s="2" t="s">
        <v>8</v>
      </c>
      <c r="I61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1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1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16" spans="1:11">
      <c r="A616" s="2" t="s">
        <v>12</v>
      </c>
      <c r="B616" s="2" t="s">
        <v>21</v>
      </c>
      <c r="C616" s="1">
        <v>4</v>
      </c>
      <c r="D616" s="2" t="s">
        <v>16</v>
      </c>
      <c r="E616" s="5" t="str">
        <f>IF(Table1[[#This Row],[Pre or Post]]="Pre",IF(IF(Table1[[#This Row],[Response]]="Male",0,1)+IF(Table1[[#This Row],[Response]]="Female",0,1)=2,E615,Table1[[#This Row],[Response]]),"")</f>
        <v/>
      </c>
      <c r="F616" s="1">
        <v>6</v>
      </c>
      <c r="G616" s="1">
        <v>3</v>
      </c>
      <c r="H616" s="2" t="s">
        <v>8</v>
      </c>
      <c r="I61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1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1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17" spans="1:11">
      <c r="A617" s="2" t="s">
        <v>12</v>
      </c>
      <c r="B617" s="2" t="s">
        <v>21</v>
      </c>
      <c r="C617" s="1">
        <v>4</v>
      </c>
      <c r="D617" s="2" t="s">
        <v>16</v>
      </c>
      <c r="E617" s="5" t="str">
        <f>IF(Table1[[#This Row],[Pre or Post]]="Pre",IF(IF(Table1[[#This Row],[Response]]="Male",0,1)+IF(Table1[[#This Row],[Response]]="Female",0,1)=2,E616,Table1[[#This Row],[Response]]),"")</f>
        <v/>
      </c>
      <c r="F617" s="1">
        <v>7</v>
      </c>
      <c r="G617" s="1">
        <v>5</v>
      </c>
      <c r="H617" s="2" t="s">
        <v>8</v>
      </c>
      <c r="I61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1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1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18" spans="1:11">
      <c r="A618" s="2" t="s">
        <v>12</v>
      </c>
      <c r="B618" s="2" t="s">
        <v>21</v>
      </c>
      <c r="C618" s="1">
        <v>4</v>
      </c>
      <c r="D618" s="2" t="s">
        <v>16</v>
      </c>
      <c r="E618" s="5" t="str">
        <f>IF(Table1[[#This Row],[Pre or Post]]="Pre",IF(IF(Table1[[#This Row],[Response]]="Male",0,1)+IF(Table1[[#This Row],[Response]]="Female",0,1)=2,E617,Table1[[#This Row],[Response]]),"")</f>
        <v/>
      </c>
      <c r="F618" s="1">
        <v>8</v>
      </c>
      <c r="G618" s="1" t="s">
        <v>8</v>
      </c>
      <c r="H618" s="2" t="s">
        <v>8</v>
      </c>
      <c r="I61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1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1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19" spans="1:11">
      <c r="A619" s="2" t="s">
        <v>12</v>
      </c>
      <c r="B619" s="2" t="s">
        <v>21</v>
      </c>
      <c r="C619" s="1">
        <v>4</v>
      </c>
      <c r="D619" s="2" t="s">
        <v>16</v>
      </c>
      <c r="E619" s="5" t="str">
        <f>IF(Table1[[#This Row],[Pre or Post]]="Pre",IF(IF(Table1[[#This Row],[Response]]="Male",0,1)+IF(Table1[[#This Row],[Response]]="Female",0,1)=2,E618,Table1[[#This Row],[Response]]),"")</f>
        <v/>
      </c>
      <c r="F619" s="1">
        <v>9</v>
      </c>
      <c r="G619" s="1" t="s">
        <v>17</v>
      </c>
      <c r="H619" s="2" t="s">
        <v>8</v>
      </c>
      <c r="I61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1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1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20" spans="1:11">
      <c r="A620" s="2" t="s">
        <v>12</v>
      </c>
      <c r="B620" s="2" t="s">
        <v>21</v>
      </c>
      <c r="C620" s="1">
        <v>4</v>
      </c>
      <c r="D620" s="2" t="s">
        <v>16</v>
      </c>
      <c r="E620" s="5" t="str">
        <f>IF(Table1[[#This Row],[Pre or Post]]="Pre",IF(IF(Table1[[#This Row],[Response]]="Male",0,1)+IF(Table1[[#This Row],[Response]]="Female",0,1)=2,E619,Table1[[#This Row],[Response]]),"")</f>
        <v/>
      </c>
      <c r="F620" s="1">
        <v>10</v>
      </c>
      <c r="G620" s="1" t="s">
        <v>18</v>
      </c>
      <c r="H620" s="2" t="s">
        <v>8</v>
      </c>
      <c r="I62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2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2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21" spans="1:11">
      <c r="A621" s="2" t="s">
        <v>12</v>
      </c>
      <c r="B621" s="2" t="s">
        <v>21</v>
      </c>
      <c r="C621" s="1">
        <v>4</v>
      </c>
      <c r="D621" s="2" t="s">
        <v>16</v>
      </c>
      <c r="E621" s="5" t="str">
        <f>IF(Table1[[#This Row],[Pre or Post]]="Pre",IF(IF(Table1[[#This Row],[Response]]="Male",0,1)+IF(Table1[[#This Row],[Response]]="Female",0,1)=2,E620,Table1[[#This Row],[Response]]),"")</f>
        <v/>
      </c>
      <c r="F621" s="1">
        <v>11</v>
      </c>
      <c r="G621" s="1" t="s">
        <v>9</v>
      </c>
      <c r="H621" s="2" t="s">
        <v>8</v>
      </c>
      <c r="I62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2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2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22" spans="1:11">
      <c r="A622" s="2" t="s">
        <v>12</v>
      </c>
      <c r="B622" s="2" t="s">
        <v>21</v>
      </c>
      <c r="C622" s="1">
        <v>5</v>
      </c>
      <c r="D622" s="2" t="s">
        <v>16</v>
      </c>
      <c r="E622" s="5" t="str">
        <f>IF(Table1[[#This Row],[Pre or Post]]="Pre",IF(IF(Table1[[#This Row],[Response]]="Male",0,1)+IF(Table1[[#This Row],[Response]]="Female",0,1)=2,E621,Table1[[#This Row],[Response]]),"")</f>
        <v/>
      </c>
      <c r="F622" s="1">
        <v>2</v>
      </c>
      <c r="G622" s="1">
        <v>3</v>
      </c>
      <c r="H622" s="2" t="s">
        <v>8</v>
      </c>
      <c r="I62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2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2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23" spans="1:11">
      <c r="A623" s="2" t="s">
        <v>12</v>
      </c>
      <c r="B623" s="2" t="s">
        <v>21</v>
      </c>
      <c r="C623" s="1">
        <v>5</v>
      </c>
      <c r="D623" s="2" t="s">
        <v>16</v>
      </c>
      <c r="E623" s="5" t="str">
        <f>IF(Table1[[#This Row],[Pre or Post]]="Pre",IF(IF(Table1[[#This Row],[Response]]="Male",0,1)+IF(Table1[[#This Row],[Response]]="Female",0,1)=2,E622,Table1[[#This Row],[Response]]),"")</f>
        <v/>
      </c>
      <c r="F623" s="1">
        <v>3</v>
      </c>
      <c r="G623" s="1">
        <v>3</v>
      </c>
      <c r="H623" s="2" t="s">
        <v>8</v>
      </c>
      <c r="I62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2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2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24" spans="1:11">
      <c r="A624" s="2" t="s">
        <v>12</v>
      </c>
      <c r="B624" s="2" t="s">
        <v>21</v>
      </c>
      <c r="C624" s="1">
        <v>5</v>
      </c>
      <c r="D624" s="2" t="s">
        <v>16</v>
      </c>
      <c r="E624" s="5" t="str">
        <f>IF(Table1[[#This Row],[Pre or Post]]="Pre",IF(IF(Table1[[#This Row],[Response]]="Male",0,1)+IF(Table1[[#This Row],[Response]]="Female",0,1)=2,E623,Table1[[#This Row],[Response]]),"")</f>
        <v/>
      </c>
      <c r="F624" s="1">
        <v>4</v>
      </c>
      <c r="G624" s="1">
        <v>3</v>
      </c>
      <c r="H624" s="2" t="s">
        <v>8</v>
      </c>
      <c r="I62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2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2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25" spans="1:11">
      <c r="A625" s="2" t="s">
        <v>12</v>
      </c>
      <c r="B625" s="2" t="s">
        <v>21</v>
      </c>
      <c r="C625" s="1">
        <v>5</v>
      </c>
      <c r="D625" s="2" t="s">
        <v>16</v>
      </c>
      <c r="E625" s="5" t="str">
        <f>IF(Table1[[#This Row],[Pre or Post]]="Pre",IF(IF(Table1[[#This Row],[Response]]="Male",0,1)+IF(Table1[[#This Row],[Response]]="Female",0,1)=2,E624,Table1[[#This Row],[Response]]),"")</f>
        <v/>
      </c>
      <c r="F625" s="1">
        <v>5</v>
      </c>
      <c r="G625" s="1">
        <v>4</v>
      </c>
      <c r="H625" s="2" t="s">
        <v>8</v>
      </c>
      <c r="I62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2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2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26" spans="1:11">
      <c r="A626" s="2" t="s">
        <v>12</v>
      </c>
      <c r="B626" s="2" t="s">
        <v>21</v>
      </c>
      <c r="C626" s="1">
        <v>5</v>
      </c>
      <c r="D626" s="2" t="s">
        <v>16</v>
      </c>
      <c r="E626" s="5" t="str">
        <f>IF(Table1[[#This Row],[Pre or Post]]="Pre",IF(IF(Table1[[#This Row],[Response]]="Male",0,1)+IF(Table1[[#This Row],[Response]]="Female",0,1)=2,E625,Table1[[#This Row],[Response]]),"")</f>
        <v/>
      </c>
      <c r="F626" s="1">
        <v>6</v>
      </c>
      <c r="G626" s="1">
        <v>4</v>
      </c>
      <c r="H626" s="2" t="s">
        <v>8</v>
      </c>
      <c r="I62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2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2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27" spans="1:11">
      <c r="A627" s="2" t="s">
        <v>12</v>
      </c>
      <c r="B627" s="2" t="s">
        <v>21</v>
      </c>
      <c r="C627" s="1">
        <v>5</v>
      </c>
      <c r="D627" s="2" t="s">
        <v>16</v>
      </c>
      <c r="E627" s="5" t="str">
        <f>IF(Table1[[#This Row],[Pre or Post]]="Pre",IF(IF(Table1[[#This Row],[Response]]="Male",0,1)+IF(Table1[[#This Row],[Response]]="Female",0,1)=2,E626,Table1[[#This Row],[Response]]),"")</f>
        <v/>
      </c>
      <c r="F627" s="1">
        <v>7</v>
      </c>
      <c r="G627" s="1">
        <v>5</v>
      </c>
      <c r="H627" s="2" t="s">
        <v>8</v>
      </c>
      <c r="I62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2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2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28" spans="1:11">
      <c r="A628" s="2" t="s">
        <v>12</v>
      </c>
      <c r="B628" s="2" t="s">
        <v>21</v>
      </c>
      <c r="C628" s="1">
        <v>5</v>
      </c>
      <c r="D628" s="2" t="s">
        <v>16</v>
      </c>
      <c r="E628" s="5" t="str">
        <f>IF(Table1[[#This Row],[Pre or Post]]="Pre",IF(IF(Table1[[#This Row],[Response]]="Male",0,1)+IF(Table1[[#This Row],[Response]]="Female",0,1)=2,E627,Table1[[#This Row],[Response]]),"")</f>
        <v/>
      </c>
      <c r="F628" s="1">
        <v>8</v>
      </c>
      <c r="G628" s="1" t="s">
        <v>8</v>
      </c>
      <c r="H628" s="2" t="s">
        <v>8</v>
      </c>
      <c r="I62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2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2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29" spans="1:11">
      <c r="A629" s="2" t="s">
        <v>12</v>
      </c>
      <c r="B629" s="2" t="s">
        <v>21</v>
      </c>
      <c r="C629" s="1">
        <v>5</v>
      </c>
      <c r="D629" s="2" t="s">
        <v>16</v>
      </c>
      <c r="E629" s="5" t="str">
        <f>IF(Table1[[#This Row],[Pre or Post]]="Pre",IF(IF(Table1[[#This Row],[Response]]="Male",0,1)+IF(Table1[[#This Row],[Response]]="Female",0,1)=2,E628,Table1[[#This Row],[Response]]),"")</f>
        <v/>
      </c>
      <c r="F629" s="1">
        <v>9</v>
      </c>
      <c r="G629" s="1" t="s">
        <v>17</v>
      </c>
      <c r="H629" s="2" t="s">
        <v>8</v>
      </c>
      <c r="I62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2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2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30" spans="1:11">
      <c r="A630" s="2" t="s">
        <v>12</v>
      </c>
      <c r="B630" s="2" t="s">
        <v>21</v>
      </c>
      <c r="C630" s="1">
        <v>5</v>
      </c>
      <c r="D630" s="2" t="s">
        <v>16</v>
      </c>
      <c r="E630" s="5" t="str">
        <f>IF(Table1[[#This Row],[Pre or Post]]="Pre",IF(IF(Table1[[#This Row],[Response]]="Male",0,1)+IF(Table1[[#This Row],[Response]]="Female",0,1)=2,E629,Table1[[#This Row],[Response]]),"")</f>
        <v/>
      </c>
      <c r="F630" s="1">
        <v>10</v>
      </c>
      <c r="G630" s="1" t="s">
        <v>18</v>
      </c>
      <c r="H630" s="2" t="s">
        <v>8</v>
      </c>
      <c r="I63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3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3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31" spans="1:11">
      <c r="A631" s="2" t="s">
        <v>12</v>
      </c>
      <c r="B631" s="2" t="s">
        <v>21</v>
      </c>
      <c r="C631" s="1">
        <v>5</v>
      </c>
      <c r="D631" s="2" t="s">
        <v>16</v>
      </c>
      <c r="E631" s="5" t="str">
        <f>IF(Table1[[#This Row],[Pre or Post]]="Pre",IF(IF(Table1[[#This Row],[Response]]="Male",0,1)+IF(Table1[[#This Row],[Response]]="Female",0,1)=2,E630,Table1[[#This Row],[Response]]),"")</f>
        <v/>
      </c>
      <c r="F631" s="1">
        <v>11</v>
      </c>
      <c r="G631" s="1" t="s">
        <v>9</v>
      </c>
      <c r="H631" s="2" t="s">
        <v>8</v>
      </c>
      <c r="I63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3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3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32" spans="1:11">
      <c r="A632" s="2" t="s">
        <v>12</v>
      </c>
      <c r="B632" s="2" t="s">
        <v>21</v>
      </c>
      <c r="C632" s="1">
        <v>6</v>
      </c>
      <c r="D632" s="2" t="s">
        <v>16</v>
      </c>
      <c r="E632" s="5" t="str">
        <f>IF(Table1[[#This Row],[Pre or Post]]="Pre",IF(IF(Table1[[#This Row],[Response]]="Male",0,1)+IF(Table1[[#This Row],[Response]]="Female",0,1)=2,E631,Table1[[#This Row],[Response]]),"")</f>
        <v/>
      </c>
      <c r="F632" s="1">
        <v>2</v>
      </c>
      <c r="G632" s="1">
        <v>4</v>
      </c>
      <c r="H632" s="2" t="s">
        <v>8</v>
      </c>
      <c r="I63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3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3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33" spans="1:11">
      <c r="A633" s="2" t="s">
        <v>12</v>
      </c>
      <c r="B633" s="2" t="s">
        <v>21</v>
      </c>
      <c r="C633" s="1">
        <v>6</v>
      </c>
      <c r="D633" s="2" t="s">
        <v>16</v>
      </c>
      <c r="E633" s="5" t="str">
        <f>IF(Table1[[#This Row],[Pre or Post]]="Pre",IF(IF(Table1[[#This Row],[Response]]="Male",0,1)+IF(Table1[[#This Row],[Response]]="Female",0,1)=2,E632,Table1[[#This Row],[Response]]),"")</f>
        <v/>
      </c>
      <c r="F633" s="1">
        <v>3</v>
      </c>
      <c r="G633" s="1">
        <v>4</v>
      </c>
      <c r="H633" s="2" t="s">
        <v>8</v>
      </c>
      <c r="I63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3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3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34" spans="1:11">
      <c r="A634" s="2" t="s">
        <v>12</v>
      </c>
      <c r="B634" s="2" t="s">
        <v>21</v>
      </c>
      <c r="C634" s="1">
        <v>6</v>
      </c>
      <c r="D634" s="2" t="s">
        <v>16</v>
      </c>
      <c r="E634" s="5" t="str">
        <f>IF(Table1[[#This Row],[Pre or Post]]="Pre",IF(IF(Table1[[#This Row],[Response]]="Male",0,1)+IF(Table1[[#This Row],[Response]]="Female",0,1)=2,E633,Table1[[#This Row],[Response]]),"")</f>
        <v/>
      </c>
      <c r="F634" s="1">
        <v>4</v>
      </c>
      <c r="G634" s="1">
        <v>4</v>
      </c>
      <c r="H634" s="2" t="s">
        <v>8</v>
      </c>
      <c r="I63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3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3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35" spans="1:11">
      <c r="A635" s="2" t="s">
        <v>12</v>
      </c>
      <c r="B635" s="2" t="s">
        <v>21</v>
      </c>
      <c r="C635" s="1">
        <v>6</v>
      </c>
      <c r="D635" s="2" t="s">
        <v>16</v>
      </c>
      <c r="E635" s="5" t="str">
        <f>IF(Table1[[#This Row],[Pre or Post]]="Pre",IF(IF(Table1[[#This Row],[Response]]="Male",0,1)+IF(Table1[[#This Row],[Response]]="Female",0,1)=2,E634,Table1[[#This Row],[Response]]),"")</f>
        <v/>
      </c>
      <c r="F635" s="1">
        <v>5</v>
      </c>
      <c r="G635" s="1">
        <v>3</v>
      </c>
      <c r="H635" s="2" t="s">
        <v>8</v>
      </c>
      <c r="I63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3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3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36" spans="1:11">
      <c r="A636" s="2" t="s">
        <v>12</v>
      </c>
      <c r="B636" s="2" t="s">
        <v>21</v>
      </c>
      <c r="C636" s="1">
        <v>6</v>
      </c>
      <c r="D636" s="2" t="s">
        <v>16</v>
      </c>
      <c r="E636" s="5" t="str">
        <f>IF(Table1[[#This Row],[Pre or Post]]="Pre",IF(IF(Table1[[#This Row],[Response]]="Male",0,1)+IF(Table1[[#This Row],[Response]]="Female",0,1)=2,E635,Table1[[#This Row],[Response]]),"")</f>
        <v/>
      </c>
      <c r="F636" s="1">
        <v>6</v>
      </c>
      <c r="G636" s="1">
        <v>4</v>
      </c>
      <c r="H636" s="2" t="s">
        <v>8</v>
      </c>
      <c r="I63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3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3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37" spans="1:11">
      <c r="A637" s="2" t="s">
        <v>12</v>
      </c>
      <c r="B637" s="2" t="s">
        <v>21</v>
      </c>
      <c r="C637" s="1">
        <v>6</v>
      </c>
      <c r="D637" s="2" t="s">
        <v>16</v>
      </c>
      <c r="E637" s="5" t="str">
        <f>IF(Table1[[#This Row],[Pre or Post]]="Pre",IF(IF(Table1[[#This Row],[Response]]="Male",0,1)+IF(Table1[[#This Row],[Response]]="Female",0,1)=2,E636,Table1[[#This Row],[Response]]),"")</f>
        <v/>
      </c>
      <c r="F637" s="1">
        <v>7</v>
      </c>
      <c r="G637" s="1">
        <v>2</v>
      </c>
      <c r="H637" s="2" t="s">
        <v>8</v>
      </c>
      <c r="I63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3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3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38" spans="1:11">
      <c r="A638" s="2" t="s">
        <v>12</v>
      </c>
      <c r="B638" s="2" t="s">
        <v>21</v>
      </c>
      <c r="C638" s="1">
        <v>6</v>
      </c>
      <c r="D638" s="2" t="s">
        <v>16</v>
      </c>
      <c r="E638" s="5" t="str">
        <f>IF(Table1[[#This Row],[Pre or Post]]="Pre",IF(IF(Table1[[#This Row],[Response]]="Male",0,1)+IF(Table1[[#This Row],[Response]]="Female",0,1)=2,E637,Table1[[#This Row],[Response]]),"")</f>
        <v/>
      </c>
      <c r="F638" s="1">
        <v>8</v>
      </c>
      <c r="G638" s="1" t="s">
        <v>8</v>
      </c>
      <c r="H638" s="2" t="s">
        <v>8</v>
      </c>
      <c r="I63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3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3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39" spans="1:11">
      <c r="A639" s="2" t="s">
        <v>12</v>
      </c>
      <c r="B639" s="2" t="s">
        <v>21</v>
      </c>
      <c r="C639" s="1">
        <v>6</v>
      </c>
      <c r="D639" s="2" t="s">
        <v>16</v>
      </c>
      <c r="E639" s="5" t="str">
        <f>IF(Table1[[#This Row],[Pre or Post]]="Pre",IF(IF(Table1[[#This Row],[Response]]="Male",0,1)+IF(Table1[[#This Row],[Response]]="Female",0,1)=2,E638,Table1[[#This Row],[Response]]),"")</f>
        <v/>
      </c>
      <c r="F639" s="1">
        <v>9</v>
      </c>
      <c r="G639" s="1" t="s">
        <v>22</v>
      </c>
      <c r="H639" s="2" t="s">
        <v>8</v>
      </c>
      <c r="I63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3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3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40" spans="1:11">
      <c r="A640" s="2" t="s">
        <v>12</v>
      </c>
      <c r="B640" s="2" t="s">
        <v>21</v>
      </c>
      <c r="C640" s="1">
        <v>6</v>
      </c>
      <c r="D640" s="2" t="s">
        <v>16</v>
      </c>
      <c r="E640" s="5" t="str">
        <f>IF(Table1[[#This Row],[Pre or Post]]="Pre",IF(IF(Table1[[#This Row],[Response]]="Male",0,1)+IF(Table1[[#This Row],[Response]]="Female",0,1)=2,E639,Table1[[#This Row],[Response]]),"")</f>
        <v/>
      </c>
      <c r="F640" s="1">
        <v>10</v>
      </c>
      <c r="G640" s="1" t="s">
        <v>18</v>
      </c>
      <c r="H640" s="2" t="s">
        <v>8</v>
      </c>
      <c r="I64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4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4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41" spans="1:11">
      <c r="A641" s="2" t="s">
        <v>12</v>
      </c>
      <c r="B641" s="2" t="s">
        <v>21</v>
      </c>
      <c r="C641" s="1">
        <v>6</v>
      </c>
      <c r="D641" s="2" t="s">
        <v>16</v>
      </c>
      <c r="E641" s="5" t="str">
        <f>IF(Table1[[#This Row],[Pre or Post]]="Pre",IF(IF(Table1[[#This Row],[Response]]="Male",0,1)+IF(Table1[[#This Row],[Response]]="Female",0,1)=2,E640,Table1[[#This Row],[Response]]),"")</f>
        <v/>
      </c>
      <c r="F641" s="1">
        <v>11</v>
      </c>
      <c r="G641" s="1" t="s">
        <v>9</v>
      </c>
      <c r="H641" s="2" t="s">
        <v>8</v>
      </c>
      <c r="I64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4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4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42" spans="1:11">
      <c r="A642" s="2" t="s">
        <v>12</v>
      </c>
      <c r="B642" s="2" t="s">
        <v>21</v>
      </c>
      <c r="C642" s="1">
        <v>7</v>
      </c>
      <c r="D642" s="2" t="s">
        <v>16</v>
      </c>
      <c r="E642" s="5" t="str">
        <f>IF(Table1[[#This Row],[Pre or Post]]="Pre",IF(IF(Table1[[#This Row],[Response]]="Male",0,1)+IF(Table1[[#This Row],[Response]]="Female",0,1)=2,E641,Table1[[#This Row],[Response]]),"")</f>
        <v/>
      </c>
      <c r="F642" s="1">
        <v>2</v>
      </c>
      <c r="G642" s="1">
        <v>4</v>
      </c>
      <c r="H642" s="2" t="s">
        <v>8</v>
      </c>
      <c r="I64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4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4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43" spans="1:11">
      <c r="A643" s="2" t="s">
        <v>12</v>
      </c>
      <c r="B643" s="2" t="s">
        <v>21</v>
      </c>
      <c r="C643" s="1">
        <v>7</v>
      </c>
      <c r="D643" s="2" t="s">
        <v>16</v>
      </c>
      <c r="E643" s="5" t="str">
        <f>IF(Table1[[#This Row],[Pre or Post]]="Pre",IF(IF(Table1[[#This Row],[Response]]="Male",0,1)+IF(Table1[[#This Row],[Response]]="Female",0,1)=2,E642,Table1[[#This Row],[Response]]),"")</f>
        <v/>
      </c>
      <c r="F643" s="1">
        <v>3</v>
      </c>
      <c r="G643" s="1">
        <v>3</v>
      </c>
      <c r="H643" s="2" t="s">
        <v>8</v>
      </c>
      <c r="I64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4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4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44" spans="1:11">
      <c r="A644" s="2" t="s">
        <v>12</v>
      </c>
      <c r="B644" s="2" t="s">
        <v>21</v>
      </c>
      <c r="C644" s="1">
        <v>7</v>
      </c>
      <c r="D644" s="2" t="s">
        <v>16</v>
      </c>
      <c r="E644" s="5" t="str">
        <f>IF(Table1[[#This Row],[Pre or Post]]="Pre",IF(IF(Table1[[#This Row],[Response]]="Male",0,1)+IF(Table1[[#This Row],[Response]]="Female",0,1)=2,E643,Table1[[#This Row],[Response]]),"")</f>
        <v/>
      </c>
      <c r="F644" s="1">
        <v>4</v>
      </c>
      <c r="G644" s="1">
        <v>5</v>
      </c>
      <c r="H644" s="2" t="s">
        <v>8</v>
      </c>
      <c r="I64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4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4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45" spans="1:11">
      <c r="A645" s="2" t="s">
        <v>12</v>
      </c>
      <c r="B645" s="2" t="s">
        <v>21</v>
      </c>
      <c r="C645" s="1">
        <v>7</v>
      </c>
      <c r="D645" s="2" t="s">
        <v>16</v>
      </c>
      <c r="E645" s="5" t="str">
        <f>IF(Table1[[#This Row],[Pre or Post]]="Pre",IF(IF(Table1[[#This Row],[Response]]="Male",0,1)+IF(Table1[[#This Row],[Response]]="Female",0,1)=2,E644,Table1[[#This Row],[Response]]),"")</f>
        <v/>
      </c>
      <c r="F645" s="1">
        <v>5</v>
      </c>
      <c r="G645" s="1">
        <v>5</v>
      </c>
      <c r="H645" s="2" t="s">
        <v>8</v>
      </c>
      <c r="I64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4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4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46" spans="1:11">
      <c r="A646" s="2" t="s">
        <v>12</v>
      </c>
      <c r="B646" s="2" t="s">
        <v>21</v>
      </c>
      <c r="C646" s="1">
        <v>7</v>
      </c>
      <c r="D646" s="2" t="s">
        <v>16</v>
      </c>
      <c r="E646" s="5" t="str">
        <f>IF(Table1[[#This Row],[Pre or Post]]="Pre",IF(IF(Table1[[#This Row],[Response]]="Male",0,1)+IF(Table1[[#This Row],[Response]]="Female",0,1)=2,E645,Table1[[#This Row],[Response]]),"")</f>
        <v/>
      </c>
      <c r="F646" s="1">
        <v>6</v>
      </c>
      <c r="G646" s="1">
        <v>5</v>
      </c>
      <c r="H646" s="2" t="s">
        <v>8</v>
      </c>
      <c r="I64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4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4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47" spans="1:11">
      <c r="A647" s="2" t="s">
        <v>12</v>
      </c>
      <c r="B647" s="2" t="s">
        <v>21</v>
      </c>
      <c r="C647" s="1">
        <v>7</v>
      </c>
      <c r="D647" s="2" t="s">
        <v>16</v>
      </c>
      <c r="E647" s="5" t="str">
        <f>IF(Table1[[#This Row],[Pre or Post]]="Pre",IF(IF(Table1[[#This Row],[Response]]="Male",0,1)+IF(Table1[[#This Row],[Response]]="Female",0,1)=2,E646,Table1[[#This Row],[Response]]),"")</f>
        <v/>
      </c>
      <c r="F647" s="1">
        <v>7</v>
      </c>
      <c r="G647" s="1">
        <v>5</v>
      </c>
      <c r="H647" s="2" t="s">
        <v>8</v>
      </c>
      <c r="I64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4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4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48" spans="1:11">
      <c r="A648" s="2" t="s">
        <v>12</v>
      </c>
      <c r="B648" s="2" t="s">
        <v>21</v>
      </c>
      <c r="C648" s="1">
        <v>7</v>
      </c>
      <c r="D648" s="2" t="s">
        <v>16</v>
      </c>
      <c r="E648" s="5" t="str">
        <f>IF(Table1[[#This Row],[Pre or Post]]="Pre",IF(IF(Table1[[#This Row],[Response]]="Male",0,1)+IF(Table1[[#This Row],[Response]]="Female",0,1)=2,E647,Table1[[#This Row],[Response]]),"")</f>
        <v/>
      </c>
      <c r="F648" s="1">
        <v>8</v>
      </c>
      <c r="G648" s="1" t="s">
        <v>8</v>
      </c>
      <c r="H648" s="2" t="s">
        <v>8</v>
      </c>
      <c r="I64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4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4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49" spans="1:11">
      <c r="A649" s="2" t="s">
        <v>12</v>
      </c>
      <c r="B649" s="2" t="s">
        <v>21</v>
      </c>
      <c r="C649" s="1">
        <v>7</v>
      </c>
      <c r="D649" s="2" t="s">
        <v>16</v>
      </c>
      <c r="E649" s="5" t="str">
        <f>IF(Table1[[#This Row],[Pre or Post]]="Pre",IF(IF(Table1[[#This Row],[Response]]="Male",0,1)+IF(Table1[[#This Row],[Response]]="Female",0,1)=2,E648,Table1[[#This Row],[Response]]),"")</f>
        <v/>
      </c>
      <c r="F649" s="1">
        <v>9</v>
      </c>
      <c r="G649" s="1" t="s">
        <v>22</v>
      </c>
      <c r="H649" s="2" t="s">
        <v>8</v>
      </c>
      <c r="I64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4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4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50" spans="1:11">
      <c r="A650" s="2" t="s">
        <v>12</v>
      </c>
      <c r="B650" s="2" t="s">
        <v>21</v>
      </c>
      <c r="C650" s="1">
        <v>7</v>
      </c>
      <c r="D650" s="2" t="s">
        <v>16</v>
      </c>
      <c r="E650" s="5" t="str">
        <f>IF(Table1[[#This Row],[Pre or Post]]="Pre",IF(IF(Table1[[#This Row],[Response]]="Male",0,1)+IF(Table1[[#This Row],[Response]]="Female",0,1)=2,E649,Table1[[#This Row],[Response]]),"")</f>
        <v/>
      </c>
      <c r="F650" s="1">
        <v>10</v>
      </c>
      <c r="G650" s="1" t="s">
        <v>19</v>
      </c>
      <c r="H650" s="2" t="s">
        <v>8</v>
      </c>
      <c r="I65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5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5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51" spans="1:11">
      <c r="A651" s="2" t="s">
        <v>12</v>
      </c>
      <c r="B651" s="2" t="s">
        <v>21</v>
      </c>
      <c r="C651" s="1">
        <v>7</v>
      </c>
      <c r="D651" s="2" t="s">
        <v>16</v>
      </c>
      <c r="E651" s="5" t="str">
        <f>IF(Table1[[#This Row],[Pre or Post]]="Pre",IF(IF(Table1[[#This Row],[Response]]="Male",0,1)+IF(Table1[[#This Row],[Response]]="Female",0,1)=2,E650,Table1[[#This Row],[Response]]),"")</f>
        <v/>
      </c>
      <c r="F651" s="2">
        <v>11</v>
      </c>
      <c r="G651" s="1" t="s">
        <v>9</v>
      </c>
      <c r="H651" s="2" t="s">
        <v>8</v>
      </c>
      <c r="I65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5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5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52" spans="1:11">
      <c r="A652" s="2" t="s">
        <v>12</v>
      </c>
      <c r="B652" s="2" t="s">
        <v>21</v>
      </c>
      <c r="C652" s="1">
        <v>8</v>
      </c>
      <c r="D652" s="2" t="s">
        <v>16</v>
      </c>
      <c r="E652" s="5" t="str">
        <f>IF(Table1[[#This Row],[Pre or Post]]="Pre",IF(IF(Table1[[#This Row],[Response]]="Male",0,1)+IF(Table1[[#This Row],[Response]]="Female",0,1)=2,E651,Table1[[#This Row],[Response]]),"")</f>
        <v/>
      </c>
      <c r="F652" s="1">
        <v>2</v>
      </c>
      <c r="G652" s="1">
        <v>4</v>
      </c>
      <c r="H652" s="2" t="s">
        <v>8</v>
      </c>
      <c r="I65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5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5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53" spans="1:11">
      <c r="A653" s="2" t="s">
        <v>12</v>
      </c>
      <c r="B653" s="2" t="s">
        <v>21</v>
      </c>
      <c r="C653" s="1">
        <v>8</v>
      </c>
      <c r="D653" s="2" t="s">
        <v>16</v>
      </c>
      <c r="E653" s="5" t="str">
        <f>IF(Table1[[#This Row],[Pre or Post]]="Pre",IF(IF(Table1[[#This Row],[Response]]="Male",0,1)+IF(Table1[[#This Row],[Response]]="Female",0,1)=2,E652,Table1[[#This Row],[Response]]),"")</f>
        <v/>
      </c>
      <c r="F653" s="1">
        <v>3</v>
      </c>
      <c r="G653" s="1">
        <v>3</v>
      </c>
      <c r="H653" s="2" t="s">
        <v>8</v>
      </c>
      <c r="I65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5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5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54" spans="1:11">
      <c r="A654" s="2" t="s">
        <v>12</v>
      </c>
      <c r="B654" s="2" t="s">
        <v>21</v>
      </c>
      <c r="C654" s="1">
        <v>8</v>
      </c>
      <c r="D654" s="2" t="s">
        <v>16</v>
      </c>
      <c r="E654" s="5" t="str">
        <f>IF(Table1[[#This Row],[Pre or Post]]="Pre",IF(IF(Table1[[#This Row],[Response]]="Male",0,1)+IF(Table1[[#This Row],[Response]]="Female",0,1)=2,E653,Table1[[#This Row],[Response]]),"")</f>
        <v/>
      </c>
      <c r="F654" s="1">
        <v>4</v>
      </c>
      <c r="G654" s="1">
        <v>3</v>
      </c>
      <c r="H654" s="2" t="s">
        <v>8</v>
      </c>
      <c r="I65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5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5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55" spans="1:11">
      <c r="A655" s="2" t="s">
        <v>12</v>
      </c>
      <c r="B655" s="2" t="s">
        <v>21</v>
      </c>
      <c r="C655" s="1">
        <v>8</v>
      </c>
      <c r="D655" s="2" t="s">
        <v>16</v>
      </c>
      <c r="E655" s="5" t="str">
        <f>IF(Table1[[#This Row],[Pre or Post]]="Pre",IF(IF(Table1[[#This Row],[Response]]="Male",0,1)+IF(Table1[[#This Row],[Response]]="Female",0,1)=2,E654,Table1[[#This Row],[Response]]),"")</f>
        <v/>
      </c>
      <c r="F655" s="1">
        <v>5</v>
      </c>
      <c r="G655" s="1">
        <v>4</v>
      </c>
      <c r="H655" s="2" t="s">
        <v>8</v>
      </c>
      <c r="I65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5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5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56" spans="1:11">
      <c r="A656" s="2" t="s">
        <v>12</v>
      </c>
      <c r="B656" s="2" t="s">
        <v>21</v>
      </c>
      <c r="C656" s="1">
        <v>8</v>
      </c>
      <c r="D656" s="2" t="s">
        <v>16</v>
      </c>
      <c r="E656" s="5" t="str">
        <f>IF(Table1[[#This Row],[Pre or Post]]="Pre",IF(IF(Table1[[#This Row],[Response]]="Male",0,1)+IF(Table1[[#This Row],[Response]]="Female",0,1)=2,E655,Table1[[#This Row],[Response]]),"")</f>
        <v/>
      </c>
      <c r="F656" s="1">
        <v>6</v>
      </c>
      <c r="G656" s="1">
        <v>5</v>
      </c>
      <c r="H656" s="2" t="s">
        <v>8</v>
      </c>
      <c r="I65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5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5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57" spans="1:11">
      <c r="A657" s="2" t="s">
        <v>12</v>
      </c>
      <c r="B657" s="2" t="s">
        <v>21</v>
      </c>
      <c r="C657" s="1">
        <v>8</v>
      </c>
      <c r="D657" s="2" t="s">
        <v>16</v>
      </c>
      <c r="E657" s="5" t="str">
        <f>IF(Table1[[#This Row],[Pre or Post]]="Pre",IF(IF(Table1[[#This Row],[Response]]="Male",0,1)+IF(Table1[[#This Row],[Response]]="Female",0,1)=2,E656,Table1[[#This Row],[Response]]),"")</f>
        <v/>
      </c>
      <c r="F657" s="1">
        <v>7</v>
      </c>
      <c r="G657" s="1"/>
      <c r="H657" s="2" t="s">
        <v>8</v>
      </c>
      <c r="I65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5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5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58" spans="1:11">
      <c r="A658" s="2" t="s">
        <v>12</v>
      </c>
      <c r="B658" s="2" t="s">
        <v>21</v>
      </c>
      <c r="C658" s="1">
        <v>8</v>
      </c>
      <c r="D658" s="2" t="s">
        <v>16</v>
      </c>
      <c r="E658" s="5" t="str">
        <f>IF(Table1[[#This Row],[Pre or Post]]="Pre",IF(IF(Table1[[#This Row],[Response]]="Male",0,1)+IF(Table1[[#This Row],[Response]]="Female",0,1)=2,E657,Table1[[#This Row],[Response]]),"")</f>
        <v/>
      </c>
      <c r="F658" s="1">
        <v>8</v>
      </c>
      <c r="G658" s="1" t="s">
        <v>8</v>
      </c>
      <c r="H658" s="2" t="s">
        <v>8</v>
      </c>
      <c r="I65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5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5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59" spans="1:11">
      <c r="A659" s="2" t="s">
        <v>12</v>
      </c>
      <c r="B659" s="2" t="s">
        <v>21</v>
      </c>
      <c r="C659" s="1">
        <v>8</v>
      </c>
      <c r="D659" s="2" t="s">
        <v>16</v>
      </c>
      <c r="E659" s="5" t="str">
        <f>IF(Table1[[#This Row],[Pre or Post]]="Pre",IF(IF(Table1[[#This Row],[Response]]="Male",0,1)+IF(Table1[[#This Row],[Response]]="Female",0,1)=2,E658,Table1[[#This Row],[Response]]),"")</f>
        <v/>
      </c>
      <c r="F659" s="1">
        <v>9</v>
      </c>
      <c r="G659" s="1" t="s">
        <v>17</v>
      </c>
      <c r="H659" s="2" t="s">
        <v>8</v>
      </c>
      <c r="I65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5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5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60" spans="1:11">
      <c r="A660" s="2" t="s">
        <v>12</v>
      </c>
      <c r="B660" s="2" t="s">
        <v>21</v>
      </c>
      <c r="C660" s="1">
        <v>8</v>
      </c>
      <c r="D660" s="2" t="s">
        <v>16</v>
      </c>
      <c r="E660" s="5" t="str">
        <f>IF(Table1[[#This Row],[Pre or Post]]="Pre",IF(IF(Table1[[#This Row],[Response]]="Male",0,1)+IF(Table1[[#This Row],[Response]]="Female",0,1)=2,E659,Table1[[#This Row],[Response]]),"")</f>
        <v/>
      </c>
      <c r="F660" s="1">
        <v>10</v>
      </c>
      <c r="G660" s="1" t="s">
        <v>18</v>
      </c>
      <c r="H660" s="2" t="s">
        <v>8</v>
      </c>
      <c r="I66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6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6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61" spans="1:11">
      <c r="A661" s="2" t="s">
        <v>12</v>
      </c>
      <c r="B661" s="2" t="s">
        <v>21</v>
      </c>
      <c r="C661" s="1">
        <v>8</v>
      </c>
      <c r="D661" s="2" t="s">
        <v>16</v>
      </c>
      <c r="E661" s="5" t="str">
        <f>IF(Table1[[#This Row],[Pre or Post]]="Pre",IF(IF(Table1[[#This Row],[Response]]="Male",0,1)+IF(Table1[[#This Row],[Response]]="Female",0,1)=2,E660,Table1[[#This Row],[Response]]),"")</f>
        <v/>
      </c>
      <c r="F661" s="1">
        <v>11</v>
      </c>
      <c r="G661" s="1" t="s">
        <v>9</v>
      </c>
      <c r="H661" s="2" t="s">
        <v>8</v>
      </c>
      <c r="I66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6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6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62" spans="1:11">
      <c r="A662" s="2" t="s">
        <v>12</v>
      </c>
      <c r="B662" s="2" t="s">
        <v>21</v>
      </c>
      <c r="C662" s="1">
        <v>9</v>
      </c>
      <c r="D662" s="2" t="s">
        <v>16</v>
      </c>
      <c r="E662" s="5" t="str">
        <f>IF(Table1[[#This Row],[Pre or Post]]="Pre",IF(IF(Table1[[#This Row],[Response]]="Male",0,1)+IF(Table1[[#This Row],[Response]]="Female",0,1)=2,E661,Table1[[#This Row],[Response]]),"")</f>
        <v/>
      </c>
      <c r="F662" s="1">
        <v>2</v>
      </c>
      <c r="G662" s="1">
        <v>4</v>
      </c>
      <c r="H662" s="2" t="s">
        <v>8</v>
      </c>
      <c r="I66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6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6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63" spans="1:11">
      <c r="A663" s="2" t="s">
        <v>12</v>
      </c>
      <c r="B663" s="2" t="s">
        <v>21</v>
      </c>
      <c r="C663" s="1">
        <v>9</v>
      </c>
      <c r="D663" s="2" t="s">
        <v>16</v>
      </c>
      <c r="E663" s="5" t="str">
        <f>IF(Table1[[#This Row],[Pre or Post]]="Pre",IF(IF(Table1[[#This Row],[Response]]="Male",0,1)+IF(Table1[[#This Row],[Response]]="Female",0,1)=2,E662,Table1[[#This Row],[Response]]),"")</f>
        <v/>
      </c>
      <c r="F663" s="1">
        <v>3</v>
      </c>
      <c r="G663" s="1">
        <v>4</v>
      </c>
      <c r="H663" s="2" t="s">
        <v>8</v>
      </c>
      <c r="I66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6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6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64" spans="1:11">
      <c r="A664" s="2" t="s">
        <v>12</v>
      </c>
      <c r="B664" s="2" t="s">
        <v>21</v>
      </c>
      <c r="C664" s="1">
        <v>9</v>
      </c>
      <c r="D664" s="2" t="s">
        <v>16</v>
      </c>
      <c r="E664" s="5" t="str">
        <f>IF(Table1[[#This Row],[Pre or Post]]="Pre",IF(IF(Table1[[#This Row],[Response]]="Male",0,1)+IF(Table1[[#This Row],[Response]]="Female",0,1)=2,E663,Table1[[#This Row],[Response]]),"")</f>
        <v/>
      </c>
      <c r="F664" s="1">
        <v>4</v>
      </c>
      <c r="G664" s="1">
        <v>5</v>
      </c>
      <c r="H664" s="2" t="s">
        <v>8</v>
      </c>
      <c r="I66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6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6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65" spans="1:11">
      <c r="A665" s="2" t="s">
        <v>12</v>
      </c>
      <c r="B665" s="2" t="s">
        <v>21</v>
      </c>
      <c r="C665" s="1">
        <v>9</v>
      </c>
      <c r="D665" s="2" t="s">
        <v>16</v>
      </c>
      <c r="E665" s="5" t="str">
        <f>IF(Table1[[#This Row],[Pre or Post]]="Pre",IF(IF(Table1[[#This Row],[Response]]="Male",0,1)+IF(Table1[[#This Row],[Response]]="Female",0,1)=2,E664,Table1[[#This Row],[Response]]),"")</f>
        <v/>
      </c>
      <c r="F665" s="1">
        <v>5</v>
      </c>
      <c r="G665" s="1">
        <v>5</v>
      </c>
      <c r="H665" s="2" t="s">
        <v>8</v>
      </c>
      <c r="I66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6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6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66" spans="1:11">
      <c r="A666" s="2" t="s">
        <v>12</v>
      </c>
      <c r="B666" s="2" t="s">
        <v>21</v>
      </c>
      <c r="C666" s="1">
        <v>9</v>
      </c>
      <c r="D666" s="2" t="s">
        <v>16</v>
      </c>
      <c r="E666" s="5" t="str">
        <f>IF(Table1[[#This Row],[Pre or Post]]="Pre",IF(IF(Table1[[#This Row],[Response]]="Male",0,1)+IF(Table1[[#This Row],[Response]]="Female",0,1)=2,E665,Table1[[#This Row],[Response]]),"")</f>
        <v/>
      </c>
      <c r="F666" s="1">
        <v>6</v>
      </c>
      <c r="G666" s="1">
        <v>5</v>
      </c>
      <c r="H666" s="2" t="s">
        <v>8</v>
      </c>
      <c r="I66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6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6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67" spans="1:11">
      <c r="A667" s="2" t="s">
        <v>12</v>
      </c>
      <c r="B667" s="2" t="s">
        <v>21</v>
      </c>
      <c r="C667" s="1">
        <v>9</v>
      </c>
      <c r="D667" s="2" t="s">
        <v>16</v>
      </c>
      <c r="E667" s="5" t="str">
        <f>IF(Table1[[#This Row],[Pre or Post]]="Pre",IF(IF(Table1[[#This Row],[Response]]="Male",0,1)+IF(Table1[[#This Row],[Response]]="Female",0,1)=2,E666,Table1[[#This Row],[Response]]),"")</f>
        <v/>
      </c>
      <c r="F667" s="1">
        <v>7</v>
      </c>
      <c r="G667" s="1">
        <v>4</v>
      </c>
      <c r="H667" s="2" t="s">
        <v>8</v>
      </c>
      <c r="I66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6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6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68" spans="1:11">
      <c r="A668" s="2" t="s">
        <v>12</v>
      </c>
      <c r="B668" s="2" t="s">
        <v>21</v>
      </c>
      <c r="C668" s="1">
        <v>9</v>
      </c>
      <c r="D668" s="2" t="s">
        <v>16</v>
      </c>
      <c r="E668" s="5" t="str">
        <f>IF(Table1[[#This Row],[Pre or Post]]="Pre",IF(IF(Table1[[#This Row],[Response]]="Male",0,1)+IF(Table1[[#This Row],[Response]]="Female",0,1)=2,E667,Table1[[#This Row],[Response]]),"")</f>
        <v/>
      </c>
      <c r="F668" s="1">
        <v>8</v>
      </c>
      <c r="G668" s="1" t="s">
        <v>8</v>
      </c>
      <c r="H668" s="2" t="s">
        <v>8</v>
      </c>
      <c r="I66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6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6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69" spans="1:11">
      <c r="A669" s="2" t="s">
        <v>12</v>
      </c>
      <c r="B669" s="2" t="s">
        <v>21</v>
      </c>
      <c r="C669" s="1">
        <v>9</v>
      </c>
      <c r="D669" s="2" t="s">
        <v>16</v>
      </c>
      <c r="E669" s="5" t="str">
        <f>IF(Table1[[#This Row],[Pre or Post]]="Pre",IF(IF(Table1[[#This Row],[Response]]="Male",0,1)+IF(Table1[[#This Row],[Response]]="Female",0,1)=2,E668,Table1[[#This Row],[Response]]),"")</f>
        <v/>
      </c>
      <c r="F669" s="1">
        <v>9</v>
      </c>
      <c r="G669" s="1" t="s">
        <v>17</v>
      </c>
      <c r="H669" s="2" t="s">
        <v>8</v>
      </c>
      <c r="I66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6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6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70" spans="1:11">
      <c r="A670" s="2" t="s">
        <v>12</v>
      </c>
      <c r="B670" s="2" t="s">
        <v>21</v>
      </c>
      <c r="C670" s="1">
        <v>9</v>
      </c>
      <c r="D670" s="2" t="s">
        <v>16</v>
      </c>
      <c r="E670" s="5" t="str">
        <f>IF(Table1[[#This Row],[Pre or Post]]="Pre",IF(IF(Table1[[#This Row],[Response]]="Male",0,1)+IF(Table1[[#This Row],[Response]]="Female",0,1)=2,E669,Table1[[#This Row],[Response]]),"")</f>
        <v/>
      </c>
      <c r="F670" s="1">
        <v>10</v>
      </c>
      <c r="G670" s="1" t="s">
        <v>18</v>
      </c>
      <c r="H670" s="2" t="s">
        <v>8</v>
      </c>
      <c r="I67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7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7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71" spans="1:11">
      <c r="A671" s="2" t="s">
        <v>12</v>
      </c>
      <c r="B671" s="2" t="s">
        <v>21</v>
      </c>
      <c r="C671" s="1">
        <v>9</v>
      </c>
      <c r="D671" s="2" t="s">
        <v>16</v>
      </c>
      <c r="E671" s="5" t="str">
        <f>IF(Table1[[#This Row],[Pre or Post]]="Pre",IF(IF(Table1[[#This Row],[Response]]="Male",0,1)+IF(Table1[[#This Row],[Response]]="Female",0,1)=2,E670,Table1[[#This Row],[Response]]),"")</f>
        <v/>
      </c>
      <c r="F671" s="2">
        <v>11</v>
      </c>
      <c r="G671" s="1" t="s">
        <v>9</v>
      </c>
      <c r="H671" s="2" t="s">
        <v>8</v>
      </c>
      <c r="I67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7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7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72" spans="1:11">
      <c r="A672" s="2" t="s">
        <v>12</v>
      </c>
      <c r="B672" s="2" t="s">
        <v>21</v>
      </c>
      <c r="C672" s="1">
        <v>10</v>
      </c>
      <c r="D672" s="2" t="s">
        <v>16</v>
      </c>
      <c r="E672" s="5" t="str">
        <f>IF(Table1[[#This Row],[Pre or Post]]="Pre",IF(IF(Table1[[#This Row],[Response]]="Male",0,1)+IF(Table1[[#This Row],[Response]]="Female",0,1)=2,E671,Table1[[#This Row],[Response]]),"")</f>
        <v/>
      </c>
      <c r="F672" s="1">
        <v>2</v>
      </c>
      <c r="G672" s="1">
        <v>2</v>
      </c>
      <c r="H672" s="2" t="s">
        <v>8</v>
      </c>
      <c r="I67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7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7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73" spans="1:11">
      <c r="A673" s="2" t="s">
        <v>12</v>
      </c>
      <c r="B673" s="2" t="s">
        <v>21</v>
      </c>
      <c r="C673" s="1">
        <v>10</v>
      </c>
      <c r="D673" s="2" t="s">
        <v>16</v>
      </c>
      <c r="E673" s="5" t="str">
        <f>IF(Table1[[#This Row],[Pre or Post]]="Pre",IF(IF(Table1[[#This Row],[Response]]="Male",0,1)+IF(Table1[[#This Row],[Response]]="Female",0,1)=2,E672,Table1[[#This Row],[Response]]),"")</f>
        <v/>
      </c>
      <c r="F673" s="1">
        <v>3</v>
      </c>
      <c r="G673" s="1">
        <v>5</v>
      </c>
      <c r="H673" s="2" t="s">
        <v>8</v>
      </c>
      <c r="I67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7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7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74" spans="1:11">
      <c r="A674" s="2" t="s">
        <v>12</v>
      </c>
      <c r="B674" s="2" t="s">
        <v>21</v>
      </c>
      <c r="C674" s="1">
        <v>10</v>
      </c>
      <c r="D674" s="2" t="s">
        <v>16</v>
      </c>
      <c r="E674" s="5" t="str">
        <f>IF(Table1[[#This Row],[Pre or Post]]="Pre",IF(IF(Table1[[#This Row],[Response]]="Male",0,1)+IF(Table1[[#This Row],[Response]]="Female",0,1)=2,E673,Table1[[#This Row],[Response]]),"")</f>
        <v/>
      </c>
      <c r="F674" s="1">
        <v>4</v>
      </c>
      <c r="G674" s="1">
        <v>1</v>
      </c>
      <c r="H674" s="2" t="s">
        <v>8</v>
      </c>
      <c r="I67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7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7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75" spans="1:11">
      <c r="A675" s="2" t="s">
        <v>12</v>
      </c>
      <c r="B675" s="2" t="s">
        <v>21</v>
      </c>
      <c r="C675" s="1">
        <v>10</v>
      </c>
      <c r="D675" s="2" t="s">
        <v>16</v>
      </c>
      <c r="E675" s="5" t="str">
        <f>IF(Table1[[#This Row],[Pre or Post]]="Pre",IF(IF(Table1[[#This Row],[Response]]="Male",0,1)+IF(Table1[[#This Row],[Response]]="Female",0,1)=2,E674,Table1[[#This Row],[Response]]),"")</f>
        <v/>
      </c>
      <c r="F675" s="1">
        <v>5</v>
      </c>
      <c r="G675" s="1">
        <v>3</v>
      </c>
      <c r="H675" s="2" t="s">
        <v>8</v>
      </c>
      <c r="I67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7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7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76" spans="1:11">
      <c r="A676" s="2" t="s">
        <v>12</v>
      </c>
      <c r="B676" s="2" t="s">
        <v>21</v>
      </c>
      <c r="C676" s="1">
        <v>10</v>
      </c>
      <c r="D676" s="2" t="s">
        <v>16</v>
      </c>
      <c r="E676" s="5" t="str">
        <f>IF(Table1[[#This Row],[Pre or Post]]="Pre",IF(IF(Table1[[#This Row],[Response]]="Male",0,1)+IF(Table1[[#This Row],[Response]]="Female",0,1)=2,E675,Table1[[#This Row],[Response]]),"")</f>
        <v/>
      </c>
      <c r="F676" s="1">
        <v>6</v>
      </c>
      <c r="G676" s="1">
        <v>4</v>
      </c>
      <c r="H676" s="2" t="s">
        <v>8</v>
      </c>
      <c r="I67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7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7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77" spans="1:11">
      <c r="A677" s="2" t="s">
        <v>12</v>
      </c>
      <c r="B677" s="2" t="s">
        <v>21</v>
      </c>
      <c r="C677" s="1">
        <v>10</v>
      </c>
      <c r="D677" s="2" t="s">
        <v>16</v>
      </c>
      <c r="E677" s="5" t="str">
        <f>IF(Table1[[#This Row],[Pre or Post]]="Pre",IF(IF(Table1[[#This Row],[Response]]="Male",0,1)+IF(Table1[[#This Row],[Response]]="Female",0,1)=2,E676,Table1[[#This Row],[Response]]),"")</f>
        <v/>
      </c>
      <c r="F677" s="1">
        <v>7</v>
      </c>
      <c r="G677" s="1">
        <v>1</v>
      </c>
      <c r="H677" s="2" t="s">
        <v>8</v>
      </c>
      <c r="I67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7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7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78" spans="1:11">
      <c r="A678" s="2" t="s">
        <v>12</v>
      </c>
      <c r="B678" s="2" t="s">
        <v>21</v>
      </c>
      <c r="C678" s="1">
        <v>10</v>
      </c>
      <c r="D678" s="2" t="s">
        <v>16</v>
      </c>
      <c r="E678" s="5" t="str">
        <f>IF(Table1[[#This Row],[Pre or Post]]="Pre",IF(IF(Table1[[#This Row],[Response]]="Male",0,1)+IF(Table1[[#This Row],[Response]]="Female",0,1)=2,E677,Table1[[#This Row],[Response]]),"")</f>
        <v/>
      </c>
      <c r="F678" s="1">
        <v>8</v>
      </c>
      <c r="G678" s="1" t="s">
        <v>8</v>
      </c>
      <c r="H678" s="2" t="s">
        <v>8</v>
      </c>
      <c r="I67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7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7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79" spans="1:11">
      <c r="A679" s="2" t="s">
        <v>12</v>
      </c>
      <c r="B679" s="2" t="s">
        <v>21</v>
      </c>
      <c r="C679" s="1">
        <v>10</v>
      </c>
      <c r="D679" s="2" t="s">
        <v>16</v>
      </c>
      <c r="E679" s="5" t="str">
        <f>IF(Table1[[#This Row],[Pre or Post]]="Pre",IF(IF(Table1[[#This Row],[Response]]="Male",0,1)+IF(Table1[[#This Row],[Response]]="Female",0,1)=2,E678,Table1[[#This Row],[Response]]),"")</f>
        <v/>
      </c>
      <c r="F679" s="1">
        <v>9</v>
      </c>
      <c r="G679" s="1" t="s">
        <v>17</v>
      </c>
      <c r="H679" s="2" t="s">
        <v>8</v>
      </c>
      <c r="I67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7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7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80" spans="1:11">
      <c r="A680" s="2" t="s">
        <v>12</v>
      </c>
      <c r="B680" s="2" t="s">
        <v>21</v>
      </c>
      <c r="C680" s="1">
        <v>10</v>
      </c>
      <c r="D680" s="2" t="s">
        <v>16</v>
      </c>
      <c r="E680" s="5" t="str">
        <f>IF(Table1[[#This Row],[Pre or Post]]="Pre",IF(IF(Table1[[#This Row],[Response]]="Male",0,1)+IF(Table1[[#This Row],[Response]]="Female",0,1)=2,E679,Table1[[#This Row],[Response]]),"")</f>
        <v/>
      </c>
      <c r="F680" s="1">
        <v>10</v>
      </c>
      <c r="G680" s="1"/>
      <c r="H680" s="2" t="s">
        <v>8</v>
      </c>
      <c r="I68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8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8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81" spans="1:11">
      <c r="A681" s="2" t="s">
        <v>12</v>
      </c>
      <c r="B681" s="2" t="s">
        <v>21</v>
      </c>
      <c r="C681" s="1">
        <v>10</v>
      </c>
      <c r="D681" s="2" t="s">
        <v>16</v>
      </c>
      <c r="E681" s="5" t="str">
        <f>IF(Table1[[#This Row],[Pre or Post]]="Pre",IF(IF(Table1[[#This Row],[Response]]="Male",0,1)+IF(Table1[[#This Row],[Response]]="Female",0,1)=2,E680,Table1[[#This Row],[Response]]),"")</f>
        <v/>
      </c>
      <c r="F681" s="1">
        <v>11</v>
      </c>
      <c r="G681" s="1" t="s">
        <v>9</v>
      </c>
      <c r="H681" s="2" t="s">
        <v>8</v>
      </c>
      <c r="I68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8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8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82" spans="1:11">
      <c r="A682" s="2" t="s">
        <v>12</v>
      </c>
      <c r="B682" s="2" t="s">
        <v>21</v>
      </c>
      <c r="C682" s="1">
        <v>11</v>
      </c>
      <c r="D682" s="2" t="s">
        <v>16</v>
      </c>
      <c r="E682" s="5" t="str">
        <f>IF(Table1[[#This Row],[Pre or Post]]="Pre",IF(IF(Table1[[#This Row],[Response]]="Male",0,1)+IF(Table1[[#This Row],[Response]]="Female",0,1)=2,E681,Table1[[#This Row],[Response]]),"")</f>
        <v/>
      </c>
      <c r="F682" s="1">
        <v>2</v>
      </c>
      <c r="G682" s="1">
        <v>4</v>
      </c>
      <c r="H682" s="2" t="s">
        <v>8</v>
      </c>
      <c r="I68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8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8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83" spans="1:11">
      <c r="A683" s="2" t="s">
        <v>12</v>
      </c>
      <c r="B683" s="2" t="s">
        <v>21</v>
      </c>
      <c r="C683" s="1">
        <v>11</v>
      </c>
      <c r="D683" s="2" t="s">
        <v>16</v>
      </c>
      <c r="E683" s="5" t="str">
        <f>IF(Table1[[#This Row],[Pre or Post]]="Pre",IF(IF(Table1[[#This Row],[Response]]="Male",0,1)+IF(Table1[[#This Row],[Response]]="Female",0,1)=2,E682,Table1[[#This Row],[Response]]),"")</f>
        <v/>
      </c>
      <c r="F683" s="1">
        <v>3</v>
      </c>
      <c r="G683" s="1">
        <v>4</v>
      </c>
      <c r="H683" s="2" t="s">
        <v>8</v>
      </c>
      <c r="I68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8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8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84" spans="1:11">
      <c r="A684" s="2" t="s">
        <v>12</v>
      </c>
      <c r="B684" s="2" t="s">
        <v>21</v>
      </c>
      <c r="C684" s="1">
        <v>11</v>
      </c>
      <c r="D684" s="2" t="s">
        <v>16</v>
      </c>
      <c r="E684" s="5" t="str">
        <f>IF(Table1[[#This Row],[Pre or Post]]="Pre",IF(IF(Table1[[#This Row],[Response]]="Male",0,1)+IF(Table1[[#This Row],[Response]]="Female",0,1)=2,E683,Table1[[#This Row],[Response]]),"")</f>
        <v/>
      </c>
      <c r="F684" s="1">
        <v>4</v>
      </c>
      <c r="G684" s="1">
        <v>4</v>
      </c>
      <c r="H684" s="2" t="s">
        <v>8</v>
      </c>
      <c r="I68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8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8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85" spans="1:11">
      <c r="A685" s="2" t="s">
        <v>12</v>
      </c>
      <c r="B685" s="2" t="s">
        <v>21</v>
      </c>
      <c r="C685" s="1">
        <v>11</v>
      </c>
      <c r="D685" s="2" t="s">
        <v>16</v>
      </c>
      <c r="E685" s="5" t="str">
        <f>IF(Table1[[#This Row],[Pre or Post]]="Pre",IF(IF(Table1[[#This Row],[Response]]="Male",0,1)+IF(Table1[[#This Row],[Response]]="Female",0,1)=2,E684,Table1[[#This Row],[Response]]),"")</f>
        <v/>
      </c>
      <c r="F685" s="1">
        <v>5</v>
      </c>
      <c r="G685" s="1">
        <v>5</v>
      </c>
      <c r="H685" s="2" t="s">
        <v>8</v>
      </c>
      <c r="I68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8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8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86" spans="1:11">
      <c r="A686" s="2" t="s">
        <v>12</v>
      </c>
      <c r="B686" s="2" t="s">
        <v>21</v>
      </c>
      <c r="C686" s="1">
        <v>11</v>
      </c>
      <c r="D686" s="2" t="s">
        <v>16</v>
      </c>
      <c r="E686" s="5" t="str">
        <f>IF(Table1[[#This Row],[Pre or Post]]="Pre",IF(IF(Table1[[#This Row],[Response]]="Male",0,1)+IF(Table1[[#This Row],[Response]]="Female",0,1)=2,E685,Table1[[#This Row],[Response]]),"")</f>
        <v/>
      </c>
      <c r="F686" s="1">
        <v>6</v>
      </c>
      <c r="G686" s="1">
        <v>5</v>
      </c>
      <c r="H686" s="2" t="s">
        <v>8</v>
      </c>
      <c r="I68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8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8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87" spans="1:11">
      <c r="A687" s="2" t="s">
        <v>12</v>
      </c>
      <c r="B687" s="2" t="s">
        <v>21</v>
      </c>
      <c r="C687" s="1">
        <v>11</v>
      </c>
      <c r="D687" s="2" t="s">
        <v>16</v>
      </c>
      <c r="E687" s="5" t="str">
        <f>IF(Table1[[#This Row],[Pre or Post]]="Pre",IF(IF(Table1[[#This Row],[Response]]="Male",0,1)+IF(Table1[[#This Row],[Response]]="Female",0,1)=2,E686,Table1[[#This Row],[Response]]),"")</f>
        <v/>
      </c>
      <c r="F687" s="1">
        <v>7</v>
      </c>
      <c r="G687" s="1">
        <v>5</v>
      </c>
      <c r="H687" s="2" t="s">
        <v>8</v>
      </c>
      <c r="I68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8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8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88" spans="1:11">
      <c r="A688" s="2" t="s">
        <v>12</v>
      </c>
      <c r="B688" s="2" t="s">
        <v>21</v>
      </c>
      <c r="C688" s="1">
        <v>11</v>
      </c>
      <c r="D688" s="2" t="s">
        <v>16</v>
      </c>
      <c r="E688" s="5" t="str">
        <f>IF(Table1[[#This Row],[Pre or Post]]="Pre",IF(IF(Table1[[#This Row],[Response]]="Male",0,1)+IF(Table1[[#This Row],[Response]]="Female",0,1)=2,E687,Table1[[#This Row],[Response]]),"")</f>
        <v/>
      </c>
      <c r="F688" s="1">
        <v>8</v>
      </c>
      <c r="G688" s="1" t="s">
        <v>8</v>
      </c>
      <c r="H688" s="2" t="s">
        <v>8</v>
      </c>
      <c r="I68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8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8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89" spans="1:11">
      <c r="A689" s="2" t="s">
        <v>12</v>
      </c>
      <c r="B689" s="2" t="s">
        <v>21</v>
      </c>
      <c r="C689" s="1">
        <v>11</v>
      </c>
      <c r="D689" s="2" t="s">
        <v>16</v>
      </c>
      <c r="E689" s="5" t="str">
        <f>IF(Table1[[#This Row],[Pre or Post]]="Pre",IF(IF(Table1[[#This Row],[Response]]="Male",0,1)+IF(Table1[[#This Row],[Response]]="Female",0,1)=2,E688,Table1[[#This Row],[Response]]),"")</f>
        <v/>
      </c>
      <c r="F689" s="1">
        <v>9</v>
      </c>
      <c r="G689" s="1" t="s">
        <v>17</v>
      </c>
      <c r="H689" s="2" t="s">
        <v>8</v>
      </c>
      <c r="I68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8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8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90" spans="1:11">
      <c r="A690" s="2" t="s">
        <v>12</v>
      </c>
      <c r="B690" s="2" t="s">
        <v>21</v>
      </c>
      <c r="C690" s="1">
        <v>11</v>
      </c>
      <c r="D690" s="2" t="s">
        <v>16</v>
      </c>
      <c r="E690" s="5" t="str">
        <f>IF(Table1[[#This Row],[Pre or Post]]="Pre",IF(IF(Table1[[#This Row],[Response]]="Male",0,1)+IF(Table1[[#This Row],[Response]]="Female",0,1)=2,E689,Table1[[#This Row],[Response]]),"")</f>
        <v/>
      </c>
      <c r="F690" s="1">
        <v>10</v>
      </c>
      <c r="G690" s="1" t="s">
        <v>18</v>
      </c>
      <c r="H690" s="2" t="s">
        <v>8</v>
      </c>
      <c r="I69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9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9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91" spans="1:11">
      <c r="A691" s="2" t="s">
        <v>12</v>
      </c>
      <c r="B691" s="2" t="s">
        <v>21</v>
      </c>
      <c r="C691" s="1">
        <v>11</v>
      </c>
      <c r="D691" s="2" t="s">
        <v>16</v>
      </c>
      <c r="E691" s="5" t="str">
        <f>IF(Table1[[#This Row],[Pre or Post]]="Pre",IF(IF(Table1[[#This Row],[Response]]="Male",0,1)+IF(Table1[[#This Row],[Response]]="Female",0,1)=2,E690,Table1[[#This Row],[Response]]),"")</f>
        <v/>
      </c>
      <c r="F691" s="2">
        <v>11</v>
      </c>
      <c r="G691" s="1" t="s">
        <v>9</v>
      </c>
      <c r="H691" s="2" t="s">
        <v>8</v>
      </c>
      <c r="I69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9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9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92" spans="1:11">
      <c r="A692" s="2" t="s">
        <v>12</v>
      </c>
      <c r="B692" s="2" t="s">
        <v>21</v>
      </c>
      <c r="C692" s="1">
        <v>12</v>
      </c>
      <c r="D692" s="2" t="s">
        <v>16</v>
      </c>
      <c r="E692" s="5" t="str">
        <f>IF(Table1[[#This Row],[Pre or Post]]="Pre",IF(IF(Table1[[#This Row],[Response]]="Male",0,1)+IF(Table1[[#This Row],[Response]]="Female",0,1)=2,E691,Table1[[#This Row],[Response]]),"")</f>
        <v/>
      </c>
      <c r="F692" s="1">
        <v>2</v>
      </c>
      <c r="G692" s="1">
        <v>1</v>
      </c>
      <c r="H692" s="2" t="s">
        <v>8</v>
      </c>
      <c r="I69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9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9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93" spans="1:11">
      <c r="A693" s="2" t="s">
        <v>12</v>
      </c>
      <c r="B693" s="2" t="s">
        <v>21</v>
      </c>
      <c r="C693" s="1">
        <v>12</v>
      </c>
      <c r="D693" s="2" t="s">
        <v>16</v>
      </c>
      <c r="E693" s="5" t="str">
        <f>IF(Table1[[#This Row],[Pre or Post]]="Pre",IF(IF(Table1[[#This Row],[Response]]="Male",0,1)+IF(Table1[[#This Row],[Response]]="Female",0,1)=2,E692,Table1[[#This Row],[Response]]),"")</f>
        <v/>
      </c>
      <c r="F693" s="1">
        <v>3</v>
      </c>
      <c r="G693" s="1">
        <v>1</v>
      </c>
      <c r="H693" s="2" t="s">
        <v>8</v>
      </c>
      <c r="I69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9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9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94" spans="1:11">
      <c r="A694" s="2" t="s">
        <v>12</v>
      </c>
      <c r="B694" s="2" t="s">
        <v>21</v>
      </c>
      <c r="C694" s="1">
        <v>12</v>
      </c>
      <c r="D694" s="2" t="s">
        <v>16</v>
      </c>
      <c r="E694" s="5" t="str">
        <f>IF(Table1[[#This Row],[Pre or Post]]="Pre",IF(IF(Table1[[#This Row],[Response]]="Male",0,1)+IF(Table1[[#This Row],[Response]]="Female",0,1)=2,E693,Table1[[#This Row],[Response]]),"")</f>
        <v/>
      </c>
      <c r="F694" s="1">
        <v>4</v>
      </c>
      <c r="G694" s="1">
        <v>1</v>
      </c>
      <c r="H694" s="2" t="s">
        <v>8</v>
      </c>
      <c r="I69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9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9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95" spans="1:11">
      <c r="A695" s="2" t="s">
        <v>12</v>
      </c>
      <c r="B695" s="2" t="s">
        <v>21</v>
      </c>
      <c r="C695" s="1">
        <v>12</v>
      </c>
      <c r="D695" s="2" t="s">
        <v>16</v>
      </c>
      <c r="E695" s="5" t="str">
        <f>IF(Table1[[#This Row],[Pre or Post]]="Pre",IF(IF(Table1[[#This Row],[Response]]="Male",0,1)+IF(Table1[[#This Row],[Response]]="Female",0,1)=2,E694,Table1[[#This Row],[Response]]),"")</f>
        <v/>
      </c>
      <c r="F695" s="1">
        <v>5</v>
      </c>
      <c r="G695" s="1">
        <v>1</v>
      </c>
      <c r="H695" s="2" t="s">
        <v>8</v>
      </c>
      <c r="I69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9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9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96" spans="1:11">
      <c r="A696" s="2" t="s">
        <v>12</v>
      </c>
      <c r="B696" s="2" t="s">
        <v>21</v>
      </c>
      <c r="C696" s="1">
        <v>12</v>
      </c>
      <c r="D696" s="2" t="s">
        <v>16</v>
      </c>
      <c r="E696" s="5" t="str">
        <f>IF(Table1[[#This Row],[Pre or Post]]="Pre",IF(IF(Table1[[#This Row],[Response]]="Male",0,1)+IF(Table1[[#This Row],[Response]]="Female",0,1)=2,E695,Table1[[#This Row],[Response]]),"")</f>
        <v/>
      </c>
      <c r="F696" s="1">
        <v>6</v>
      </c>
      <c r="G696" s="1">
        <v>1</v>
      </c>
      <c r="H696" s="2" t="s">
        <v>8</v>
      </c>
      <c r="I69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9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9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97" spans="1:11">
      <c r="A697" s="2" t="s">
        <v>12</v>
      </c>
      <c r="B697" s="2" t="s">
        <v>21</v>
      </c>
      <c r="C697" s="1">
        <v>12</v>
      </c>
      <c r="D697" s="2" t="s">
        <v>16</v>
      </c>
      <c r="E697" s="5" t="str">
        <f>IF(Table1[[#This Row],[Pre or Post]]="Pre",IF(IF(Table1[[#This Row],[Response]]="Male",0,1)+IF(Table1[[#This Row],[Response]]="Female",0,1)=2,E696,Table1[[#This Row],[Response]]),"")</f>
        <v/>
      </c>
      <c r="F697" s="1">
        <v>7</v>
      </c>
      <c r="G697" s="1">
        <v>1</v>
      </c>
      <c r="H697" s="2" t="s">
        <v>8</v>
      </c>
      <c r="I69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9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9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98" spans="1:11">
      <c r="A698" s="2" t="s">
        <v>12</v>
      </c>
      <c r="B698" s="2" t="s">
        <v>21</v>
      </c>
      <c r="C698" s="1">
        <v>12</v>
      </c>
      <c r="D698" s="2" t="s">
        <v>16</v>
      </c>
      <c r="E698" s="5" t="str">
        <f>IF(Table1[[#This Row],[Pre or Post]]="Pre",IF(IF(Table1[[#This Row],[Response]]="Male",0,1)+IF(Table1[[#This Row],[Response]]="Female",0,1)=2,E697,Table1[[#This Row],[Response]]),"")</f>
        <v/>
      </c>
      <c r="F698" s="1">
        <v>8</v>
      </c>
      <c r="G698" s="1" t="s">
        <v>8</v>
      </c>
      <c r="H698" s="2" t="s">
        <v>8</v>
      </c>
      <c r="I69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9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9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699" spans="1:11">
      <c r="A699" s="2" t="s">
        <v>12</v>
      </c>
      <c r="B699" s="2" t="s">
        <v>21</v>
      </c>
      <c r="C699" s="1">
        <v>12</v>
      </c>
      <c r="D699" s="2" t="s">
        <v>16</v>
      </c>
      <c r="E699" s="5" t="str">
        <f>IF(Table1[[#This Row],[Pre or Post]]="Pre",IF(IF(Table1[[#This Row],[Response]]="Male",0,1)+IF(Table1[[#This Row],[Response]]="Female",0,1)=2,E698,Table1[[#This Row],[Response]]),"")</f>
        <v/>
      </c>
      <c r="F699" s="1">
        <v>9</v>
      </c>
      <c r="G699" s="1" t="s">
        <v>17</v>
      </c>
      <c r="H699" s="2" t="s">
        <v>8</v>
      </c>
      <c r="I69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69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69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00" spans="1:11">
      <c r="A700" s="2" t="s">
        <v>12</v>
      </c>
      <c r="B700" s="2" t="s">
        <v>21</v>
      </c>
      <c r="C700" s="1">
        <v>12</v>
      </c>
      <c r="D700" s="2" t="s">
        <v>16</v>
      </c>
      <c r="E700" s="5" t="str">
        <f>IF(Table1[[#This Row],[Pre or Post]]="Pre",IF(IF(Table1[[#This Row],[Response]]="Male",0,1)+IF(Table1[[#This Row],[Response]]="Female",0,1)=2,E699,Table1[[#This Row],[Response]]),"")</f>
        <v/>
      </c>
      <c r="F700" s="1">
        <v>10</v>
      </c>
      <c r="G700" s="1" t="s">
        <v>18</v>
      </c>
      <c r="H700" s="2" t="s">
        <v>8</v>
      </c>
      <c r="I70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0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0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01" spans="1:11">
      <c r="A701" s="2" t="s">
        <v>12</v>
      </c>
      <c r="B701" s="2" t="s">
        <v>21</v>
      </c>
      <c r="C701" s="1">
        <v>12</v>
      </c>
      <c r="D701" s="2" t="s">
        <v>16</v>
      </c>
      <c r="E701" s="5" t="str">
        <f>IF(Table1[[#This Row],[Pre or Post]]="Pre",IF(IF(Table1[[#This Row],[Response]]="Male",0,1)+IF(Table1[[#This Row],[Response]]="Female",0,1)=2,E700,Table1[[#This Row],[Response]]),"")</f>
        <v/>
      </c>
      <c r="F701" s="1">
        <v>11</v>
      </c>
      <c r="G701" s="1" t="s">
        <v>9</v>
      </c>
      <c r="H701" s="2" t="s">
        <v>8</v>
      </c>
      <c r="I70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0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0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02" spans="1:11">
      <c r="A702" s="2" t="s">
        <v>12</v>
      </c>
      <c r="B702" s="2" t="s">
        <v>21</v>
      </c>
      <c r="C702" s="1">
        <v>13</v>
      </c>
      <c r="D702" s="2" t="s">
        <v>16</v>
      </c>
      <c r="E702" s="5" t="str">
        <f>IF(Table1[[#This Row],[Pre or Post]]="Pre",IF(IF(Table1[[#This Row],[Response]]="Male",0,1)+IF(Table1[[#This Row],[Response]]="Female",0,1)=2,E701,Table1[[#This Row],[Response]]),"")</f>
        <v/>
      </c>
      <c r="F702" s="1">
        <v>2</v>
      </c>
      <c r="G702" s="1">
        <v>4</v>
      </c>
      <c r="H702" s="2" t="s">
        <v>8</v>
      </c>
      <c r="I70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0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0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03" spans="1:11">
      <c r="A703" s="2" t="s">
        <v>12</v>
      </c>
      <c r="B703" s="2" t="s">
        <v>21</v>
      </c>
      <c r="C703" s="1">
        <v>13</v>
      </c>
      <c r="D703" s="2" t="s">
        <v>16</v>
      </c>
      <c r="E703" s="5" t="str">
        <f>IF(Table1[[#This Row],[Pre or Post]]="Pre",IF(IF(Table1[[#This Row],[Response]]="Male",0,1)+IF(Table1[[#This Row],[Response]]="Female",0,1)=2,E702,Table1[[#This Row],[Response]]),"")</f>
        <v/>
      </c>
      <c r="F703" s="1">
        <v>3</v>
      </c>
      <c r="G703" s="1">
        <v>4</v>
      </c>
      <c r="H703" s="2" t="s">
        <v>8</v>
      </c>
      <c r="I70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0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0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04" spans="1:11">
      <c r="A704" s="2" t="s">
        <v>12</v>
      </c>
      <c r="B704" s="2" t="s">
        <v>21</v>
      </c>
      <c r="C704" s="1">
        <v>13</v>
      </c>
      <c r="D704" s="2" t="s">
        <v>16</v>
      </c>
      <c r="E704" s="5" t="str">
        <f>IF(Table1[[#This Row],[Pre or Post]]="Pre",IF(IF(Table1[[#This Row],[Response]]="Male",0,1)+IF(Table1[[#This Row],[Response]]="Female",0,1)=2,E703,Table1[[#This Row],[Response]]),"")</f>
        <v/>
      </c>
      <c r="F704" s="1">
        <v>4</v>
      </c>
      <c r="G704" s="1">
        <v>5</v>
      </c>
      <c r="H704" s="2" t="s">
        <v>8</v>
      </c>
      <c r="I70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0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0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05" spans="1:11">
      <c r="A705" s="2" t="s">
        <v>12</v>
      </c>
      <c r="B705" s="2" t="s">
        <v>21</v>
      </c>
      <c r="C705" s="1">
        <v>13</v>
      </c>
      <c r="D705" s="2" t="s">
        <v>16</v>
      </c>
      <c r="E705" s="5" t="str">
        <f>IF(Table1[[#This Row],[Pre or Post]]="Pre",IF(IF(Table1[[#This Row],[Response]]="Male",0,1)+IF(Table1[[#This Row],[Response]]="Female",0,1)=2,E704,Table1[[#This Row],[Response]]),"")</f>
        <v/>
      </c>
      <c r="F705" s="1">
        <v>5</v>
      </c>
      <c r="G705" s="1">
        <v>5</v>
      </c>
      <c r="H705" s="2" t="s">
        <v>8</v>
      </c>
      <c r="I70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0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0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06" spans="1:11">
      <c r="A706" s="2" t="s">
        <v>12</v>
      </c>
      <c r="B706" s="2" t="s">
        <v>21</v>
      </c>
      <c r="C706" s="1">
        <v>13</v>
      </c>
      <c r="D706" s="2" t="s">
        <v>16</v>
      </c>
      <c r="E706" s="5" t="str">
        <f>IF(Table1[[#This Row],[Pre or Post]]="Pre",IF(IF(Table1[[#This Row],[Response]]="Male",0,1)+IF(Table1[[#This Row],[Response]]="Female",0,1)=2,E705,Table1[[#This Row],[Response]]),"")</f>
        <v/>
      </c>
      <c r="F706" s="1">
        <v>6</v>
      </c>
      <c r="G706" s="1">
        <v>5</v>
      </c>
      <c r="H706" s="2" t="s">
        <v>8</v>
      </c>
      <c r="I70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0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0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07" spans="1:11">
      <c r="A707" s="2" t="s">
        <v>12</v>
      </c>
      <c r="B707" s="2" t="s">
        <v>21</v>
      </c>
      <c r="C707" s="1">
        <v>13</v>
      </c>
      <c r="D707" s="2" t="s">
        <v>16</v>
      </c>
      <c r="E707" s="5" t="str">
        <f>IF(Table1[[#This Row],[Pre or Post]]="Pre",IF(IF(Table1[[#This Row],[Response]]="Male",0,1)+IF(Table1[[#This Row],[Response]]="Female",0,1)=2,E706,Table1[[#This Row],[Response]]),"")</f>
        <v/>
      </c>
      <c r="F707" s="1">
        <v>7</v>
      </c>
      <c r="G707" s="1">
        <v>5</v>
      </c>
      <c r="H707" s="2" t="s">
        <v>8</v>
      </c>
      <c r="I70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0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0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08" spans="1:11">
      <c r="A708" s="2" t="s">
        <v>12</v>
      </c>
      <c r="B708" s="2" t="s">
        <v>21</v>
      </c>
      <c r="C708" s="1">
        <v>13</v>
      </c>
      <c r="D708" s="2" t="s">
        <v>16</v>
      </c>
      <c r="E708" s="5" t="str">
        <f>IF(Table1[[#This Row],[Pre or Post]]="Pre",IF(IF(Table1[[#This Row],[Response]]="Male",0,1)+IF(Table1[[#This Row],[Response]]="Female",0,1)=2,E707,Table1[[#This Row],[Response]]),"")</f>
        <v/>
      </c>
      <c r="F708" s="1">
        <v>8</v>
      </c>
      <c r="G708" s="1" t="s">
        <v>8</v>
      </c>
      <c r="H708" s="2" t="s">
        <v>8</v>
      </c>
      <c r="I70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0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0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09" spans="1:11">
      <c r="A709" s="2" t="s">
        <v>12</v>
      </c>
      <c r="B709" s="2" t="s">
        <v>21</v>
      </c>
      <c r="C709" s="1">
        <v>13</v>
      </c>
      <c r="D709" s="2" t="s">
        <v>16</v>
      </c>
      <c r="E709" s="5" t="str">
        <f>IF(Table1[[#This Row],[Pre or Post]]="Pre",IF(IF(Table1[[#This Row],[Response]]="Male",0,1)+IF(Table1[[#This Row],[Response]]="Female",0,1)=2,E708,Table1[[#This Row],[Response]]),"")</f>
        <v/>
      </c>
      <c r="F709" s="1">
        <v>9</v>
      </c>
      <c r="G709" s="1" t="s">
        <v>17</v>
      </c>
      <c r="H709" s="2" t="s">
        <v>8</v>
      </c>
      <c r="I70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0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0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10" spans="1:11">
      <c r="A710" s="2" t="s">
        <v>12</v>
      </c>
      <c r="B710" s="2" t="s">
        <v>21</v>
      </c>
      <c r="C710" s="1">
        <v>13</v>
      </c>
      <c r="D710" s="2" t="s">
        <v>16</v>
      </c>
      <c r="E710" s="5" t="str">
        <f>IF(Table1[[#This Row],[Pre or Post]]="Pre",IF(IF(Table1[[#This Row],[Response]]="Male",0,1)+IF(Table1[[#This Row],[Response]]="Female",0,1)=2,E709,Table1[[#This Row],[Response]]),"")</f>
        <v/>
      </c>
      <c r="F710" s="1">
        <v>10</v>
      </c>
      <c r="G710" s="1" t="s">
        <v>18</v>
      </c>
      <c r="H710" s="2" t="s">
        <v>8</v>
      </c>
      <c r="I71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1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1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11" spans="1:11">
      <c r="A711" s="2" t="s">
        <v>12</v>
      </c>
      <c r="B711" s="2" t="s">
        <v>21</v>
      </c>
      <c r="C711" s="1">
        <v>13</v>
      </c>
      <c r="D711" s="2" t="s">
        <v>16</v>
      </c>
      <c r="E711" s="5" t="str">
        <f>IF(Table1[[#This Row],[Pre or Post]]="Pre",IF(IF(Table1[[#This Row],[Response]]="Male",0,1)+IF(Table1[[#This Row],[Response]]="Female",0,1)=2,E710,Table1[[#This Row],[Response]]),"")</f>
        <v/>
      </c>
      <c r="F711" s="2">
        <v>11</v>
      </c>
      <c r="G711" s="1" t="s">
        <v>9</v>
      </c>
      <c r="H711" s="2" t="s">
        <v>8</v>
      </c>
      <c r="I71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1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1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12" spans="1:11">
      <c r="A712" s="2" t="s">
        <v>12</v>
      </c>
      <c r="B712" s="2" t="s">
        <v>21</v>
      </c>
      <c r="C712" s="1">
        <v>14</v>
      </c>
      <c r="D712" s="2" t="s">
        <v>16</v>
      </c>
      <c r="E712" s="5" t="str">
        <f>IF(Table1[[#This Row],[Pre or Post]]="Pre",IF(IF(Table1[[#This Row],[Response]]="Male",0,1)+IF(Table1[[#This Row],[Response]]="Female",0,1)=2,E711,Table1[[#This Row],[Response]]),"")</f>
        <v/>
      </c>
      <c r="F712" s="1">
        <v>2</v>
      </c>
      <c r="G712" s="1">
        <v>3</v>
      </c>
      <c r="H712" s="2" t="s">
        <v>8</v>
      </c>
      <c r="I71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1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1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13" spans="1:11">
      <c r="A713" s="2" t="s">
        <v>12</v>
      </c>
      <c r="B713" s="2" t="s">
        <v>21</v>
      </c>
      <c r="C713" s="1">
        <v>14</v>
      </c>
      <c r="D713" s="2" t="s">
        <v>16</v>
      </c>
      <c r="E713" s="5" t="str">
        <f>IF(Table1[[#This Row],[Pre or Post]]="Pre",IF(IF(Table1[[#This Row],[Response]]="Male",0,1)+IF(Table1[[#This Row],[Response]]="Female",0,1)=2,E712,Table1[[#This Row],[Response]]),"")</f>
        <v/>
      </c>
      <c r="F713" s="1">
        <v>3</v>
      </c>
      <c r="G713" s="1">
        <v>3</v>
      </c>
      <c r="H713" s="2" t="s">
        <v>8</v>
      </c>
      <c r="I71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1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1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14" spans="1:11">
      <c r="A714" s="2" t="s">
        <v>12</v>
      </c>
      <c r="B714" s="2" t="s">
        <v>21</v>
      </c>
      <c r="C714" s="1">
        <v>14</v>
      </c>
      <c r="D714" s="2" t="s">
        <v>16</v>
      </c>
      <c r="E714" s="5" t="str">
        <f>IF(Table1[[#This Row],[Pre or Post]]="Pre",IF(IF(Table1[[#This Row],[Response]]="Male",0,1)+IF(Table1[[#This Row],[Response]]="Female",0,1)=2,E713,Table1[[#This Row],[Response]]),"")</f>
        <v/>
      </c>
      <c r="F714" s="1">
        <v>4</v>
      </c>
      <c r="G714" s="1">
        <v>4</v>
      </c>
      <c r="H714" s="2" t="s">
        <v>8</v>
      </c>
      <c r="I71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1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1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15" spans="1:11">
      <c r="A715" s="2" t="s">
        <v>12</v>
      </c>
      <c r="B715" s="2" t="s">
        <v>21</v>
      </c>
      <c r="C715" s="1">
        <v>14</v>
      </c>
      <c r="D715" s="2" t="s">
        <v>16</v>
      </c>
      <c r="E715" s="5" t="str">
        <f>IF(Table1[[#This Row],[Pre or Post]]="Pre",IF(IF(Table1[[#This Row],[Response]]="Male",0,1)+IF(Table1[[#This Row],[Response]]="Female",0,1)=2,E714,Table1[[#This Row],[Response]]),"")</f>
        <v/>
      </c>
      <c r="F715" s="1">
        <v>5</v>
      </c>
      <c r="G715" s="1">
        <v>3</v>
      </c>
      <c r="H715" s="2" t="s">
        <v>8</v>
      </c>
      <c r="I71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1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1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16" spans="1:11">
      <c r="A716" s="2" t="s">
        <v>12</v>
      </c>
      <c r="B716" s="2" t="s">
        <v>21</v>
      </c>
      <c r="C716" s="1">
        <v>14</v>
      </c>
      <c r="D716" s="2" t="s">
        <v>16</v>
      </c>
      <c r="E716" s="5" t="str">
        <f>IF(Table1[[#This Row],[Pre or Post]]="Pre",IF(IF(Table1[[#This Row],[Response]]="Male",0,1)+IF(Table1[[#This Row],[Response]]="Female",0,1)=2,E715,Table1[[#This Row],[Response]]),"")</f>
        <v/>
      </c>
      <c r="F716" s="1">
        <v>6</v>
      </c>
      <c r="G716" s="1">
        <v>4</v>
      </c>
      <c r="H716" s="2" t="s">
        <v>8</v>
      </c>
      <c r="I71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1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1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17" spans="1:11">
      <c r="A717" s="2" t="s">
        <v>12</v>
      </c>
      <c r="B717" s="2" t="s">
        <v>21</v>
      </c>
      <c r="C717" s="1">
        <v>14</v>
      </c>
      <c r="D717" s="2" t="s">
        <v>16</v>
      </c>
      <c r="E717" s="5" t="str">
        <f>IF(Table1[[#This Row],[Pre or Post]]="Pre",IF(IF(Table1[[#This Row],[Response]]="Male",0,1)+IF(Table1[[#This Row],[Response]]="Female",0,1)=2,E716,Table1[[#This Row],[Response]]),"")</f>
        <v/>
      </c>
      <c r="F717" s="1">
        <v>7</v>
      </c>
      <c r="G717" s="1">
        <v>2</v>
      </c>
      <c r="H717" s="2" t="s">
        <v>8</v>
      </c>
      <c r="I71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1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1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18" spans="1:11">
      <c r="A718" s="2" t="s">
        <v>12</v>
      </c>
      <c r="B718" s="2" t="s">
        <v>21</v>
      </c>
      <c r="C718" s="1">
        <v>14</v>
      </c>
      <c r="D718" s="2" t="s">
        <v>16</v>
      </c>
      <c r="E718" s="5" t="str">
        <f>IF(Table1[[#This Row],[Pre or Post]]="Pre",IF(IF(Table1[[#This Row],[Response]]="Male",0,1)+IF(Table1[[#This Row],[Response]]="Female",0,1)=2,E717,Table1[[#This Row],[Response]]),"")</f>
        <v/>
      </c>
      <c r="F718" s="1">
        <v>8</v>
      </c>
      <c r="G718" s="1"/>
      <c r="H718" s="2" t="s">
        <v>8</v>
      </c>
      <c r="I71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1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1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19" spans="1:11">
      <c r="A719" s="2" t="s">
        <v>12</v>
      </c>
      <c r="B719" s="2" t="s">
        <v>21</v>
      </c>
      <c r="C719" s="1">
        <v>14</v>
      </c>
      <c r="D719" s="2" t="s">
        <v>16</v>
      </c>
      <c r="E719" s="5" t="str">
        <f>IF(Table1[[#This Row],[Pre or Post]]="Pre",IF(IF(Table1[[#This Row],[Response]]="Male",0,1)+IF(Table1[[#This Row],[Response]]="Female",0,1)=2,E718,Table1[[#This Row],[Response]]),"")</f>
        <v/>
      </c>
      <c r="F719" s="1">
        <v>9</v>
      </c>
      <c r="G719" s="1" t="s">
        <v>17</v>
      </c>
      <c r="H719" s="2" t="s">
        <v>8</v>
      </c>
      <c r="I71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1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1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20" spans="1:11">
      <c r="A720" s="2" t="s">
        <v>12</v>
      </c>
      <c r="B720" s="2" t="s">
        <v>21</v>
      </c>
      <c r="C720" s="1">
        <v>14</v>
      </c>
      <c r="D720" s="2" t="s">
        <v>16</v>
      </c>
      <c r="E720" s="5" t="str">
        <f>IF(Table1[[#This Row],[Pre or Post]]="Pre",IF(IF(Table1[[#This Row],[Response]]="Male",0,1)+IF(Table1[[#This Row],[Response]]="Female",0,1)=2,E719,Table1[[#This Row],[Response]]),"")</f>
        <v/>
      </c>
      <c r="F720" s="1">
        <v>10</v>
      </c>
      <c r="G720" s="1"/>
      <c r="H720" s="2" t="s">
        <v>8</v>
      </c>
      <c r="I72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2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2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21" spans="1:11">
      <c r="A721" s="2" t="s">
        <v>12</v>
      </c>
      <c r="B721" s="2" t="s">
        <v>21</v>
      </c>
      <c r="C721" s="1">
        <v>14</v>
      </c>
      <c r="D721" s="2" t="s">
        <v>16</v>
      </c>
      <c r="E721" s="5" t="str">
        <f>IF(Table1[[#This Row],[Pre or Post]]="Pre",IF(IF(Table1[[#This Row],[Response]]="Male",0,1)+IF(Table1[[#This Row],[Response]]="Female",0,1)=2,E720,Table1[[#This Row],[Response]]),"")</f>
        <v/>
      </c>
      <c r="F721" s="1">
        <v>11</v>
      </c>
      <c r="G721" s="1" t="s">
        <v>9</v>
      </c>
      <c r="H721" s="2" t="s">
        <v>8</v>
      </c>
      <c r="I72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2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2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22" spans="1:11">
      <c r="A722" s="2" t="s">
        <v>12</v>
      </c>
      <c r="B722" s="2" t="s">
        <v>21</v>
      </c>
      <c r="C722" s="1">
        <v>15</v>
      </c>
      <c r="D722" s="2" t="s">
        <v>16</v>
      </c>
      <c r="E722" s="5" t="str">
        <f>IF(Table1[[#This Row],[Pre or Post]]="Pre",IF(IF(Table1[[#This Row],[Response]]="Male",0,1)+IF(Table1[[#This Row],[Response]]="Female",0,1)=2,E721,Table1[[#This Row],[Response]]),"")</f>
        <v/>
      </c>
      <c r="F722" s="1">
        <v>2</v>
      </c>
      <c r="G722" s="1">
        <v>3</v>
      </c>
      <c r="H722" s="2" t="s">
        <v>8</v>
      </c>
      <c r="I72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2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2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23" spans="1:11">
      <c r="A723" s="2" t="s">
        <v>12</v>
      </c>
      <c r="B723" s="2" t="s">
        <v>21</v>
      </c>
      <c r="C723" s="1">
        <v>15</v>
      </c>
      <c r="D723" s="2" t="s">
        <v>16</v>
      </c>
      <c r="E723" s="5" t="str">
        <f>IF(Table1[[#This Row],[Pre or Post]]="Pre",IF(IF(Table1[[#This Row],[Response]]="Male",0,1)+IF(Table1[[#This Row],[Response]]="Female",0,1)=2,E722,Table1[[#This Row],[Response]]),"")</f>
        <v/>
      </c>
      <c r="F723" s="1">
        <v>3</v>
      </c>
      <c r="G723" s="1">
        <v>2</v>
      </c>
      <c r="H723" s="2" t="s">
        <v>8</v>
      </c>
      <c r="I72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2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2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24" spans="1:11">
      <c r="A724" s="2" t="s">
        <v>12</v>
      </c>
      <c r="B724" s="2" t="s">
        <v>21</v>
      </c>
      <c r="C724" s="1">
        <v>15</v>
      </c>
      <c r="D724" s="2" t="s">
        <v>16</v>
      </c>
      <c r="E724" s="5" t="str">
        <f>IF(Table1[[#This Row],[Pre or Post]]="Pre",IF(IF(Table1[[#This Row],[Response]]="Male",0,1)+IF(Table1[[#This Row],[Response]]="Female",0,1)=2,E723,Table1[[#This Row],[Response]]),"")</f>
        <v/>
      </c>
      <c r="F724" s="1">
        <v>4</v>
      </c>
      <c r="G724" s="1">
        <v>2</v>
      </c>
      <c r="H724" s="2" t="s">
        <v>8</v>
      </c>
      <c r="I72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2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2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25" spans="1:11">
      <c r="A725" s="2" t="s">
        <v>12</v>
      </c>
      <c r="B725" s="2" t="s">
        <v>21</v>
      </c>
      <c r="C725" s="1">
        <v>15</v>
      </c>
      <c r="D725" s="2" t="s">
        <v>16</v>
      </c>
      <c r="E725" s="5" t="str">
        <f>IF(Table1[[#This Row],[Pre or Post]]="Pre",IF(IF(Table1[[#This Row],[Response]]="Male",0,1)+IF(Table1[[#This Row],[Response]]="Female",0,1)=2,E724,Table1[[#This Row],[Response]]),"")</f>
        <v/>
      </c>
      <c r="F725" s="1">
        <v>5</v>
      </c>
      <c r="G725" s="1">
        <v>3</v>
      </c>
      <c r="H725" s="2" t="s">
        <v>8</v>
      </c>
      <c r="I72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2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2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26" spans="1:11">
      <c r="A726" s="2" t="s">
        <v>12</v>
      </c>
      <c r="B726" s="2" t="s">
        <v>21</v>
      </c>
      <c r="C726" s="1">
        <v>15</v>
      </c>
      <c r="D726" s="2" t="s">
        <v>16</v>
      </c>
      <c r="E726" s="5" t="str">
        <f>IF(Table1[[#This Row],[Pre or Post]]="Pre",IF(IF(Table1[[#This Row],[Response]]="Male",0,1)+IF(Table1[[#This Row],[Response]]="Female",0,1)=2,E725,Table1[[#This Row],[Response]]),"")</f>
        <v/>
      </c>
      <c r="F726" s="1">
        <v>6</v>
      </c>
      <c r="G726" s="1">
        <v>2</v>
      </c>
      <c r="H726" s="2" t="s">
        <v>8</v>
      </c>
      <c r="I72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2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2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27" spans="1:11">
      <c r="A727" s="2" t="s">
        <v>12</v>
      </c>
      <c r="B727" s="2" t="s">
        <v>21</v>
      </c>
      <c r="C727" s="1">
        <v>15</v>
      </c>
      <c r="D727" s="2" t="s">
        <v>16</v>
      </c>
      <c r="E727" s="5" t="str">
        <f>IF(Table1[[#This Row],[Pre or Post]]="Pre",IF(IF(Table1[[#This Row],[Response]]="Male",0,1)+IF(Table1[[#This Row],[Response]]="Female",0,1)=2,E726,Table1[[#This Row],[Response]]),"")</f>
        <v/>
      </c>
      <c r="F727" s="1">
        <v>7</v>
      </c>
      <c r="G727" s="1">
        <v>3</v>
      </c>
      <c r="H727" s="2" t="s">
        <v>8</v>
      </c>
      <c r="I72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2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2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28" spans="1:11">
      <c r="A728" s="2" t="s">
        <v>12</v>
      </c>
      <c r="B728" s="2" t="s">
        <v>21</v>
      </c>
      <c r="C728" s="1">
        <v>15</v>
      </c>
      <c r="D728" s="2" t="s">
        <v>16</v>
      </c>
      <c r="E728" s="5" t="str">
        <f>IF(Table1[[#This Row],[Pre or Post]]="Pre",IF(IF(Table1[[#This Row],[Response]]="Male",0,1)+IF(Table1[[#This Row],[Response]]="Female",0,1)=2,E727,Table1[[#This Row],[Response]]),"")</f>
        <v/>
      </c>
      <c r="F728" s="1">
        <v>8</v>
      </c>
      <c r="G728" s="1" t="s">
        <v>9</v>
      </c>
      <c r="H728" s="2" t="s">
        <v>8</v>
      </c>
      <c r="I72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2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2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29" spans="1:11">
      <c r="A729" s="2" t="s">
        <v>12</v>
      </c>
      <c r="B729" s="2" t="s">
        <v>21</v>
      </c>
      <c r="C729" s="1">
        <v>15</v>
      </c>
      <c r="D729" s="2" t="s">
        <v>16</v>
      </c>
      <c r="E729" s="5" t="str">
        <f>IF(Table1[[#This Row],[Pre or Post]]="Pre",IF(IF(Table1[[#This Row],[Response]]="Male",0,1)+IF(Table1[[#This Row],[Response]]="Female",0,1)=2,E728,Table1[[#This Row],[Response]]),"")</f>
        <v/>
      </c>
      <c r="F729" s="1">
        <v>9</v>
      </c>
      <c r="G729" s="1" t="s">
        <v>17</v>
      </c>
      <c r="H729" s="2" t="s">
        <v>8</v>
      </c>
      <c r="I72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2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2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30" spans="1:11">
      <c r="A730" s="2" t="s">
        <v>12</v>
      </c>
      <c r="B730" s="2" t="s">
        <v>21</v>
      </c>
      <c r="C730" s="1">
        <v>15</v>
      </c>
      <c r="D730" s="2" t="s">
        <v>16</v>
      </c>
      <c r="E730" s="5" t="str">
        <f>IF(Table1[[#This Row],[Pre or Post]]="Pre",IF(IF(Table1[[#This Row],[Response]]="Male",0,1)+IF(Table1[[#This Row],[Response]]="Female",0,1)=2,E729,Table1[[#This Row],[Response]]),"")</f>
        <v/>
      </c>
      <c r="F730" s="1">
        <v>10</v>
      </c>
      <c r="G730" s="1" t="s">
        <v>18</v>
      </c>
      <c r="H730" s="2" t="s">
        <v>8</v>
      </c>
      <c r="I73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3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3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31" spans="1:11">
      <c r="A731" s="2" t="s">
        <v>12</v>
      </c>
      <c r="B731" s="2" t="s">
        <v>21</v>
      </c>
      <c r="C731" s="1">
        <v>15</v>
      </c>
      <c r="D731" s="2" t="s">
        <v>16</v>
      </c>
      <c r="E731" s="5" t="str">
        <f>IF(Table1[[#This Row],[Pre or Post]]="Pre",IF(IF(Table1[[#This Row],[Response]]="Male",0,1)+IF(Table1[[#This Row],[Response]]="Female",0,1)=2,E730,Table1[[#This Row],[Response]]),"")</f>
        <v/>
      </c>
      <c r="F731" s="2">
        <v>11</v>
      </c>
      <c r="G731" s="1" t="s">
        <v>9</v>
      </c>
      <c r="H731" s="2" t="s">
        <v>8</v>
      </c>
      <c r="I73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3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3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32" spans="1:11">
      <c r="A732" s="2" t="s">
        <v>12</v>
      </c>
      <c r="B732" s="2" t="s">
        <v>21</v>
      </c>
      <c r="C732" s="1">
        <v>16</v>
      </c>
      <c r="D732" s="2" t="s">
        <v>16</v>
      </c>
      <c r="E732" s="5" t="str">
        <f>IF(Table1[[#This Row],[Pre or Post]]="Pre",IF(IF(Table1[[#This Row],[Response]]="Male",0,1)+IF(Table1[[#This Row],[Response]]="Female",0,1)=2,E731,Table1[[#This Row],[Response]]),"")</f>
        <v/>
      </c>
      <c r="F732" s="1">
        <v>2</v>
      </c>
      <c r="G732" s="1">
        <v>3</v>
      </c>
      <c r="H732" s="2" t="s">
        <v>8</v>
      </c>
      <c r="I73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3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3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33" spans="1:11">
      <c r="A733" s="2" t="s">
        <v>12</v>
      </c>
      <c r="B733" s="2" t="s">
        <v>21</v>
      </c>
      <c r="C733" s="1">
        <v>16</v>
      </c>
      <c r="D733" s="2" t="s">
        <v>16</v>
      </c>
      <c r="E733" s="5" t="str">
        <f>IF(Table1[[#This Row],[Pre or Post]]="Pre",IF(IF(Table1[[#This Row],[Response]]="Male",0,1)+IF(Table1[[#This Row],[Response]]="Female",0,1)=2,E732,Table1[[#This Row],[Response]]),"")</f>
        <v/>
      </c>
      <c r="F733" s="1">
        <v>3</v>
      </c>
      <c r="G733" s="1">
        <v>3</v>
      </c>
      <c r="H733" s="2" t="s">
        <v>8</v>
      </c>
      <c r="I73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3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3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34" spans="1:11">
      <c r="A734" s="2" t="s">
        <v>12</v>
      </c>
      <c r="B734" s="2" t="s">
        <v>21</v>
      </c>
      <c r="C734" s="1">
        <v>16</v>
      </c>
      <c r="D734" s="2" t="s">
        <v>16</v>
      </c>
      <c r="E734" s="5" t="str">
        <f>IF(Table1[[#This Row],[Pre or Post]]="Pre",IF(IF(Table1[[#This Row],[Response]]="Male",0,1)+IF(Table1[[#This Row],[Response]]="Female",0,1)=2,E733,Table1[[#This Row],[Response]]),"")</f>
        <v/>
      </c>
      <c r="F734" s="1">
        <v>4</v>
      </c>
      <c r="G734" s="1">
        <v>5</v>
      </c>
      <c r="H734" s="2" t="s">
        <v>8</v>
      </c>
      <c r="I73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3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3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35" spans="1:11">
      <c r="A735" s="2" t="s">
        <v>12</v>
      </c>
      <c r="B735" s="2" t="s">
        <v>21</v>
      </c>
      <c r="C735" s="1">
        <v>16</v>
      </c>
      <c r="D735" s="2" t="s">
        <v>16</v>
      </c>
      <c r="E735" s="5" t="str">
        <f>IF(Table1[[#This Row],[Pre or Post]]="Pre",IF(IF(Table1[[#This Row],[Response]]="Male",0,1)+IF(Table1[[#This Row],[Response]]="Female",0,1)=2,E734,Table1[[#This Row],[Response]]),"")</f>
        <v/>
      </c>
      <c r="F735" s="1">
        <v>5</v>
      </c>
      <c r="G735" s="1">
        <v>4</v>
      </c>
      <c r="H735" s="2" t="s">
        <v>8</v>
      </c>
      <c r="I73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3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3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36" spans="1:11">
      <c r="A736" s="2" t="s">
        <v>12</v>
      </c>
      <c r="B736" s="2" t="s">
        <v>21</v>
      </c>
      <c r="C736" s="1">
        <v>16</v>
      </c>
      <c r="D736" s="2" t="s">
        <v>16</v>
      </c>
      <c r="E736" s="5" t="str">
        <f>IF(Table1[[#This Row],[Pre or Post]]="Pre",IF(IF(Table1[[#This Row],[Response]]="Male",0,1)+IF(Table1[[#This Row],[Response]]="Female",0,1)=2,E735,Table1[[#This Row],[Response]]),"")</f>
        <v/>
      </c>
      <c r="F736" s="1">
        <v>6</v>
      </c>
      <c r="G736" s="1">
        <v>5</v>
      </c>
      <c r="H736" s="2" t="s">
        <v>8</v>
      </c>
      <c r="I73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3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3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37" spans="1:11">
      <c r="A737" s="2" t="s">
        <v>12</v>
      </c>
      <c r="B737" s="2" t="s">
        <v>21</v>
      </c>
      <c r="C737" s="1">
        <v>16</v>
      </c>
      <c r="D737" s="2" t="s">
        <v>16</v>
      </c>
      <c r="E737" s="5" t="str">
        <f>IF(Table1[[#This Row],[Pre or Post]]="Pre",IF(IF(Table1[[#This Row],[Response]]="Male",0,1)+IF(Table1[[#This Row],[Response]]="Female",0,1)=2,E736,Table1[[#This Row],[Response]]),"")</f>
        <v/>
      </c>
      <c r="F737" s="1">
        <v>7</v>
      </c>
      <c r="G737" s="1">
        <v>5</v>
      </c>
      <c r="H737" s="2" t="s">
        <v>8</v>
      </c>
      <c r="I73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3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3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38" spans="1:11">
      <c r="A738" s="2" t="s">
        <v>12</v>
      </c>
      <c r="B738" s="2" t="s">
        <v>21</v>
      </c>
      <c r="C738" s="1">
        <v>16</v>
      </c>
      <c r="D738" s="2" t="s">
        <v>16</v>
      </c>
      <c r="E738" s="5" t="str">
        <f>IF(Table1[[#This Row],[Pre or Post]]="Pre",IF(IF(Table1[[#This Row],[Response]]="Male",0,1)+IF(Table1[[#This Row],[Response]]="Female",0,1)=2,E737,Table1[[#This Row],[Response]]),"")</f>
        <v/>
      </c>
      <c r="F738" s="1">
        <v>8</v>
      </c>
      <c r="G738" s="1" t="s">
        <v>8</v>
      </c>
      <c r="H738" s="2" t="s">
        <v>8</v>
      </c>
      <c r="I73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3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3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39" spans="1:11">
      <c r="A739" s="2" t="s">
        <v>12</v>
      </c>
      <c r="B739" s="2" t="s">
        <v>21</v>
      </c>
      <c r="C739" s="1">
        <v>16</v>
      </c>
      <c r="D739" s="2" t="s">
        <v>16</v>
      </c>
      <c r="E739" s="5" t="str">
        <f>IF(Table1[[#This Row],[Pre or Post]]="Pre",IF(IF(Table1[[#This Row],[Response]]="Male",0,1)+IF(Table1[[#This Row],[Response]]="Female",0,1)=2,E738,Table1[[#This Row],[Response]]),"")</f>
        <v/>
      </c>
      <c r="F739" s="1">
        <v>9</v>
      </c>
      <c r="G739" s="1" t="s">
        <v>17</v>
      </c>
      <c r="H739" s="2" t="s">
        <v>8</v>
      </c>
      <c r="I73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3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3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40" spans="1:11">
      <c r="A740" s="2" t="s">
        <v>12</v>
      </c>
      <c r="B740" s="2" t="s">
        <v>21</v>
      </c>
      <c r="C740" s="1">
        <v>16</v>
      </c>
      <c r="D740" s="2" t="s">
        <v>16</v>
      </c>
      <c r="E740" s="5" t="str">
        <f>IF(Table1[[#This Row],[Pre or Post]]="Pre",IF(IF(Table1[[#This Row],[Response]]="Male",0,1)+IF(Table1[[#This Row],[Response]]="Female",0,1)=2,E739,Table1[[#This Row],[Response]]),"")</f>
        <v/>
      </c>
      <c r="F740" s="1">
        <v>10</v>
      </c>
      <c r="G740" s="1" t="s">
        <v>18</v>
      </c>
      <c r="H740" s="2" t="s">
        <v>8</v>
      </c>
      <c r="I74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4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4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41" spans="1:11">
      <c r="A741" s="2" t="s">
        <v>12</v>
      </c>
      <c r="B741" s="2" t="s">
        <v>21</v>
      </c>
      <c r="C741" s="1">
        <v>16</v>
      </c>
      <c r="D741" s="2" t="s">
        <v>16</v>
      </c>
      <c r="E741" s="5" t="str">
        <f>IF(Table1[[#This Row],[Pre or Post]]="Pre",IF(IF(Table1[[#This Row],[Response]]="Male",0,1)+IF(Table1[[#This Row],[Response]]="Female",0,1)=2,E740,Table1[[#This Row],[Response]]),"")</f>
        <v/>
      </c>
      <c r="F741" s="1">
        <v>11</v>
      </c>
      <c r="G741" s="1" t="s">
        <v>9</v>
      </c>
      <c r="H741" s="2" t="s">
        <v>8</v>
      </c>
      <c r="I74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4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4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42" spans="1:11">
      <c r="A742" s="2" t="s">
        <v>12</v>
      </c>
      <c r="B742" s="2" t="s">
        <v>21</v>
      </c>
      <c r="C742" s="1">
        <v>17</v>
      </c>
      <c r="D742" s="2" t="s">
        <v>16</v>
      </c>
      <c r="E742" s="5" t="str">
        <f>IF(Table1[[#This Row],[Pre or Post]]="Pre",IF(IF(Table1[[#This Row],[Response]]="Male",0,1)+IF(Table1[[#This Row],[Response]]="Female",0,1)=2,E741,Table1[[#This Row],[Response]]),"")</f>
        <v/>
      </c>
      <c r="F742" s="1">
        <v>2</v>
      </c>
      <c r="G742" s="1">
        <v>1</v>
      </c>
      <c r="H742" s="2" t="s">
        <v>8</v>
      </c>
      <c r="I74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4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4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43" spans="1:11">
      <c r="A743" s="2" t="s">
        <v>12</v>
      </c>
      <c r="B743" s="2" t="s">
        <v>21</v>
      </c>
      <c r="C743" s="1">
        <v>17</v>
      </c>
      <c r="D743" s="2" t="s">
        <v>16</v>
      </c>
      <c r="E743" s="5" t="str">
        <f>IF(Table1[[#This Row],[Pre or Post]]="Pre",IF(IF(Table1[[#This Row],[Response]]="Male",0,1)+IF(Table1[[#This Row],[Response]]="Female",0,1)=2,E742,Table1[[#This Row],[Response]]),"")</f>
        <v/>
      </c>
      <c r="F743" s="1">
        <v>3</v>
      </c>
      <c r="G743" s="1">
        <v>1</v>
      </c>
      <c r="H743" s="2" t="s">
        <v>8</v>
      </c>
      <c r="I74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4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4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44" spans="1:11">
      <c r="A744" s="2" t="s">
        <v>12</v>
      </c>
      <c r="B744" s="2" t="s">
        <v>21</v>
      </c>
      <c r="C744" s="1">
        <v>17</v>
      </c>
      <c r="D744" s="2" t="s">
        <v>16</v>
      </c>
      <c r="E744" s="5" t="str">
        <f>IF(Table1[[#This Row],[Pre or Post]]="Pre",IF(IF(Table1[[#This Row],[Response]]="Male",0,1)+IF(Table1[[#This Row],[Response]]="Female",0,1)=2,E743,Table1[[#This Row],[Response]]),"")</f>
        <v/>
      </c>
      <c r="F744" s="1">
        <v>4</v>
      </c>
      <c r="G744" s="1">
        <v>1</v>
      </c>
      <c r="H744" s="2" t="s">
        <v>8</v>
      </c>
      <c r="I74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4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4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45" spans="1:11">
      <c r="A745" s="2" t="s">
        <v>12</v>
      </c>
      <c r="B745" s="2" t="s">
        <v>21</v>
      </c>
      <c r="C745" s="1">
        <v>17</v>
      </c>
      <c r="D745" s="2" t="s">
        <v>16</v>
      </c>
      <c r="E745" s="5" t="str">
        <f>IF(Table1[[#This Row],[Pre or Post]]="Pre",IF(IF(Table1[[#This Row],[Response]]="Male",0,1)+IF(Table1[[#This Row],[Response]]="Female",0,1)=2,E744,Table1[[#This Row],[Response]]),"")</f>
        <v/>
      </c>
      <c r="F745" s="1">
        <v>5</v>
      </c>
      <c r="G745" s="1"/>
      <c r="H745" s="2" t="s">
        <v>8</v>
      </c>
      <c r="I74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4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4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46" spans="1:11">
      <c r="A746" s="2" t="s">
        <v>12</v>
      </c>
      <c r="B746" s="2" t="s">
        <v>21</v>
      </c>
      <c r="C746" s="1">
        <v>17</v>
      </c>
      <c r="D746" s="2" t="s">
        <v>16</v>
      </c>
      <c r="E746" s="5" t="str">
        <f>IF(Table1[[#This Row],[Pre or Post]]="Pre",IF(IF(Table1[[#This Row],[Response]]="Male",0,1)+IF(Table1[[#This Row],[Response]]="Female",0,1)=2,E745,Table1[[#This Row],[Response]]),"")</f>
        <v/>
      </c>
      <c r="F746" s="1">
        <v>6</v>
      </c>
      <c r="G746" s="1">
        <v>3</v>
      </c>
      <c r="H746" s="2" t="s">
        <v>8</v>
      </c>
      <c r="I74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4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4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47" spans="1:11">
      <c r="A747" s="2" t="s">
        <v>12</v>
      </c>
      <c r="B747" s="2" t="s">
        <v>21</v>
      </c>
      <c r="C747" s="1">
        <v>17</v>
      </c>
      <c r="D747" s="2" t="s">
        <v>16</v>
      </c>
      <c r="E747" s="5" t="str">
        <f>IF(Table1[[#This Row],[Pre or Post]]="Pre",IF(IF(Table1[[#This Row],[Response]]="Male",0,1)+IF(Table1[[#This Row],[Response]]="Female",0,1)=2,E746,Table1[[#This Row],[Response]]),"")</f>
        <v/>
      </c>
      <c r="F747" s="1">
        <v>7</v>
      </c>
      <c r="G747" s="1">
        <v>3</v>
      </c>
      <c r="H747" s="2" t="s">
        <v>8</v>
      </c>
      <c r="I74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4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4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48" spans="1:11">
      <c r="A748" s="2" t="s">
        <v>12</v>
      </c>
      <c r="B748" s="2" t="s">
        <v>21</v>
      </c>
      <c r="C748" s="1">
        <v>17</v>
      </c>
      <c r="D748" s="2" t="s">
        <v>16</v>
      </c>
      <c r="E748" s="5" t="str">
        <f>IF(Table1[[#This Row],[Pre or Post]]="Pre",IF(IF(Table1[[#This Row],[Response]]="Male",0,1)+IF(Table1[[#This Row],[Response]]="Female",0,1)=2,E747,Table1[[#This Row],[Response]]),"")</f>
        <v/>
      </c>
      <c r="F748" s="1">
        <v>8</v>
      </c>
      <c r="G748" s="1" t="s">
        <v>8</v>
      </c>
      <c r="H748" s="2" t="s">
        <v>8</v>
      </c>
      <c r="I74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4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4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49" spans="1:11">
      <c r="A749" s="2" t="s">
        <v>12</v>
      </c>
      <c r="B749" s="2" t="s">
        <v>21</v>
      </c>
      <c r="C749" s="1">
        <v>17</v>
      </c>
      <c r="D749" s="2" t="s">
        <v>16</v>
      </c>
      <c r="E749" s="5" t="str">
        <f>IF(Table1[[#This Row],[Pre or Post]]="Pre",IF(IF(Table1[[#This Row],[Response]]="Male",0,1)+IF(Table1[[#This Row],[Response]]="Female",0,1)=2,E748,Table1[[#This Row],[Response]]),"")</f>
        <v/>
      </c>
      <c r="F749" s="1">
        <v>9</v>
      </c>
      <c r="G749" s="1" t="s">
        <v>17</v>
      </c>
      <c r="H749" s="2" t="s">
        <v>8</v>
      </c>
      <c r="I74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4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4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50" spans="1:11">
      <c r="A750" s="2" t="s">
        <v>12</v>
      </c>
      <c r="B750" s="2" t="s">
        <v>21</v>
      </c>
      <c r="C750" s="1">
        <v>17</v>
      </c>
      <c r="D750" s="2" t="s">
        <v>16</v>
      </c>
      <c r="E750" s="5" t="str">
        <f>IF(Table1[[#This Row],[Pre or Post]]="Pre",IF(IF(Table1[[#This Row],[Response]]="Male",0,1)+IF(Table1[[#This Row],[Response]]="Female",0,1)=2,E749,Table1[[#This Row],[Response]]),"")</f>
        <v/>
      </c>
      <c r="F750" s="1">
        <v>10</v>
      </c>
      <c r="G750" s="1" t="s">
        <v>18</v>
      </c>
      <c r="H750" s="2" t="s">
        <v>8</v>
      </c>
      <c r="I75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5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5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51" spans="1:11">
      <c r="A751" s="2" t="s">
        <v>12</v>
      </c>
      <c r="B751" s="2" t="s">
        <v>21</v>
      </c>
      <c r="C751" s="1">
        <v>17</v>
      </c>
      <c r="D751" s="2" t="s">
        <v>16</v>
      </c>
      <c r="E751" s="5" t="str">
        <f>IF(Table1[[#This Row],[Pre or Post]]="Pre",IF(IF(Table1[[#This Row],[Response]]="Male",0,1)+IF(Table1[[#This Row],[Response]]="Female",0,1)=2,E750,Table1[[#This Row],[Response]]),"")</f>
        <v/>
      </c>
      <c r="F751" s="1">
        <v>11</v>
      </c>
      <c r="G751" s="1" t="s">
        <v>8</v>
      </c>
      <c r="H751" s="2" t="s">
        <v>8</v>
      </c>
      <c r="I75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5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5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52" spans="1:11">
      <c r="A752" s="2" t="s">
        <v>12</v>
      </c>
      <c r="B752" s="2" t="s">
        <v>21</v>
      </c>
      <c r="C752" s="1">
        <v>18</v>
      </c>
      <c r="D752" s="2" t="s">
        <v>16</v>
      </c>
      <c r="E752" s="5" t="str">
        <f>IF(Table1[[#This Row],[Pre or Post]]="Pre",IF(IF(Table1[[#This Row],[Response]]="Male",0,1)+IF(Table1[[#This Row],[Response]]="Female",0,1)=2,E751,Table1[[#This Row],[Response]]),"")</f>
        <v/>
      </c>
      <c r="F752" s="1">
        <v>2</v>
      </c>
      <c r="G752" s="1">
        <v>4</v>
      </c>
      <c r="H752" s="2" t="s">
        <v>8</v>
      </c>
      <c r="I75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5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5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53" spans="1:11">
      <c r="A753" s="2" t="s">
        <v>12</v>
      </c>
      <c r="B753" s="2" t="s">
        <v>21</v>
      </c>
      <c r="C753" s="1">
        <v>18</v>
      </c>
      <c r="D753" s="2" t="s">
        <v>16</v>
      </c>
      <c r="E753" s="5" t="str">
        <f>IF(Table1[[#This Row],[Pre or Post]]="Pre",IF(IF(Table1[[#This Row],[Response]]="Male",0,1)+IF(Table1[[#This Row],[Response]]="Female",0,1)=2,E752,Table1[[#This Row],[Response]]),"")</f>
        <v/>
      </c>
      <c r="F753" s="1">
        <v>3</v>
      </c>
      <c r="G753" s="1">
        <v>4</v>
      </c>
      <c r="H753" s="2" t="s">
        <v>8</v>
      </c>
      <c r="I75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5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5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54" spans="1:11">
      <c r="A754" s="2" t="s">
        <v>12</v>
      </c>
      <c r="B754" s="2" t="s">
        <v>21</v>
      </c>
      <c r="C754" s="1">
        <v>18</v>
      </c>
      <c r="D754" s="2" t="s">
        <v>16</v>
      </c>
      <c r="E754" s="5" t="str">
        <f>IF(Table1[[#This Row],[Pre or Post]]="Pre",IF(IF(Table1[[#This Row],[Response]]="Male",0,1)+IF(Table1[[#This Row],[Response]]="Female",0,1)=2,E753,Table1[[#This Row],[Response]]),"")</f>
        <v/>
      </c>
      <c r="F754" s="1">
        <v>4</v>
      </c>
      <c r="G754" s="1">
        <v>5</v>
      </c>
      <c r="H754" s="2" t="s">
        <v>8</v>
      </c>
      <c r="I75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5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5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55" spans="1:11">
      <c r="A755" s="2" t="s">
        <v>12</v>
      </c>
      <c r="B755" s="2" t="s">
        <v>21</v>
      </c>
      <c r="C755" s="1">
        <v>18</v>
      </c>
      <c r="D755" s="2" t="s">
        <v>16</v>
      </c>
      <c r="E755" s="5" t="str">
        <f>IF(Table1[[#This Row],[Pre or Post]]="Pre",IF(IF(Table1[[#This Row],[Response]]="Male",0,1)+IF(Table1[[#This Row],[Response]]="Female",0,1)=2,E754,Table1[[#This Row],[Response]]),"")</f>
        <v/>
      </c>
      <c r="F755" s="1">
        <v>5</v>
      </c>
      <c r="G755" s="1">
        <v>4</v>
      </c>
      <c r="H755" s="2" t="s">
        <v>8</v>
      </c>
      <c r="I75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5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5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56" spans="1:11">
      <c r="A756" s="2" t="s">
        <v>12</v>
      </c>
      <c r="B756" s="2" t="s">
        <v>21</v>
      </c>
      <c r="C756" s="1">
        <v>18</v>
      </c>
      <c r="D756" s="2" t="s">
        <v>16</v>
      </c>
      <c r="E756" s="5" t="str">
        <f>IF(Table1[[#This Row],[Pre or Post]]="Pre",IF(IF(Table1[[#This Row],[Response]]="Male",0,1)+IF(Table1[[#This Row],[Response]]="Female",0,1)=2,E755,Table1[[#This Row],[Response]]),"")</f>
        <v/>
      </c>
      <c r="F756" s="1">
        <v>6</v>
      </c>
      <c r="G756" s="1">
        <v>5</v>
      </c>
      <c r="H756" s="2" t="s">
        <v>8</v>
      </c>
      <c r="I75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5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5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57" spans="1:11">
      <c r="A757" s="2" t="s">
        <v>12</v>
      </c>
      <c r="B757" s="2" t="s">
        <v>21</v>
      </c>
      <c r="C757" s="1">
        <v>18</v>
      </c>
      <c r="D757" s="2" t="s">
        <v>16</v>
      </c>
      <c r="E757" s="5" t="str">
        <f>IF(Table1[[#This Row],[Pre or Post]]="Pre",IF(IF(Table1[[#This Row],[Response]]="Male",0,1)+IF(Table1[[#This Row],[Response]]="Female",0,1)=2,E756,Table1[[#This Row],[Response]]),"")</f>
        <v/>
      </c>
      <c r="F757" s="1">
        <v>7</v>
      </c>
      <c r="G757" s="1">
        <v>3</v>
      </c>
      <c r="H757" s="2" t="s">
        <v>8</v>
      </c>
      <c r="I75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5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5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58" spans="1:11">
      <c r="A758" s="2" t="s">
        <v>12</v>
      </c>
      <c r="B758" s="2" t="s">
        <v>21</v>
      </c>
      <c r="C758" s="1">
        <v>18</v>
      </c>
      <c r="D758" s="2" t="s">
        <v>16</v>
      </c>
      <c r="E758" s="5" t="str">
        <f>IF(Table1[[#This Row],[Pre or Post]]="Pre",IF(IF(Table1[[#This Row],[Response]]="Male",0,1)+IF(Table1[[#This Row],[Response]]="Female",0,1)=2,E757,Table1[[#This Row],[Response]]),"")</f>
        <v/>
      </c>
      <c r="F758" s="1">
        <v>8</v>
      </c>
      <c r="G758" s="1" t="s">
        <v>8</v>
      </c>
      <c r="H758" s="2" t="s">
        <v>8</v>
      </c>
      <c r="I75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5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5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59" spans="1:11">
      <c r="A759" s="2" t="s">
        <v>12</v>
      </c>
      <c r="B759" s="2" t="s">
        <v>21</v>
      </c>
      <c r="C759" s="1">
        <v>18</v>
      </c>
      <c r="D759" s="2" t="s">
        <v>16</v>
      </c>
      <c r="E759" s="5" t="str">
        <f>IF(Table1[[#This Row],[Pre or Post]]="Pre",IF(IF(Table1[[#This Row],[Response]]="Male",0,1)+IF(Table1[[#This Row],[Response]]="Female",0,1)=2,E758,Table1[[#This Row],[Response]]),"")</f>
        <v/>
      </c>
      <c r="F759" s="1">
        <v>9</v>
      </c>
      <c r="G759" s="1" t="s">
        <v>17</v>
      </c>
      <c r="H759" s="2" t="s">
        <v>8</v>
      </c>
      <c r="I75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5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5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60" spans="1:11">
      <c r="A760" s="2" t="s">
        <v>12</v>
      </c>
      <c r="B760" s="2" t="s">
        <v>21</v>
      </c>
      <c r="C760" s="1">
        <v>18</v>
      </c>
      <c r="D760" s="2" t="s">
        <v>16</v>
      </c>
      <c r="E760" s="5" t="str">
        <f>IF(Table1[[#This Row],[Pre or Post]]="Pre",IF(IF(Table1[[#This Row],[Response]]="Male",0,1)+IF(Table1[[#This Row],[Response]]="Female",0,1)=2,E759,Table1[[#This Row],[Response]]),"")</f>
        <v/>
      </c>
      <c r="F760" s="1">
        <v>10</v>
      </c>
      <c r="G760" s="1" t="s">
        <v>18</v>
      </c>
      <c r="H760" s="2" t="s">
        <v>8</v>
      </c>
      <c r="I76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6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6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61" spans="1:11">
      <c r="A761" s="2" t="s">
        <v>12</v>
      </c>
      <c r="B761" s="2" t="s">
        <v>21</v>
      </c>
      <c r="C761" s="1">
        <v>18</v>
      </c>
      <c r="D761" s="2" t="s">
        <v>16</v>
      </c>
      <c r="E761" s="5" t="str">
        <f>IF(Table1[[#This Row],[Pre or Post]]="Pre",IF(IF(Table1[[#This Row],[Response]]="Male",0,1)+IF(Table1[[#This Row],[Response]]="Female",0,1)=2,E760,Table1[[#This Row],[Response]]),"")</f>
        <v/>
      </c>
      <c r="F761" s="2">
        <v>11</v>
      </c>
      <c r="G761" s="1" t="s">
        <v>9</v>
      </c>
      <c r="H761" s="2" t="s">
        <v>8</v>
      </c>
      <c r="I76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6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6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62" spans="1:11">
      <c r="A762" s="2" t="s">
        <v>12</v>
      </c>
      <c r="B762" s="2" t="s">
        <v>21</v>
      </c>
      <c r="C762" s="1">
        <v>19</v>
      </c>
      <c r="D762" s="2" t="s">
        <v>16</v>
      </c>
      <c r="E762" s="5" t="str">
        <f>IF(Table1[[#This Row],[Pre or Post]]="Pre",IF(IF(Table1[[#This Row],[Response]]="Male",0,1)+IF(Table1[[#This Row],[Response]]="Female",0,1)=2,E761,Table1[[#This Row],[Response]]),"")</f>
        <v/>
      </c>
      <c r="F762" s="1">
        <v>2</v>
      </c>
      <c r="G762" s="1">
        <v>2</v>
      </c>
      <c r="H762" s="2" t="s">
        <v>8</v>
      </c>
      <c r="I76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6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6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63" spans="1:11">
      <c r="A763" s="2" t="s">
        <v>12</v>
      </c>
      <c r="B763" s="2" t="s">
        <v>21</v>
      </c>
      <c r="C763" s="1">
        <v>19</v>
      </c>
      <c r="D763" s="2" t="s">
        <v>16</v>
      </c>
      <c r="E763" s="5" t="str">
        <f>IF(Table1[[#This Row],[Pre or Post]]="Pre",IF(IF(Table1[[#This Row],[Response]]="Male",0,1)+IF(Table1[[#This Row],[Response]]="Female",0,1)=2,E762,Table1[[#This Row],[Response]]),"")</f>
        <v/>
      </c>
      <c r="F763" s="1">
        <v>3</v>
      </c>
      <c r="G763" s="1">
        <v>2</v>
      </c>
      <c r="H763" s="2" t="s">
        <v>8</v>
      </c>
      <c r="I76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6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6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64" spans="1:11">
      <c r="A764" s="2" t="s">
        <v>12</v>
      </c>
      <c r="B764" s="2" t="s">
        <v>21</v>
      </c>
      <c r="C764" s="1">
        <v>19</v>
      </c>
      <c r="D764" s="2" t="s">
        <v>16</v>
      </c>
      <c r="E764" s="5" t="str">
        <f>IF(Table1[[#This Row],[Pre or Post]]="Pre",IF(IF(Table1[[#This Row],[Response]]="Male",0,1)+IF(Table1[[#This Row],[Response]]="Female",0,1)=2,E763,Table1[[#This Row],[Response]]),"")</f>
        <v/>
      </c>
      <c r="F764" s="1">
        <v>4</v>
      </c>
      <c r="G764" s="1">
        <v>3</v>
      </c>
      <c r="H764" s="2" t="s">
        <v>8</v>
      </c>
      <c r="I76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6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6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65" spans="1:11">
      <c r="A765" s="2" t="s">
        <v>12</v>
      </c>
      <c r="B765" s="2" t="s">
        <v>21</v>
      </c>
      <c r="C765" s="1">
        <v>19</v>
      </c>
      <c r="D765" s="2" t="s">
        <v>16</v>
      </c>
      <c r="E765" s="5" t="str">
        <f>IF(Table1[[#This Row],[Pre or Post]]="Pre",IF(IF(Table1[[#This Row],[Response]]="Male",0,1)+IF(Table1[[#This Row],[Response]]="Female",0,1)=2,E764,Table1[[#This Row],[Response]]),"")</f>
        <v/>
      </c>
      <c r="F765" s="1">
        <v>5</v>
      </c>
      <c r="G765" s="1">
        <v>5</v>
      </c>
      <c r="H765" s="2" t="s">
        <v>8</v>
      </c>
      <c r="I76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6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6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66" spans="1:11">
      <c r="A766" s="2" t="s">
        <v>12</v>
      </c>
      <c r="B766" s="2" t="s">
        <v>21</v>
      </c>
      <c r="C766" s="1">
        <v>19</v>
      </c>
      <c r="D766" s="2" t="s">
        <v>16</v>
      </c>
      <c r="E766" s="5" t="str">
        <f>IF(Table1[[#This Row],[Pre or Post]]="Pre",IF(IF(Table1[[#This Row],[Response]]="Male",0,1)+IF(Table1[[#This Row],[Response]]="Female",0,1)=2,E765,Table1[[#This Row],[Response]]),"")</f>
        <v/>
      </c>
      <c r="F766" s="1">
        <v>6</v>
      </c>
      <c r="G766" s="1">
        <v>4</v>
      </c>
      <c r="H766" s="2" t="s">
        <v>8</v>
      </c>
      <c r="I76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6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6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67" spans="1:11">
      <c r="A767" s="2" t="s">
        <v>12</v>
      </c>
      <c r="B767" s="2" t="s">
        <v>21</v>
      </c>
      <c r="C767" s="1">
        <v>19</v>
      </c>
      <c r="D767" s="2" t="s">
        <v>16</v>
      </c>
      <c r="E767" s="5" t="str">
        <f>IF(Table1[[#This Row],[Pre or Post]]="Pre",IF(IF(Table1[[#This Row],[Response]]="Male",0,1)+IF(Table1[[#This Row],[Response]]="Female",0,1)=2,E766,Table1[[#This Row],[Response]]),"")</f>
        <v/>
      </c>
      <c r="F767" s="1">
        <v>7</v>
      </c>
      <c r="G767" s="1">
        <v>3</v>
      </c>
      <c r="H767" s="2" t="s">
        <v>8</v>
      </c>
      <c r="I76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6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6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68" spans="1:11">
      <c r="A768" s="2" t="s">
        <v>12</v>
      </c>
      <c r="B768" s="2" t="s">
        <v>21</v>
      </c>
      <c r="C768" s="1">
        <v>19</v>
      </c>
      <c r="D768" s="2" t="s">
        <v>16</v>
      </c>
      <c r="E768" s="5" t="str">
        <f>IF(Table1[[#This Row],[Pre or Post]]="Pre",IF(IF(Table1[[#This Row],[Response]]="Male",0,1)+IF(Table1[[#This Row],[Response]]="Female",0,1)=2,E767,Table1[[#This Row],[Response]]),"")</f>
        <v/>
      </c>
      <c r="F768" s="1">
        <v>8</v>
      </c>
      <c r="G768" s="1" t="s">
        <v>8</v>
      </c>
      <c r="H768" s="2" t="s">
        <v>8</v>
      </c>
      <c r="I76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6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6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69" spans="1:11">
      <c r="A769" s="2" t="s">
        <v>12</v>
      </c>
      <c r="B769" s="2" t="s">
        <v>21</v>
      </c>
      <c r="C769" s="1">
        <v>19</v>
      </c>
      <c r="D769" s="2" t="s">
        <v>16</v>
      </c>
      <c r="E769" s="5" t="str">
        <f>IF(Table1[[#This Row],[Pre or Post]]="Pre",IF(IF(Table1[[#This Row],[Response]]="Male",0,1)+IF(Table1[[#This Row],[Response]]="Female",0,1)=2,E768,Table1[[#This Row],[Response]]),"")</f>
        <v/>
      </c>
      <c r="F769" s="1">
        <v>9</v>
      </c>
      <c r="G769" s="1" t="s">
        <v>17</v>
      </c>
      <c r="H769" s="2" t="s">
        <v>8</v>
      </c>
      <c r="I76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6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6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70" spans="1:11">
      <c r="A770" s="2" t="s">
        <v>12</v>
      </c>
      <c r="B770" s="2" t="s">
        <v>21</v>
      </c>
      <c r="C770" s="1">
        <v>19</v>
      </c>
      <c r="D770" s="2" t="s">
        <v>16</v>
      </c>
      <c r="E770" s="5" t="str">
        <f>IF(Table1[[#This Row],[Pre or Post]]="Pre",IF(IF(Table1[[#This Row],[Response]]="Male",0,1)+IF(Table1[[#This Row],[Response]]="Female",0,1)=2,E769,Table1[[#This Row],[Response]]),"")</f>
        <v/>
      </c>
      <c r="F770" s="1">
        <v>10</v>
      </c>
      <c r="G770" s="1" t="s">
        <v>19</v>
      </c>
      <c r="H770" s="2" t="s">
        <v>8</v>
      </c>
      <c r="I77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7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7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71" spans="1:11">
      <c r="A771" s="2" t="s">
        <v>12</v>
      </c>
      <c r="B771" s="2" t="s">
        <v>21</v>
      </c>
      <c r="C771" s="1">
        <v>19</v>
      </c>
      <c r="D771" s="2" t="s">
        <v>16</v>
      </c>
      <c r="E771" s="5" t="str">
        <f>IF(Table1[[#This Row],[Pre or Post]]="Pre",IF(IF(Table1[[#This Row],[Response]]="Male",0,1)+IF(Table1[[#This Row],[Response]]="Female",0,1)=2,E770,Table1[[#This Row],[Response]]),"")</f>
        <v/>
      </c>
      <c r="F771" s="2">
        <v>11</v>
      </c>
      <c r="G771" s="1" t="s">
        <v>8</v>
      </c>
      <c r="H771" s="2" t="s">
        <v>8</v>
      </c>
      <c r="I77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7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7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72" spans="1:11">
      <c r="A772" s="2" t="s">
        <v>12</v>
      </c>
      <c r="B772" s="2" t="s">
        <v>21</v>
      </c>
      <c r="C772" s="1">
        <v>20</v>
      </c>
      <c r="D772" s="2" t="s">
        <v>16</v>
      </c>
      <c r="E772" s="5" t="str">
        <f>IF(Table1[[#This Row],[Pre or Post]]="Pre",IF(IF(Table1[[#This Row],[Response]]="Male",0,1)+IF(Table1[[#This Row],[Response]]="Female",0,1)=2,E771,Table1[[#This Row],[Response]]),"")</f>
        <v/>
      </c>
      <c r="F772" s="1">
        <v>2</v>
      </c>
      <c r="G772" s="1">
        <v>3</v>
      </c>
      <c r="H772" s="2" t="s">
        <v>8</v>
      </c>
      <c r="I77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7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7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73" spans="1:11">
      <c r="A773" s="2" t="s">
        <v>12</v>
      </c>
      <c r="B773" s="2" t="s">
        <v>21</v>
      </c>
      <c r="C773" s="1">
        <v>20</v>
      </c>
      <c r="D773" s="2" t="s">
        <v>16</v>
      </c>
      <c r="E773" s="5" t="str">
        <f>IF(Table1[[#This Row],[Pre or Post]]="Pre",IF(IF(Table1[[#This Row],[Response]]="Male",0,1)+IF(Table1[[#This Row],[Response]]="Female",0,1)=2,E772,Table1[[#This Row],[Response]]),"")</f>
        <v/>
      </c>
      <c r="F773" s="1">
        <v>3</v>
      </c>
      <c r="G773" s="1">
        <v>3</v>
      </c>
      <c r="H773" s="2" t="s">
        <v>8</v>
      </c>
      <c r="I77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7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7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74" spans="1:11">
      <c r="A774" s="2" t="s">
        <v>12</v>
      </c>
      <c r="B774" s="2" t="s">
        <v>21</v>
      </c>
      <c r="C774" s="1">
        <v>20</v>
      </c>
      <c r="D774" s="2" t="s">
        <v>16</v>
      </c>
      <c r="E774" s="5" t="str">
        <f>IF(Table1[[#This Row],[Pre or Post]]="Pre",IF(IF(Table1[[#This Row],[Response]]="Male",0,1)+IF(Table1[[#This Row],[Response]]="Female",0,1)=2,E773,Table1[[#This Row],[Response]]),"")</f>
        <v/>
      </c>
      <c r="F774" s="1">
        <v>4</v>
      </c>
      <c r="G774" s="1">
        <v>3</v>
      </c>
      <c r="H774" s="2" t="s">
        <v>8</v>
      </c>
      <c r="I77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7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7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75" spans="1:11">
      <c r="A775" s="2" t="s">
        <v>12</v>
      </c>
      <c r="B775" s="2" t="s">
        <v>21</v>
      </c>
      <c r="C775" s="1">
        <v>20</v>
      </c>
      <c r="D775" s="2" t="s">
        <v>16</v>
      </c>
      <c r="E775" s="5" t="str">
        <f>IF(Table1[[#This Row],[Pre or Post]]="Pre",IF(IF(Table1[[#This Row],[Response]]="Male",0,1)+IF(Table1[[#This Row],[Response]]="Female",0,1)=2,E774,Table1[[#This Row],[Response]]),"")</f>
        <v/>
      </c>
      <c r="F775" s="1">
        <v>5</v>
      </c>
      <c r="G775" s="1">
        <v>4</v>
      </c>
      <c r="H775" s="2" t="s">
        <v>8</v>
      </c>
      <c r="I77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7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7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76" spans="1:11">
      <c r="A776" s="2" t="s">
        <v>12</v>
      </c>
      <c r="B776" s="2" t="s">
        <v>21</v>
      </c>
      <c r="C776" s="1">
        <v>20</v>
      </c>
      <c r="D776" s="2" t="s">
        <v>16</v>
      </c>
      <c r="E776" s="5" t="str">
        <f>IF(Table1[[#This Row],[Pre or Post]]="Pre",IF(IF(Table1[[#This Row],[Response]]="Male",0,1)+IF(Table1[[#This Row],[Response]]="Female",0,1)=2,E775,Table1[[#This Row],[Response]]),"")</f>
        <v/>
      </c>
      <c r="F776" s="1">
        <v>6</v>
      </c>
      <c r="G776" s="1">
        <v>4</v>
      </c>
      <c r="H776" s="2" t="s">
        <v>8</v>
      </c>
      <c r="I77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7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7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77" spans="1:11">
      <c r="A777" s="2" t="s">
        <v>12</v>
      </c>
      <c r="B777" s="2" t="s">
        <v>21</v>
      </c>
      <c r="C777" s="1">
        <v>20</v>
      </c>
      <c r="D777" s="2" t="s">
        <v>16</v>
      </c>
      <c r="E777" s="5" t="str">
        <f>IF(Table1[[#This Row],[Pre or Post]]="Pre",IF(IF(Table1[[#This Row],[Response]]="Male",0,1)+IF(Table1[[#This Row],[Response]]="Female",0,1)=2,E776,Table1[[#This Row],[Response]]),"")</f>
        <v/>
      </c>
      <c r="F777" s="1">
        <v>7</v>
      </c>
      <c r="G777" s="1">
        <v>4</v>
      </c>
      <c r="H777" s="2" t="s">
        <v>8</v>
      </c>
      <c r="I77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7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7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78" spans="1:11">
      <c r="A778" s="2" t="s">
        <v>12</v>
      </c>
      <c r="B778" s="2" t="s">
        <v>21</v>
      </c>
      <c r="C778" s="1">
        <v>20</v>
      </c>
      <c r="D778" s="2" t="s">
        <v>16</v>
      </c>
      <c r="E778" s="5" t="str">
        <f>IF(Table1[[#This Row],[Pre or Post]]="Pre",IF(IF(Table1[[#This Row],[Response]]="Male",0,1)+IF(Table1[[#This Row],[Response]]="Female",0,1)=2,E777,Table1[[#This Row],[Response]]),"")</f>
        <v/>
      </c>
      <c r="F778" s="1">
        <v>8</v>
      </c>
      <c r="G778" s="1" t="s">
        <v>8</v>
      </c>
      <c r="H778" s="2" t="s">
        <v>8</v>
      </c>
      <c r="I77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7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7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79" spans="1:11">
      <c r="A779" s="2" t="s">
        <v>12</v>
      </c>
      <c r="B779" s="2" t="s">
        <v>21</v>
      </c>
      <c r="C779" s="1">
        <v>20</v>
      </c>
      <c r="D779" s="2" t="s">
        <v>16</v>
      </c>
      <c r="E779" s="5" t="str">
        <f>IF(Table1[[#This Row],[Pre or Post]]="Pre",IF(IF(Table1[[#This Row],[Response]]="Male",0,1)+IF(Table1[[#This Row],[Response]]="Female",0,1)=2,E778,Table1[[#This Row],[Response]]),"")</f>
        <v/>
      </c>
      <c r="F779" s="1">
        <v>9</v>
      </c>
      <c r="G779" s="1" t="s">
        <v>17</v>
      </c>
      <c r="H779" s="2" t="s">
        <v>8</v>
      </c>
      <c r="I77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7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7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80" spans="1:11">
      <c r="A780" s="2" t="s">
        <v>12</v>
      </c>
      <c r="B780" s="2" t="s">
        <v>21</v>
      </c>
      <c r="C780" s="1">
        <v>20</v>
      </c>
      <c r="D780" s="2" t="s">
        <v>16</v>
      </c>
      <c r="E780" s="5" t="str">
        <f>IF(Table1[[#This Row],[Pre or Post]]="Pre",IF(IF(Table1[[#This Row],[Response]]="Male",0,1)+IF(Table1[[#This Row],[Response]]="Female",0,1)=2,E779,Table1[[#This Row],[Response]]),"")</f>
        <v/>
      </c>
      <c r="F780" s="1">
        <v>10</v>
      </c>
      <c r="G780" s="1" t="s">
        <v>18</v>
      </c>
      <c r="H780" s="2" t="s">
        <v>8</v>
      </c>
      <c r="I78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8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8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81" spans="1:11">
      <c r="A781" s="2" t="s">
        <v>12</v>
      </c>
      <c r="B781" s="2" t="s">
        <v>21</v>
      </c>
      <c r="C781" s="1">
        <v>20</v>
      </c>
      <c r="D781" s="2" t="s">
        <v>16</v>
      </c>
      <c r="E781" s="5" t="str">
        <f>IF(Table1[[#This Row],[Pre or Post]]="Pre",IF(IF(Table1[[#This Row],[Response]]="Male",0,1)+IF(Table1[[#This Row],[Response]]="Female",0,1)=2,E780,Table1[[#This Row],[Response]]),"")</f>
        <v/>
      </c>
      <c r="F781" s="1">
        <v>11</v>
      </c>
      <c r="G781" s="1" t="s">
        <v>9</v>
      </c>
      <c r="H781" s="2" t="s">
        <v>8</v>
      </c>
      <c r="I78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8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8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82" spans="1:11">
      <c r="A782" s="2" t="s">
        <v>12</v>
      </c>
      <c r="B782" s="2" t="s">
        <v>21</v>
      </c>
      <c r="C782" s="1">
        <v>21</v>
      </c>
      <c r="D782" s="2" t="s">
        <v>16</v>
      </c>
      <c r="E782" s="5" t="str">
        <f>IF(Table1[[#This Row],[Pre or Post]]="Pre",IF(IF(Table1[[#This Row],[Response]]="Male",0,1)+IF(Table1[[#This Row],[Response]]="Female",0,1)=2,E781,Table1[[#This Row],[Response]]),"")</f>
        <v/>
      </c>
      <c r="F782" s="1">
        <v>2</v>
      </c>
      <c r="G782" s="1">
        <v>2</v>
      </c>
      <c r="H782" s="2" t="s">
        <v>8</v>
      </c>
      <c r="I78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8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8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83" spans="1:11">
      <c r="A783" s="2" t="s">
        <v>12</v>
      </c>
      <c r="B783" s="2" t="s">
        <v>21</v>
      </c>
      <c r="C783" s="1">
        <v>21</v>
      </c>
      <c r="D783" s="2" t="s">
        <v>16</v>
      </c>
      <c r="E783" s="5" t="str">
        <f>IF(Table1[[#This Row],[Pre or Post]]="Pre",IF(IF(Table1[[#This Row],[Response]]="Male",0,1)+IF(Table1[[#This Row],[Response]]="Female",0,1)=2,E782,Table1[[#This Row],[Response]]),"")</f>
        <v/>
      </c>
      <c r="F783" s="1">
        <v>3</v>
      </c>
      <c r="G783" s="1">
        <v>1</v>
      </c>
      <c r="H783" s="2" t="s">
        <v>8</v>
      </c>
      <c r="I78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8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8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84" spans="1:11">
      <c r="A784" s="2" t="s">
        <v>12</v>
      </c>
      <c r="B784" s="2" t="s">
        <v>21</v>
      </c>
      <c r="C784" s="1">
        <v>21</v>
      </c>
      <c r="D784" s="2" t="s">
        <v>16</v>
      </c>
      <c r="E784" s="5" t="str">
        <f>IF(Table1[[#This Row],[Pre or Post]]="Pre",IF(IF(Table1[[#This Row],[Response]]="Male",0,1)+IF(Table1[[#This Row],[Response]]="Female",0,1)=2,E783,Table1[[#This Row],[Response]]),"")</f>
        <v/>
      </c>
      <c r="F784" s="1">
        <v>4</v>
      </c>
      <c r="G784" s="1">
        <v>3</v>
      </c>
      <c r="H784" s="2" t="s">
        <v>8</v>
      </c>
      <c r="I78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8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8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85" spans="1:11">
      <c r="A785" s="2" t="s">
        <v>12</v>
      </c>
      <c r="B785" s="2" t="s">
        <v>21</v>
      </c>
      <c r="C785" s="1">
        <v>21</v>
      </c>
      <c r="D785" s="2" t="s">
        <v>16</v>
      </c>
      <c r="E785" s="5" t="str">
        <f>IF(Table1[[#This Row],[Pre or Post]]="Pre",IF(IF(Table1[[#This Row],[Response]]="Male",0,1)+IF(Table1[[#This Row],[Response]]="Female",0,1)=2,E784,Table1[[#This Row],[Response]]),"")</f>
        <v/>
      </c>
      <c r="F785" s="1">
        <v>5</v>
      </c>
      <c r="G785" s="1">
        <v>3</v>
      </c>
      <c r="H785" s="2" t="s">
        <v>8</v>
      </c>
      <c r="I78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8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8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86" spans="1:11">
      <c r="A786" s="2" t="s">
        <v>12</v>
      </c>
      <c r="B786" s="2" t="s">
        <v>21</v>
      </c>
      <c r="C786" s="1">
        <v>21</v>
      </c>
      <c r="D786" s="2" t="s">
        <v>16</v>
      </c>
      <c r="E786" s="5" t="str">
        <f>IF(Table1[[#This Row],[Pre or Post]]="Pre",IF(IF(Table1[[#This Row],[Response]]="Male",0,1)+IF(Table1[[#This Row],[Response]]="Female",0,1)=2,E785,Table1[[#This Row],[Response]]),"")</f>
        <v/>
      </c>
      <c r="F786" s="1">
        <v>6</v>
      </c>
      <c r="G786" s="1">
        <v>2</v>
      </c>
      <c r="H786" s="2" t="s">
        <v>8</v>
      </c>
      <c r="I78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8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8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87" spans="1:11">
      <c r="A787" s="2" t="s">
        <v>12</v>
      </c>
      <c r="B787" s="2" t="s">
        <v>21</v>
      </c>
      <c r="C787" s="1">
        <v>21</v>
      </c>
      <c r="D787" s="2" t="s">
        <v>16</v>
      </c>
      <c r="E787" s="5" t="str">
        <f>IF(Table1[[#This Row],[Pre or Post]]="Pre",IF(IF(Table1[[#This Row],[Response]]="Male",0,1)+IF(Table1[[#This Row],[Response]]="Female",0,1)=2,E786,Table1[[#This Row],[Response]]),"")</f>
        <v/>
      </c>
      <c r="F787" s="1">
        <v>7</v>
      </c>
      <c r="G787" s="1">
        <v>5</v>
      </c>
      <c r="H787" s="2" t="s">
        <v>8</v>
      </c>
      <c r="I78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8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8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88" spans="1:11">
      <c r="A788" s="2" t="s">
        <v>12</v>
      </c>
      <c r="B788" s="2" t="s">
        <v>21</v>
      </c>
      <c r="C788" s="1">
        <v>21</v>
      </c>
      <c r="D788" s="2" t="s">
        <v>16</v>
      </c>
      <c r="E788" s="5" t="str">
        <f>IF(Table1[[#This Row],[Pre or Post]]="Pre",IF(IF(Table1[[#This Row],[Response]]="Male",0,1)+IF(Table1[[#This Row],[Response]]="Female",0,1)=2,E787,Table1[[#This Row],[Response]]),"")</f>
        <v/>
      </c>
      <c r="F788" s="1">
        <v>8</v>
      </c>
      <c r="G788" s="1" t="s">
        <v>8</v>
      </c>
      <c r="H788" s="2" t="s">
        <v>8</v>
      </c>
      <c r="I78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8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8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89" spans="1:11">
      <c r="A789" s="2" t="s">
        <v>12</v>
      </c>
      <c r="B789" s="2" t="s">
        <v>21</v>
      </c>
      <c r="C789" s="1">
        <v>21</v>
      </c>
      <c r="D789" s="2" t="s">
        <v>16</v>
      </c>
      <c r="E789" s="5" t="str">
        <f>IF(Table1[[#This Row],[Pre or Post]]="Pre",IF(IF(Table1[[#This Row],[Response]]="Male",0,1)+IF(Table1[[#This Row],[Response]]="Female",0,1)=2,E788,Table1[[#This Row],[Response]]),"")</f>
        <v/>
      </c>
      <c r="F789" s="1">
        <v>9</v>
      </c>
      <c r="G789" s="1" t="s">
        <v>17</v>
      </c>
      <c r="H789" s="2" t="s">
        <v>8</v>
      </c>
      <c r="I78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8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8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90" spans="1:11">
      <c r="A790" s="2" t="s">
        <v>12</v>
      </c>
      <c r="B790" s="2" t="s">
        <v>21</v>
      </c>
      <c r="C790" s="1">
        <v>21</v>
      </c>
      <c r="D790" s="2" t="s">
        <v>16</v>
      </c>
      <c r="E790" s="5" t="str">
        <f>IF(Table1[[#This Row],[Pre or Post]]="Pre",IF(IF(Table1[[#This Row],[Response]]="Male",0,1)+IF(Table1[[#This Row],[Response]]="Female",0,1)=2,E789,Table1[[#This Row],[Response]]),"")</f>
        <v/>
      </c>
      <c r="F790" s="1">
        <v>10</v>
      </c>
      <c r="G790" s="1" t="s">
        <v>18</v>
      </c>
      <c r="H790" s="2" t="s">
        <v>8</v>
      </c>
      <c r="I79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9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9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91" spans="1:11">
      <c r="A791" s="2" t="s">
        <v>12</v>
      </c>
      <c r="B791" s="2" t="s">
        <v>21</v>
      </c>
      <c r="C791" s="1">
        <v>21</v>
      </c>
      <c r="D791" s="2" t="s">
        <v>16</v>
      </c>
      <c r="E791" s="5" t="str">
        <f>IF(Table1[[#This Row],[Pre or Post]]="Pre",IF(IF(Table1[[#This Row],[Response]]="Male",0,1)+IF(Table1[[#This Row],[Response]]="Female",0,1)=2,E790,Table1[[#This Row],[Response]]),"")</f>
        <v/>
      </c>
      <c r="F791" s="1">
        <v>11</v>
      </c>
      <c r="G791" s="1" t="s">
        <v>8</v>
      </c>
      <c r="H791" s="2" t="s">
        <v>8</v>
      </c>
      <c r="I79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9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9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92" spans="1:11">
      <c r="A792" s="2" t="s">
        <v>12</v>
      </c>
      <c r="B792" s="2" t="s">
        <v>21</v>
      </c>
      <c r="C792" s="1">
        <v>22</v>
      </c>
      <c r="D792" s="2" t="s">
        <v>16</v>
      </c>
      <c r="E792" s="5" t="str">
        <f>IF(Table1[[#This Row],[Pre or Post]]="Pre",IF(IF(Table1[[#This Row],[Response]]="Male",0,1)+IF(Table1[[#This Row],[Response]]="Female",0,1)=2,E791,Table1[[#This Row],[Response]]),"")</f>
        <v/>
      </c>
      <c r="F792" s="1">
        <v>2</v>
      </c>
      <c r="G792" s="1">
        <v>3</v>
      </c>
      <c r="H792" s="2" t="s">
        <v>8</v>
      </c>
      <c r="I79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9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9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93" spans="1:11">
      <c r="A793" s="2" t="s">
        <v>12</v>
      </c>
      <c r="B793" s="2" t="s">
        <v>21</v>
      </c>
      <c r="C793" s="1">
        <v>22</v>
      </c>
      <c r="D793" s="2" t="s">
        <v>16</v>
      </c>
      <c r="E793" s="5" t="str">
        <f>IF(Table1[[#This Row],[Pre or Post]]="Pre",IF(IF(Table1[[#This Row],[Response]]="Male",0,1)+IF(Table1[[#This Row],[Response]]="Female",0,1)=2,E792,Table1[[#This Row],[Response]]),"")</f>
        <v/>
      </c>
      <c r="F793" s="1">
        <v>3</v>
      </c>
      <c r="G793" s="1">
        <v>3</v>
      </c>
      <c r="H793" s="2" t="s">
        <v>8</v>
      </c>
      <c r="I79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9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9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94" spans="1:11">
      <c r="A794" s="2" t="s">
        <v>12</v>
      </c>
      <c r="B794" s="2" t="s">
        <v>21</v>
      </c>
      <c r="C794" s="1">
        <v>22</v>
      </c>
      <c r="D794" s="2" t="s">
        <v>16</v>
      </c>
      <c r="E794" s="5" t="str">
        <f>IF(Table1[[#This Row],[Pre or Post]]="Pre",IF(IF(Table1[[#This Row],[Response]]="Male",0,1)+IF(Table1[[#This Row],[Response]]="Female",0,1)=2,E793,Table1[[#This Row],[Response]]),"")</f>
        <v/>
      </c>
      <c r="F794" s="1">
        <v>4</v>
      </c>
      <c r="G794" s="1">
        <v>3</v>
      </c>
      <c r="H794" s="2" t="s">
        <v>8</v>
      </c>
      <c r="I79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9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9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95" spans="1:11">
      <c r="A795" s="2" t="s">
        <v>12</v>
      </c>
      <c r="B795" s="2" t="s">
        <v>21</v>
      </c>
      <c r="C795" s="1">
        <v>22</v>
      </c>
      <c r="D795" s="2" t="s">
        <v>16</v>
      </c>
      <c r="E795" s="5" t="str">
        <f>IF(Table1[[#This Row],[Pre or Post]]="Pre",IF(IF(Table1[[#This Row],[Response]]="Male",0,1)+IF(Table1[[#This Row],[Response]]="Female",0,1)=2,E794,Table1[[#This Row],[Response]]),"")</f>
        <v/>
      </c>
      <c r="F795" s="1">
        <v>5</v>
      </c>
      <c r="G795" s="1">
        <v>5</v>
      </c>
      <c r="H795" s="2" t="s">
        <v>8</v>
      </c>
      <c r="I79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9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9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96" spans="1:11">
      <c r="A796" s="2" t="s">
        <v>12</v>
      </c>
      <c r="B796" s="2" t="s">
        <v>21</v>
      </c>
      <c r="C796" s="1">
        <v>22</v>
      </c>
      <c r="D796" s="2" t="s">
        <v>16</v>
      </c>
      <c r="E796" s="5" t="str">
        <f>IF(Table1[[#This Row],[Pre or Post]]="Pre",IF(IF(Table1[[#This Row],[Response]]="Male",0,1)+IF(Table1[[#This Row],[Response]]="Female",0,1)=2,E795,Table1[[#This Row],[Response]]),"")</f>
        <v/>
      </c>
      <c r="F796" s="1">
        <v>6</v>
      </c>
      <c r="G796" s="1">
        <v>5</v>
      </c>
      <c r="H796" s="2" t="s">
        <v>8</v>
      </c>
      <c r="I79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9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9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97" spans="1:11">
      <c r="A797" s="2" t="s">
        <v>12</v>
      </c>
      <c r="B797" s="2" t="s">
        <v>21</v>
      </c>
      <c r="C797" s="1">
        <v>22</v>
      </c>
      <c r="D797" s="2" t="s">
        <v>16</v>
      </c>
      <c r="E797" s="5" t="str">
        <f>IF(Table1[[#This Row],[Pre or Post]]="Pre",IF(IF(Table1[[#This Row],[Response]]="Male",0,1)+IF(Table1[[#This Row],[Response]]="Female",0,1)=2,E796,Table1[[#This Row],[Response]]),"")</f>
        <v/>
      </c>
      <c r="F797" s="1">
        <v>7</v>
      </c>
      <c r="G797" s="1">
        <v>5</v>
      </c>
      <c r="H797" s="2" t="s">
        <v>8</v>
      </c>
      <c r="I79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9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9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98" spans="1:11">
      <c r="A798" s="2" t="s">
        <v>12</v>
      </c>
      <c r="B798" s="2" t="s">
        <v>21</v>
      </c>
      <c r="C798" s="1">
        <v>22</v>
      </c>
      <c r="D798" s="2" t="s">
        <v>16</v>
      </c>
      <c r="E798" s="5" t="str">
        <f>IF(Table1[[#This Row],[Pre or Post]]="Pre",IF(IF(Table1[[#This Row],[Response]]="Male",0,1)+IF(Table1[[#This Row],[Response]]="Female",0,1)=2,E797,Table1[[#This Row],[Response]]),"")</f>
        <v/>
      </c>
      <c r="F798" s="1">
        <v>8</v>
      </c>
      <c r="G798" s="1" t="s">
        <v>8</v>
      </c>
      <c r="H798" s="2" t="s">
        <v>8</v>
      </c>
      <c r="I79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9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9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799" spans="1:11">
      <c r="A799" s="2" t="s">
        <v>12</v>
      </c>
      <c r="B799" s="2" t="s">
        <v>21</v>
      </c>
      <c r="C799" s="1">
        <v>22</v>
      </c>
      <c r="D799" s="2" t="s">
        <v>16</v>
      </c>
      <c r="E799" s="5" t="str">
        <f>IF(Table1[[#This Row],[Pre or Post]]="Pre",IF(IF(Table1[[#This Row],[Response]]="Male",0,1)+IF(Table1[[#This Row],[Response]]="Female",0,1)=2,E798,Table1[[#This Row],[Response]]),"")</f>
        <v/>
      </c>
      <c r="F799" s="1">
        <v>9</v>
      </c>
      <c r="G799" s="1" t="s">
        <v>17</v>
      </c>
      <c r="H799" s="2" t="s">
        <v>8</v>
      </c>
      <c r="I79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79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79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800" spans="1:11">
      <c r="A800" s="2" t="s">
        <v>12</v>
      </c>
      <c r="B800" s="2" t="s">
        <v>21</v>
      </c>
      <c r="C800" s="1">
        <v>22</v>
      </c>
      <c r="D800" s="2" t="s">
        <v>16</v>
      </c>
      <c r="E800" s="5" t="str">
        <f>IF(Table1[[#This Row],[Pre or Post]]="Pre",IF(IF(Table1[[#This Row],[Response]]="Male",0,1)+IF(Table1[[#This Row],[Response]]="Female",0,1)=2,E799,Table1[[#This Row],[Response]]),"")</f>
        <v/>
      </c>
      <c r="F800" s="1">
        <v>10</v>
      </c>
      <c r="G800" s="1" t="s">
        <v>18</v>
      </c>
      <c r="H800" s="2" t="s">
        <v>8</v>
      </c>
      <c r="I80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0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0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801" spans="1:11">
      <c r="A801" s="2" t="s">
        <v>12</v>
      </c>
      <c r="B801" s="2" t="s">
        <v>21</v>
      </c>
      <c r="C801" s="1">
        <v>22</v>
      </c>
      <c r="D801" s="2" t="s">
        <v>16</v>
      </c>
      <c r="E801" s="5" t="str">
        <f>IF(Table1[[#This Row],[Pre or Post]]="Pre",IF(IF(Table1[[#This Row],[Response]]="Male",0,1)+IF(Table1[[#This Row],[Response]]="Female",0,1)=2,E800,Table1[[#This Row],[Response]]),"")</f>
        <v/>
      </c>
      <c r="F801" s="2">
        <v>11</v>
      </c>
      <c r="G801" s="1" t="s">
        <v>9</v>
      </c>
      <c r="H801" s="2" t="s">
        <v>8</v>
      </c>
      <c r="I80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0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0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802" spans="1:11">
      <c r="A802" s="2" t="s">
        <v>12</v>
      </c>
      <c r="B802" s="2" t="s">
        <v>21</v>
      </c>
      <c r="C802" s="1">
        <v>23</v>
      </c>
      <c r="D802" s="2" t="s">
        <v>16</v>
      </c>
      <c r="E802" s="5" t="str">
        <f>IF(Table1[[#This Row],[Pre or Post]]="Pre",IF(IF(Table1[[#This Row],[Response]]="Male",0,1)+IF(Table1[[#This Row],[Response]]="Female",0,1)=2,E801,Table1[[#This Row],[Response]]),"")</f>
        <v/>
      </c>
      <c r="F802" s="1">
        <v>2</v>
      </c>
      <c r="G802" s="1">
        <v>1</v>
      </c>
      <c r="H802" s="2" t="s">
        <v>8</v>
      </c>
      <c r="I802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0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0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803" spans="1:11">
      <c r="A803" s="2" t="s">
        <v>12</v>
      </c>
      <c r="B803" s="2" t="s">
        <v>21</v>
      </c>
      <c r="C803" s="1">
        <v>23</v>
      </c>
      <c r="D803" s="2" t="s">
        <v>16</v>
      </c>
      <c r="E803" s="5" t="str">
        <f>IF(Table1[[#This Row],[Pre or Post]]="Pre",IF(IF(Table1[[#This Row],[Response]]="Male",0,1)+IF(Table1[[#This Row],[Response]]="Female",0,1)=2,E802,Table1[[#This Row],[Response]]),"")</f>
        <v/>
      </c>
      <c r="F803" s="1">
        <v>3</v>
      </c>
      <c r="G803" s="1">
        <v>3</v>
      </c>
      <c r="H803" s="2" t="s">
        <v>8</v>
      </c>
      <c r="I803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0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0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804" spans="1:11">
      <c r="A804" s="2" t="s">
        <v>12</v>
      </c>
      <c r="B804" s="2" t="s">
        <v>21</v>
      </c>
      <c r="C804" s="1">
        <v>23</v>
      </c>
      <c r="D804" s="2" t="s">
        <v>16</v>
      </c>
      <c r="E804" s="5" t="str">
        <f>IF(Table1[[#This Row],[Pre or Post]]="Pre",IF(IF(Table1[[#This Row],[Response]]="Male",0,1)+IF(Table1[[#This Row],[Response]]="Female",0,1)=2,E803,Table1[[#This Row],[Response]]),"")</f>
        <v/>
      </c>
      <c r="F804" s="1">
        <v>4</v>
      </c>
      <c r="G804" s="1">
        <v>5</v>
      </c>
      <c r="H804" s="2" t="s">
        <v>8</v>
      </c>
      <c r="I804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0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0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805" spans="1:11">
      <c r="A805" s="2" t="s">
        <v>12</v>
      </c>
      <c r="B805" s="2" t="s">
        <v>21</v>
      </c>
      <c r="C805" s="1">
        <v>23</v>
      </c>
      <c r="D805" s="2" t="s">
        <v>16</v>
      </c>
      <c r="E805" s="5" t="str">
        <f>IF(Table1[[#This Row],[Pre or Post]]="Pre",IF(IF(Table1[[#This Row],[Response]]="Male",0,1)+IF(Table1[[#This Row],[Response]]="Female",0,1)=2,E804,Table1[[#This Row],[Response]]),"")</f>
        <v/>
      </c>
      <c r="F805" s="1">
        <v>5</v>
      </c>
      <c r="G805" s="1">
        <v>3</v>
      </c>
      <c r="H805" s="2" t="s">
        <v>8</v>
      </c>
      <c r="I805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0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0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806" spans="1:11">
      <c r="A806" s="2" t="s">
        <v>12</v>
      </c>
      <c r="B806" s="2" t="s">
        <v>21</v>
      </c>
      <c r="C806" s="1">
        <v>23</v>
      </c>
      <c r="D806" s="2" t="s">
        <v>16</v>
      </c>
      <c r="E806" s="5" t="str">
        <f>IF(Table1[[#This Row],[Pre or Post]]="Pre",IF(IF(Table1[[#This Row],[Response]]="Male",0,1)+IF(Table1[[#This Row],[Response]]="Female",0,1)=2,E805,Table1[[#This Row],[Response]]),"")</f>
        <v/>
      </c>
      <c r="F806" s="1">
        <v>6</v>
      </c>
      <c r="G806" s="1">
        <v>2</v>
      </c>
      <c r="H806" s="2" t="s">
        <v>8</v>
      </c>
      <c r="I806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0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0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807" spans="1:11">
      <c r="A807" s="2" t="s">
        <v>12</v>
      </c>
      <c r="B807" s="2" t="s">
        <v>21</v>
      </c>
      <c r="C807" s="1">
        <v>23</v>
      </c>
      <c r="D807" s="2" t="s">
        <v>16</v>
      </c>
      <c r="E807" s="5" t="str">
        <f>IF(Table1[[#This Row],[Pre or Post]]="Pre",IF(IF(Table1[[#This Row],[Response]]="Male",0,1)+IF(Table1[[#This Row],[Response]]="Female",0,1)=2,E806,Table1[[#This Row],[Response]]),"")</f>
        <v/>
      </c>
      <c r="F807" s="1">
        <v>7</v>
      </c>
      <c r="G807" s="1">
        <v>4</v>
      </c>
      <c r="H807" s="2" t="s">
        <v>8</v>
      </c>
      <c r="I807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0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0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808" spans="1:11">
      <c r="A808" s="2" t="s">
        <v>12</v>
      </c>
      <c r="B808" s="2" t="s">
        <v>21</v>
      </c>
      <c r="C808" s="1">
        <v>23</v>
      </c>
      <c r="D808" s="2" t="s">
        <v>16</v>
      </c>
      <c r="E808" s="5" t="str">
        <f>IF(Table1[[#This Row],[Pre or Post]]="Pre",IF(IF(Table1[[#This Row],[Response]]="Male",0,1)+IF(Table1[[#This Row],[Response]]="Female",0,1)=2,E807,Table1[[#This Row],[Response]]),"")</f>
        <v/>
      </c>
      <c r="F808" s="1">
        <v>8</v>
      </c>
      <c r="G808" s="1" t="s">
        <v>8</v>
      </c>
      <c r="H808" s="2" t="s">
        <v>8</v>
      </c>
      <c r="I808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0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0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809" spans="1:11">
      <c r="A809" s="2" t="s">
        <v>12</v>
      </c>
      <c r="B809" s="2" t="s">
        <v>21</v>
      </c>
      <c r="C809" s="1">
        <v>23</v>
      </c>
      <c r="D809" s="2" t="s">
        <v>16</v>
      </c>
      <c r="E809" s="5" t="str">
        <f>IF(Table1[[#This Row],[Pre or Post]]="Pre",IF(IF(Table1[[#This Row],[Response]]="Male",0,1)+IF(Table1[[#This Row],[Response]]="Female",0,1)=2,E808,Table1[[#This Row],[Response]]),"")</f>
        <v/>
      </c>
      <c r="F809" s="1">
        <v>9</v>
      </c>
      <c r="G809" s="1"/>
      <c r="H809" s="2" t="s">
        <v>8</v>
      </c>
      <c r="I809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0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0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810" spans="1:11">
      <c r="A810" s="2" t="s">
        <v>12</v>
      </c>
      <c r="B810" s="2" t="s">
        <v>21</v>
      </c>
      <c r="C810" s="1">
        <v>23</v>
      </c>
      <c r="D810" s="2" t="s">
        <v>16</v>
      </c>
      <c r="E810" s="5" t="str">
        <f>IF(Table1[[#This Row],[Pre or Post]]="Pre",IF(IF(Table1[[#This Row],[Response]]="Male",0,1)+IF(Table1[[#This Row],[Response]]="Female",0,1)=2,E809,Table1[[#This Row],[Response]]),"")</f>
        <v/>
      </c>
      <c r="F810" s="1">
        <v>10</v>
      </c>
      <c r="G810" s="1"/>
      <c r="H810" s="2" t="s">
        <v>8</v>
      </c>
      <c r="I810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1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1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811" spans="1:11">
      <c r="A811" s="2" t="s">
        <v>12</v>
      </c>
      <c r="B811" s="2" t="s">
        <v>21</v>
      </c>
      <c r="C811" s="1">
        <v>23</v>
      </c>
      <c r="D811" s="2" t="s">
        <v>16</v>
      </c>
      <c r="E811" s="5" t="str">
        <f>IF(Table1[[#This Row],[Pre or Post]]="Pre",IF(IF(Table1[[#This Row],[Response]]="Male",0,1)+IF(Table1[[#This Row],[Response]]="Female",0,1)=2,E810,Table1[[#This Row],[Response]]),"")</f>
        <v/>
      </c>
      <c r="F811" s="2">
        <v>11</v>
      </c>
      <c r="G811" s="1"/>
      <c r="H811" s="2" t="s">
        <v>8</v>
      </c>
      <c r="I811" s="5" t="str">
        <f>IF(Table1[[#This Row],[Session]]="Alpha","Girls",IF(Table1[[#This Row],[Session]]="Beta","Boys",IF(Table1[[#This Row],[Session]]="Gamma","Boys",IF(Table1[[#This Row],[Session]]="Delta","Boys","Mixed"))))</f>
        <v>Mixed</v>
      </c>
      <c r="J81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1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Caitlin</v>
      </c>
    </row>
    <row r="812" spans="1:11">
      <c r="A812" s="2" t="s">
        <v>12</v>
      </c>
      <c r="B812" s="2" t="s">
        <v>5</v>
      </c>
      <c r="C812" s="1">
        <v>1</v>
      </c>
      <c r="D812" s="2" t="s">
        <v>16</v>
      </c>
      <c r="E812" s="5" t="str">
        <f>IF(Table1[[#This Row],[Pre or Post]]="Pre",IF(IF(Table1[[#This Row],[Response]]="Male",0,1)+IF(Table1[[#This Row],[Response]]="Female",0,1)=2,E811,Table1[[#This Row],[Response]]),"")</f>
        <v/>
      </c>
      <c r="F812" s="1">
        <v>2</v>
      </c>
      <c r="G812" s="2">
        <v>3</v>
      </c>
      <c r="H812" s="2" t="s">
        <v>9</v>
      </c>
      <c r="I81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1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1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13" spans="1:11">
      <c r="A813" s="2" t="s">
        <v>12</v>
      </c>
      <c r="B813" s="2" t="s">
        <v>5</v>
      </c>
      <c r="C813" s="1">
        <v>1</v>
      </c>
      <c r="D813" s="2" t="s">
        <v>16</v>
      </c>
      <c r="E813" s="5" t="str">
        <f>IF(Table1[[#This Row],[Pre or Post]]="Pre",IF(IF(Table1[[#This Row],[Response]]="Male",0,1)+IF(Table1[[#This Row],[Response]]="Female",0,1)=2,E812,Table1[[#This Row],[Response]]),"")</f>
        <v/>
      </c>
      <c r="F813" s="1">
        <v>3</v>
      </c>
      <c r="G813" s="1">
        <v>3</v>
      </c>
      <c r="H813" s="2" t="s">
        <v>9</v>
      </c>
      <c r="I81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1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1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14" spans="1:11">
      <c r="A814" s="2" t="s">
        <v>12</v>
      </c>
      <c r="B814" s="2" t="s">
        <v>5</v>
      </c>
      <c r="C814" s="1">
        <v>1</v>
      </c>
      <c r="D814" s="2" t="s">
        <v>16</v>
      </c>
      <c r="E814" s="5" t="str">
        <f>IF(Table1[[#This Row],[Pre or Post]]="Pre",IF(IF(Table1[[#This Row],[Response]]="Male",0,1)+IF(Table1[[#This Row],[Response]]="Female",0,1)=2,E813,Table1[[#This Row],[Response]]),"")</f>
        <v/>
      </c>
      <c r="F814" s="1">
        <v>4</v>
      </c>
      <c r="G814" s="1">
        <v>5</v>
      </c>
      <c r="H814" s="2" t="s">
        <v>9</v>
      </c>
      <c r="I81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1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1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15" spans="1:11">
      <c r="A815" s="2" t="s">
        <v>12</v>
      </c>
      <c r="B815" s="2" t="s">
        <v>5</v>
      </c>
      <c r="C815" s="1">
        <v>1</v>
      </c>
      <c r="D815" s="2" t="s">
        <v>16</v>
      </c>
      <c r="E815" s="5" t="str">
        <f>IF(Table1[[#This Row],[Pre or Post]]="Pre",IF(IF(Table1[[#This Row],[Response]]="Male",0,1)+IF(Table1[[#This Row],[Response]]="Female",0,1)=2,E814,Table1[[#This Row],[Response]]),"")</f>
        <v/>
      </c>
      <c r="F815" s="1">
        <v>12</v>
      </c>
      <c r="G815" s="1">
        <v>2</v>
      </c>
      <c r="H815" s="2" t="s">
        <v>9</v>
      </c>
      <c r="I81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1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1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16" spans="1:11">
      <c r="A816" s="2" t="s">
        <v>12</v>
      </c>
      <c r="B816" s="2" t="s">
        <v>5</v>
      </c>
      <c r="C816" s="1">
        <v>1</v>
      </c>
      <c r="D816" s="2" t="s">
        <v>16</v>
      </c>
      <c r="E816" s="5" t="str">
        <f>IF(Table1[[#This Row],[Pre or Post]]="Pre",IF(IF(Table1[[#This Row],[Response]]="Male",0,1)+IF(Table1[[#This Row],[Response]]="Female",0,1)=2,E815,Table1[[#This Row],[Response]]),"")</f>
        <v/>
      </c>
      <c r="F816" s="1">
        <v>13</v>
      </c>
      <c r="G816" s="1">
        <v>4</v>
      </c>
      <c r="H816" s="2" t="s">
        <v>9</v>
      </c>
      <c r="I81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1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1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17" spans="1:11">
      <c r="A817" s="2" t="s">
        <v>12</v>
      </c>
      <c r="B817" s="2" t="s">
        <v>5</v>
      </c>
      <c r="C817" s="1">
        <v>1</v>
      </c>
      <c r="D817" s="2" t="s">
        <v>16</v>
      </c>
      <c r="E817" s="5" t="str">
        <f>IF(Table1[[#This Row],[Pre or Post]]="Pre",IF(IF(Table1[[#This Row],[Response]]="Male",0,1)+IF(Table1[[#This Row],[Response]]="Female",0,1)=2,E816,Table1[[#This Row],[Response]]),"")</f>
        <v/>
      </c>
      <c r="F817" s="1">
        <v>5</v>
      </c>
      <c r="G817" s="1"/>
      <c r="H817" s="2" t="s">
        <v>9</v>
      </c>
      <c r="I81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1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1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18" spans="1:11">
      <c r="A818" s="2" t="s">
        <v>12</v>
      </c>
      <c r="B818" s="2" t="s">
        <v>5</v>
      </c>
      <c r="C818" s="1">
        <v>1</v>
      </c>
      <c r="D818" s="2" t="s">
        <v>16</v>
      </c>
      <c r="E818" s="5" t="str">
        <f>IF(Table1[[#This Row],[Pre or Post]]="Pre",IF(IF(Table1[[#This Row],[Response]]="Male",0,1)+IF(Table1[[#This Row],[Response]]="Female",0,1)=2,E817,Table1[[#This Row],[Response]]),"")</f>
        <v/>
      </c>
      <c r="F818" s="1">
        <v>6</v>
      </c>
      <c r="G818" s="1"/>
      <c r="H818" s="2" t="s">
        <v>9</v>
      </c>
      <c r="I81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1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1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19" spans="1:11">
      <c r="A819" s="2" t="s">
        <v>12</v>
      </c>
      <c r="B819" s="2" t="s">
        <v>5</v>
      </c>
      <c r="C819" s="1">
        <v>1</v>
      </c>
      <c r="D819" s="2" t="s">
        <v>16</v>
      </c>
      <c r="E819" s="5" t="str">
        <f>IF(Table1[[#This Row],[Pre or Post]]="Pre",IF(IF(Table1[[#This Row],[Response]]="Male",0,1)+IF(Table1[[#This Row],[Response]]="Female",0,1)=2,E818,Table1[[#This Row],[Response]]),"")</f>
        <v/>
      </c>
      <c r="F819" s="1">
        <v>15</v>
      </c>
      <c r="G819" s="1"/>
      <c r="H819" s="2" t="s">
        <v>9</v>
      </c>
      <c r="I81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1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1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20" spans="1:11">
      <c r="A820" s="2" t="s">
        <v>12</v>
      </c>
      <c r="B820" s="2" t="s">
        <v>5</v>
      </c>
      <c r="C820" s="1">
        <v>1</v>
      </c>
      <c r="D820" s="2" t="s">
        <v>16</v>
      </c>
      <c r="E820" s="5" t="str">
        <f>IF(Table1[[#This Row],[Pre or Post]]="Pre",IF(IF(Table1[[#This Row],[Response]]="Male",0,1)+IF(Table1[[#This Row],[Response]]="Female",0,1)=2,E819,Table1[[#This Row],[Response]]),"")</f>
        <v/>
      </c>
      <c r="F820" s="1">
        <v>14</v>
      </c>
      <c r="G820" s="1"/>
      <c r="H820" s="2" t="s">
        <v>9</v>
      </c>
      <c r="I82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2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2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21" spans="1:11">
      <c r="A821" s="2" t="s">
        <v>12</v>
      </c>
      <c r="B821" s="2" t="s">
        <v>5</v>
      </c>
      <c r="C821" s="1">
        <v>1</v>
      </c>
      <c r="D821" s="2" t="s">
        <v>16</v>
      </c>
      <c r="E821" s="5" t="str">
        <f>IF(Table1[[#This Row],[Pre or Post]]="Pre",IF(IF(Table1[[#This Row],[Response]]="Male",0,1)+IF(Table1[[#This Row],[Response]]="Female",0,1)=2,E820,Table1[[#This Row],[Response]]),"")</f>
        <v/>
      </c>
      <c r="F821" s="1">
        <v>7</v>
      </c>
      <c r="G821" s="1"/>
      <c r="H821" s="2" t="s">
        <v>9</v>
      </c>
      <c r="I82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2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2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22" spans="1:11">
      <c r="A822" s="2" t="s">
        <v>12</v>
      </c>
      <c r="B822" s="2" t="s">
        <v>5</v>
      </c>
      <c r="C822" s="1">
        <v>1</v>
      </c>
      <c r="D822" s="2" t="s">
        <v>16</v>
      </c>
      <c r="E822" s="5" t="str">
        <f>IF(Table1[[#This Row],[Pre or Post]]="Pre",IF(IF(Table1[[#This Row],[Response]]="Male",0,1)+IF(Table1[[#This Row],[Response]]="Female",0,1)=2,E821,Table1[[#This Row],[Response]]),"")</f>
        <v/>
      </c>
      <c r="F822" s="1">
        <v>16</v>
      </c>
      <c r="G822" s="1"/>
      <c r="H822" s="2" t="s">
        <v>9</v>
      </c>
      <c r="I82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2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2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23" spans="1:11">
      <c r="A823" s="2" t="s">
        <v>12</v>
      </c>
      <c r="B823" s="2" t="s">
        <v>5</v>
      </c>
      <c r="C823" s="1">
        <v>1</v>
      </c>
      <c r="D823" s="2" t="s">
        <v>16</v>
      </c>
      <c r="E823" s="5" t="str">
        <f>IF(Table1[[#This Row],[Pre or Post]]="Pre",IF(IF(Table1[[#This Row],[Response]]="Male",0,1)+IF(Table1[[#This Row],[Response]]="Female",0,1)=2,E822,Table1[[#This Row],[Response]]),"")</f>
        <v/>
      </c>
      <c r="F823" s="1">
        <v>17</v>
      </c>
      <c r="G823" s="1"/>
      <c r="H823" s="2" t="s">
        <v>9</v>
      </c>
      <c r="I82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2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2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24" spans="1:11">
      <c r="A824" s="2" t="s">
        <v>12</v>
      </c>
      <c r="B824" s="2" t="s">
        <v>5</v>
      </c>
      <c r="C824" s="1">
        <v>1</v>
      </c>
      <c r="D824" s="2" t="s">
        <v>16</v>
      </c>
      <c r="E824" s="5" t="str">
        <f>IF(Table1[[#This Row],[Pre or Post]]="Pre",IF(IF(Table1[[#This Row],[Response]]="Male",0,1)+IF(Table1[[#This Row],[Response]]="Female",0,1)=2,E823,Table1[[#This Row],[Response]]),"")</f>
        <v/>
      </c>
      <c r="F824" s="1">
        <v>8</v>
      </c>
      <c r="G824" s="1"/>
      <c r="H824" s="2" t="s">
        <v>9</v>
      </c>
      <c r="I82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2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2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25" spans="1:11">
      <c r="A825" s="2" t="s">
        <v>12</v>
      </c>
      <c r="B825" s="2" t="s">
        <v>5</v>
      </c>
      <c r="C825" s="1">
        <v>1</v>
      </c>
      <c r="D825" s="2" t="s">
        <v>16</v>
      </c>
      <c r="E825" s="5" t="str">
        <f>IF(Table1[[#This Row],[Pre or Post]]="Pre",IF(IF(Table1[[#This Row],[Response]]="Male",0,1)+IF(Table1[[#This Row],[Response]]="Female",0,1)=2,E824,Table1[[#This Row],[Response]]),"")</f>
        <v/>
      </c>
      <c r="F825" s="1">
        <v>9</v>
      </c>
      <c r="G825" s="1"/>
      <c r="H825" s="2" t="s">
        <v>9</v>
      </c>
      <c r="I82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2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2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26" spans="1:11">
      <c r="A826" s="2" t="s">
        <v>12</v>
      </c>
      <c r="B826" s="2" t="s">
        <v>5</v>
      </c>
      <c r="C826" s="1">
        <v>1</v>
      </c>
      <c r="D826" s="2" t="s">
        <v>16</v>
      </c>
      <c r="E826" s="5" t="str">
        <f>IF(Table1[[#This Row],[Pre or Post]]="Pre",IF(IF(Table1[[#This Row],[Response]]="Male",0,1)+IF(Table1[[#This Row],[Response]]="Female",0,1)=2,E825,Table1[[#This Row],[Response]]),"")</f>
        <v/>
      </c>
      <c r="F826" s="1">
        <v>10</v>
      </c>
      <c r="G826" s="1"/>
      <c r="H826" s="2" t="s">
        <v>9</v>
      </c>
      <c r="I82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2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2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27" spans="1:11">
      <c r="A827" s="2" t="s">
        <v>12</v>
      </c>
      <c r="B827" s="2" t="s">
        <v>5</v>
      </c>
      <c r="C827" s="1">
        <v>2</v>
      </c>
      <c r="D827" s="2" t="s">
        <v>16</v>
      </c>
      <c r="E827" s="5" t="str">
        <f>IF(Table1[[#This Row],[Pre or Post]]="Pre",IF(IF(Table1[[#This Row],[Response]]="Male",0,1)+IF(Table1[[#This Row],[Response]]="Female",0,1)=2,E826,Table1[[#This Row],[Response]]),"")</f>
        <v/>
      </c>
      <c r="F827" s="1">
        <v>2</v>
      </c>
      <c r="G827" s="1">
        <v>3</v>
      </c>
      <c r="H827" s="2" t="s">
        <v>9</v>
      </c>
      <c r="I82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2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2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28" spans="1:11">
      <c r="A828" s="2" t="s">
        <v>12</v>
      </c>
      <c r="B828" s="2" t="s">
        <v>5</v>
      </c>
      <c r="C828" s="1">
        <v>2</v>
      </c>
      <c r="D828" s="2" t="s">
        <v>16</v>
      </c>
      <c r="E828" s="5" t="str">
        <f>IF(Table1[[#This Row],[Pre or Post]]="Pre",IF(IF(Table1[[#This Row],[Response]]="Male",0,1)+IF(Table1[[#This Row],[Response]]="Female",0,1)=2,E827,Table1[[#This Row],[Response]]),"")</f>
        <v/>
      </c>
      <c r="F828" s="1">
        <v>3</v>
      </c>
      <c r="G828" s="1">
        <v>3</v>
      </c>
      <c r="H828" s="2" t="s">
        <v>9</v>
      </c>
      <c r="I82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2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2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29" spans="1:11">
      <c r="A829" s="2" t="s">
        <v>12</v>
      </c>
      <c r="B829" s="2" t="s">
        <v>5</v>
      </c>
      <c r="C829" s="1">
        <v>2</v>
      </c>
      <c r="D829" s="2" t="s">
        <v>16</v>
      </c>
      <c r="E829" s="5" t="str">
        <f>IF(Table1[[#This Row],[Pre or Post]]="Pre",IF(IF(Table1[[#This Row],[Response]]="Male",0,1)+IF(Table1[[#This Row],[Response]]="Female",0,1)=2,E828,Table1[[#This Row],[Response]]),"")</f>
        <v/>
      </c>
      <c r="F829" s="1">
        <v>4</v>
      </c>
      <c r="G829" s="1">
        <v>4</v>
      </c>
      <c r="H829" s="2" t="s">
        <v>9</v>
      </c>
      <c r="I82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2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2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30" spans="1:11">
      <c r="A830" s="2" t="s">
        <v>12</v>
      </c>
      <c r="B830" s="2" t="s">
        <v>5</v>
      </c>
      <c r="C830" s="1">
        <v>2</v>
      </c>
      <c r="D830" s="2" t="s">
        <v>16</v>
      </c>
      <c r="E830" s="5" t="str">
        <f>IF(Table1[[#This Row],[Pre or Post]]="Pre",IF(IF(Table1[[#This Row],[Response]]="Male",0,1)+IF(Table1[[#This Row],[Response]]="Female",0,1)=2,E829,Table1[[#This Row],[Response]]),"")</f>
        <v/>
      </c>
      <c r="F830" s="1">
        <v>12</v>
      </c>
      <c r="G830" s="1">
        <v>2</v>
      </c>
      <c r="H830" s="2" t="s">
        <v>9</v>
      </c>
      <c r="I83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3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3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31" spans="1:11">
      <c r="A831" s="2" t="s">
        <v>12</v>
      </c>
      <c r="B831" s="2" t="s">
        <v>5</v>
      </c>
      <c r="C831" s="1">
        <v>2</v>
      </c>
      <c r="D831" s="2" t="s">
        <v>16</v>
      </c>
      <c r="E831" s="5" t="str">
        <f>IF(Table1[[#This Row],[Pre or Post]]="Pre",IF(IF(Table1[[#This Row],[Response]]="Male",0,1)+IF(Table1[[#This Row],[Response]]="Female",0,1)=2,E830,Table1[[#This Row],[Response]]),"")</f>
        <v/>
      </c>
      <c r="F831" s="1">
        <v>13</v>
      </c>
      <c r="G831" s="1">
        <v>3</v>
      </c>
      <c r="H831" s="2" t="s">
        <v>9</v>
      </c>
      <c r="I83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3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3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32" spans="1:11">
      <c r="A832" s="2" t="s">
        <v>12</v>
      </c>
      <c r="B832" s="2" t="s">
        <v>5</v>
      </c>
      <c r="C832" s="1">
        <v>2</v>
      </c>
      <c r="D832" s="2" t="s">
        <v>16</v>
      </c>
      <c r="E832" s="5" t="str">
        <f>IF(Table1[[#This Row],[Pre or Post]]="Pre",IF(IF(Table1[[#This Row],[Response]]="Male",0,1)+IF(Table1[[#This Row],[Response]]="Female",0,1)=2,E831,Table1[[#This Row],[Response]]),"")</f>
        <v/>
      </c>
      <c r="F832" s="1">
        <v>5</v>
      </c>
      <c r="G832" s="1">
        <v>4</v>
      </c>
      <c r="H832" s="2" t="s">
        <v>9</v>
      </c>
      <c r="I83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3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3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33" spans="1:11">
      <c r="A833" s="2" t="s">
        <v>12</v>
      </c>
      <c r="B833" s="2" t="s">
        <v>5</v>
      </c>
      <c r="C833" s="1">
        <v>2</v>
      </c>
      <c r="D833" s="2" t="s">
        <v>16</v>
      </c>
      <c r="E833" s="5" t="str">
        <f>IF(Table1[[#This Row],[Pre or Post]]="Pre",IF(IF(Table1[[#This Row],[Response]]="Male",0,1)+IF(Table1[[#This Row],[Response]]="Female",0,1)=2,E832,Table1[[#This Row],[Response]]),"")</f>
        <v/>
      </c>
      <c r="F833" s="1">
        <v>6</v>
      </c>
      <c r="G833" s="1">
        <v>3</v>
      </c>
      <c r="H833" s="2" t="s">
        <v>9</v>
      </c>
      <c r="I83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3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3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34" spans="1:11">
      <c r="A834" s="2" t="s">
        <v>12</v>
      </c>
      <c r="B834" s="2" t="s">
        <v>5</v>
      </c>
      <c r="C834" s="1">
        <v>2</v>
      </c>
      <c r="D834" s="2" t="s">
        <v>16</v>
      </c>
      <c r="E834" s="5" t="str">
        <f>IF(Table1[[#This Row],[Pre or Post]]="Pre",IF(IF(Table1[[#This Row],[Response]]="Male",0,1)+IF(Table1[[#This Row],[Response]]="Female",0,1)=2,E833,Table1[[#This Row],[Response]]),"")</f>
        <v/>
      </c>
      <c r="F834" s="1">
        <v>15</v>
      </c>
      <c r="G834" s="1">
        <v>2</v>
      </c>
      <c r="H834" s="2" t="s">
        <v>9</v>
      </c>
      <c r="I83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3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3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35" spans="1:11">
      <c r="A835" s="2" t="s">
        <v>12</v>
      </c>
      <c r="B835" s="2" t="s">
        <v>5</v>
      </c>
      <c r="C835" s="1">
        <v>2</v>
      </c>
      <c r="D835" s="2" t="s">
        <v>16</v>
      </c>
      <c r="E835" s="5" t="str">
        <f>IF(Table1[[#This Row],[Pre or Post]]="Pre",IF(IF(Table1[[#This Row],[Response]]="Male",0,1)+IF(Table1[[#This Row],[Response]]="Female",0,1)=2,E834,Table1[[#This Row],[Response]]),"")</f>
        <v/>
      </c>
      <c r="F835" s="1">
        <v>14</v>
      </c>
      <c r="G835" s="1">
        <v>2</v>
      </c>
      <c r="H835" s="2" t="s">
        <v>9</v>
      </c>
      <c r="I83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3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3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36" spans="1:11">
      <c r="A836" s="2" t="s">
        <v>12</v>
      </c>
      <c r="B836" s="2" t="s">
        <v>5</v>
      </c>
      <c r="C836" s="1">
        <v>2</v>
      </c>
      <c r="D836" s="2" t="s">
        <v>16</v>
      </c>
      <c r="E836" s="5" t="str">
        <f>IF(Table1[[#This Row],[Pre or Post]]="Pre",IF(IF(Table1[[#This Row],[Response]]="Male",0,1)+IF(Table1[[#This Row],[Response]]="Female",0,1)=2,E835,Table1[[#This Row],[Response]]),"")</f>
        <v/>
      </c>
      <c r="F836" s="1">
        <v>7</v>
      </c>
      <c r="G836" s="1">
        <v>3</v>
      </c>
      <c r="H836" s="2" t="s">
        <v>9</v>
      </c>
      <c r="I83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3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3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37" spans="1:11">
      <c r="A837" s="2" t="s">
        <v>12</v>
      </c>
      <c r="B837" s="2" t="s">
        <v>5</v>
      </c>
      <c r="C837" s="1">
        <v>2</v>
      </c>
      <c r="D837" s="2" t="s">
        <v>16</v>
      </c>
      <c r="E837" s="5" t="str">
        <f>IF(Table1[[#This Row],[Pre or Post]]="Pre",IF(IF(Table1[[#This Row],[Response]]="Male",0,1)+IF(Table1[[#This Row],[Response]]="Female",0,1)=2,E836,Table1[[#This Row],[Response]]),"")</f>
        <v/>
      </c>
      <c r="F837" s="1">
        <v>16</v>
      </c>
      <c r="G837" s="1">
        <v>2</v>
      </c>
      <c r="H837" s="2" t="s">
        <v>9</v>
      </c>
      <c r="I83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3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3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38" spans="1:11">
      <c r="A838" s="2" t="s">
        <v>12</v>
      </c>
      <c r="B838" s="2" t="s">
        <v>5</v>
      </c>
      <c r="C838" s="1">
        <v>2</v>
      </c>
      <c r="D838" s="2" t="s">
        <v>16</v>
      </c>
      <c r="E838" s="5" t="str">
        <f>IF(Table1[[#This Row],[Pre or Post]]="Pre",IF(IF(Table1[[#This Row],[Response]]="Male",0,1)+IF(Table1[[#This Row],[Response]]="Female",0,1)=2,E837,Table1[[#This Row],[Response]]),"")</f>
        <v/>
      </c>
      <c r="F838" s="1">
        <v>17</v>
      </c>
      <c r="G838" s="1">
        <v>3</v>
      </c>
      <c r="H838" s="2" t="s">
        <v>9</v>
      </c>
      <c r="I83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3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3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39" spans="1:11">
      <c r="A839" s="2" t="s">
        <v>12</v>
      </c>
      <c r="B839" s="2" t="s">
        <v>5</v>
      </c>
      <c r="C839" s="1">
        <v>2</v>
      </c>
      <c r="D839" s="2" t="s">
        <v>16</v>
      </c>
      <c r="E839" s="5" t="str">
        <f>IF(Table1[[#This Row],[Pre or Post]]="Pre",IF(IF(Table1[[#This Row],[Response]]="Male",0,1)+IF(Table1[[#This Row],[Response]]="Female",0,1)=2,E838,Table1[[#This Row],[Response]]),"")</f>
        <v/>
      </c>
      <c r="F839" s="1">
        <v>8</v>
      </c>
      <c r="G839" s="1" t="s">
        <v>8</v>
      </c>
      <c r="H839" s="2" t="s">
        <v>9</v>
      </c>
      <c r="I83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3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3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40" spans="1:11">
      <c r="A840" s="2" t="s">
        <v>12</v>
      </c>
      <c r="B840" s="2" t="s">
        <v>5</v>
      </c>
      <c r="C840" s="1">
        <v>2</v>
      </c>
      <c r="D840" s="2" t="s">
        <v>16</v>
      </c>
      <c r="E840" s="5" t="str">
        <f>IF(Table1[[#This Row],[Pre or Post]]="Pre",IF(IF(Table1[[#This Row],[Response]]="Male",0,1)+IF(Table1[[#This Row],[Response]]="Female",0,1)=2,E839,Table1[[#This Row],[Response]]),"")</f>
        <v/>
      </c>
      <c r="F840" s="1">
        <v>9</v>
      </c>
      <c r="G840" s="1" t="s">
        <v>17</v>
      </c>
      <c r="H840" s="2" t="s">
        <v>9</v>
      </c>
      <c r="I84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4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4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41" spans="1:11">
      <c r="A841" s="2" t="s">
        <v>12</v>
      </c>
      <c r="B841" s="2" t="s">
        <v>5</v>
      </c>
      <c r="C841" s="1">
        <v>2</v>
      </c>
      <c r="D841" s="2" t="s">
        <v>16</v>
      </c>
      <c r="E841" s="5" t="str">
        <f>IF(Table1[[#This Row],[Pre or Post]]="Pre",IF(IF(Table1[[#This Row],[Response]]="Male",0,1)+IF(Table1[[#This Row],[Response]]="Female",0,1)=2,E840,Table1[[#This Row],[Response]]),"")</f>
        <v/>
      </c>
      <c r="F841" s="1">
        <v>10</v>
      </c>
      <c r="G841" s="1" t="s">
        <v>18</v>
      </c>
      <c r="H841" s="2" t="s">
        <v>9</v>
      </c>
      <c r="I84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4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4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42" spans="1:11">
      <c r="A842" s="2" t="s">
        <v>12</v>
      </c>
      <c r="B842" s="2" t="s">
        <v>5</v>
      </c>
      <c r="C842" s="1">
        <v>3</v>
      </c>
      <c r="D842" s="2" t="s">
        <v>16</v>
      </c>
      <c r="E842" s="5" t="str">
        <f>IF(Table1[[#This Row],[Pre or Post]]="Pre",IF(IF(Table1[[#This Row],[Response]]="Male",0,1)+IF(Table1[[#This Row],[Response]]="Female",0,1)=2,E841,Table1[[#This Row],[Response]]),"")</f>
        <v/>
      </c>
      <c r="F842" s="1">
        <v>2</v>
      </c>
      <c r="G842" s="1">
        <v>3</v>
      </c>
      <c r="H842" s="2" t="s">
        <v>9</v>
      </c>
      <c r="I84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4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4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43" spans="1:11">
      <c r="A843" s="2" t="s">
        <v>12</v>
      </c>
      <c r="B843" s="2" t="s">
        <v>5</v>
      </c>
      <c r="C843" s="1">
        <v>3</v>
      </c>
      <c r="D843" s="2" t="s">
        <v>16</v>
      </c>
      <c r="E843" s="5" t="str">
        <f>IF(Table1[[#This Row],[Pre or Post]]="Pre",IF(IF(Table1[[#This Row],[Response]]="Male",0,1)+IF(Table1[[#This Row],[Response]]="Female",0,1)=2,E842,Table1[[#This Row],[Response]]),"")</f>
        <v/>
      </c>
      <c r="F843" s="1">
        <v>3</v>
      </c>
      <c r="G843" s="1">
        <v>2</v>
      </c>
      <c r="H843" s="2" t="s">
        <v>9</v>
      </c>
      <c r="I84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4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4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44" spans="1:11">
      <c r="A844" s="2" t="s">
        <v>12</v>
      </c>
      <c r="B844" s="2" t="s">
        <v>5</v>
      </c>
      <c r="C844" s="1">
        <v>3</v>
      </c>
      <c r="D844" s="2" t="s">
        <v>16</v>
      </c>
      <c r="E844" s="5" t="str">
        <f>IF(Table1[[#This Row],[Pre or Post]]="Pre",IF(IF(Table1[[#This Row],[Response]]="Male",0,1)+IF(Table1[[#This Row],[Response]]="Female",0,1)=2,E843,Table1[[#This Row],[Response]]),"")</f>
        <v/>
      </c>
      <c r="F844" s="1">
        <v>4</v>
      </c>
      <c r="G844" s="1">
        <v>3</v>
      </c>
      <c r="H844" s="2" t="s">
        <v>9</v>
      </c>
      <c r="I84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4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4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45" spans="1:11">
      <c r="A845" s="2" t="s">
        <v>12</v>
      </c>
      <c r="B845" s="2" t="s">
        <v>5</v>
      </c>
      <c r="C845" s="1">
        <v>3</v>
      </c>
      <c r="D845" s="2" t="s">
        <v>16</v>
      </c>
      <c r="E845" s="5" t="str">
        <f>IF(Table1[[#This Row],[Pre or Post]]="Pre",IF(IF(Table1[[#This Row],[Response]]="Male",0,1)+IF(Table1[[#This Row],[Response]]="Female",0,1)=2,E844,Table1[[#This Row],[Response]]),"")</f>
        <v/>
      </c>
      <c r="F845" s="1">
        <v>12</v>
      </c>
      <c r="G845" s="1">
        <v>1</v>
      </c>
      <c r="H845" s="2" t="s">
        <v>9</v>
      </c>
      <c r="I84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4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4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46" spans="1:11">
      <c r="A846" s="2" t="s">
        <v>12</v>
      </c>
      <c r="B846" s="2" t="s">
        <v>5</v>
      </c>
      <c r="C846" s="1">
        <v>3</v>
      </c>
      <c r="D846" s="2" t="s">
        <v>16</v>
      </c>
      <c r="E846" s="5" t="str">
        <f>IF(Table1[[#This Row],[Pre or Post]]="Pre",IF(IF(Table1[[#This Row],[Response]]="Male",0,1)+IF(Table1[[#This Row],[Response]]="Female",0,1)=2,E845,Table1[[#This Row],[Response]]),"")</f>
        <v/>
      </c>
      <c r="F846" s="1">
        <v>13</v>
      </c>
      <c r="G846" s="1">
        <v>3</v>
      </c>
      <c r="H846" s="2" t="s">
        <v>9</v>
      </c>
      <c r="I84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4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4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47" spans="1:11">
      <c r="A847" s="2" t="s">
        <v>12</v>
      </c>
      <c r="B847" s="2" t="s">
        <v>5</v>
      </c>
      <c r="C847" s="1">
        <v>3</v>
      </c>
      <c r="D847" s="2" t="s">
        <v>16</v>
      </c>
      <c r="E847" s="5" t="str">
        <f>IF(Table1[[#This Row],[Pre or Post]]="Pre",IF(IF(Table1[[#This Row],[Response]]="Male",0,1)+IF(Table1[[#This Row],[Response]]="Female",0,1)=2,E846,Table1[[#This Row],[Response]]),"")</f>
        <v/>
      </c>
      <c r="F847" s="1">
        <v>5</v>
      </c>
      <c r="G847" s="1">
        <v>3</v>
      </c>
      <c r="H847" s="2" t="s">
        <v>9</v>
      </c>
      <c r="I84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4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4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48" spans="1:11">
      <c r="A848" s="2" t="s">
        <v>12</v>
      </c>
      <c r="B848" s="2" t="s">
        <v>5</v>
      </c>
      <c r="C848" s="1">
        <v>3</v>
      </c>
      <c r="D848" s="2" t="s">
        <v>16</v>
      </c>
      <c r="E848" s="5" t="str">
        <f>IF(Table1[[#This Row],[Pre or Post]]="Pre",IF(IF(Table1[[#This Row],[Response]]="Male",0,1)+IF(Table1[[#This Row],[Response]]="Female",0,1)=2,E847,Table1[[#This Row],[Response]]),"")</f>
        <v/>
      </c>
      <c r="F848" s="1">
        <v>6</v>
      </c>
      <c r="G848" s="1">
        <v>3</v>
      </c>
      <c r="H848" s="2" t="s">
        <v>9</v>
      </c>
      <c r="I84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4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4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49" spans="1:11">
      <c r="A849" s="2" t="s">
        <v>12</v>
      </c>
      <c r="B849" s="2" t="s">
        <v>5</v>
      </c>
      <c r="C849" s="1">
        <v>3</v>
      </c>
      <c r="D849" s="2" t="s">
        <v>16</v>
      </c>
      <c r="E849" s="5" t="str">
        <f>IF(Table1[[#This Row],[Pre or Post]]="Pre",IF(IF(Table1[[#This Row],[Response]]="Male",0,1)+IF(Table1[[#This Row],[Response]]="Female",0,1)=2,E848,Table1[[#This Row],[Response]]),"")</f>
        <v/>
      </c>
      <c r="F849" s="1">
        <v>15</v>
      </c>
      <c r="G849" s="1">
        <v>2</v>
      </c>
      <c r="H849" s="2" t="s">
        <v>9</v>
      </c>
      <c r="I84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4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4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50" spans="1:11">
      <c r="A850" s="2" t="s">
        <v>12</v>
      </c>
      <c r="B850" s="2" t="s">
        <v>5</v>
      </c>
      <c r="C850" s="1">
        <v>3</v>
      </c>
      <c r="D850" s="2" t="s">
        <v>16</v>
      </c>
      <c r="E850" s="5" t="str">
        <f>IF(Table1[[#This Row],[Pre or Post]]="Pre",IF(IF(Table1[[#This Row],[Response]]="Male",0,1)+IF(Table1[[#This Row],[Response]]="Female",0,1)=2,E849,Table1[[#This Row],[Response]]),"")</f>
        <v/>
      </c>
      <c r="F850" s="1">
        <v>14</v>
      </c>
      <c r="G850" s="1">
        <v>3</v>
      </c>
      <c r="H850" s="2" t="s">
        <v>9</v>
      </c>
      <c r="I85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5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5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51" spans="1:11">
      <c r="A851" s="2" t="s">
        <v>12</v>
      </c>
      <c r="B851" s="2" t="s">
        <v>5</v>
      </c>
      <c r="C851" s="1">
        <v>3</v>
      </c>
      <c r="D851" s="2" t="s">
        <v>16</v>
      </c>
      <c r="E851" s="5" t="str">
        <f>IF(Table1[[#This Row],[Pre or Post]]="Pre",IF(IF(Table1[[#This Row],[Response]]="Male",0,1)+IF(Table1[[#This Row],[Response]]="Female",0,1)=2,E850,Table1[[#This Row],[Response]]),"")</f>
        <v/>
      </c>
      <c r="F851" s="1">
        <v>7</v>
      </c>
      <c r="G851" s="1">
        <v>4</v>
      </c>
      <c r="H851" s="2" t="s">
        <v>9</v>
      </c>
      <c r="I85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5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5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52" spans="1:11">
      <c r="A852" s="2" t="s">
        <v>12</v>
      </c>
      <c r="B852" s="2" t="s">
        <v>5</v>
      </c>
      <c r="C852" s="1">
        <v>3</v>
      </c>
      <c r="D852" s="2" t="s">
        <v>16</v>
      </c>
      <c r="E852" s="5" t="str">
        <f>IF(Table1[[#This Row],[Pre or Post]]="Pre",IF(IF(Table1[[#This Row],[Response]]="Male",0,1)+IF(Table1[[#This Row],[Response]]="Female",0,1)=2,E851,Table1[[#This Row],[Response]]),"")</f>
        <v/>
      </c>
      <c r="F852" s="1">
        <v>16</v>
      </c>
      <c r="G852" s="1">
        <v>1</v>
      </c>
      <c r="H852" s="2" t="s">
        <v>9</v>
      </c>
      <c r="I85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5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5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53" spans="1:11">
      <c r="A853" s="2" t="s">
        <v>12</v>
      </c>
      <c r="B853" s="2" t="s">
        <v>5</v>
      </c>
      <c r="C853" s="1">
        <v>3</v>
      </c>
      <c r="D853" s="2" t="s">
        <v>16</v>
      </c>
      <c r="E853" s="5" t="str">
        <f>IF(Table1[[#This Row],[Pre or Post]]="Pre",IF(IF(Table1[[#This Row],[Response]]="Male",0,1)+IF(Table1[[#This Row],[Response]]="Female",0,1)=2,E852,Table1[[#This Row],[Response]]),"")</f>
        <v/>
      </c>
      <c r="F853" s="1">
        <v>17</v>
      </c>
      <c r="G853" s="1">
        <v>3</v>
      </c>
      <c r="H853" s="2" t="s">
        <v>9</v>
      </c>
      <c r="I85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5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5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54" spans="1:11">
      <c r="A854" s="2" t="s">
        <v>12</v>
      </c>
      <c r="B854" s="2" t="s">
        <v>5</v>
      </c>
      <c r="C854" s="1">
        <v>3</v>
      </c>
      <c r="D854" s="2" t="s">
        <v>16</v>
      </c>
      <c r="E854" s="5" t="str">
        <f>IF(Table1[[#This Row],[Pre or Post]]="Pre",IF(IF(Table1[[#This Row],[Response]]="Male",0,1)+IF(Table1[[#This Row],[Response]]="Female",0,1)=2,E853,Table1[[#This Row],[Response]]),"")</f>
        <v/>
      </c>
      <c r="F854" s="1">
        <v>8</v>
      </c>
      <c r="G854" s="1" t="s">
        <v>8</v>
      </c>
      <c r="H854" s="2" t="s">
        <v>9</v>
      </c>
      <c r="I85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5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5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55" spans="1:11">
      <c r="A855" s="2" t="s">
        <v>12</v>
      </c>
      <c r="B855" s="2" t="s">
        <v>5</v>
      </c>
      <c r="C855" s="1">
        <v>3</v>
      </c>
      <c r="D855" s="2" t="s">
        <v>16</v>
      </c>
      <c r="E855" s="5" t="str">
        <f>IF(Table1[[#This Row],[Pre or Post]]="Pre",IF(IF(Table1[[#This Row],[Response]]="Male",0,1)+IF(Table1[[#This Row],[Response]]="Female",0,1)=2,E854,Table1[[#This Row],[Response]]),"")</f>
        <v/>
      </c>
      <c r="F855" s="1">
        <v>9</v>
      </c>
      <c r="G855" s="1" t="s">
        <v>17</v>
      </c>
      <c r="H855" s="2" t="s">
        <v>9</v>
      </c>
      <c r="I85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5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5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56" spans="1:11">
      <c r="A856" s="2" t="s">
        <v>12</v>
      </c>
      <c r="B856" s="2" t="s">
        <v>5</v>
      </c>
      <c r="C856" s="1">
        <v>3</v>
      </c>
      <c r="D856" s="2" t="s">
        <v>16</v>
      </c>
      <c r="E856" s="5" t="str">
        <f>IF(Table1[[#This Row],[Pre or Post]]="Pre",IF(IF(Table1[[#This Row],[Response]]="Male",0,1)+IF(Table1[[#This Row],[Response]]="Female",0,1)=2,E855,Table1[[#This Row],[Response]]),"")</f>
        <v/>
      </c>
      <c r="F856" s="1">
        <v>10</v>
      </c>
      <c r="G856" s="1" t="s">
        <v>18</v>
      </c>
      <c r="H856" s="2" t="s">
        <v>9</v>
      </c>
      <c r="I85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5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5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57" spans="1:11">
      <c r="A857" s="2" t="s">
        <v>12</v>
      </c>
      <c r="B857" s="2" t="s">
        <v>5</v>
      </c>
      <c r="C857" s="1">
        <v>4</v>
      </c>
      <c r="D857" s="2" t="s">
        <v>16</v>
      </c>
      <c r="E857" s="5" t="str">
        <f>IF(Table1[[#This Row],[Pre or Post]]="Pre",IF(IF(Table1[[#This Row],[Response]]="Male",0,1)+IF(Table1[[#This Row],[Response]]="Female",0,1)=2,E856,Table1[[#This Row],[Response]]),"")</f>
        <v/>
      </c>
      <c r="F857" s="1">
        <v>2</v>
      </c>
      <c r="G857" s="1">
        <v>3</v>
      </c>
      <c r="H857" s="2" t="s">
        <v>9</v>
      </c>
      <c r="I85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5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5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58" spans="1:11">
      <c r="A858" s="2" t="s">
        <v>12</v>
      </c>
      <c r="B858" s="2" t="s">
        <v>5</v>
      </c>
      <c r="C858" s="1">
        <v>4</v>
      </c>
      <c r="D858" s="2" t="s">
        <v>16</v>
      </c>
      <c r="E858" s="5" t="str">
        <f>IF(Table1[[#This Row],[Pre or Post]]="Pre",IF(IF(Table1[[#This Row],[Response]]="Male",0,1)+IF(Table1[[#This Row],[Response]]="Female",0,1)=2,E857,Table1[[#This Row],[Response]]),"")</f>
        <v/>
      </c>
      <c r="F858" s="1">
        <v>3</v>
      </c>
      <c r="G858" s="1">
        <v>3</v>
      </c>
      <c r="H858" s="2" t="s">
        <v>9</v>
      </c>
      <c r="I85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5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5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59" spans="1:11">
      <c r="A859" s="2" t="s">
        <v>12</v>
      </c>
      <c r="B859" s="2" t="s">
        <v>5</v>
      </c>
      <c r="C859" s="1">
        <v>4</v>
      </c>
      <c r="D859" s="2" t="s">
        <v>16</v>
      </c>
      <c r="E859" s="5" t="str">
        <f>IF(Table1[[#This Row],[Pre or Post]]="Pre",IF(IF(Table1[[#This Row],[Response]]="Male",0,1)+IF(Table1[[#This Row],[Response]]="Female",0,1)=2,E858,Table1[[#This Row],[Response]]),"")</f>
        <v/>
      </c>
      <c r="F859" s="1">
        <v>4</v>
      </c>
      <c r="G859" s="1">
        <v>3</v>
      </c>
      <c r="H859" s="2" t="s">
        <v>9</v>
      </c>
      <c r="I85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5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5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60" spans="1:11">
      <c r="A860" s="2" t="s">
        <v>12</v>
      </c>
      <c r="B860" s="2" t="s">
        <v>5</v>
      </c>
      <c r="C860" s="1">
        <v>4</v>
      </c>
      <c r="D860" s="2" t="s">
        <v>16</v>
      </c>
      <c r="E860" s="5" t="str">
        <f>IF(Table1[[#This Row],[Pre or Post]]="Pre",IF(IF(Table1[[#This Row],[Response]]="Male",0,1)+IF(Table1[[#This Row],[Response]]="Female",0,1)=2,E859,Table1[[#This Row],[Response]]),"")</f>
        <v/>
      </c>
      <c r="F860" s="1">
        <v>12</v>
      </c>
      <c r="G860" s="1">
        <v>1</v>
      </c>
      <c r="H860" s="2" t="s">
        <v>9</v>
      </c>
      <c r="I86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6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6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61" spans="1:11">
      <c r="A861" s="2" t="s">
        <v>12</v>
      </c>
      <c r="B861" s="2" t="s">
        <v>5</v>
      </c>
      <c r="C861" s="1">
        <v>4</v>
      </c>
      <c r="D861" s="2" t="s">
        <v>16</v>
      </c>
      <c r="E861" s="5" t="str">
        <f>IF(Table1[[#This Row],[Pre or Post]]="Pre",IF(IF(Table1[[#This Row],[Response]]="Male",0,1)+IF(Table1[[#This Row],[Response]]="Female",0,1)=2,E860,Table1[[#This Row],[Response]]),"")</f>
        <v/>
      </c>
      <c r="F861" s="1">
        <v>13</v>
      </c>
      <c r="G861" s="1">
        <v>3</v>
      </c>
      <c r="H861" s="2" t="s">
        <v>9</v>
      </c>
      <c r="I86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6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6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62" spans="1:11">
      <c r="A862" s="2" t="s">
        <v>12</v>
      </c>
      <c r="B862" s="2" t="s">
        <v>5</v>
      </c>
      <c r="C862" s="1">
        <v>4</v>
      </c>
      <c r="D862" s="2" t="s">
        <v>16</v>
      </c>
      <c r="E862" s="5" t="str">
        <f>IF(Table1[[#This Row],[Pre or Post]]="Pre",IF(IF(Table1[[#This Row],[Response]]="Male",0,1)+IF(Table1[[#This Row],[Response]]="Female",0,1)=2,E861,Table1[[#This Row],[Response]]),"")</f>
        <v/>
      </c>
      <c r="F862" s="1">
        <v>5</v>
      </c>
      <c r="G862" s="1">
        <v>3</v>
      </c>
      <c r="H862" s="2" t="s">
        <v>9</v>
      </c>
      <c r="I86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6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6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63" spans="1:11">
      <c r="A863" s="2" t="s">
        <v>12</v>
      </c>
      <c r="B863" s="2" t="s">
        <v>5</v>
      </c>
      <c r="C863" s="1">
        <v>4</v>
      </c>
      <c r="D863" s="2" t="s">
        <v>16</v>
      </c>
      <c r="E863" s="5" t="str">
        <f>IF(Table1[[#This Row],[Pre or Post]]="Pre",IF(IF(Table1[[#This Row],[Response]]="Male",0,1)+IF(Table1[[#This Row],[Response]]="Female",0,1)=2,E862,Table1[[#This Row],[Response]]),"")</f>
        <v/>
      </c>
      <c r="F863" s="1">
        <v>6</v>
      </c>
      <c r="G863" s="1">
        <v>4</v>
      </c>
      <c r="H863" s="2" t="s">
        <v>9</v>
      </c>
      <c r="I86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6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6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64" spans="1:11">
      <c r="A864" s="2" t="s">
        <v>12</v>
      </c>
      <c r="B864" s="2" t="s">
        <v>5</v>
      </c>
      <c r="C864" s="1">
        <v>4</v>
      </c>
      <c r="D864" s="2" t="s">
        <v>16</v>
      </c>
      <c r="E864" s="5" t="str">
        <f>IF(Table1[[#This Row],[Pre or Post]]="Pre",IF(IF(Table1[[#This Row],[Response]]="Male",0,1)+IF(Table1[[#This Row],[Response]]="Female",0,1)=2,E863,Table1[[#This Row],[Response]]),"")</f>
        <v/>
      </c>
      <c r="F864" s="1">
        <v>15</v>
      </c>
      <c r="G864" s="1">
        <v>3</v>
      </c>
      <c r="H864" s="2" t="s">
        <v>9</v>
      </c>
      <c r="I86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6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6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65" spans="1:11">
      <c r="A865" s="2" t="s">
        <v>12</v>
      </c>
      <c r="B865" s="2" t="s">
        <v>5</v>
      </c>
      <c r="C865" s="1">
        <v>4</v>
      </c>
      <c r="D865" s="2" t="s">
        <v>16</v>
      </c>
      <c r="E865" s="5" t="str">
        <f>IF(Table1[[#This Row],[Pre or Post]]="Pre",IF(IF(Table1[[#This Row],[Response]]="Male",0,1)+IF(Table1[[#This Row],[Response]]="Female",0,1)=2,E864,Table1[[#This Row],[Response]]),"")</f>
        <v/>
      </c>
      <c r="F865" s="1">
        <v>14</v>
      </c>
      <c r="G865" s="1">
        <v>5</v>
      </c>
      <c r="H865" s="2" t="s">
        <v>9</v>
      </c>
      <c r="I86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6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6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66" spans="1:11">
      <c r="A866" s="2" t="s">
        <v>12</v>
      </c>
      <c r="B866" s="2" t="s">
        <v>5</v>
      </c>
      <c r="C866" s="1">
        <v>4</v>
      </c>
      <c r="D866" s="2" t="s">
        <v>16</v>
      </c>
      <c r="E866" s="5" t="str">
        <f>IF(Table1[[#This Row],[Pre or Post]]="Pre",IF(IF(Table1[[#This Row],[Response]]="Male",0,1)+IF(Table1[[#This Row],[Response]]="Female",0,1)=2,E865,Table1[[#This Row],[Response]]),"")</f>
        <v/>
      </c>
      <c r="F866" s="1">
        <v>7</v>
      </c>
      <c r="G866" s="1">
        <v>4</v>
      </c>
      <c r="H866" s="2" t="s">
        <v>9</v>
      </c>
      <c r="I86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6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6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67" spans="1:11">
      <c r="A867" s="2" t="s">
        <v>12</v>
      </c>
      <c r="B867" s="2" t="s">
        <v>5</v>
      </c>
      <c r="C867" s="1">
        <v>4</v>
      </c>
      <c r="D867" s="2" t="s">
        <v>16</v>
      </c>
      <c r="E867" s="5" t="str">
        <f>IF(Table1[[#This Row],[Pre or Post]]="Pre",IF(IF(Table1[[#This Row],[Response]]="Male",0,1)+IF(Table1[[#This Row],[Response]]="Female",0,1)=2,E866,Table1[[#This Row],[Response]]),"")</f>
        <v/>
      </c>
      <c r="F867" s="1">
        <v>16</v>
      </c>
      <c r="G867" s="1"/>
      <c r="H867" s="2" t="s">
        <v>9</v>
      </c>
      <c r="I86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6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6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68" spans="1:11">
      <c r="A868" s="2" t="s">
        <v>12</v>
      </c>
      <c r="B868" s="2" t="s">
        <v>5</v>
      </c>
      <c r="C868" s="1">
        <v>4</v>
      </c>
      <c r="D868" s="2" t="s">
        <v>16</v>
      </c>
      <c r="E868" s="5" t="str">
        <f>IF(Table1[[#This Row],[Pre or Post]]="Pre",IF(IF(Table1[[#This Row],[Response]]="Male",0,1)+IF(Table1[[#This Row],[Response]]="Female",0,1)=2,E867,Table1[[#This Row],[Response]]),"")</f>
        <v/>
      </c>
      <c r="F868" s="1">
        <v>17</v>
      </c>
      <c r="G868" s="1">
        <v>5</v>
      </c>
      <c r="H868" s="2" t="s">
        <v>9</v>
      </c>
      <c r="I86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6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6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69" spans="1:11">
      <c r="A869" s="2" t="s">
        <v>12</v>
      </c>
      <c r="B869" s="2" t="s">
        <v>5</v>
      </c>
      <c r="C869" s="1">
        <v>4</v>
      </c>
      <c r="D869" s="2" t="s">
        <v>16</v>
      </c>
      <c r="E869" s="5" t="str">
        <f>IF(Table1[[#This Row],[Pre or Post]]="Pre",IF(IF(Table1[[#This Row],[Response]]="Male",0,1)+IF(Table1[[#This Row],[Response]]="Female",0,1)=2,E868,Table1[[#This Row],[Response]]),"")</f>
        <v/>
      </c>
      <c r="F869" s="1">
        <v>8</v>
      </c>
      <c r="G869" s="1"/>
      <c r="H869" s="2" t="s">
        <v>9</v>
      </c>
      <c r="I86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6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6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70" spans="1:11">
      <c r="A870" s="2" t="s">
        <v>12</v>
      </c>
      <c r="B870" s="2" t="s">
        <v>5</v>
      </c>
      <c r="C870" s="1">
        <v>4</v>
      </c>
      <c r="D870" s="2" t="s">
        <v>16</v>
      </c>
      <c r="E870" s="5" t="str">
        <f>IF(Table1[[#This Row],[Pre or Post]]="Pre",IF(IF(Table1[[#This Row],[Response]]="Male",0,1)+IF(Table1[[#This Row],[Response]]="Female",0,1)=2,E869,Table1[[#This Row],[Response]]),"")</f>
        <v/>
      </c>
      <c r="F870" s="1">
        <v>9</v>
      </c>
      <c r="G870" s="1"/>
      <c r="H870" s="2" t="s">
        <v>9</v>
      </c>
      <c r="I87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7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7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71" spans="1:11">
      <c r="A871" s="2" t="s">
        <v>12</v>
      </c>
      <c r="B871" s="2" t="s">
        <v>5</v>
      </c>
      <c r="C871" s="1">
        <v>4</v>
      </c>
      <c r="D871" s="2" t="s">
        <v>16</v>
      </c>
      <c r="E871" s="5" t="str">
        <f>IF(Table1[[#This Row],[Pre or Post]]="Pre",IF(IF(Table1[[#This Row],[Response]]="Male",0,1)+IF(Table1[[#This Row],[Response]]="Female",0,1)=2,E870,Table1[[#This Row],[Response]]),"")</f>
        <v/>
      </c>
      <c r="F871" s="1">
        <v>10</v>
      </c>
      <c r="G871" s="1"/>
      <c r="H871" s="2" t="s">
        <v>9</v>
      </c>
      <c r="I87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7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7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72" spans="1:11">
      <c r="A872" s="2" t="s">
        <v>12</v>
      </c>
      <c r="B872" s="2" t="s">
        <v>5</v>
      </c>
      <c r="C872" s="1">
        <v>5</v>
      </c>
      <c r="D872" s="2" t="s">
        <v>16</v>
      </c>
      <c r="E872" s="5" t="str">
        <f>IF(Table1[[#This Row],[Pre or Post]]="Pre",IF(IF(Table1[[#This Row],[Response]]="Male",0,1)+IF(Table1[[#This Row],[Response]]="Female",0,1)=2,E871,Table1[[#This Row],[Response]]),"")</f>
        <v/>
      </c>
      <c r="F872" s="1">
        <v>2</v>
      </c>
      <c r="G872" s="1">
        <v>3</v>
      </c>
      <c r="H872" s="2" t="s">
        <v>9</v>
      </c>
      <c r="I87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7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7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73" spans="1:11">
      <c r="A873" s="2" t="s">
        <v>12</v>
      </c>
      <c r="B873" s="2" t="s">
        <v>5</v>
      </c>
      <c r="C873" s="1">
        <v>5</v>
      </c>
      <c r="D873" s="2" t="s">
        <v>16</v>
      </c>
      <c r="E873" s="5" t="str">
        <f>IF(Table1[[#This Row],[Pre or Post]]="Pre",IF(IF(Table1[[#This Row],[Response]]="Male",0,1)+IF(Table1[[#This Row],[Response]]="Female",0,1)=2,E872,Table1[[#This Row],[Response]]),"")</f>
        <v/>
      </c>
      <c r="F873" s="1">
        <v>3</v>
      </c>
      <c r="G873" s="1">
        <v>3</v>
      </c>
      <c r="H873" s="2" t="s">
        <v>9</v>
      </c>
      <c r="I87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7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7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74" spans="1:11">
      <c r="A874" s="2" t="s">
        <v>12</v>
      </c>
      <c r="B874" s="2" t="s">
        <v>5</v>
      </c>
      <c r="C874" s="1">
        <v>5</v>
      </c>
      <c r="D874" s="2" t="s">
        <v>16</v>
      </c>
      <c r="E874" s="5" t="str">
        <f>IF(Table1[[#This Row],[Pre or Post]]="Pre",IF(IF(Table1[[#This Row],[Response]]="Male",0,1)+IF(Table1[[#This Row],[Response]]="Female",0,1)=2,E873,Table1[[#This Row],[Response]]),"")</f>
        <v/>
      </c>
      <c r="F874" s="1">
        <v>4</v>
      </c>
      <c r="G874" s="1">
        <v>4</v>
      </c>
      <c r="H874" s="2" t="s">
        <v>9</v>
      </c>
      <c r="I87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7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7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75" spans="1:11">
      <c r="A875" s="2" t="s">
        <v>12</v>
      </c>
      <c r="B875" s="2" t="s">
        <v>5</v>
      </c>
      <c r="C875" s="1">
        <v>5</v>
      </c>
      <c r="D875" s="2" t="s">
        <v>16</v>
      </c>
      <c r="E875" s="5" t="str">
        <f>IF(Table1[[#This Row],[Pre or Post]]="Pre",IF(IF(Table1[[#This Row],[Response]]="Male",0,1)+IF(Table1[[#This Row],[Response]]="Female",0,1)=2,E874,Table1[[#This Row],[Response]]),"")</f>
        <v/>
      </c>
      <c r="F875" s="1">
        <v>12</v>
      </c>
      <c r="G875" s="1">
        <v>4</v>
      </c>
      <c r="H875" s="2" t="s">
        <v>9</v>
      </c>
      <c r="I87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7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7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76" spans="1:11">
      <c r="A876" s="2" t="s">
        <v>12</v>
      </c>
      <c r="B876" s="2" t="s">
        <v>5</v>
      </c>
      <c r="C876" s="1">
        <v>5</v>
      </c>
      <c r="D876" s="2" t="s">
        <v>16</v>
      </c>
      <c r="E876" s="5" t="str">
        <f>IF(Table1[[#This Row],[Pre or Post]]="Pre",IF(IF(Table1[[#This Row],[Response]]="Male",0,1)+IF(Table1[[#This Row],[Response]]="Female",0,1)=2,E875,Table1[[#This Row],[Response]]),"")</f>
        <v/>
      </c>
      <c r="F876" s="1">
        <v>13</v>
      </c>
      <c r="G876" s="1">
        <v>3</v>
      </c>
      <c r="H876" s="2" t="s">
        <v>9</v>
      </c>
      <c r="I87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7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7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77" spans="1:11">
      <c r="A877" s="2" t="s">
        <v>12</v>
      </c>
      <c r="B877" s="2" t="s">
        <v>5</v>
      </c>
      <c r="C877" s="1">
        <v>5</v>
      </c>
      <c r="D877" s="2" t="s">
        <v>16</v>
      </c>
      <c r="E877" s="5" t="str">
        <f>IF(Table1[[#This Row],[Pre or Post]]="Pre",IF(IF(Table1[[#This Row],[Response]]="Male",0,1)+IF(Table1[[#This Row],[Response]]="Female",0,1)=2,E876,Table1[[#This Row],[Response]]),"")</f>
        <v/>
      </c>
      <c r="F877" s="1">
        <v>5</v>
      </c>
      <c r="G877" s="1">
        <v>4</v>
      </c>
      <c r="H877" s="2" t="s">
        <v>9</v>
      </c>
      <c r="I87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7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7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78" spans="1:11">
      <c r="A878" s="2" t="s">
        <v>12</v>
      </c>
      <c r="B878" s="2" t="s">
        <v>5</v>
      </c>
      <c r="C878" s="1">
        <v>5</v>
      </c>
      <c r="D878" s="2" t="s">
        <v>16</v>
      </c>
      <c r="E878" s="5" t="str">
        <f>IF(Table1[[#This Row],[Pre or Post]]="Pre",IF(IF(Table1[[#This Row],[Response]]="Male",0,1)+IF(Table1[[#This Row],[Response]]="Female",0,1)=2,E877,Table1[[#This Row],[Response]]),"")</f>
        <v/>
      </c>
      <c r="F878" s="1">
        <v>6</v>
      </c>
      <c r="G878" s="1">
        <v>4</v>
      </c>
      <c r="H878" s="2" t="s">
        <v>9</v>
      </c>
      <c r="I87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7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7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79" spans="1:11">
      <c r="A879" s="2" t="s">
        <v>12</v>
      </c>
      <c r="B879" s="2" t="s">
        <v>5</v>
      </c>
      <c r="C879" s="1">
        <v>5</v>
      </c>
      <c r="D879" s="2" t="s">
        <v>16</v>
      </c>
      <c r="E879" s="5" t="str">
        <f>IF(Table1[[#This Row],[Pre or Post]]="Pre",IF(IF(Table1[[#This Row],[Response]]="Male",0,1)+IF(Table1[[#This Row],[Response]]="Female",0,1)=2,E878,Table1[[#This Row],[Response]]),"")</f>
        <v/>
      </c>
      <c r="F879" s="1">
        <v>15</v>
      </c>
      <c r="G879" s="1"/>
      <c r="H879" s="2" t="s">
        <v>9</v>
      </c>
      <c r="I87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7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7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80" spans="1:11">
      <c r="A880" s="2" t="s">
        <v>12</v>
      </c>
      <c r="B880" s="2" t="s">
        <v>5</v>
      </c>
      <c r="C880" s="1">
        <v>5</v>
      </c>
      <c r="D880" s="2" t="s">
        <v>16</v>
      </c>
      <c r="E880" s="5" t="str">
        <f>IF(Table1[[#This Row],[Pre or Post]]="Pre",IF(IF(Table1[[#This Row],[Response]]="Male",0,1)+IF(Table1[[#This Row],[Response]]="Female",0,1)=2,E879,Table1[[#This Row],[Response]]),"")</f>
        <v/>
      </c>
      <c r="F880" s="1">
        <v>14</v>
      </c>
      <c r="G880" s="1">
        <v>4</v>
      </c>
      <c r="H880" s="2" t="s">
        <v>9</v>
      </c>
      <c r="I88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8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8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81" spans="1:11">
      <c r="A881" s="2" t="s">
        <v>12</v>
      </c>
      <c r="B881" s="2" t="s">
        <v>5</v>
      </c>
      <c r="C881" s="1">
        <v>5</v>
      </c>
      <c r="D881" s="2" t="s">
        <v>16</v>
      </c>
      <c r="E881" s="5" t="str">
        <f>IF(Table1[[#This Row],[Pre or Post]]="Pre",IF(IF(Table1[[#This Row],[Response]]="Male",0,1)+IF(Table1[[#This Row],[Response]]="Female",0,1)=2,E880,Table1[[#This Row],[Response]]),"")</f>
        <v/>
      </c>
      <c r="F881" s="1">
        <v>7</v>
      </c>
      <c r="G881" s="2">
        <v>3</v>
      </c>
      <c r="H881" s="2" t="s">
        <v>9</v>
      </c>
      <c r="I88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8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8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82" spans="1:11">
      <c r="A882" s="2" t="s">
        <v>12</v>
      </c>
      <c r="B882" s="2" t="s">
        <v>5</v>
      </c>
      <c r="C882" s="1">
        <v>5</v>
      </c>
      <c r="D882" s="2" t="s">
        <v>16</v>
      </c>
      <c r="E882" s="5" t="str">
        <f>IF(Table1[[#This Row],[Pre or Post]]="Pre",IF(IF(Table1[[#This Row],[Response]]="Male",0,1)+IF(Table1[[#This Row],[Response]]="Female",0,1)=2,E881,Table1[[#This Row],[Response]]),"")</f>
        <v/>
      </c>
      <c r="F882" s="1">
        <v>16</v>
      </c>
      <c r="G882" s="1"/>
      <c r="H882" s="2" t="s">
        <v>9</v>
      </c>
      <c r="I88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8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8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83" spans="1:11">
      <c r="A883" s="2" t="s">
        <v>12</v>
      </c>
      <c r="B883" s="2" t="s">
        <v>5</v>
      </c>
      <c r="C883" s="1">
        <v>5</v>
      </c>
      <c r="D883" s="2" t="s">
        <v>16</v>
      </c>
      <c r="E883" s="5" t="str">
        <f>IF(Table1[[#This Row],[Pre or Post]]="Pre",IF(IF(Table1[[#This Row],[Response]]="Male",0,1)+IF(Table1[[#This Row],[Response]]="Female",0,1)=2,E882,Table1[[#This Row],[Response]]),"")</f>
        <v/>
      </c>
      <c r="F883" s="1">
        <v>17</v>
      </c>
      <c r="G883" s="1">
        <v>5</v>
      </c>
      <c r="H883" s="2" t="s">
        <v>9</v>
      </c>
      <c r="I88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8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8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84" spans="1:11">
      <c r="A884" s="2" t="s">
        <v>12</v>
      </c>
      <c r="B884" s="2" t="s">
        <v>5</v>
      </c>
      <c r="C884" s="1">
        <v>5</v>
      </c>
      <c r="D884" s="2" t="s">
        <v>16</v>
      </c>
      <c r="E884" s="5" t="str">
        <f>IF(Table1[[#This Row],[Pre or Post]]="Pre",IF(IF(Table1[[#This Row],[Response]]="Male",0,1)+IF(Table1[[#This Row],[Response]]="Female",0,1)=2,E883,Table1[[#This Row],[Response]]),"")</f>
        <v/>
      </c>
      <c r="F884" s="1">
        <v>8</v>
      </c>
      <c r="G884" s="1" t="s">
        <v>8</v>
      </c>
      <c r="H884" s="2" t="s">
        <v>9</v>
      </c>
      <c r="I88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8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8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85" spans="1:11">
      <c r="A885" s="2" t="s">
        <v>12</v>
      </c>
      <c r="B885" s="2" t="s">
        <v>5</v>
      </c>
      <c r="C885" s="1">
        <v>5</v>
      </c>
      <c r="D885" s="2" t="s">
        <v>16</v>
      </c>
      <c r="E885" s="5" t="str">
        <f>IF(Table1[[#This Row],[Pre or Post]]="Pre",IF(IF(Table1[[#This Row],[Response]]="Male",0,1)+IF(Table1[[#This Row],[Response]]="Female",0,1)=2,E884,Table1[[#This Row],[Response]]),"")</f>
        <v/>
      </c>
      <c r="F885" s="1">
        <v>9</v>
      </c>
      <c r="G885" s="1" t="s">
        <v>17</v>
      </c>
      <c r="H885" s="2" t="s">
        <v>9</v>
      </c>
      <c r="I88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8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8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86" spans="1:11">
      <c r="A886" s="2" t="s">
        <v>12</v>
      </c>
      <c r="B886" s="2" t="s">
        <v>5</v>
      </c>
      <c r="C886" s="1">
        <v>5</v>
      </c>
      <c r="D886" s="2" t="s">
        <v>16</v>
      </c>
      <c r="E886" s="5" t="str">
        <f>IF(Table1[[#This Row],[Pre or Post]]="Pre",IF(IF(Table1[[#This Row],[Response]]="Male",0,1)+IF(Table1[[#This Row],[Response]]="Female",0,1)=2,E885,Table1[[#This Row],[Response]]),"")</f>
        <v/>
      </c>
      <c r="F886" s="1">
        <v>10</v>
      </c>
      <c r="G886" s="1"/>
      <c r="H886" s="2" t="s">
        <v>9</v>
      </c>
      <c r="I88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8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8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87" spans="1:11">
      <c r="A887" s="2" t="s">
        <v>12</v>
      </c>
      <c r="B887" s="2" t="s">
        <v>5</v>
      </c>
      <c r="C887" s="1">
        <v>6</v>
      </c>
      <c r="D887" s="2" t="s">
        <v>16</v>
      </c>
      <c r="E887" s="5" t="str">
        <f>IF(Table1[[#This Row],[Pre or Post]]="Pre",IF(IF(Table1[[#This Row],[Response]]="Male",0,1)+IF(Table1[[#This Row],[Response]]="Female",0,1)=2,E886,Table1[[#This Row],[Response]]),"")</f>
        <v/>
      </c>
      <c r="F887" s="1">
        <v>2</v>
      </c>
      <c r="G887" s="1">
        <v>3</v>
      </c>
      <c r="H887" s="2" t="s">
        <v>9</v>
      </c>
      <c r="I88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8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8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88" spans="1:11">
      <c r="A888" s="2" t="s">
        <v>12</v>
      </c>
      <c r="B888" s="2" t="s">
        <v>5</v>
      </c>
      <c r="C888" s="1">
        <v>6</v>
      </c>
      <c r="D888" s="2" t="s">
        <v>16</v>
      </c>
      <c r="E888" s="5" t="str">
        <f>IF(Table1[[#This Row],[Pre or Post]]="Pre",IF(IF(Table1[[#This Row],[Response]]="Male",0,1)+IF(Table1[[#This Row],[Response]]="Female",0,1)=2,E887,Table1[[#This Row],[Response]]),"")</f>
        <v/>
      </c>
      <c r="F888" s="1">
        <v>3</v>
      </c>
      <c r="G888" s="1">
        <v>3</v>
      </c>
      <c r="H888" s="2" t="s">
        <v>9</v>
      </c>
      <c r="I88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8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8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89" spans="1:11">
      <c r="A889" s="2" t="s">
        <v>12</v>
      </c>
      <c r="B889" s="2" t="s">
        <v>5</v>
      </c>
      <c r="C889" s="1">
        <v>6</v>
      </c>
      <c r="D889" s="2" t="s">
        <v>16</v>
      </c>
      <c r="E889" s="5" t="str">
        <f>IF(Table1[[#This Row],[Pre or Post]]="Pre",IF(IF(Table1[[#This Row],[Response]]="Male",0,1)+IF(Table1[[#This Row],[Response]]="Female",0,1)=2,E888,Table1[[#This Row],[Response]]),"")</f>
        <v/>
      </c>
      <c r="F889" s="1">
        <v>4</v>
      </c>
      <c r="G889" s="1">
        <v>4</v>
      </c>
      <c r="H889" s="2" t="s">
        <v>9</v>
      </c>
      <c r="I88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8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8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90" spans="1:11">
      <c r="A890" s="2" t="s">
        <v>12</v>
      </c>
      <c r="B890" s="2" t="s">
        <v>5</v>
      </c>
      <c r="C890" s="1">
        <v>6</v>
      </c>
      <c r="D890" s="2" t="s">
        <v>16</v>
      </c>
      <c r="E890" s="5" t="str">
        <f>IF(Table1[[#This Row],[Pre or Post]]="Pre",IF(IF(Table1[[#This Row],[Response]]="Male",0,1)+IF(Table1[[#This Row],[Response]]="Female",0,1)=2,E889,Table1[[#This Row],[Response]]),"")</f>
        <v/>
      </c>
      <c r="F890" s="1">
        <v>12</v>
      </c>
      <c r="G890" s="1">
        <v>1</v>
      </c>
      <c r="H890" s="2" t="s">
        <v>9</v>
      </c>
      <c r="I89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9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9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91" spans="1:11">
      <c r="A891" s="2" t="s">
        <v>12</v>
      </c>
      <c r="B891" s="2" t="s">
        <v>5</v>
      </c>
      <c r="C891" s="1">
        <v>6</v>
      </c>
      <c r="D891" s="2" t="s">
        <v>16</v>
      </c>
      <c r="E891" s="5" t="str">
        <f>IF(Table1[[#This Row],[Pre or Post]]="Pre",IF(IF(Table1[[#This Row],[Response]]="Male",0,1)+IF(Table1[[#This Row],[Response]]="Female",0,1)=2,E890,Table1[[#This Row],[Response]]),"")</f>
        <v/>
      </c>
      <c r="F891" s="1">
        <v>13</v>
      </c>
      <c r="G891" s="1">
        <v>3</v>
      </c>
      <c r="H891" s="2" t="s">
        <v>9</v>
      </c>
      <c r="I89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9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9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92" spans="1:11">
      <c r="A892" s="2" t="s">
        <v>12</v>
      </c>
      <c r="B892" s="2" t="s">
        <v>5</v>
      </c>
      <c r="C892" s="1">
        <v>6</v>
      </c>
      <c r="D892" s="2" t="s">
        <v>16</v>
      </c>
      <c r="E892" s="5" t="str">
        <f>IF(Table1[[#This Row],[Pre or Post]]="Pre",IF(IF(Table1[[#This Row],[Response]]="Male",0,1)+IF(Table1[[#This Row],[Response]]="Female",0,1)=2,E891,Table1[[#This Row],[Response]]),"")</f>
        <v/>
      </c>
      <c r="F892" s="1">
        <v>5</v>
      </c>
      <c r="G892" s="1">
        <v>5</v>
      </c>
      <c r="H892" s="2" t="s">
        <v>9</v>
      </c>
      <c r="I89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9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9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93" spans="1:11">
      <c r="A893" s="2" t="s">
        <v>12</v>
      </c>
      <c r="B893" s="2" t="s">
        <v>5</v>
      </c>
      <c r="C893" s="1">
        <v>6</v>
      </c>
      <c r="D893" s="2" t="s">
        <v>16</v>
      </c>
      <c r="E893" s="5" t="str">
        <f>IF(Table1[[#This Row],[Pre or Post]]="Pre",IF(IF(Table1[[#This Row],[Response]]="Male",0,1)+IF(Table1[[#This Row],[Response]]="Female",0,1)=2,E892,Table1[[#This Row],[Response]]),"")</f>
        <v/>
      </c>
      <c r="F893" s="1">
        <v>6</v>
      </c>
      <c r="G893" s="1">
        <v>5</v>
      </c>
      <c r="H893" s="2" t="s">
        <v>9</v>
      </c>
      <c r="I89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9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9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94" spans="1:11">
      <c r="A894" s="2" t="s">
        <v>12</v>
      </c>
      <c r="B894" s="2" t="s">
        <v>5</v>
      </c>
      <c r="C894" s="1">
        <v>6</v>
      </c>
      <c r="D894" s="2" t="s">
        <v>16</v>
      </c>
      <c r="E894" s="5" t="str">
        <f>IF(Table1[[#This Row],[Pre or Post]]="Pre",IF(IF(Table1[[#This Row],[Response]]="Male",0,1)+IF(Table1[[#This Row],[Response]]="Female",0,1)=2,E893,Table1[[#This Row],[Response]]),"")</f>
        <v/>
      </c>
      <c r="F894" s="1">
        <v>15</v>
      </c>
      <c r="G894" s="1">
        <v>2</v>
      </c>
      <c r="H894" s="2" t="s">
        <v>9</v>
      </c>
      <c r="I89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9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9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95" spans="1:11">
      <c r="A895" s="2" t="s">
        <v>12</v>
      </c>
      <c r="B895" s="2" t="s">
        <v>5</v>
      </c>
      <c r="C895" s="1">
        <v>6</v>
      </c>
      <c r="D895" s="2" t="s">
        <v>16</v>
      </c>
      <c r="E895" s="5" t="str">
        <f>IF(Table1[[#This Row],[Pre or Post]]="Pre",IF(IF(Table1[[#This Row],[Response]]="Male",0,1)+IF(Table1[[#This Row],[Response]]="Female",0,1)=2,E894,Table1[[#This Row],[Response]]),"")</f>
        <v/>
      </c>
      <c r="F895" s="1">
        <v>14</v>
      </c>
      <c r="G895" s="1">
        <v>4</v>
      </c>
      <c r="H895" s="2" t="s">
        <v>9</v>
      </c>
      <c r="I89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9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9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96" spans="1:11">
      <c r="A896" s="2" t="s">
        <v>12</v>
      </c>
      <c r="B896" s="2" t="s">
        <v>5</v>
      </c>
      <c r="C896" s="1">
        <v>6</v>
      </c>
      <c r="D896" s="2" t="s">
        <v>16</v>
      </c>
      <c r="E896" s="5" t="str">
        <f>IF(Table1[[#This Row],[Pre or Post]]="Pre",IF(IF(Table1[[#This Row],[Response]]="Male",0,1)+IF(Table1[[#This Row],[Response]]="Female",0,1)=2,E895,Table1[[#This Row],[Response]]),"")</f>
        <v/>
      </c>
      <c r="F896" s="1">
        <v>7</v>
      </c>
      <c r="G896" s="1">
        <v>5</v>
      </c>
      <c r="H896" s="2" t="s">
        <v>9</v>
      </c>
      <c r="I89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9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9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97" spans="1:11">
      <c r="A897" s="2" t="s">
        <v>12</v>
      </c>
      <c r="B897" s="2" t="s">
        <v>5</v>
      </c>
      <c r="C897" s="1">
        <v>6</v>
      </c>
      <c r="D897" s="2" t="s">
        <v>16</v>
      </c>
      <c r="E897" s="5" t="str">
        <f>IF(Table1[[#This Row],[Pre or Post]]="Pre",IF(IF(Table1[[#This Row],[Response]]="Male",0,1)+IF(Table1[[#This Row],[Response]]="Female",0,1)=2,E896,Table1[[#This Row],[Response]]),"")</f>
        <v/>
      </c>
      <c r="F897" s="1">
        <v>16</v>
      </c>
      <c r="G897" s="1">
        <v>3</v>
      </c>
      <c r="H897" s="2" t="s">
        <v>9</v>
      </c>
      <c r="I89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9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9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98" spans="1:11">
      <c r="A898" s="2" t="s">
        <v>12</v>
      </c>
      <c r="B898" s="2" t="s">
        <v>5</v>
      </c>
      <c r="C898" s="1">
        <v>6</v>
      </c>
      <c r="D898" s="2" t="s">
        <v>16</v>
      </c>
      <c r="E898" s="5" t="str">
        <f>IF(Table1[[#This Row],[Pre or Post]]="Pre",IF(IF(Table1[[#This Row],[Response]]="Male",0,1)+IF(Table1[[#This Row],[Response]]="Female",0,1)=2,E897,Table1[[#This Row],[Response]]),"")</f>
        <v/>
      </c>
      <c r="F898" s="1">
        <v>17</v>
      </c>
      <c r="G898" s="1">
        <v>5</v>
      </c>
      <c r="H898" s="2" t="s">
        <v>9</v>
      </c>
      <c r="I89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9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9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899" spans="1:11">
      <c r="A899" s="2" t="s">
        <v>12</v>
      </c>
      <c r="B899" s="2" t="s">
        <v>5</v>
      </c>
      <c r="C899" s="1">
        <v>6</v>
      </c>
      <c r="D899" s="2" t="s">
        <v>16</v>
      </c>
      <c r="E899" s="5" t="str">
        <f>IF(Table1[[#This Row],[Pre or Post]]="Pre",IF(IF(Table1[[#This Row],[Response]]="Male",0,1)+IF(Table1[[#This Row],[Response]]="Female",0,1)=2,E898,Table1[[#This Row],[Response]]),"")</f>
        <v/>
      </c>
      <c r="F899" s="1">
        <v>8</v>
      </c>
      <c r="G899" s="1" t="s">
        <v>8</v>
      </c>
      <c r="H899" s="2" t="s">
        <v>9</v>
      </c>
      <c r="I89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89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89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00" spans="1:11">
      <c r="A900" s="2" t="s">
        <v>12</v>
      </c>
      <c r="B900" s="2" t="s">
        <v>5</v>
      </c>
      <c r="C900" s="1">
        <v>6</v>
      </c>
      <c r="D900" s="2" t="s">
        <v>16</v>
      </c>
      <c r="E900" s="5" t="str">
        <f>IF(Table1[[#This Row],[Pre or Post]]="Pre",IF(IF(Table1[[#This Row],[Response]]="Male",0,1)+IF(Table1[[#This Row],[Response]]="Female",0,1)=2,E899,Table1[[#This Row],[Response]]),"")</f>
        <v/>
      </c>
      <c r="F900" s="1">
        <v>9</v>
      </c>
      <c r="G900" s="1" t="s">
        <v>17</v>
      </c>
      <c r="H900" s="2" t="s">
        <v>9</v>
      </c>
      <c r="I90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0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0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01" spans="1:11">
      <c r="A901" s="2" t="s">
        <v>12</v>
      </c>
      <c r="B901" s="2" t="s">
        <v>5</v>
      </c>
      <c r="C901" s="1">
        <v>6</v>
      </c>
      <c r="D901" s="2" t="s">
        <v>16</v>
      </c>
      <c r="E901" s="5" t="str">
        <f>IF(Table1[[#This Row],[Pre or Post]]="Pre",IF(IF(Table1[[#This Row],[Response]]="Male",0,1)+IF(Table1[[#This Row],[Response]]="Female",0,1)=2,E900,Table1[[#This Row],[Response]]),"")</f>
        <v/>
      </c>
      <c r="F901" s="1">
        <v>10</v>
      </c>
      <c r="G901" s="2" t="s">
        <v>18</v>
      </c>
      <c r="H901" s="2" t="s">
        <v>9</v>
      </c>
      <c r="I90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0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0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02" spans="1:11">
      <c r="A902" s="2" t="s">
        <v>12</v>
      </c>
      <c r="B902" s="2" t="s">
        <v>5</v>
      </c>
      <c r="C902" s="1">
        <v>7</v>
      </c>
      <c r="D902" s="2" t="s">
        <v>16</v>
      </c>
      <c r="E902" s="5" t="str">
        <f>IF(Table1[[#This Row],[Pre or Post]]="Pre",IF(IF(Table1[[#This Row],[Response]]="Male",0,1)+IF(Table1[[#This Row],[Response]]="Female",0,1)=2,E901,Table1[[#This Row],[Response]]),"")</f>
        <v/>
      </c>
      <c r="F902" s="1">
        <v>2</v>
      </c>
      <c r="G902" s="1">
        <v>3</v>
      </c>
      <c r="H902" s="2" t="s">
        <v>9</v>
      </c>
      <c r="I90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0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0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03" spans="1:11">
      <c r="A903" s="2" t="s">
        <v>12</v>
      </c>
      <c r="B903" s="2" t="s">
        <v>5</v>
      </c>
      <c r="C903" s="1">
        <v>7</v>
      </c>
      <c r="D903" s="2" t="s">
        <v>16</v>
      </c>
      <c r="E903" s="5" t="str">
        <f>IF(Table1[[#This Row],[Pre or Post]]="Pre",IF(IF(Table1[[#This Row],[Response]]="Male",0,1)+IF(Table1[[#This Row],[Response]]="Female",0,1)=2,E902,Table1[[#This Row],[Response]]),"")</f>
        <v/>
      </c>
      <c r="F903" s="1">
        <v>3</v>
      </c>
      <c r="G903" s="1">
        <v>4</v>
      </c>
      <c r="H903" s="2" t="s">
        <v>9</v>
      </c>
      <c r="I90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0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0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04" spans="1:11">
      <c r="A904" s="2" t="s">
        <v>12</v>
      </c>
      <c r="B904" s="2" t="s">
        <v>5</v>
      </c>
      <c r="C904" s="1">
        <v>7</v>
      </c>
      <c r="D904" s="2" t="s">
        <v>16</v>
      </c>
      <c r="E904" s="5" t="str">
        <f>IF(Table1[[#This Row],[Pre or Post]]="Pre",IF(IF(Table1[[#This Row],[Response]]="Male",0,1)+IF(Table1[[#This Row],[Response]]="Female",0,1)=2,E903,Table1[[#This Row],[Response]]),"")</f>
        <v/>
      </c>
      <c r="F904" s="1">
        <v>4</v>
      </c>
      <c r="G904" s="1">
        <v>4</v>
      </c>
      <c r="H904" s="2" t="s">
        <v>9</v>
      </c>
      <c r="I90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0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0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05" spans="1:11">
      <c r="A905" s="2" t="s">
        <v>12</v>
      </c>
      <c r="B905" s="2" t="s">
        <v>5</v>
      </c>
      <c r="C905" s="1">
        <v>7</v>
      </c>
      <c r="D905" s="2" t="s">
        <v>16</v>
      </c>
      <c r="E905" s="5" t="str">
        <f>IF(Table1[[#This Row],[Pre or Post]]="Pre",IF(IF(Table1[[#This Row],[Response]]="Male",0,1)+IF(Table1[[#This Row],[Response]]="Female",0,1)=2,E904,Table1[[#This Row],[Response]]),"")</f>
        <v/>
      </c>
      <c r="F905" s="1">
        <v>12</v>
      </c>
      <c r="G905" s="1">
        <v>2</v>
      </c>
      <c r="H905" s="2" t="s">
        <v>9</v>
      </c>
      <c r="I90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0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0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06" spans="1:11">
      <c r="A906" s="2" t="s">
        <v>12</v>
      </c>
      <c r="B906" s="2" t="s">
        <v>5</v>
      </c>
      <c r="C906" s="1">
        <v>7</v>
      </c>
      <c r="D906" s="2" t="s">
        <v>16</v>
      </c>
      <c r="E906" s="5" t="str">
        <f>IF(Table1[[#This Row],[Pre or Post]]="Pre",IF(IF(Table1[[#This Row],[Response]]="Male",0,1)+IF(Table1[[#This Row],[Response]]="Female",0,1)=2,E905,Table1[[#This Row],[Response]]),"")</f>
        <v/>
      </c>
      <c r="F906" s="1">
        <v>13</v>
      </c>
      <c r="G906" s="1">
        <v>4</v>
      </c>
      <c r="H906" s="2" t="s">
        <v>9</v>
      </c>
      <c r="I90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0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0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07" spans="1:11">
      <c r="A907" s="2" t="s">
        <v>12</v>
      </c>
      <c r="B907" s="2" t="s">
        <v>5</v>
      </c>
      <c r="C907" s="1">
        <v>7</v>
      </c>
      <c r="D907" s="2" t="s">
        <v>16</v>
      </c>
      <c r="E907" s="5" t="str">
        <f>IF(Table1[[#This Row],[Pre or Post]]="Pre",IF(IF(Table1[[#This Row],[Response]]="Male",0,1)+IF(Table1[[#This Row],[Response]]="Female",0,1)=2,E906,Table1[[#This Row],[Response]]),"")</f>
        <v/>
      </c>
      <c r="F907" s="1">
        <v>5</v>
      </c>
      <c r="G907" s="1">
        <v>3</v>
      </c>
      <c r="H907" s="2" t="s">
        <v>9</v>
      </c>
      <c r="I90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0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0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08" spans="1:11">
      <c r="A908" s="2" t="s">
        <v>12</v>
      </c>
      <c r="B908" s="2" t="s">
        <v>5</v>
      </c>
      <c r="C908" s="1">
        <v>7</v>
      </c>
      <c r="D908" s="2" t="s">
        <v>16</v>
      </c>
      <c r="E908" s="5" t="str">
        <f>IF(Table1[[#This Row],[Pre or Post]]="Pre",IF(IF(Table1[[#This Row],[Response]]="Male",0,1)+IF(Table1[[#This Row],[Response]]="Female",0,1)=2,E907,Table1[[#This Row],[Response]]),"")</f>
        <v/>
      </c>
      <c r="F908" s="1">
        <v>6</v>
      </c>
      <c r="G908" s="1">
        <v>4</v>
      </c>
      <c r="H908" s="2" t="s">
        <v>9</v>
      </c>
      <c r="I90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0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0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09" spans="1:11">
      <c r="A909" s="2" t="s">
        <v>12</v>
      </c>
      <c r="B909" s="2" t="s">
        <v>5</v>
      </c>
      <c r="C909" s="1">
        <v>7</v>
      </c>
      <c r="D909" s="2" t="s">
        <v>16</v>
      </c>
      <c r="E909" s="5" t="str">
        <f>IF(Table1[[#This Row],[Pre or Post]]="Pre",IF(IF(Table1[[#This Row],[Response]]="Male",0,1)+IF(Table1[[#This Row],[Response]]="Female",0,1)=2,E908,Table1[[#This Row],[Response]]),"")</f>
        <v/>
      </c>
      <c r="F909" s="1">
        <v>15</v>
      </c>
      <c r="G909" s="1">
        <v>2</v>
      </c>
      <c r="H909" s="2" t="s">
        <v>9</v>
      </c>
      <c r="I90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0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0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10" spans="1:11">
      <c r="A910" s="2" t="s">
        <v>12</v>
      </c>
      <c r="B910" s="2" t="s">
        <v>5</v>
      </c>
      <c r="C910" s="1">
        <v>7</v>
      </c>
      <c r="D910" s="2" t="s">
        <v>16</v>
      </c>
      <c r="E910" s="5" t="str">
        <f>IF(Table1[[#This Row],[Pre or Post]]="Pre",IF(IF(Table1[[#This Row],[Response]]="Male",0,1)+IF(Table1[[#This Row],[Response]]="Female",0,1)=2,E909,Table1[[#This Row],[Response]]),"")</f>
        <v/>
      </c>
      <c r="F910" s="1">
        <v>14</v>
      </c>
      <c r="G910" s="1">
        <v>5</v>
      </c>
      <c r="H910" s="2" t="s">
        <v>9</v>
      </c>
      <c r="I91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1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1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11" spans="1:11">
      <c r="A911" s="2" t="s">
        <v>12</v>
      </c>
      <c r="B911" s="2" t="s">
        <v>5</v>
      </c>
      <c r="C911" s="1">
        <v>7</v>
      </c>
      <c r="D911" s="2" t="s">
        <v>16</v>
      </c>
      <c r="E911" s="5" t="str">
        <f>IF(Table1[[#This Row],[Pre or Post]]="Pre",IF(IF(Table1[[#This Row],[Response]]="Male",0,1)+IF(Table1[[#This Row],[Response]]="Female",0,1)=2,E910,Table1[[#This Row],[Response]]),"")</f>
        <v/>
      </c>
      <c r="F911" s="1">
        <v>7</v>
      </c>
      <c r="G911" s="1">
        <v>3</v>
      </c>
      <c r="H911" s="2" t="s">
        <v>9</v>
      </c>
      <c r="I91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1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1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12" spans="1:11">
      <c r="A912" s="2" t="s">
        <v>12</v>
      </c>
      <c r="B912" s="2" t="s">
        <v>5</v>
      </c>
      <c r="C912" s="1">
        <v>7</v>
      </c>
      <c r="D912" s="2" t="s">
        <v>16</v>
      </c>
      <c r="E912" s="5" t="str">
        <f>IF(Table1[[#This Row],[Pre or Post]]="Pre",IF(IF(Table1[[#This Row],[Response]]="Male",0,1)+IF(Table1[[#This Row],[Response]]="Female",0,1)=2,E911,Table1[[#This Row],[Response]]),"")</f>
        <v/>
      </c>
      <c r="F912" s="1">
        <v>16</v>
      </c>
      <c r="G912" s="1">
        <v>2</v>
      </c>
      <c r="H912" s="2" t="s">
        <v>9</v>
      </c>
      <c r="I91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1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1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13" spans="1:11">
      <c r="A913" s="2" t="s">
        <v>12</v>
      </c>
      <c r="B913" s="2" t="s">
        <v>5</v>
      </c>
      <c r="C913" s="1">
        <v>7</v>
      </c>
      <c r="D913" s="2" t="s">
        <v>16</v>
      </c>
      <c r="E913" s="5" t="str">
        <f>IF(Table1[[#This Row],[Pre or Post]]="Pre",IF(IF(Table1[[#This Row],[Response]]="Male",0,1)+IF(Table1[[#This Row],[Response]]="Female",0,1)=2,E912,Table1[[#This Row],[Response]]),"")</f>
        <v/>
      </c>
      <c r="F913" s="1">
        <v>17</v>
      </c>
      <c r="G913" s="1">
        <v>5</v>
      </c>
      <c r="H913" s="2" t="s">
        <v>9</v>
      </c>
      <c r="I91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1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1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14" spans="1:11">
      <c r="A914" s="2" t="s">
        <v>12</v>
      </c>
      <c r="B914" s="2" t="s">
        <v>5</v>
      </c>
      <c r="C914" s="1">
        <v>7</v>
      </c>
      <c r="D914" s="2" t="s">
        <v>16</v>
      </c>
      <c r="E914" s="5" t="str">
        <f>IF(Table1[[#This Row],[Pre or Post]]="Pre",IF(IF(Table1[[#This Row],[Response]]="Male",0,1)+IF(Table1[[#This Row],[Response]]="Female",0,1)=2,E913,Table1[[#This Row],[Response]]),"")</f>
        <v/>
      </c>
      <c r="F914" s="1">
        <v>8</v>
      </c>
      <c r="G914" s="1"/>
      <c r="H914" s="2" t="s">
        <v>9</v>
      </c>
      <c r="I91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1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1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15" spans="1:11">
      <c r="A915" s="2" t="s">
        <v>12</v>
      </c>
      <c r="B915" s="2" t="s">
        <v>5</v>
      </c>
      <c r="C915" s="1">
        <v>7</v>
      </c>
      <c r="D915" s="2" t="s">
        <v>16</v>
      </c>
      <c r="E915" s="5" t="str">
        <f>IF(Table1[[#This Row],[Pre or Post]]="Pre",IF(IF(Table1[[#This Row],[Response]]="Male",0,1)+IF(Table1[[#This Row],[Response]]="Female",0,1)=2,E914,Table1[[#This Row],[Response]]),"")</f>
        <v/>
      </c>
      <c r="F915" s="1">
        <v>9</v>
      </c>
      <c r="G915" s="1"/>
      <c r="H915" s="2" t="s">
        <v>9</v>
      </c>
      <c r="I91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1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1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16" spans="1:11">
      <c r="A916" s="2" t="s">
        <v>12</v>
      </c>
      <c r="B916" s="2" t="s">
        <v>5</v>
      </c>
      <c r="C916" s="1">
        <v>7</v>
      </c>
      <c r="D916" s="2" t="s">
        <v>16</v>
      </c>
      <c r="E916" s="5" t="str">
        <f>IF(Table1[[#This Row],[Pre or Post]]="Pre",IF(IF(Table1[[#This Row],[Response]]="Male",0,1)+IF(Table1[[#This Row],[Response]]="Female",0,1)=2,E915,Table1[[#This Row],[Response]]),"")</f>
        <v/>
      </c>
      <c r="F916" s="1">
        <v>10</v>
      </c>
      <c r="G916" s="1"/>
      <c r="H916" s="2" t="s">
        <v>9</v>
      </c>
      <c r="I91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1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1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17" spans="1:11">
      <c r="A917" s="2" t="s">
        <v>12</v>
      </c>
      <c r="B917" s="2" t="s">
        <v>5</v>
      </c>
      <c r="C917" s="1">
        <v>8</v>
      </c>
      <c r="D917" s="2" t="s">
        <v>16</v>
      </c>
      <c r="E917" s="5" t="str">
        <f>IF(Table1[[#This Row],[Pre or Post]]="Pre",IF(IF(Table1[[#This Row],[Response]]="Male",0,1)+IF(Table1[[#This Row],[Response]]="Female",0,1)=2,E916,Table1[[#This Row],[Response]]),"")</f>
        <v/>
      </c>
      <c r="F917" s="1">
        <v>2</v>
      </c>
      <c r="G917" s="1">
        <v>3</v>
      </c>
      <c r="H917" s="2" t="s">
        <v>9</v>
      </c>
      <c r="I91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1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1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18" spans="1:11">
      <c r="A918" s="2" t="s">
        <v>12</v>
      </c>
      <c r="B918" s="2" t="s">
        <v>5</v>
      </c>
      <c r="C918" s="1">
        <v>8</v>
      </c>
      <c r="D918" s="2" t="s">
        <v>16</v>
      </c>
      <c r="E918" s="5" t="str">
        <f>IF(Table1[[#This Row],[Pre or Post]]="Pre",IF(IF(Table1[[#This Row],[Response]]="Male",0,1)+IF(Table1[[#This Row],[Response]]="Female",0,1)=2,E917,Table1[[#This Row],[Response]]),"")</f>
        <v/>
      </c>
      <c r="F918" s="1">
        <v>3</v>
      </c>
      <c r="G918" s="1">
        <v>4</v>
      </c>
      <c r="H918" s="2" t="s">
        <v>9</v>
      </c>
      <c r="I91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1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1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19" spans="1:11">
      <c r="A919" s="2" t="s">
        <v>12</v>
      </c>
      <c r="B919" s="2" t="s">
        <v>5</v>
      </c>
      <c r="C919" s="1">
        <v>8</v>
      </c>
      <c r="D919" s="2" t="s">
        <v>16</v>
      </c>
      <c r="E919" s="5" t="str">
        <f>IF(Table1[[#This Row],[Pre or Post]]="Pre",IF(IF(Table1[[#This Row],[Response]]="Male",0,1)+IF(Table1[[#This Row],[Response]]="Female",0,1)=2,E918,Table1[[#This Row],[Response]]),"")</f>
        <v/>
      </c>
      <c r="F919" s="1">
        <v>4</v>
      </c>
      <c r="G919" s="1">
        <v>4</v>
      </c>
      <c r="H919" s="2" t="s">
        <v>9</v>
      </c>
      <c r="I91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1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1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20" spans="1:11">
      <c r="A920" s="2" t="s">
        <v>12</v>
      </c>
      <c r="B920" s="2" t="s">
        <v>5</v>
      </c>
      <c r="C920" s="1">
        <v>8</v>
      </c>
      <c r="D920" s="2" t="s">
        <v>16</v>
      </c>
      <c r="E920" s="5" t="str">
        <f>IF(Table1[[#This Row],[Pre or Post]]="Pre",IF(IF(Table1[[#This Row],[Response]]="Male",0,1)+IF(Table1[[#This Row],[Response]]="Female",0,1)=2,E919,Table1[[#This Row],[Response]]),"")</f>
        <v/>
      </c>
      <c r="F920" s="1">
        <v>12</v>
      </c>
      <c r="G920" s="1"/>
      <c r="H920" s="2" t="s">
        <v>9</v>
      </c>
      <c r="I92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2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2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21" spans="1:11">
      <c r="A921" s="2" t="s">
        <v>12</v>
      </c>
      <c r="B921" s="2" t="s">
        <v>5</v>
      </c>
      <c r="C921" s="1">
        <v>8</v>
      </c>
      <c r="D921" s="2" t="s">
        <v>16</v>
      </c>
      <c r="E921" s="5" t="str">
        <f>IF(Table1[[#This Row],[Pre or Post]]="Pre",IF(IF(Table1[[#This Row],[Response]]="Male",0,1)+IF(Table1[[#This Row],[Response]]="Female",0,1)=2,E920,Table1[[#This Row],[Response]]),"")</f>
        <v/>
      </c>
      <c r="F921" s="1">
        <v>13</v>
      </c>
      <c r="G921" s="2"/>
      <c r="H921" s="2" t="s">
        <v>9</v>
      </c>
      <c r="I92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2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2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22" spans="1:11">
      <c r="A922" s="2" t="s">
        <v>12</v>
      </c>
      <c r="B922" s="2" t="s">
        <v>5</v>
      </c>
      <c r="C922" s="1">
        <v>8</v>
      </c>
      <c r="D922" s="2" t="s">
        <v>16</v>
      </c>
      <c r="E922" s="5" t="str">
        <f>IF(Table1[[#This Row],[Pre or Post]]="Pre",IF(IF(Table1[[#This Row],[Response]]="Male",0,1)+IF(Table1[[#This Row],[Response]]="Female",0,1)=2,E921,Table1[[#This Row],[Response]]),"")</f>
        <v/>
      </c>
      <c r="F922" s="1">
        <v>5</v>
      </c>
      <c r="G922" s="1">
        <v>4</v>
      </c>
      <c r="H922" s="2" t="s">
        <v>9</v>
      </c>
      <c r="I92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2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2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23" spans="1:11">
      <c r="A923" s="2" t="s">
        <v>12</v>
      </c>
      <c r="B923" s="2" t="s">
        <v>5</v>
      </c>
      <c r="C923" s="1">
        <v>8</v>
      </c>
      <c r="D923" s="2" t="s">
        <v>16</v>
      </c>
      <c r="E923" s="5" t="str">
        <f>IF(Table1[[#This Row],[Pre or Post]]="Pre",IF(IF(Table1[[#This Row],[Response]]="Male",0,1)+IF(Table1[[#This Row],[Response]]="Female",0,1)=2,E922,Table1[[#This Row],[Response]]),"")</f>
        <v/>
      </c>
      <c r="F923" s="1">
        <v>6</v>
      </c>
      <c r="G923" s="1">
        <v>4</v>
      </c>
      <c r="H923" s="2" t="s">
        <v>9</v>
      </c>
      <c r="I92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2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2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24" spans="1:11">
      <c r="A924" s="2" t="s">
        <v>12</v>
      </c>
      <c r="B924" s="2" t="s">
        <v>5</v>
      </c>
      <c r="C924" s="1">
        <v>8</v>
      </c>
      <c r="D924" s="2" t="s">
        <v>16</v>
      </c>
      <c r="E924" s="5" t="str">
        <f>IF(Table1[[#This Row],[Pre or Post]]="Pre",IF(IF(Table1[[#This Row],[Response]]="Male",0,1)+IF(Table1[[#This Row],[Response]]="Female",0,1)=2,E923,Table1[[#This Row],[Response]]),"")</f>
        <v/>
      </c>
      <c r="F924" s="1">
        <v>15</v>
      </c>
      <c r="G924" s="1"/>
      <c r="H924" s="2" t="s">
        <v>9</v>
      </c>
      <c r="I92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2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2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25" spans="1:11">
      <c r="A925" s="2" t="s">
        <v>12</v>
      </c>
      <c r="B925" s="2" t="s">
        <v>5</v>
      </c>
      <c r="C925" s="1">
        <v>8</v>
      </c>
      <c r="D925" s="2" t="s">
        <v>16</v>
      </c>
      <c r="E925" s="5" t="str">
        <f>IF(Table1[[#This Row],[Pre or Post]]="Pre",IF(IF(Table1[[#This Row],[Response]]="Male",0,1)+IF(Table1[[#This Row],[Response]]="Female",0,1)=2,E924,Table1[[#This Row],[Response]]),"")</f>
        <v/>
      </c>
      <c r="F925" s="1">
        <v>14</v>
      </c>
      <c r="G925" s="1">
        <v>5</v>
      </c>
      <c r="H925" s="2" t="s">
        <v>9</v>
      </c>
      <c r="I92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2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2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26" spans="1:11">
      <c r="A926" s="2" t="s">
        <v>12</v>
      </c>
      <c r="B926" s="2" t="s">
        <v>5</v>
      </c>
      <c r="C926" s="1">
        <v>8</v>
      </c>
      <c r="D926" s="2" t="s">
        <v>16</v>
      </c>
      <c r="E926" s="5" t="str">
        <f>IF(Table1[[#This Row],[Pre or Post]]="Pre",IF(IF(Table1[[#This Row],[Response]]="Male",0,1)+IF(Table1[[#This Row],[Response]]="Female",0,1)=2,E925,Table1[[#This Row],[Response]]),"")</f>
        <v/>
      </c>
      <c r="F926" s="1">
        <v>7</v>
      </c>
      <c r="G926" s="1">
        <v>4</v>
      </c>
      <c r="H926" s="2" t="s">
        <v>9</v>
      </c>
      <c r="I92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2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2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27" spans="1:11">
      <c r="A927" s="2" t="s">
        <v>12</v>
      </c>
      <c r="B927" s="2" t="s">
        <v>5</v>
      </c>
      <c r="C927" s="1">
        <v>8</v>
      </c>
      <c r="D927" s="2" t="s">
        <v>16</v>
      </c>
      <c r="E927" s="5" t="str">
        <f>IF(Table1[[#This Row],[Pre or Post]]="Pre",IF(IF(Table1[[#This Row],[Response]]="Male",0,1)+IF(Table1[[#This Row],[Response]]="Female",0,1)=2,E926,Table1[[#This Row],[Response]]),"")</f>
        <v/>
      </c>
      <c r="F927" s="1">
        <v>16</v>
      </c>
      <c r="G927" s="1">
        <v>3</v>
      </c>
      <c r="H927" s="2" t="s">
        <v>9</v>
      </c>
      <c r="I92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2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2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28" spans="1:11">
      <c r="A928" s="2" t="s">
        <v>12</v>
      </c>
      <c r="B928" s="2" t="s">
        <v>5</v>
      </c>
      <c r="C928" s="1">
        <v>8</v>
      </c>
      <c r="D928" s="2" t="s">
        <v>16</v>
      </c>
      <c r="E928" s="5" t="str">
        <f>IF(Table1[[#This Row],[Pre or Post]]="Pre",IF(IF(Table1[[#This Row],[Response]]="Male",0,1)+IF(Table1[[#This Row],[Response]]="Female",0,1)=2,E927,Table1[[#This Row],[Response]]),"")</f>
        <v/>
      </c>
      <c r="F928" s="1">
        <v>17</v>
      </c>
      <c r="G928" s="1">
        <v>5</v>
      </c>
      <c r="H928" s="2" t="s">
        <v>9</v>
      </c>
      <c r="I92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2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2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29" spans="1:11">
      <c r="A929" s="2" t="s">
        <v>12</v>
      </c>
      <c r="B929" s="2" t="s">
        <v>5</v>
      </c>
      <c r="C929" s="1">
        <v>8</v>
      </c>
      <c r="D929" s="2" t="s">
        <v>16</v>
      </c>
      <c r="E929" s="5" t="str">
        <f>IF(Table1[[#This Row],[Pre or Post]]="Pre",IF(IF(Table1[[#This Row],[Response]]="Male",0,1)+IF(Table1[[#This Row],[Response]]="Female",0,1)=2,E928,Table1[[#This Row],[Response]]),"")</f>
        <v/>
      </c>
      <c r="F929" s="1">
        <v>8</v>
      </c>
      <c r="G929" s="1"/>
      <c r="H929" s="2" t="s">
        <v>9</v>
      </c>
      <c r="I92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2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2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30" spans="1:11">
      <c r="A930" s="2" t="s">
        <v>12</v>
      </c>
      <c r="B930" s="2" t="s">
        <v>5</v>
      </c>
      <c r="C930" s="1">
        <v>8</v>
      </c>
      <c r="D930" s="2" t="s">
        <v>16</v>
      </c>
      <c r="E930" s="5" t="str">
        <f>IF(Table1[[#This Row],[Pre or Post]]="Pre",IF(IF(Table1[[#This Row],[Response]]="Male",0,1)+IF(Table1[[#This Row],[Response]]="Female",0,1)=2,E929,Table1[[#This Row],[Response]]),"")</f>
        <v/>
      </c>
      <c r="F930" s="1">
        <v>9</v>
      </c>
      <c r="G930" s="1"/>
      <c r="H930" s="2" t="s">
        <v>9</v>
      </c>
      <c r="I93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3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3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31" spans="1:11">
      <c r="A931" s="2" t="s">
        <v>12</v>
      </c>
      <c r="B931" s="2" t="s">
        <v>5</v>
      </c>
      <c r="C931" s="1">
        <v>8</v>
      </c>
      <c r="D931" s="2" t="s">
        <v>16</v>
      </c>
      <c r="E931" s="5" t="str">
        <f>IF(Table1[[#This Row],[Pre or Post]]="Pre",IF(IF(Table1[[#This Row],[Response]]="Male",0,1)+IF(Table1[[#This Row],[Response]]="Female",0,1)=2,E930,Table1[[#This Row],[Response]]),"")</f>
        <v/>
      </c>
      <c r="F931" s="1">
        <v>10</v>
      </c>
      <c r="G931" s="1"/>
      <c r="H931" s="2" t="s">
        <v>9</v>
      </c>
      <c r="I93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3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3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32" spans="1:11">
      <c r="A932" s="2" t="s">
        <v>12</v>
      </c>
      <c r="B932" s="2" t="s">
        <v>5</v>
      </c>
      <c r="C932" s="1">
        <v>9</v>
      </c>
      <c r="D932" s="2" t="s">
        <v>16</v>
      </c>
      <c r="E932" s="5" t="str">
        <f>IF(Table1[[#This Row],[Pre or Post]]="Pre",IF(IF(Table1[[#This Row],[Response]]="Male",0,1)+IF(Table1[[#This Row],[Response]]="Female",0,1)=2,E931,Table1[[#This Row],[Response]]),"")</f>
        <v/>
      </c>
      <c r="F932" s="1">
        <v>2</v>
      </c>
      <c r="G932" s="1">
        <v>4</v>
      </c>
      <c r="H932" s="2" t="s">
        <v>9</v>
      </c>
      <c r="I93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3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3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33" spans="1:11">
      <c r="A933" s="2" t="s">
        <v>12</v>
      </c>
      <c r="B933" s="2" t="s">
        <v>5</v>
      </c>
      <c r="C933" s="1">
        <v>9</v>
      </c>
      <c r="D933" s="2" t="s">
        <v>16</v>
      </c>
      <c r="E933" s="5" t="str">
        <f>IF(Table1[[#This Row],[Pre or Post]]="Pre",IF(IF(Table1[[#This Row],[Response]]="Male",0,1)+IF(Table1[[#This Row],[Response]]="Female",0,1)=2,E932,Table1[[#This Row],[Response]]),"")</f>
        <v/>
      </c>
      <c r="F933" s="1">
        <v>3</v>
      </c>
      <c r="G933" s="1">
        <v>3</v>
      </c>
      <c r="H933" s="2" t="s">
        <v>9</v>
      </c>
      <c r="I93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3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3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34" spans="1:11">
      <c r="A934" s="2" t="s">
        <v>12</v>
      </c>
      <c r="B934" s="2" t="s">
        <v>5</v>
      </c>
      <c r="C934" s="1">
        <v>9</v>
      </c>
      <c r="D934" s="2" t="s">
        <v>16</v>
      </c>
      <c r="E934" s="5" t="str">
        <f>IF(Table1[[#This Row],[Pre or Post]]="Pre",IF(IF(Table1[[#This Row],[Response]]="Male",0,1)+IF(Table1[[#This Row],[Response]]="Female",0,1)=2,E933,Table1[[#This Row],[Response]]),"")</f>
        <v/>
      </c>
      <c r="F934" s="1">
        <v>4</v>
      </c>
      <c r="G934" s="1">
        <v>4</v>
      </c>
      <c r="H934" s="2" t="s">
        <v>9</v>
      </c>
      <c r="I93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3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3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35" spans="1:11">
      <c r="A935" s="2" t="s">
        <v>12</v>
      </c>
      <c r="B935" s="2" t="s">
        <v>5</v>
      </c>
      <c r="C935" s="1">
        <v>9</v>
      </c>
      <c r="D935" s="2" t="s">
        <v>16</v>
      </c>
      <c r="E935" s="5" t="str">
        <f>IF(Table1[[#This Row],[Pre or Post]]="Pre",IF(IF(Table1[[#This Row],[Response]]="Male",0,1)+IF(Table1[[#This Row],[Response]]="Female",0,1)=2,E934,Table1[[#This Row],[Response]]),"")</f>
        <v/>
      </c>
      <c r="F935" s="1">
        <v>12</v>
      </c>
      <c r="G935" s="1">
        <v>2</v>
      </c>
      <c r="H935" s="2" t="s">
        <v>9</v>
      </c>
      <c r="I93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3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3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36" spans="1:11">
      <c r="A936" s="2" t="s">
        <v>12</v>
      </c>
      <c r="B936" s="2" t="s">
        <v>5</v>
      </c>
      <c r="C936" s="1">
        <v>9</v>
      </c>
      <c r="D936" s="2" t="s">
        <v>16</v>
      </c>
      <c r="E936" s="5" t="str">
        <f>IF(Table1[[#This Row],[Pre or Post]]="Pre",IF(IF(Table1[[#This Row],[Response]]="Male",0,1)+IF(Table1[[#This Row],[Response]]="Female",0,1)=2,E935,Table1[[#This Row],[Response]]),"")</f>
        <v/>
      </c>
      <c r="F936" s="1">
        <v>13</v>
      </c>
      <c r="G936" s="1">
        <v>4</v>
      </c>
      <c r="H936" s="2" t="s">
        <v>9</v>
      </c>
      <c r="I93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3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3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37" spans="1:11">
      <c r="A937" s="2" t="s">
        <v>12</v>
      </c>
      <c r="B937" s="2" t="s">
        <v>5</v>
      </c>
      <c r="C937" s="1">
        <v>9</v>
      </c>
      <c r="D937" s="2" t="s">
        <v>16</v>
      </c>
      <c r="E937" s="5" t="str">
        <f>IF(Table1[[#This Row],[Pre or Post]]="Pre",IF(IF(Table1[[#This Row],[Response]]="Male",0,1)+IF(Table1[[#This Row],[Response]]="Female",0,1)=2,E936,Table1[[#This Row],[Response]]),"")</f>
        <v/>
      </c>
      <c r="F937" s="1">
        <v>5</v>
      </c>
      <c r="G937" s="1">
        <v>4</v>
      </c>
      <c r="H937" s="2" t="s">
        <v>9</v>
      </c>
      <c r="I93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3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3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38" spans="1:11">
      <c r="A938" s="2" t="s">
        <v>12</v>
      </c>
      <c r="B938" s="2" t="s">
        <v>5</v>
      </c>
      <c r="C938" s="1">
        <v>9</v>
      </c>
      <c r="D938" s="2" t="s">
        <v>16</v>
      </c>
      <c r="E938" s="5" t="str">
        <f>IF(Table1[[#This Row],[Pre or Post]]="Pre",IF(IF(Table1[[#This Row],[Response]]="Male",0,1)+IF(Table1[[#This Row],[Response]]="Female",0,1)=2,E937,Table1[[#This Row],[Response]]),"")</f>
        <v/>
      </c>
      <c r="F938" s="1">
        <v>6</v>
      </c>
      <c r="G938" s="1">
        <v>4</v>
      </c>
      <c r="H938" s="2" t="s">
        <v>9</v>
      </c>
      <c r="I93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3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3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39" spans="1:11">
      <c r="A939" s="2" t="s">
        <v>12</v>
      </c>
      <c r="B939" s="2" t="s">
        <v>5</v>
      </c>
      <c r="C939" s="1">
        <v>9</v>
      </c>
      <c r="D939" s="2" t="s">
        <v>16</v>
      </c>
      <c r="E939" s="5" t="str">
        <f>IF(Table1[[#This Row],[Pre or Post]]="Pre",IF(IF(Table1[[#This Row],[Response]]="Male",0,1)+IF(Table1[[#This Row],[Response]]="Female",0,1)=2,E938,Table1[[#This Row],[Response]]),"")</f>
        <v/>
      </c>
      <c r="F939" s="1">
        <v>15</v>
      </c>
      <c r="G939" s="1">
        <v>4</v>
      </c>
      <c r="H939" s="2" t="s">
        <v>9</v>
      </c>
      <c r="I93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3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3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40" spans="1:11">
      <c r="A940" s="2" t="s">
        <v>12</v>
      </c>
      <c r="B940" s="2" t="s">
        <v>5</v>
      </c>
      <c r="C940" s="1">
        <v>9</v>
      </c>
      <c r="D940" s="2" t="s">
        <v>16</v>
      </c>
      <c r="E940" s="5" t="str">
        <f>IF(Table1[[#This Row],[Pre or Post]]="Pre",IF(IF(Table1[[#This Row],[Response]]="Male",0,1)+IF(Table1[[#This Row],[Response]]="Female",0,1)=2,E939,Table1[[#This Row],[Response]]),"")</f>
        <v/>
      </c>
      <c r="F940" s="1">
        <v>14</v>
      </c>
      <c r="G940" s="1">
        <v>5</v>
      </c>
      <c r="H940" s="2" t="s">
        <v>9</v>
      </c>
      <c r="I94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4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4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41" spans="1:11">
      <c r="A941" s="2" t="s">
        <v>12</v>
      </c>
      <c r="B941" s="2" t="s">
        <v>5</v>
      </c>
      <c r="C941" s="1">
        <v>9</v>
      </c>
      <c r="D941" s="2" t="s">
        <v>16</v>
      </c>
      <c r="E941" s="5" t="str">
        <f>IF(Table1[[#This Row],[Pre or Post]]="Pre",IF(IF(Table1[[#This Row],[Response]]="Male",0,1)+IF(Table1[[#This Row],[Response]]="Female",0,1)=2,E940,Table1[[#This Row],[Response]]),"")</f>
        <v/>
      </c>
      <c r="F941" s="1">
        <v>7</v>
      </c>
      <c r="G941" s="2">
        <v>4</v>
      </c>
      <c r="H941" s="2" t="s">
        <v>9</v>
      </c>
      <c r="I94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4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4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42" spans="1:11">
      <c r="A942" s="2" t="s">
        <v>12</v>
      </c>
      <c r="B942" s="2" t="s">
        <v>5</v>
      </c>
      <c r="C942" s="1">
        <v>9</v>
      </c>
      <c r="D942" s="2" t="s">
        <v>16</v>
      </c>
      <c r="E942" s="5" t="str">
        <f>IF(Table1[[#This Row],[Pre or Post]]="Pre",IF(IF(Table1[[#This Row],[Response]]="Male",0,1)+IF(Table1[[#This Row],[Response]]="Female",0,1)=2,E941,Table1[[#This Row],[Response]]),"")</f>
        <v/>
      </c>
      <c r="F942" s="1">
        <v>16</v>
      </c>
      <c r="G942" s="1">
        <v>2</v>
      </c>
      <c r="H942" s="2" t="s">
        <v>9</v>
      </c>
      <c r="I94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4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4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43" spans="1:11">
      <c r="A943" s="2" t="s">
        <v>12</v>
      </c>
      <c r="B943" s="2" t="s">
        <v>5</v>
      </c>
      <c r="C943" s="1">
        <v>9</v>
      </c>
      <c r="D943" s="2" t="s">
        <v>16</v>
      </c>
      <c r="E943" s="5" t="str">
        <f>IF(Table1[[#This Row],[Pre or Post]]="Pre",IF(IF(Table1[[#This Row],[Response]]="Male",0,1)+IF(Table1[[#This Row],[Response]]="Female",0,1)=2,E942,Table1[[#This Row],[Response]]),"")</f>
        <v/>
      </c>
      <c r="F943" s="1">
        <v>17</v>
      </c>
      <c r="G943" s="1">
        <v>3</v>
      </c>
      <c r="H943" s="2" t="s">
        <v>9</v>
      </c>
      <c r="I94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4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4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44" spans="1:11">
      <c r="A944" s="2" t="s">
        <v>12</v>
      </c>
      <c r="B944" s="2" t="s">
        <v>5</v>
      </c>
      <c r="C944" s="1">
        <v>9</v>
      </c>
      <c r="D944" s="2" t="s">
        <v>16</v>
      </c>
      <c r="E944" s="5" t="str">
        <f>IF(Table1[[#This Row],[Pre or Post]]="Pre",IF(IF(Table1[[#This Row],[Response]]="Male",0,1)+IF(Table1[[#This Row],[Response]]="Female",0,1)=2,E943,Table1[[#This Row],[Response]]),"")</f>
        <v/>
      </c>
      <c r="F944" s="1">
        <v>8</v>
      </c>
      <c r="G944" s="1"/>
      <c r="H944" s="2" t="s">
        <v>9</v>
      </c>
      <c r="I94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4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4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45" spans="1:11">
      <c r="A945" s="2" t="s">
        <v>12</v>
      </c>
      <c r="B945" s="2" t="s">
        <v>5</v>
      </c>
      <c r="C945" s="1">
        <v>9</v>
      </c>
      <c r="D945" s="2" t="s">
        <v>16</v>
      </c>
      <c r="E945" s="5" t="str">
        <f>IF(Table1[[#This Row],[Pre or Post]]="Pre",IF(IF(Table1[[#This Row],[Response]]="Male",0,1)+IF(Table1[[#This Row],[Response]]="Female",0,1)=2,E944,Table1[[#This Row],[Response]]),"")</f>
        <v/>
      </c>
      <c r="F945" s="1">
        <v>9</v>
      </c>
      <c r="G945" s="1"/>
      <c r="H945" s="2" t="s">
        <v>9</v>
      </c>
      <c r="I94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4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4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46" spans="1:11">
      <c r="A946" s="2" t="s">
        <v>12</v>
      </c>
      <c r="B946" s="2" t="s">
        <v>5</v>
      </c>
      <c r="C946" s="1">
        <v>9</v>
      </c>
      <c r="D946" s="2" t="s">
        <v>16</v>
      </c>
      <c r="E946" s="5" t="str">
        <f>IF(Table1[[#This Row],[Pre or Post]]="Pre",IF(IF(Table1[[#This Row],[Response]]="Male",0,1)+IF(Table1[[#This Row],[Response]]="Female",0,1)=2,E945,Table1[[#This Row],[Response]]),"")</f>
        <v/>
      </c>
      <c r="F946" s="1">
        <v>10</v>
      </c>
      <c r="G946" s="1"/>
      <c r="H946" s="2" t="s">
        <v>9</v>
      </c>
      <c r="I94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4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4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47" spans="1:11">
      <c r="A947" s="2" t="s">
        <v>12</v>
      </c>
      <c r="B947" s="2" t="s">
        <v>5</v>
      </c>
      <c r="C947" s="1">
        <v>10</v>
      </c>
      <c r="D947" s="2" t="s">
        <v>16</v>
      </c>
      <c r="E947" s="5" t="str">
        <f>IF(Table1[[#This Row],[Pre or Post]]="Pre",IF(IF(Table1[[#This Row],[Response]]="Male",0,1)+IF(Table1[[#This Row],[Response]]="Female",0,1)=2,E946,Table1[[#This Row],[Response]]),"")</f>
        <v/>
      </c>
      <c r="F947" s="1">
        <v>2</v>
      </c>
      <c r="G947" s="1">
        <v>4</v>
      </c>
      <c r="H947" s="2" t="s">
        <v>9</v>
      </c>
      <c r="I94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4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4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48" spans="1:11">
      <c r="A948" s="2" t="s">
        <v>12</v>
      </c>
      <c r="B948" s="2" t="s">
        <v>5</v>
      </c>
      <c r="C948" s="1">
        <v>10</v>
      </c>
      <c r="D948" s="2" t="s">
        <v>16</v>
      </c>
      <c r="E948" s="5" t="str">
        <f>IF(Table1[[#This Row],[Pre or Post]]="Pre",IF(IF(Table1[[#This Row],[Response]]="Male",0,1)+IF(Table1[[#This Row],[Response]]="Female",0,1)=2,E947,Table1[[#This Row],[Response]]),"")</f>
        <v/>
      </c>
      <c r="F948" s="1">
        <v>3</v>
      </c>
      <c r="G948" s="1">
        <v>4</v>
      </c>
      <c r="H948" s="2" t="s">
        <v>9</v>
      </c>
      <c r="I94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4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4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49" spans="1:11">
      <c r="A949" s="2" t="s">
        <v>12</v>
      </c>
      <c r="B949" s="2" t="s">
        <v>5</v>
      </c>
      <c r="C949" s="1">
        <v>10</v>
      </c>
      <c r="D949" s="2" t="s">
        <v>16</v>
      </c>
      <c r="E949" s="5" t="str">
        <f>IF(Table1[[#This Row],[Pre or Post]]="Pre",IF(IF(Table1[[#This Row],[Response]]="Male",0,1)+IF(Table1[[#This Row],[Response]]="Female",0,1)=2,E948,Table1[[#This Row],[Response]]),"")</f>
        <v/>
      </c>
      <c r="F949" s="1">
        <v>4</v>
      </c>
      <c r="G949" s="1">
        <v>5</v>
      </c>
      <c r="H949" s="2" t="s">
        <v>9</v>
      </c>
      <c r="I94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4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4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50" spans="1:11">
      <c r="A950" s="2" t="s">
        <v>12</v>
      </c>
      <c r="B950" s="2" t="s">
        <v>5</v>
      </c>
      <c r="C950" s="1">
        <v>10</v>
      </c>
      <c r="D950" s="2" t="s">
        <v>16</v>
      </c>
      <c r="E950" s="5" t="str">
        <f>IF(Table1[[#This Row],[Pre or Post]]="Pre",IF(IF(Table1[[#This Row],[Response]]="Male",0,1)+IF(Table1[[#This Row],[Response]]="Female",0,1)=2,E949,Table1[[#This Row],[Response]]),"")</f>
        <v/>
      </c>
      <c r="F950" s="1">
        <v>12</v>
      </c>
      <c r="G950" s="1">
        <v>3</v>
      </c>
      <c r="H950" s="2" t="s">
        <v>9</v>
      </c>
      <c r="I95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5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5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51" spans="1:11">
      <c r="A951" s="2" t="s">
        <v>12</v>
      </c>
      <c r="B951" s="2" t="s">
        <v>5</v>
      </c>
      <c r="C951" s="1">
        <v>10</v>
      </c>
      <c r="D951" s="2" t="s">
        <v>16</v>
      </c>
      <c r="E951" s="5" t="str">
        <f>IF(Table1[[#This Row],[Pre or Post]]="Pre",IF(IF(Table1[[#This Row],[Response]]="Male",0,1)+IF(Table1[[#This Row],[Response]]="Female",0,1)=2,E950,Table1[[#This Row],[Response]]),"")</f>
        <v/>
      </c>
      <c r="F951" s="1">
        <v>13</v>
      </c>
      <c r="G951" s="1">
        <v>3</v>
      </c>
      <c r="H951" s="2" t="s">
        <v>9</v>
      </c>
      <c r="I95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5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5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52" spans="1:11">
      <c r="A952" s="2" t="s">
        <v>12</v>
      </c>
      <c r="B952" s="2" t="s">
        <v>5</v>
      </c>
      <c r="C952" s="1">
        <v>10</v>
      </c>
      <c r="D952" s="2" t="s">
        <v>16</v>
      </c>
      <c r="E952" s="5" t="str">
        <f>IF(Table1[[#This Row],[Pre or Post]]="Pre",IF(IF(Table1[[#This Row],[Response]]="Male",0,1)+IF(Table1[[#This Row],[Response]]="Female",0,1)=2,E951,Table1[[#This Row],[Response]]),"")</f>
        <v/>
      </c>
      <c r="F952" s="1">
        <v>5</v>
      </c>
      <c r="G952" s="1">
        <v>5</v>
      </c>
      <c r="H952" s="2" t="s">
        <v>9</v>
      </c>
      <c r="I95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5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5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53" spans="1:11">
      <c r="A953" s="2" t="s">
        <v>12</v>
      </c>
      <c r="B953" s="2" t="s">
        <v>5</v>
      </c>
      <c r="C953" s="1">
        <v>10</v>
      </c>
      <c r="D953" s="2" t="s">
        <v>16</v>
      </c>
      <c r="E953" s="5" t="str">
        <f>IF(Table1[[#This Row],[Pre or Post]]="Pre",IF(IF(Table1[[#This Row],[Response]]="Male",0,1)+IF(Table1[[#This Row],[Response]]="Female",0,1)=2,E952,Table1[[#This Row],[Response]]),"")</f>
        <v/>
      </c>
      <c r="F953" s="1">
        <v>6</v>
      </c>
      <c r="G953" s="1">
        <v>5</v>
      </c>
      <c r="H953" s="2" t="s">
        <v>9</v>
      </c>
      <c r="I95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5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5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54" spans="1:11">
      <c r="A954" s="2" t="s">
        <v>12</v>
      </c>
      <c r="B954" s="2" t="s">
        <v>5</v>
      </c>
      <c r="C954" s="1">
        <v>10</v>
      </c>
      <c r="D954" s="2" t="s">
        <v>16</v>
      </c>
      <c r="E954" s="5" t="str">
        <f>IF(Table1[[#This Row],[Pre or Post]]="Pre",IF(IF(Table1[[#This Row],[Response]]="Male",0,1)+IF(Table1[[#This Row],[Response]]="Female",0,1)=2,E953,Table1[[#This Row],[Response]]),"")</f>
        <v/>
      </c>
      <c r="F954" s="1">
        <v>15</v>
      </c>
      <c r="G954" s="1"/>
      <c r="H954" s="2" t="s">
        <v>9</v>
      </c>
      <c r="I95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5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5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55" spans="1:11">
      <c r="A955" s="2" t="s">
        <v>12</v>
      </c>
      <c r="B955" s="2" t="s">
        <v>5</v>
      </c>
      <c r="C955" s="1">
        <v>10</v>
      </c>
      <c r="D955" s="2" t="s">
        <v>16</v>
      </c>
      <c r="E955" s="5" t="str">
        <f>IF(Table1[[#This Row],[Pre or Post]]="Pre",IF(IF(Table1[[#This Row],[Response]]="Male",0,1)+IF(Table1[[#This Row],[Response]]="Female",0,1)=2,E954,Table1[[#This Row],[Response]]),"")</f>
        <v/>
      </c>
      <c r="F955" s="1">
        <v>14</v>
      </c>
      <c r="G955" s="1">
        <v>4</v>
      </c>
      <c r="H955" s="2" t="s">
        <v>9</v>
      </c>
      <c r="I95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5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5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56" spans="1:11">
      <c r="A956" s="2" t="s">
        <v>12</v>
      </c>
      <c r="B956" s="2" t="s">
        <v>5</v>
      </c>
      <c r="C956" s="1">
        <v>10</v>
      </c>
      <c r="D956" s="2" t="s">
        <v>16</v>
      </c>
      <c r="E956" s="5" t="str">
        <f>IF(Table1[[#This Row],[Pre or Post]]="Pre",IF(IF(Table1[[#This Row],[Response]]="Male",0,1)+IF(Table1[[#This Row],[Response]]="Female",0,1)=2,E955,Table1[[#This Row],[Response]]),"")</f>
        <v/>
      </c>
      <c r="F956" s="1">
        <v>7</v>
      </c>
      <c r="G956" s="1">
        <v>3</v>
      </c>
      <c r="H956" s="2" t="s">
        <v>9</v>
      </c>
      <c r="I95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5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5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57" spans="1:11">
      <c r="A957" s="2" t="s">
        <v>12</v>
      </c>
      <c r="B957" s="2" t="s">
        <v>5</v>
      </c>
      <c r="C957" s="1">
        <v>10</v>
      </c>
      <c r="D957" s="2" t="s">
        <v>16</v>
      </c>
      <c r="E957" s="5" t="str">
        <f>IF(Table1[[#This Row],[Pre or Post]]="Pre",IF(IF(Table1[[#This Row],[Response]]="Male",0,1)+IF(Table1[[#This Row],[Response]]="Female",0,1)=2,E956,Table1[[#This Row],[Response]]),"")</f>
        <v/>
      </c>
      <c r="F957" s="1">
        <v>16</v>
      </c>
      <c r="G957" s="1"/>
      <c r="H957" s="2" t="s">
        <v>9</v>
      </c>
      <c r="I95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5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5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58" spans="1:11">
      <c r="A958" s="2" t="s">
        <v>12</v>
      </c>
      <c r="B958" s="2" t="s">
        <v>5</v>
      </c>
      <c r="C958" s="1">
        <v>10</v>
      </c>
      <c r="D958" s="2" t="s">
        <v>16</v>
      </c>
      <c r="E958" s="5" t="str">
        <f>IF(Table1[[#This Row],[Pre or Post]]="Pre",IF(IF(Table1[[#This Row],[Response]]="Male",0,1)+IF(Table1[[#This Row],[Response]]="Female",0,1)=2,E957,Table1[[#This Row],[Response]]),"")</f>
        <v/>
      </c>
      <c r="F958" s="1">
        <v>17</v>
      </c>
      <c r="G958" s="1">
        <v>4</v>
      </c>
      <c r="H958" s="2" t="s">
        <v>9</v>
      </c>
      <c r="I95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5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5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59" spans="1:11">
      <c r="A959" s="2" t="s">
        <v>12</v>
      </c>
      <c r="B959" s="2" t="s">
        <v>5</v>
      </c>
      <c r="C959" s="1">
        <v>10</v>
      </c>
      <c r="D959" s="2" t="s">
        <v>16</v>
      </c>
      <c r="E959" s="5" t="str">
        <f>IF(Table1[[#This Row],[Pre or Post]]="Pre",IF(IF(Table1[[#This Row],[Response]]="Male",0,1)+IF(Table1[[#This Row],[Response]]="Female",0,1)=2,E958,Table1[[#This Row],[Response]]),"")</f>
        <v/>
      </c>
      <c r="F959" s="1">
        <v>8</v>
      </c>
      <c r="G959" s="1"/>
      <c r="H959" s="2" t="s">
        <v>9</v>
      </c>
      <c r="I95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5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5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60" spans="1:11">
      <c r="A960" s="2" t="s">
        <v>12</v>
      </c>
      <c r="B960" s="2" t="s">
        <v>5</v>
      </c>
      <c r="C960" s="1">
        <v>10</v>
      </c>
      <c r="D960" s="2" t="s">
        <v>16</v>
      </c>
      <c r="E960" s="5" t="str">
        <f>IF(Table1[[#This Row],[Pre or Post]]="Pre",IF(IF(Table1[[#This Row],[Response]]="Male",0,1)+IF(Table1[[#This Row],[Response]]="Female",0,1)=2,E959,Table1[[#This Row],[Response]]),"")</f>
        <v/>
      </c>
      <c r="F960" s="1">
        <v>9</v>
      </c>
      <c r="G960" s="1"/>
      <c r="H960" s="2" t="s">
        <v>9</v>
      </c>
      <c r="I96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6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6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61" spans="1:11">
      <c r="A961" s="2" t="s">
        <v>12</v>
      </c>
      <c r="B961" s="2" t="s">
        <v>5</v>
      </c>
      <c r="C961" s="1">
        <v>10</v>
      </c>
      <c r="D961" s="2" t="s">
        <v>16</v>
      </c>
      <c r="E961" s="5" t="str">
        <f>IF(Table1[[#This Row],[Pre or Post]]="Pre",IF(IF(Table1[[#This Row],[Response]]="Male",0,1)+IF(Table1[[#This Row],[Response]]="Female",0,1)=2,E960,Table1[[#This Row],[Response]]),"")</f>
        <v/>
      </c>
      <c r="F961" s="1">
        <v>10</v>
      </c>
      <c r="G961" s="2"/>
      <c r="H961" s="2" t="s">
        <v>9</v>
      </c>
      <c r="I96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6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6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62" spans="1:11">
      <c r="A962" s="2" t="s">
        <v>12</v>
      </c>
      <c r="B962" s="2" t="s">
        <v>5</v>
      </c>
      <c r="C962" s="1">
        <v>11</v>
      </c>
      <c r="D962" s="2" t="s">
        <v>16</v>
      </c>
      <c r="E962" s="5" t="str">
        <f>IF(Table1[[#This Row],[Pre or Post]]="Pre",IF(IF(Table1[[#This Row],[Response]]="Male",0,1)+IF(Table1[[#This Row],[Response]]="Female",0,1)=2,E961,Table1[[#This Row],[Response]]),"")</f>
        <v/>
      </c>
      <c r="F962" s="1">
        <v>2</v>
      </c>
      <c r="G962" s="1">
        <v>4</v>
      </c>
      <c r="H962" s="2" t="s">
        <v>9</v>
      </c>
      <c r="I96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6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6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63" spans="1:11">
      <c r="A963" s="2" t="s">
        <v>12</v>
      </c>
      <c r="B963" s="2" t="s">
        <v>5</v>
      </c>
      <c r="C963" s="1">
        <v>11</v>
      </c>
      <c r="D963" s="2" t="s">
        <v>16</v>
      </c>
      <c r="E963" s="5" t="str">
        <f>IF(Table1[[#This Row],[Pre or Post]]="Pre",IF(IF(Table1[[#This Row],[Response]]="Male",0,1)+IF(Table1[[#This Row],[Response]]="Female",0,1)=2,E962,Table1[[#This Row],[Response]]),"")</f>
        <v/>
      </c>
      <c r="F963" s="1">
        <v>3</v>
      </c>
      <c r="G963" s="1">
        <v>4</v>
      </c>
      <c r="H963" s="2" t="s">
        <v>9</v>
      </c>
      <c r="I96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6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6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64" spans="1:11">
      <c r="A964" s="2" t="s">
        <v>12</v>
      </c>
      <c r="B964" s="2" t="s">
        <v>5</v>
      </c>
      <c r="C964" s="1">
        <v>11</v>
      </c>
      <c r="D964" s="2" t="s">
        <v>16</v>
      </c>
      <c r="E964" s="5" t="str">
        <f>IF(Table1[[#This Row],[Pre or Post]]="Pre",IF(IF(Table1[[#This Row],[Response]]="Male",0,1)+IF(Table1[[#This Row],[Response]]="Female",0,1)=2,E963,Table1[[#This Row],[Response]]),"")</f>
        <v/>
      </c>
      <c r="F964" s="1">
        <v>4</v>
      </c>
      <c r="G964" s="1">
        <v>4</v>
      </c>
      <c r="H964" s="2" t="s">
        <v>9</v>
      </c>
      <c r="I96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6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6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65" spans="1:11">
      <c r="A965" s="2" t="s">
        <v>12</v>
      </c>
      <c r="B965" s="2" t="s">
        <v>5</v>
      </c>
      <c r="C965" s="1">
        <v>11</v>
      </c>
      <c r="D965" s="2" t="s">
        <v>16</v>
      </c>
      <c r="E965" s="5" t="str">
        <f>IF(Table1[[#This Row],[Pre or Post]]="Pre",IF(IF(Table1[[#This Row],[Response]]="Male",0,1)+IF(Table1[[#This Row],[Response]]="Female",0,1)=2,E964,Table1[[#This Row],[Response]]),"")</f>
        <v/>
      </c>
      <c r="F965" s="1">
        <v>12</v>
      </c>
      <c r="G965" s="1">
        <v>3</v>
      </c>
      <c r="H965" s="2" t="s">
        <v>9</v>
      </c>
      <c r="I96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6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6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66" spans="1:11">
      <c r="A966" s="2" t="s">
        <v>12</v>
      </c>
      <c r="B966" s="2" t="s">
        <v>5</v>
      </c>
      <c r="C966" s="1">
        <v>11</v>
      </c>
      <c r="D966" s="2" t="s">
        <v>16</v>
      </c>
      <c r="E966" s="5" t="str">
        <f>IF(Table1[[#This Row],[Pre or Post]]="Pre",IF(IF(Table1[[#This Row],[Response]]="Male",0,1)+IF(Table1[[#This Row],[Response]]="Female",0,1)=2,E965,Table1[[#This Row],[Response]]),"")</f>
        <v/>
      </c>
      <c r="F966" s="1">
        <v>13</v>
      </c>
      <c r="G966" s="1">
        <v>4</v>
      </c>
      <c r="H966" s="2" t="s">
        <v>9</v>
      </c>
      <c r="I96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6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6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67" spans="1:11">
      <c r="A967" s="2" t="s">
        <v>12</v>
      </c>
      <c r="B967" s="2" t="s">
        <v>5</v>
      </c>
      <c r="C967" s="1">
        <v>11</v>
      </c>
      <c r="D967" s="2" t="s">
        <v>16</v>
      </c>
      <c r="E967" s="5" t="str">
        <f>IF(Table1[[#This Row],[Pre or Post]]="Pre",IF(IF(Table1[[#This Row],[Response]]="Male",0,1)+IF(Table1[[#This Row],[Response]]="Female",0,1)=2,E966,Table1[[#This Row],[Response]]),"")</f>
        <v/>
      </c>
      <c r="F967" s="1">
        <v>5</v>
      </c>
      <c r="G967" s="1">
        <v>5</v>
      </c>
      <c r="H967" s="2" t="s">
        <v>9</v>
      </c>
      <c r="I96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6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6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68" spans="1:11">
      <c r="A968" s="2" t="s">
        <v>12</v>
      </c>
      <c r="B968" s="2" t="s">
        <v>5</v>
      </c>
      <c r="C968" s="1">
        <v>11</v>
      </c>
      <c r="D968" s="2" t="s">
        <v>16</v>
      </c>
      <c r="E968" s="5" t="str">
        <f>IF(Table1[[#This Row],[Pre or Post]]="Pre",IF(IF(Table1[[#This Row],[Response]]="Male",0,1)+IF(Table1[[#This Row],[Response]]="Female",0,1)=2,E967,Table1[[#This Row],[Response]]),"")</f>
        <v/>
      </c>
      <c r="F968" s="1">
        <v>6</v>
      </c>
      <c r="G968" s="1">
        <v>5</v>
      </c>
      <c r="H968" s="2" t="s">
        <v>9</v>
      </c>
      <c r="I96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6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6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69" spans="1:11">
      <c r="A969" s="2" t="s">
        <v>12</v>
      </c>
      <c r="B969" s="2" t="s">
        <v>5</v>
      </c>
      <c r="C969" s="1">
        <v>11</v>
      </c>
      <c r="D969" s="2" t="s">
        <v>16</v>
      </c>
      <c r="E969" s="5" t="str">
        <f>IF(Table1[[#This Row],[Pre or Post]]="Pre",IF(IF(Table1[[#This Row],[Response]]="Male",0,1)+IF(Table1[[#This Row],[Response]]="Female",0,1)=2,E968,Table1[[#This Row],[Response]]),"")</f>
        <v/>
      </c>
      <c r="F969" s="1">
        <v>15</v>
      </c>
      <c r="G969" s="1">
        <v>5</v>
      </c>
      <c r="H969" s="2" t="s">
        <v>9</v>
      </c>
      <c r="I96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6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6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70" spans="1:11">
      <c r="A970" s="2" t="s">
        <v>12</v>
      </c>
      <c r="B970" s="2" t="s">
        <v>5</v>
      </c>
      <c r="C970" s="1">
        <v>11</v>
      </c>
      <c r="D970" s="2" t="s">
        <v>16</v>
      </c>
      <c r="E970" s="5" t="str">
        <f>IF(Table1[[#This Row],[Pre or Post]]="Pre",IF(IF(Table1[[#This Row],[Response]]="Male",0,1)+IF(Table1[[#This Row],[Response]]="Female",0,1)=2,E969,Table1[[#This Row],[Response]]),"")</f>
        <v/>
      </c>
      <c r="F970" s="1">
        <v>14</v>
      </c>
      <c r="G970" s="1">
        <v>4</v>
      </c>
      <c r="H970" s="2" t="s">
        <v>9</v>
      </c>
      <c r="I97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7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7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71" spans="1:11">
      <c r="A971" s="2" t="s">
        <v>12</v>
      </c>
      <c r="B971" s="2" t="s">
        <v>5</v>
      </c>
      <c r="C971" s="1">
        <v>11</v>
      </c>
      <c r="D971" s="2" t="s">
        <v>16</v>
      </c>
      <c r="E971" s="5" t="str">
        <f>IF(Table1[[#This Row],[Pre or Post]]="Pre",IF(IF(Table1[[#This Row],[Response]]="Male",0,1)+IF(Table1[[#This Row],[Response]]="Female",0,1)=2,E970,Table1[[#This Row],[Response]]),"")</f>
        <v/>
      </c>
      <c r="F971" s="1">
        <v>7</v>
      </c>
      <c r="G971" s="1">
        <v>4</v>
      </c>
      <c r="H971" s="2" t="s">
        <v>9</v>
      </c>
      <c r="I97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7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7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72" spans="1:11">
      <c r="A972" s="2" t="s">
        <v>12</v>
      </c>
      <c r="B972" s="2" t="s">
        <v>5</v>
      </c>
      <c r="C972" s="1">
        <v>11</v>
      </c>
      <c r="D972" s="2" t="s">
        <v>16</v>
      </c>
      <c r="E972" s="5" t="str">
        <f>IF(Table1[[#This Row],[Pre or Post]]="Pre",IF(IF(Table1[[#This Row],[Response]]="Male",0,1)+IF(Table1[[#This Row],[Response]]="Female",0,1)=2,E971,Table1[[#This Row],[Response]]),"")</f>
        <v/>
      </c>
      <c r="F972" s="1">
        <v>16</v>
      </c>
      <c r="G972" s="1">
        <v>5</v>
      </c>
      <c r="H972" s="2" t="s">
        <v>9</v>
      </c>
      <c r="I97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7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7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73" spans="1:11">
      <c r="A973" s="2" t="s">
        <v>12</v>
      </c>
      <c r="B973" s="2" t="s">
        <v>5</v>
      </c>
      <c r="C973" s="1">
        <v>11</v>
      </c>
      <c r="D973" s="2" t="s">
        <v>16</v>
      </c>
      <c r="E973" s="5" t="str">
        <f>IF(Table1[[#This Row],[Pre or Post]]="Pre",IF(IF(Table1[[#This Row],[Response]]="Male",0,1)+IF(Table1[[#This Row],[Response]]="Female",0,1)=2,E972,Table1[[#This Row],[Response]]),"")</f>
        <v/>
      </c>
      <c r="F973" s="1">
        <v>17</v>
      </c>
      <c r="G973" s="1">
        <v>5</v>
      </c>
      <c r="H973" s="2" t="s">
        <v>9</v>
      </c>
      <c r="I97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7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7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74" spans="1:11">
      <c r="A974" s="2" t="s">
        <v>12</v>
      </c>
      <c r="B974" s="2" t="s">
        <v>5</v>
      </c>
      <c r="C974" s="1">
        <v>11</v>
      </c>
      <c r="D974" s="2" t="s">
        <v>16</v>
      </c>
      <c r="E974" s="5" t="str">
        <f>IF(Table1[[#This Row],[Pre or Post]]="Pre",IF(IF(Table1[[#This Row],[Response]]="Male",0,1)+IF(Table1[[#This Row],[Response]]="Female",0,1)=2,E973,Table1[[#This Row],[Response]]),"")</f>
        <v/>
      </c>
      <c r="F974" s="1">
        <v>8</v>
      </c>
      <c r="G974" s="1"/>
      <c r="H974" s="2" t="s">
        <v>9</v>
      </c>
      <c r="I97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7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7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75" spans="1:11">
      <c r="A975" s="2" t="s">
        <v>12</v>
      </c>
      <c r="B975" s="2" t="s">
        <v>5</v>
      </c>
      <c r="C975" s="1">
        <v>11</v>
      </c>
      <c r="D975" s="2" t="s">
        <v>16</v>
      </c>
      <c r="E975" s="5" t="str">
        <f>IF(Table1[[#This Row],[Pre or Post]]="Pre",IF(IF(Table1[[#This Row],[Response]]="Male",0,1)+IF(Table1[[#This Row],[Response]]="Female",0,1)=2,E974,Table1[[#This Row],[Response]]),"")</f>
        <v/>
      </c>
      <c r="F975" s="1">
        <v>9</v>
      </c>
      <c r="G975" s="1"/>
      <c r="H975" s="2" t="s">
        <v>9</v>
      </c>
      <c r="I97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7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7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76" spans="1:11">
      <c r="A976" s="2" t="s">
        <v>12</v>
      </c>
      <c r="B976" s="2" t="s">
        <v>5</v>
      </c>
      <c r="C976" s="1">
        <v>11</v>
      </c>
      <c r="D976" s="2" t="s">
        <v>16</v>
      </c>
      <c r="E976" s="5" t="str">
        <f>IF(Table1[[#This Row],[Pre or Post]]="Pre",IF(IF(Table1[[#This Row],[Response]]="Male",0,1)+IF(Table1[[#This Row],[Response]]="Female",0,1)=2,E975,Table1[[#This Row],[Response]]),"")</f>
        <v/>
      </c>
      <c r="F976" s="1">
        <v>10</v>
      </c>
      <c r="G976" s="1"/>
      <c r="H976" s="2" t="s">
        <v>9</v>
      </c>
      <c r="I97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7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7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77" spans="1:11">
      <c r="A977" s="2" t="s">
        <v>12</v>
      </c>
      <c r="B977" s="2" t="s">
        <v>5</v>
      </c>
      <c r="C977" s="1">
        <v>12</v>
      </c>
      <c r="D977" s="2" t="s">
        <v>16</v>
      </c>
      <c r="E977" s="5" t="str">
        <f>IF(Table1[[#This Row],[Pre or Post]]="Pre",IF(IF(Table1[[#This Row],[Response]]="Male",0,1)+IF(Table1[[#This Row],[Response]]="Female",0,1)=2,E976,Table1[[#This Row],[Response]]),"")</f>
        <v/>
      </c>
      <c r="F977" s="1">
        <v>2</v>
      </c>
      <c r="G977" s="1">
        <v>3</v>
      </c>
      <c r="H977" s="2" t="s">
        <v>9</v>
      </c>
      <c r="I97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7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7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78" spans="1:11">
      <c r="A978" s="2" t="s">
        <v>12</v>
      </c>
      <c r="B978" s="2" t="s">
        <v>5</v>
      </c>
      <c r="C978" s="1">
        <v>12</v>
      </c>
      <c r="D978" s="2" t="s">
        <v>16</v>
      </c>
      <c r="E978" s="5" t="str">
        <f>IF(Table1[[#This Row],[Pre or Post]]="Pre",IF(IF(Table1[[#This Row],[Response]]="Male",0,1)+IF(Table1[[#This Row],[Response]]="Female",0,1)=2,E977,Table1[[#This Row],[Response]]),"")</f>
        <v/>
      </c>
      <c r="F978" s="1">
        <v>3</v>
      </c>
      <c r="G978" s="1">
        <v>4</v>
      </c>
      <c r="H978" s="2" t="s">
        <v>9</v>
      </c>
      <c r="I97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7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7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79" spans="1:11">
      <c r="A979" s="2" t="s">
        <v>12</v>
      </c>
      <c r="B979" s="2" t="s">
        <v>5</v>
      </c>
      <c r="C979" s="1">
        <v>12</v>
      </c>
      <c r="D979" s="2" t="s">
        <v>16</v>
      </c>
      <c r="E979" s="5" t="str">
        <f>IF(Table1[[#This Row],[Pre or Post]]="Pre",IF(IF(Table1[[#This Row],[Response]]="Male",0,1)+IF(Table1[[#This Row],[Response]]="Female",0,1)=2,E978,Table1[[#This Row],[Response]]),"")</f>
        <v/>
      </c>
      <c r="F979" s="1">
        <v>4</v>
      </c>
      <c r="G979" s="1">
        <v>3</v>
      </c>
      <c r="H979" s="2" t="s">
        <v>9</v>
      </c>
      <c r="I97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7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7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80" spans="1:11">
      <c r="A980" s="2" t="s">
        <v>12</v>
      </c>
      <c r="B980" s="2" t="s">
        <v>5</v>
      </c>
      <c r="C980" s="1">
        <v>12</v>
      </c>
      <c r="D980" s="2" t="s">
        <v>16</v>
      </c>
      <c r="E980" s="5" t="str">
        <f>IF(Table1[[#This Row],[Pre or Post]]="Pre",IF(IF(Table1[[#This Row],[Response]]="Male",0,1)+IF(Table1[[#This Row],[Response]]="Female",0,1)=2,E979,Table1[[#This Row],[Response]]),"")</f>
        <v/>
      </c>
      <c r="F980" s="1">
        <v>12</v>
      </c>
      <c r="G980" s="1"/>
      <c r="H980" s="2" t="s">
        <v>9</v>
      </c>
      <c r="I98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8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8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81" spans="1:11">
      <c r="A981" s="2" t="s">
        <v>12</v>
      </c>
      <c r="B981" s="2" t="s">
        <v>5</v>
      </c>
      <c r="C981" s="1">
        <v>12</v>
      </c>
      <c r="D981" s="2" t="s">
        <v>16</v>
      </c>
      <c r="E981" s="5" t="str">
        <f>IF(Table1[[#This Row],[Pre or Post]]="Pre",IF(IF(Table1[[#This Row],[Response]]="Male",0,1)+IF(Table1[[#This Row],[Response]]="Female",0,1)=2,E980,Table1[[#This Row],[Response]]),"")</f>
        <v/>
      </c>
      <c r="F981" s="1">
        <v>13</v>
      </c>
      <c r="G981" s="1">
        <v>4</v>
      </c>
      <c r="H981" s="2" t="s">
        <v>9</v>
      </c>
      <c r="I98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8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8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82" spans="1:11">
      <c r="A982" s="2" t="s">
        <v>12</v>
      </c>
      <c r="B982" s="2" t="s">
        <v>5</v>
      </c>
      <c r="C982" s="1">
        <v>12</v>
      </c>
      <c r="D982" s="2" t="s">
        <v>16</v>
      </c>
      <c r="E982" s="5" t="str">
        <f>IF(Table1[[#This Row],[Pre or Post]]="Pre",IF(IF(Table1[[#This Row],[Response]]="Male",0,1)+IF(Table1[[#This Row],[Response]]="Female",0,1)=2,E981,Table1[[#This Row],[Response]]),"")</f>
        <v/>
      </c>
      <c r="F982" s="1">
        <v>5</v>
      </c>
      <c r="G982" s="1">
        <v>5</v>
      </c>
      <c r="H982" s="2" t="s">
        <v>9</v>
      </c>
      <c r="I98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8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8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83" spans="1:11">
      <c r="A983" s="2" t="s">
        <v>12</v>
      </c>
      <c r="B983" s="2" t="s">
        <v>5</v>
      </c>
      <c r="C983" s="1">
        <v>12</v>
      </c>
      <c r="D983" s="2" t="s">
        <v>16</v>
      </c>
      <c r="E983" s="5" t="str">
        <f>IF(Table1[[#This Row],[Pre or Post]]="Pre",IF(IF(Table1[[#This Row],[Response]]="Male",0,1)+IF(Table1[[#This Row],[Response]]="Female",0,1)=2,E982,Table1[[#This Row],[Response]]),"")</f>
        <v/>
      </c>
      <c r="F983" s="1">
        <v>6</v>
      </c>
      <c r="G983" s="1"/>
      <c r="H983" s="2" t="s">
        <v>9</v>
      </c>
      <c r="I98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8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8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84" spans="1:11">
      <c r="A984" s="2" t="s">
        <v>12</v>
      </c>
      <c r="B984" s="2" t="s">
        <v>5</v>
      </c>
      <c r="C984" s="1">
        <v>12</v>
      </c>
      <c r="D984" s="2" t="s">
        <v>16</v>
      </c>
      <c r="E984" s="5" t="str">
        <f>IF(Table1[[#This Row],[Pre or Post]]="Pre",IF(IF(Table1[[#This Row],[Response]]="Male",0,1)+IF(Table1[[#This Row],[Response]]="Female",0,1)=2,E983,Table1[[#This Row],[Response]]),"")</f>
        <v/>
      </c>
      <c r="F984" s="1">
        <v>15</v>
      </c>
      <c r="G984" s="1"/>
      <c r="H984" s="2" t="s">
        <v>9</v>
      </c>
      <c r="I98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8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8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85" spans="1:11">
      <c r="A985" s="2" t="s">
        <v>12</v>
      </c>
      <c r="B985" s="2" t="s">
        <v>5</v>
      </c>
      <c r="C985" s="1">
        <v>12</v>
      </c>
      <c r="D985" s="2" t="s">
        <v>16</v>
      </c>
      <c r="E985" s="5" t="str">
        <f>IF(Table1[[#This Row],[Pre or Post]]="Pre",IF(IF(Table1[[#This Row],[Response]]="Male",0,1)+IF(Table1[[#This Row],[Response]]="Female",0,1)=2,E984,Table1[[#This Row],[Response]]),"")</f>
        <v/>
      </c>
      <c r="F985" s="1">
        <v>14</v>
      </c>
      <c r="G985" s="1"/>
      <c r="H985" s="2" t="s">
        <v>9</v>
      </c>
      <c r="I98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8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8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86" spans="1:11">
      <c r="A986" s="2" t="s">
        <v>12</v>
      </c>
      <c r="B986" s="2" t="s">
        <v>5</v>
      </c>
      <c r="C986" s="1">
        <v>12</v>
      </c>
      <c r="D986" s="2" t="s">
        <v>16</v>
      </c>
      <c r="E986" s="5" t="str">
        <f>IF(Table1[[#This Row],[Pre or Post]]="Pre",IF(IF(Table1[[#This Row],[Response]]="Male",0,1)+IF(Table1[[#This Row],[Response]]="Female",0,1)=2,E985,Table1[[#This Row],[Response]]),"")</f>
        <v/>
      </c>
      <c r="F986" s="1">
        <v>7</v>
      </c>
      <c r="G986" s="1"/>
      <c r="H986" s="2" t="s">
        <v>9</v>
      </c>
      <c r="I98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8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8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87" spans="1:11">
      <c r="A987" s="2" t="s">
        <v>12</v>
      </c>
      <c r="B987" s="2" t="s">
        <v>5</v>
      </c>
      <c r="C987" s="1">
        <v>12</v>
      </c>
      <c r="D987" s="2" t="s">
        <v>16</v>
      </c>
      <c r="E987" s="5" t="str">
        <f>IF(Table1[[#This Row],[Pre or Post]]="Pre",IF(IF(Table1[[#This Row],[Response]]="Male",0,1)+IF(Table1[[#This Row],[Response]]="Female",0,1)=2,E986,Table1[[#This Row],[Response]]),"")</f>
        <v/>
      </c>
      <c r="F987" s="1">
        <v>16</v>
      </c>
      <c r="G987" s="1"/>
      <c r="H987" s="2" t="s">
        <v>9</v>
      </c>
      <c r="I98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8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8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88" spans="1:11">
      <c r="A988" s="2" t="s">
        <v>12</v>
      </c>
      <c r="B988" s="2" t="s">
        <v>5</v>
      </c>
      <c r="C988" s="1">
        <v>12</v>
      </c>
      <c r="D988" s="2" t="s">
        <v>16</v>
      </c>
      <c r="E988" s="5" t="str">
        <f>IF(Table1[[#This Row],[Pre or Post]]="Pre",IF(IF(Table1[[#This Row],[Response]]="Male",0,1)+IF(Table1[[#This Row],[Response]]="Female",0,1)=2,E987,Table1[[#This Row],[Response]]),"")</f>
        <v/>
      </c>
      <c r="F988" s="1">
        <v>17</v>
      </c>
      <c r="G988" s="1">
        <v>5</v>
      </c>
      <c r="H988" s="2" t="s">
        <v>9</v>
      </c>
      <c r="I98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8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8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89" spans="1:11">
      <c r="A989" s="2" t="s">
        <v>12</v>
      </c>
      <c r="B989" s="2" t="s">
        <v>5</v>
      </c>
      <c r="C989" s="1">
        <v>12</v>
      </c>
      <c r="D989" s="2" t="s">
        <v>16</v>
      </c>
      <c r="E989" s="5" t="str">
        <f>IF(Table1[[#This Row],[Pre or Post]]="Pre",IF(IF(Table1[[#This Row],[Response]]="Male",0,1)+IF(Table1[[#This Row],[Response]]="Female",0,1)=2,E988,Table1[[#This Row],[Response]]),"")</f>
        <v/>
      </c>
      <c r="F989" s="1">
        <v>8</v>
      </c>
      <c r="G989" s="1"/>
      <c r="H989" s="2" t="s">
        <v>9</v>
      </c>
      <c r="I98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8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8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90" spans="1:11">
      <c r="A990" s="2" t="s">
        <v>12</v>
      </c>
      <c r="B990" s="2" t="s">
        <v>5</v>
      </c>
      <c r="C990" s="1">
        <v>12</v>
      </c>
      <c r="D990" s="2" t="s">
        <v>16</v>
      </c>
      <c r="E990" s="5" t="str">
        <f>IF(Table1[[#This Row],[Pre or Post]]="Pre",IF(IF(Table1[[#This Row],[Response]]="Male",0,1)+IF(Table1[[#This Row],[Response]]="Female",0,1)=2,E989,Table1[[#This Row],[Response]]),"")</f>
        <v/>
      </c>
      <c r="F990" s="1">
        <v>9</v>
      </c>
      <c r="G990" s="1"/>
      <c r="H990" s="2" t="s">
        <v>9</v>
      </c>
      <c r="I99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9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9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91" spans="1:11">
      <c r="A991" s="2" t="s">
        <v>12</v>
      </c>
      <c r="B991" s="2" t="s">
        <v>5</v>
      </c>
      <c r="C991" s="1">
        <v>12</v>
      </c>
      <c r="D991" s="2" t="s">
        <v>16</v>
      </c>
      <c r="E991" s="5" t="str">
        <f>IF(Table1[[#This Row],[Pre or Post]]="Pre",IF(IF(Table1[[#This Row],[Response]]="Male",0,1)+IF(Table1[[#This Row],[Response]]="Female",0,1)=2,E990,Table1[[#This Row],[Response]]),"")</f>
        <v/>
      </c>
      <c r="F991" s="1">
        <v>10</v>
      </c>
      <c r="G991" s="2"/>
      <c r="H991" s="2" t="s">
        <v>9</v>
      </c>
      <c r="I99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9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9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92" spans="1:11">
      <c r="A992" s="2" t="s">
        <v>12</v>
      </c>
      <c r="B992" s="2" t="s">
        <v>5</v>
      </c>
      <c r="C992" s="1">
        <v>13</v>
      </c>
      <c r="D992" s="2" t="s">
        <v>16</v>
      </c>
      <c r="E992" s="5" t="str">
        <f>IF(Table1[[#This Row],[Pre or Post]]="Pre",IF(IF(Table1[[#This Row],[Response]]="Male",0,1)+IF(Table1[[#This Row],[Response]]="Female",0,1)=2,E991,Table1[[#This Row],[Response]]),"")</f>
        <v/>
      </c>
      <c r="F992" s="1">
        <v>2</v>
      </c>
      <c r="G992" s="1">
        <v>3</v>
      </c>
      <c r="H992" s="2" t="s">
        <v>9</v>
      </c>
      <c r="I99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9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9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93" spans="1:11">
      <c r="A993" s="2" t="s">
        <v>12</v>
      </c>
      <c r="B993" s="2" t="s">
        <v>5</v>
      </c>
      <c r="C993" s="1">
        <v>13</v>
      </c>
      <c r="D993" s="2" t="s">
        <v>16</v>
      </c>
      <c r="E993" s="5" t="str">
        <f>IF(Table1[[#This Row],[Pre or Post]]="Pre",IF(IF(Table1[[#This Row],[Response]]="Male",0,1)+IF(Table1[[#This Row],[Response]]="Female",0,1)=2,E992,Table1[[#This Row],[Response]]),"")</f>
        <v/>
      </c>
      <c r="F993" s="1">
        <v>3</v>
      </c>
      <c r="G993" s="1">
        <v>3</v>
      </c>
      <c r="H993" s="2" t="s">
        <v>9</v>
      </c>
      <c r="I99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9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9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94" spans="1:11">
      <c r="A994" s="2" t="s">
        <v>12</v>
      </c>
      <c r="B994" s="2" t="s">
        <v>5</v>
      </c>
      <c r="C994" s="1">
        <v>13</v>
      </c>
      <c r="D994" s="2" t="s">
        <v>16</v>
      </c>
      <c r="E994" s="5" t="str">
        <f>IF(Table1[[#This Row],[Pre or Post]]="Pre",IF(IF(Table1[[#This Row],[Response]]="Male",0,1)+IF(Table1[[#This Row],[Response]]="Female",0,1)=2,E993,Table1[[#This Row],[Response]]),"")</f>
        <v/>
      </c>
      <c r="F994" s="1">
        <v>4</v>
      </c>
      <c r="G994" s="1">
        <v>2</v>
      </c>
      <c r="H994" s="2" t="s">
        <v>9</v>
      </c>
      <c r="I99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9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9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95" spans="1:11">
      <c r="A995" s="2" t="s">
        <v>12</v>
      </c>
      <c r="B995" s="2" t="s">
        <v>5</v>
      </c>
      <c r="C995" s="1">
        <v>13</v>
      </c>
      <c r="D995" s="2" t="s">
        <v>16</v>
      </c>
      <c r="E995" s="5" t="str">
        <f>IF(Table1[[#This Row],[Pre or Post]]="Pre",IF(IF(Table1[[#This Row],[Response]]="Male",0,1)+IF(Table1[[#This Row],[Response]]="Female",0,1)=2,E994,Table1[[#This Row],[Response]]),"")</f>
        <v/>
      </c>
      <c r="F995" s="1">
        <v>12</v>
      </c>
      <c r="G995" s="1">
        <v>2</v>
      </c>
      <c r="H995" s="2" t="s">
        <v>9</v>
      </c>
      <c r="I99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9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9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96" spans="1:11">
      <c r="A996" s="2" t="s">
        <v>12</v>
      </c>
      <c r="B996" s="2" t="s">
        <v>5</v>
      </c>
      <c r="C996" s="1">
        <v>13</v>
      </c>
      <c r="D996" s="2" t="s">
        <v>16</v>
      </c>
      <c r="E996" s="5" t="str">
        <f>IF(Table1[[#This Row],[Pre or Post]]="Pre",IF(IF(Table1[[#This Row],[Response]]="Male",0,1)+IF(Table1[[#This Row],[Response]]="Female",0,1)=2,E995,Table1[[#This Row],[Response]]),"")</f>
        <v/>
      </c>
      <c r="F996" s="1">
        <v>13</v>
      </c>
      <c r="G996" s="1">
        <v>4</v>
      </c>
      <c r="H996" s="2" t="s">
        <v>9</v>
      </c>
      <c r="I99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9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9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97" spans="1:11">
      <c r="A997" s="2" t="s">
        <v>12</v>
      </c>
      <c r="B997" s="2" t="s">
        <v>5</v>
      </c>
      <c r="C997" s="1">
        <v>13</v>
      </c>
      <c r="D997" s="2" t="s">
        <v>16</v>
      </c>
      <c r="E997" s="5" t="str">
        <f>IF(Table1[[#This Row],[Pre or Post]]="Pre",IF(IF(Table1[[#This Row],[Response]]="Male",0,1)+IF(Table1[[#This Row],[Response]]="Female",0,1)=2,E996,Table1[[#This Row],[Response]]),"")</f>
        <v/>
      </c>
      <c r="F997" s="1">
        <v>5</v>
      </c>
      <c r="G997" s="1">
        <v>4</v>
      </c>
      <c r="H997" s="2" t="s">
        <v>9</v>
      </c>
      <c r="I99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9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9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98" spans="1:11">
      <c r="A998" s="2" t="s">
        <v>12</v>
      </c>
      <c r="B998" s="2" t="s">
        <v>5</v>
      </c>
      <c r="C998" s="1">
        <v>13</v>
      </c>
      <c r="D998" s="2" t="s">
        <v>16</v>
      </c>
      <c r="E998" s="5" t="str">
        <f>IF(Table1[[#This Row],[Pre or Post]]="Pre",IF(IF(Table1[[#This Row],[Response]]="Male",0,1)+IF(Table1[[#This Row],[Response]]="Female",0,1)=2,E997,Table1[[#This Row],[Response]]),"")</f>
        <v/>
      </c>
      <c r="F998" s="1">
        <v>6</v>
      </c>
      <c r="G998" s="1"/>
      <c r="H998" s="2" t="s">
        <v>9</v>
      </c>
      <c r="I99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9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9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999" spans="1:11">
      <c r="A999" s="2" t="s">
        <v>12</v>
      </c>
      <c r="B999" s="2" t="s">
        <v>5</v>
      </c>
      <c r="C999" s="1">
        <v>13</v>
      </c>
      <c r="D999" s="2" t="s">
        <v>16</v>
      </c>
      <c r="E999" s="5" t="str">
        <f>IF(Table1[[#This Row],[Pre or Post]]="Pre",IF(IF(Table1[[#This Row],[Response]]="Male",0,1)+IF(Table1[[#This Row],[Response]]="Female",0,1)=2,E998,Table1[[#This Row],[Response]]),"")</f>
        <v/>
      </c>
      <c r="F999" s="1">
        <v>15</v>
      </c>
      <c r="G999" s="1"/>
      <c r="H999" s="2" t="s">
        <v>9</v>
      </c>
      <c r="I99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99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99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00" spans="1:11">
      <c r="A1000" s="2" t="s">
        <v>12</v>
      </c>
      <c r="B1000" s="2" t="s">
        <v>5</v>
      </c>
      <c r="C1000" s="1">
        <v>13</v>
      </c>
      <c r="D1000" s="2" t="s">
        <v>16</v>
      </c>
      <c r="E1000" s="5" t="str">
        <f>IF(Table1[[#This Row],[Pre or Post]]="Pre",IF(IF(Table1[[#This Row],[Response]]="Male",0,1)+IF(Table1[[#This Row],[Response]]="Female",0,1)=2,E999,Table1[[#This Row],[Response]]),"")</f>
        <v/>
      </c>
      <c r="F1000" s="1">
        <v>14</v>
      </c>
      <c r="G1000" s="1">
        <v>5</v>
      </c>
      <c r="H1000" s="2" t="s">
        <v>9</v>
      </c>
      <c r="I100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0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0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01" spans="1:11">
      <c r="A1001" s="2" t="s">
        <v>12</v>
      </c>
      <c r="B1001" s="2" t="s">
        <v>5</v>
      </c>
      <c r="C1001" s="1">
        <v>13</v>
      </c>
      <c r="D1001" s="2" t="s">
        <v>16</v>
      </c>
      <c r="E1001" s="5" t="str">
        <f>IF(Table1[[#This Row],[Pre or Post]]="Pre",IF(IF(Table1[[#This Row],[Response]]="Male",0,1)+IF(Table1[[#This Row],[Response]]="Female",0,1)=2,E1000,Table1[[#This Row],[Response]]),"")</f>
        <v/>
      </c>
      <c r="F1001" s="1">
        <v>7</v>
      </c>
      <c r="G1001" s="2"/>
      <c r="H1001" s="2" t="s">
        <v>9</v>
      </c>
      <c r="I100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0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0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02" spans="1:11">
      <c r="A1002" s="2" t="s">
        <v>12</v>
      </c>
      <c r="B1002" s="2" t="s">
        <v>5</v>
      </c>
      <c r="C1002" s="1">
        <v>13</v>
      </c>
      <c r="D1002" s="2" t="s">
        <v>16</v>
      </c>
      <c r="E1002" s="5" t="str">
        <f>IF(Table1[[#This Row],[Pre or Post]]="Pre",IF(IF(Table1[[#This Row],[Response]]="Male",0,1)+IF(Table1[[#This Row],[Response]]="Female",0,1)=2,E1001,Table1[[#This Row],[Response]]),"")</f>
        <v/>
      </c>
      <c r="F1002" s="1">
        <v>16</v>
      </c>
      <c r="G1002" s="1"/>
      <c r="H1002" s="2" t="s">
        <v>9</v>
      </c>
      <c r="I100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0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0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03" spans="1:11">
      <c r="A1003" s="2" t="s">
        <v>12</v>
      </c>
      <c r="B1003" s="2" t="s">
        <v>5</v>
      </c>
      <c r="C1003" s="1">
        <v>13</v>
      </c>
      <c r="D1003" s="2" t="s">
        <v>16</v>
      </c>
      <c r="E1003" s="5" t="str">
        <f>IF(Table1[[#This Row],[Pre or Post]]="Pre",IF(IF(Table1[[#This Row],[Response]]="Male",0,1)+IF(Table1[[#This Row],[Response]]="Female",0,1)=2,E1002,Table1[[#This Row],[Response]]),"")</f>
        <v/>
      </c>
      <c r="F1003" s="1">
        <v>17</v>
      </c>
      <c r="G1003" s="1">
        <v>4</v>
      </c>
      <c r="H1003" s="2" t="s">
        <v>9</v>
      </c>
      <c r="I100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0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0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04" spans="1:11">
      <c r="A1004" s="2" t="s">
        <v>12</v>
      </c>
      <c r="B1004" s="2" t="s">
        <v>5</v>
      </c>
      <c r="C1004" s="1">
        <v>13</v>
      </c>
      <c r="D1004" s="2" t="s">
        <v>16</v>
      </c>
      <c r="E1004" s="5" t="str">
        <f>IF(Table1[[#This Row],[Pre or Post]]="Pre",IF(IF(Table1[[#This Row],[Response]]="Male",0,1)+IF(Table1[[#This Row],[Response]]="Female",0,1)=2,E1003,Table1[[#This Row],[Response]]),"")</f>
        <v/>
      </c>
      <c r="F1004" s="1">
        <v>8</v>
      </c>
      <c r="G1004" s="1"/>
      <c r="H1004" s="2" t="s">
        <v>9</v>
      </c>
      <c r="I100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0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0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05" spans="1:11">
      <c r="A1005" s="2" t="s">
        <v>12</v>
      </c>
      <c r="B1005" s="2" t="s">
        <v>5</v>
      </c>
      <c r="C1005" s="1">
        <v>13</v>
      </c>
      <c r="D1005" s="2" t="s">
        <v>16</v>
      </c>
      <c r="E1005" s="5" t="str">
        <f>IF(Table1[[#This Row],[Pre or Post]]="Pre",IF(IF(Table1[[#This Row],[Response]]="Male",0,1)+IF(Table1[[#This Row],[Response]]="Female",0,1)=2,E1004,Table1[[#This Row],[Response]]),"")</f>
        <v/>
      </c>
      <c r="F1005" s="1">
        <v>9</v>
      </c>
      <c r="G1005" s="1"/>
      <c r="H1005" s="2" t="s">
        <v>9</v>
      </c>
      <c r="I100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0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0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06" spans="1:11">
      <c r="A1006" s="2" t="s">
        <v>12</v>
      </c>
      <c r="B1006" s="2" t="s">
        <v>5</v>
      </c>
      <c r="C1006" s="1">
        <v>13</v>
      </c>
      <c r="D1006" s="2" t="s">
        <v>16</v>
      </c>
      <c r="E1006" s="5" t="str">
        <f>IF(Table1[[#This Row],[Pre or Post]]="Pre",IF(IF(Table1[[#This Row],[Response]]="Male",0,1)+IF(Table1[[#This Row],[Response]]="Female",0,1)=2,E1005,Table1[[#This Row],[Response]]),"")</f>
        <v/>
      </c>
      <c r="F1006" s="1">
        <v>10</v>
      </c>
      <c r="G1006" s="1"/>
      <c r="H1006" s="2" t="s">
        <v>9</v>
      </c>
      <c r="I100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0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0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07" spans="1:11">
      <c r="A1007" s="2" t="s">
        <v>12</v>
      </c>
      <c r="B1007" s="2" t="s">
        <v>5</v>
      </c>
      <c r="C1007" s="1">
        <v>14</v>
      </c>
      <c r="D1007" s="2" t="s">
        <v>16</v>
      </c>
      <c r="E1007" s="5" t="str">
        <f>IF(Table1[[#This Row],[Pre or Post]]="Pre",IF(IF(Table1[[#This Row],[Response]]="Male",0,1)+IF(Table1[[#This Row],[Response]]="Female",0,1)=2,E1006,Table1[[#This Row],[Response]]),"")</f>
        <v/>
      </c>
      <c r="F1007" s="1">
        <v>2</v>
      </c>
      <c r="G1007" s="1">
        <v>2</v>
      </c>
      <c r="H1007" s="2" t="s">
        <v>9</v>
      </c>
      <c r="I100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0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0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08" spans="1:11">
      <c r="A1008" s="2" t="s">
        <v>12</v>
      </c>
      <c r="B1008" s="2" t="s">
        <v>5</v>
      </c>
      <c r="C1008" s="1">
        <v>14</v>
      </c>
      <c r="D1008" s="2" t="s">
        <v>16</v>
      </c>
      <c r="E1008" s="5" t="str">
        <f>IF(Table1[[#This Row],[Pre or Post]]="Pre",IF(IF(Table1[[#This Row],[Response]]="Male",0,1)+IF(Table1[[#This Row],[Response]]="Female",0,1)=2,E1007,Table1[[#This Row],[Response]]),"")</f>
        <v/>
      </c>
      <c r="F1008" s="1">
        <v>3</v>
      </c>
      <c r="G1008" s="1">
        <v>2</v>
      </c>
      <c r="H1008" s="2" t="s">
        <v>9</v>
      </c>
      <c r="I100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0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0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09" spans="1:11">
      <c r="A1009" s="2" t="s">
        <v>12</v>
      </c>
      <c r="B1009" s="2" t="s">
        <v>5</v>
      </c>
      <c r="C1009" s="1">
        <v>14</v>
      </c>
      <c r="D1009" s="2" t="s">
        <v>16</v>
      </c>
      <c r="E1009" s="5" t="str">
        <f>IF(Table1[[#This Row],[Pre or Post]]="Pre",IF(IF(Table1[[#This Row],[Response]]="Male",0,1)+IF(Table1[[#This Row],[Response]]="Female",0,1)=2,E1008,Table1[[#This Row],[Response]]),"")</f>
        <v/>
      </c>
      <c r="F1009" s="1">
        <v>4</v>
      </c>
      <c r="G1009" s="1">
        <v>3</v>
      </c>
      <c r="H1009" s="2" t="s">
        <v>9</v>
      </c>
      <c r="I100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0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0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10" spans="1:11">
      <c r="A1010" s="2" t="s">
        <v>12</v>
      </c>
      <c r="B1010" s="2" t="s">
        <v>5</v>
      </c>
      <c r="C1010" s="1">
        <v>14</v>
      </c>
      <c r="D1010" s="2" t="s">
        <v>16</v>
      </c>
      <c r="E1010" s="5" t="str">
        <f>IF(Table1[[#This Row],[Pre or Post]]="Pre",IF(IF(Table1[[#This Row],[Response]]="Male",0,1)+IF(Table1[[#This Row],[Response]]="Female",0,1)=2,E1009,Table1[[#This Row],[Response]]),"")</f>
        <v/>
      </c>
      <c r="F1010" s="1">
        <v>12</v>
      </c>
      <c r="G1010" s="1">
        <v>3</v>
      </c>
      <c r="H1010" s="2" t="s">
        <v>9</v>
      </c>
      <c r="I101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1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1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11" spans="1:11">
      <c r="A1011" s="2" t="s">
        <v>12</v>
      </c>
      <c r="B1011" s="2" t="s">
        <v>5</v>
      </c>
      <c r="C1011" s="1">
        <v>14</v>
      </c>
      <c r="D1011" s="2" t="s">
        <v>16</v>
      </c>
      <c r="E1011" s="5" t="str">
        <f>IF(Table1[[#This Row],[Pre or Post]]="Pre",IF(IF(Table1[[#This Row],[Response]]="Male",0,1)+IF(Table1[[#This Row],[Response]]="Female",0,1)=2,E1010,Table1[[#This Row],[Response]]),"")</f>
        <v/>
      </c>
      <c r="F1011" s="1">
        <v>13</v>
      </c>
      <c r="G1011" s="1">
        <v>2</v>
      </c>
      <c r="H1011" s="2" t="s">
        <v>9</v>
      </c>
      <c r="I101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1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1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12" spans="1:11">
      <c r="A1012" s="2" t="s">
        <v>12</v>
      </c>
      <c r="B1012" s="2" t="s">
        <v>5</v>
      </c>
      <c r="C1012" s="1">
        <v>14</v>
      </c>
      <c r="D1012" s="2" t="s">
        <v>16</v>
      </c>
      <c r="E1012" s="5" t="str">
        <f>IF(Table1[[#This Row],[Pre or Post]]="Pre",IF(IF(Table1[[#This Row],[Response]]="Male",0,1)+IF(Table1[[#This Row],[Response]]="Female",0,1)=2,E1011,Table1[[#This Row],[Response]]),"")</f>
        <v/>
      </c>
      <c r="F1012" s="1">
        <v>5</v>
      </c>
      <c r="G1012" s="1">
        <v>3</v>
      </c>
      <c r="H1012" s="2" t="s">
        <v>9</v>
      </c>
      <c r="I101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1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1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13" spans="1:11">
      <c r="A1013" s="2" t="s">
        <v>12</v>
      </c>
      <c r="B1013" s="2" t="s">
        <v>5</v>
      </c>
      <c r="C1013" s="1">
        <v>14</v>
      </c>
      <c r="D1013" s="2" t="s">
        <v>16</v>
      </c>
      <c r="E1013" s="5" t="str">
        <f>IF(Table1[[#This Row],[Pre or Post]]="Pre",IF(IF(Table1[[#This Row],[Response]]="Male",0,1)+IF(Table1[[#This Row],[Response]]="Female",0,1)=2,E1012,Table1[[#This Row],[Response]]),"")</f>
        <v/>
      </c>
      <c r="F1013" s="1">
        <v>6</v>
      </c>
      <c r="G1013" s="1">
        <v>3</v>
      </c>
      <c r="H1013" s="2" t="s">
        <v>9</v>
      </c>
      <c r="I101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1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1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14" spans="1:11">
      <c r="A1014" s="2" t="s">
        <v>12</v>
      </c>
      <c r="B1014" s="2" t="s">
        <v>5</v>
      </c>
      <c r="C1014" s="1">
        <v>14</v>
      </c>
      <c r="D1014" s="2" t="s">
        <v>16</v>
      </c>
      <c r="E1014" s="5" t="str">
        <f>IF(Table1[[#This Row],[Pre or Post]]="Pre",IF(IF(Table1[[#This Row],[Response]]="Male",0,1)+IF(Table1[[#This Row],[Response]]="Female",0,1)=2,E1013,Table1[[#This Row],[Response]]),"")</f>
        <v/>
      </c>
      <c r="F1014" s="1">
        <v>15</v>
      </c>
      <c r="G1014" s="1">
        <v>3</v>
      </c>
      <c r="H1014" s="2" t="s">
        <v>9</v>
      </c>
      <c r="I101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1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1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15" spans="1:11">
      <c r="A1015" s="2" t="s">
        <v>12</v>
      </c>
      <c r="B1015" s="2" t="s">
        <v>5</v>
      </c>
      <c r="C1015" s="1">
        <v>14</v>
      </c>
      <c r="D1015" s="2" t="s">
        <v>16</v>
      </c>
      <c r="E1015" s="5" t="str">
        <f>IF(Table1[[#This Row],[Pre or Post]]="Pre",IF(IF(Table1[[#This Row],[Response]]="Male",0,1)+IF(Table1[[#This Row],[Response]]="Female",0,1)=2,E1014,Table1[[#This Row],[Response]]),"")</f>
        <v/>
      </c>
      <c r="F1015" s="1">
        <v>14</v>
      </c>
      <c r="G1015" s="1">
        <v>2</v>
      </c>
      <c r="H1015" s="2" t="s">
        <v>9</v>
      </c>
      <c r="I101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1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1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16" spans="1:11">
      <c r="A1016" s="2" t="s">
        <v>12</v>
      </c>
      <c r="B1016" s="2" t="s">
        <v>5</v>
      </c>
      <c r="C1016" s="1">
        <v>14</v>
      </c>
      <c r="D1016" s="2" t="s">
        <v>16</v>
      </c>
      <c r="E1016" s="5" t="str">
        <f>IF(Table1[[#This Row],[Pre or Post]]="Pre",IF(IF(Table1[[#This Row],[Response]]="Male",0,1)+IF(Table1[[#This Row],[Response]]="Female",0,1)=2,E1015,Table1[[#This Row],[Response]]),"")</f>
        <v/>
      </c>
      <c r="F1016" s="1">
        <v>7</v>
      </c>
      <c r="G1016" s="1">
        <v>3</v>
      </c>
      <c r="H1016" s="2" t="s">
        <v>9</v>
      </c>
      <c r="I101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1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1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17" spans="1:11">
      <c r="A1017" s="2" t="s">
        <v>12</v>
      </c>
      <c r="B1017" s="2" t="s">
        <v>5</v>
      </c>
      <c r="C1017" s="1">
        <v>14</v>
      </c>
      <c r="D1017" s="2" t="s">
        <v>16</v>
      </c>
      <c r="E1017" s="5" t="str">
        <f>IF(Table1[[#This Row],[Pre or Post]]="Pre",IF(IF(Table1[[#This Row],[Response]]="Male",0,1)+IF(Table1[[#This Row],[Response]]="Female",0,1)=2,E1016,Table1[[#This Row],[Response]]),"")</f>
        <v/>
      </c>
      <c r="F1017" s="1">
        <v>16</v>
      </c>
      <c r="G1017" s="1">
        <v>3</v>
      </c>
      <c r="H1017" s="2" t="s">
        <v>9</v>
      </c>
      <c r="I101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1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1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18" spans="1:11">
      <c r="A1018" s="2" t="s">
        <v>12</v>
      </c>
      <c r="B1018" s="2" t="s">
        <v>5</v>
      </c>
      <c r="C1018" s="1">
        <v>14</v>
      </c>
      <c r="D1018" s="2" t="s">
        <v>16</v>
      </c>
      <c r="E1018" s="5" t="str">
        <f>IF(Table1[[#This Row],[Pre or Post]]="Pre",IF(IF(Table1[[#This Row],[Response]]="Male",0,1)+IF(Table1[[#This Row],[Response]]="Female",0,1)=2,E1017,Table1[[#This Row],[Response]]),"")</f>
        <v/>
      </c>
      <c r="F1018" s="1">
        <v>17</v>
      </c>
      <c r="G1018" s="1">
        <v>2</v>
      </c>
      <c r="H1018" s="2" t="s">
        <v>9</v>
      </c>
      <c r="I101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1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1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19" spans="1:11">
      <c r="A1019" s="2" t="s">
        <v>12</v>
      </c>
      <c r="B1019" s="2" t="s">
        <v>5</v>
      </c>
      <c r="C1019" s="1">
        <v>14</v>
      </c>
      <c r="D1019" s="2" t="s">
        <v>16</v>
      </c>
      <c r="E1019" s="5" t="str">
        <f>IF(Table1[[#This Row],[Pre or Post]]="Pre",IF(IF(Table1[[#This Row],[Response]]="Male",0,1)+IF(Table1[[#This Row],[Response]]="Female",0,1)=2,E1018,Table1[[#This Row],[Response]]),"")</f>
        <v/>
      </c>
      <c r="F1019" s="1">
        <v>8</v>
      </c>
      <c r="G1019" s="1" t="s">
        <v>8</v>
      </c>
      <c r="H1019" s="2" t="s">
        <v>9</v>
      </c>
      <c r="I101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1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1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20" spans="1:11">
      <c r="A1020" s="2" t="s">
        <v>12</v>
      </c>
      <c r="B1020" s="2" t="s">
        <v>5</v>
      </c>
      <c r="C1020" s="1">
        <v>14</v>
      </c>
      <c r="D1020" s="2" t="s">
        <v>16</v>
      </c>
      <c r="E1020" s="5" t="str">
        <f>IF(Table1[[#This Row],[Pre or Post]]="Pre",IF(IF(Table1[[#This Row],[Response]]="Male",0,1)+IF(Table1[[#This Row],[Response]]="Female",0,1)=2,E1019,Table1[[#This Row],[Response]]),"")</f>
        <v/>
      </c>
      <c r="F1020" s="1">
        <v>9</v>
      </c>
      <c r="G1020" s="1"/>
      <c r="H1020" s="2" t="s">
        <v>9</v>
      </c>
      <c r="I102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2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2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21" spans="1:11">
      <c r="A1021" s="2" t="s">
        <v>12</v>
      </c>
      <c r="B1021" s="2" t="s">
        <v>5</v>
      </c>
      <c r="C1021" s="1">
        <v>14</v>
      </c>
      <c r="D1021" s="2" t="s">
        <v>16</v>
      </c>
      <c r="E1021" s="5" t="str">
        <f>IF(Table1[[#This Row],[Pre or Post]]="Pre",IF(IF(Table1[[#This Row],[Response]]="Male",0,1)+IF(Table1[[#This Row],[Response]]="Female",0,1)=2,E1020,Table1[[#This Row],[Response]]),"")</f>
        <v/>
      </c>
      <c r="F1021" s="1">
        <v>10</v>
      </c>
      <c r="G1021" s="1"/>
      <c r="H1021" s="2" t="s">
        <v>9</v>
      </c>
      <c r="I102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2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2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22" spans="1:11">
      <c r="A1022" s="2" t="s">
        <v>12</v>
      </c>
      <c r="B1022" s="2" t="s">
        <v>5</v>
      </c>
      <c r="C1022" s="1">
        <v>15</v>
      </c>
      <c r="D1022" s="2" t="s">
        <v>16</v>
      </c>
      <c r="E1022" s="5" t="str">
        <f>IF(Table1[[#This Row],[Pre or Post]]="Pre",IF(IF(Table1[[#This Row],[Response]]="Male",0,1)+IF(Table1[[#This Row],[Response]]="Female",0,1)=2,E1021,Table1[[#This Row],[Response]]),"")</f>
        <v/>
      </c>
      <c r="F1022" s="1">
        <v>2</v>
      </c>
      <c r="G1022" s="1">
        <v>4</v>
      </c>
      <c r="H1022" s="2" t="s">
        <v>9</v>
      </c>
      <c r="I102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2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2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23" spans="1:11">
      <c r="A1023" s="2" t="s">
        <v>12</v>
      </c>
      <c r="B1023" s="2" t="s">
        <v>5</v>
      </c>
      <c r="C1023" s="1">
        <v>15</v>
      </c>
      <c r="D1023" s="2" t="s">
        <v>16</v>
      </c>
      <c r="E1023" s="5" t="str">
        <f>IF(Table1[[#This Row],[Pre or Post]]="Pre",IF(IF(Table1[[#This Row],[Response]]="Male",0,1)+IF(Table1[[#This Row],[Response]]="Female",0,1)=2,E1022,Table1[[#This Row],[Response]]),"")</f>
        <v/>
      </c>
      <c r="F1023" s="1">
        <v>3</v>
      </c>
      <c r="G1023" s="1">
        <v>3</v>
      </c>
      <c r="H1023" s="2" t="s">
        <v>9</v>
      </c>
      <c r="I102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2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2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24" spans="1:11">
      <c r="A1024" s="2" t="s">
        <v>12</v>
      </c>
      <c r="B1024" s="2" t="s">
        <v>5</v>
      </c>
      <c r="C1024" s="1">
        <v>15</v>
      </c>
      <c r="D1024" s="2" t="s">
        <v>16</v>
      </c>
      <c r="E1024" s="5" t="str">
        <f>IF(Table1[[#This Row],[Pre or Post]]="Pre",IF(IF(Table1[[#This Row],[Response]]="Male",0,1)+IF(Table1[[#This Row],[Response]]="Female",0,1)=2,E1023,Table1[[#This Row],[Response]]),"")</f>
        <v/>
      </c>
      <c r="F1024" s="1">
        <v>4</v>
      </c>
      <c r="G1024" s="1">
        <v>3</v>
      </c>
      <c r="H1024" s="2" t="s">
        <v>9</v>
      </c>
      <c r="I102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2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2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25" spans="1:11">
      <c r="A1025" s="2" t="s">
        <v>12</v>
      </c>
      <c r="B1025" s="2" t="s">
        <v>5</v>
      </c>
      <c r="C1025" s="1">
        <v>15</v>
      </c>
      <c r="D1025" s="2" t="s">
        <v>16</v>
      </c>
      <c r="E1025" s="5" t="str">
        <f>IF(Table1[[#This Row],[Pre or Post]]="Pre",IF(IF(Table1[[#This Row],[Response]]="Male",0,1)+IF(Table1[[#This Row],[Response]]="Female",0,1)=2,E1024,Table1[[#This Row],[Response]]),"")</f>
        <v/>
      </c>
      <c r="F1025" s="1">
        <v>12</v>
      </c>
      <c r="G1025" s="1">
        <v>2</v>
      </c>
      <c r="H1025" s="2" t="s">
        <v>9</v>
      </c>
      <c r="I102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2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2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26" spans="1:11">
      <c r="A1026" s="2" t="s">
        <v>12</v>
      </c>
      <c r="B1026" s="2" t="s">
        <v>5</v>
      </c>
      <c r="C1026" s="1">
        <v>15</v>
      </c>
      <c r="D1026" s="2" t="s">
        <v>16</v>
      </c>
      <c r="E1026" s="5" t="str">
        <f>IF(Table1[[#This Row],[Pre or Post]]="Pre",IF(IF(Table1[[#This Row],[Response]]="Male",0,1)+IF(Table1[[#This Row],[Response]]="Female",0,1)=2,E1025,Table1[[#This Row],[Response]]),"")</f>
        <v/>
      </c>
      <c r="F1026" s="1">
        <v>13</v>
      </c>
      <c r="G1026" s="1">
        <v>3</v>
      </c>
      <c r="H1026" s="2" t="s">
        <v>9</v>
      </c>
      <c r="I102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2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2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27" spans="1:11">
      <c r="A1027" s="2" t="s">
        <v>12</v>
      </c>
      <c r="B1027" s="2" t="s">
        <v>5</v>
      </c>
      <c r="C1027" s="1">
        <v>15</v>
      </c>
      <c r="D1027" s="2" t="s">
        <v>16</v>
      </c>
      <c r="E1027" s="5" t="str">
        <f>IF(Table1[[#This Row],[Pre or Post]]="Pre",IF(IF(Table1[[#This Row],[Response]]="Male",0,1)+IF(Table1[[#This Row],[Response]]="Female",0,1)=2,E1026,Table1[[#This Row],[Response]]),"")</f>
        <v/>
      </c>
      <c r="F1027" s="1">
        <v>5</v>
      </c>
      <c r="G1027" s="1">
        <v>5</v>
      </c>
      <c r="H1027" s="2" t="s">
        <v>9</v>
      </c>
      <c r="I102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2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2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28" spans="1:11">
      <c r="A1028" s="2" t="s">
        <v>12</v>
      </c>
      <c r="B1028" s="2" t="s">
        <v>5</v>
      </c>
      <c r="C1028" s="1">
        <v>15</v>
      </c>
      <c r="D1028" s="2" t="s">
        <v>16</v>
      </c>
      <c r="E1028" s="5" t="str">
        <f>IF(Table1[[#This Row],[Pre or Post]]="Pre",IF(IF(Table1[[#This Row],[Response]]="Male",0,1)+IF(Table1[[#This Row],[Response]]="Female",0,1)=2,E1027,Table1[[#This Row],[Response]]),"")</f>
        <v/>
      </c>
      <c r="F1028" s="1">
        <v>6</v>
      </c>
      <c r="G1028" s="1">
        <v>3.5</v>
      </c>
      <c r="H1028" s="2" t="s">
        <v>9</v>
      </c>
      <c r="I102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2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2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29" spans="1:11">
      <c r="A1029" s="2" t="s">
        <v>12</v>
      </c>
      <c r="B1029" s="2" t="s">
        <v>5</v>
      </c>
      <c r="C1029" s="1">
        <v>15</v>
      </c>
      <c r="D1029" s="2" t="s">
        <v>16</v>
      </c>
      <c r="E1029" s="5" t="str">
        <f>IF(Table1[[#This Row],[Pre or Post]]="Pre",IF(IF(Table1[[#This Row],[Response]]="Male",0,1)+IF(Table1[[#This Row],[Response]]="Female",0,1)=2,E1028,Table1[[#This Row],[Response]]),"")</f>
        <v/>
      </c>
      <c r="F1029" s="1">
        <v>15</v>
      </c>
      <c r="G1029" s="1">
        <v>2</v>
      </c>
      <c r="H1029" s="2" t="s">
        <v>9</v>
      </c>
      <c r="I102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2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2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30" spans="1:11">
      <c r="A1030" s="2" t="s">
        <v>12</v>
      </c>
      <c r="B1030" s="2" t="s">
        <v>5</v>
      </c>
      <c r="C1030" s="1">
        <v>15</v>
      </c>
      <c r="D1030" s="2" t="s">
        <v>16</v>
      </c>
      <c r="E1030" s="5" t="str">
        <f>IF(Table1[[#This Row],[Pre or Post]]="Pre",IF(IF(Table1[[#This Row],[Response]]="Male",0,1)+IF(Table1[[#This Row],[Response]]="Female",0,1)=2,E1029,Table1[[#This Row],[Response]]),"")</f>
        <v/>
      </c>
      <c r="F1030" s="1">
        <v>14</v>
      </c>
      <c r="G1030" s="1">
        <v>5</v>
      </c>
      <c r="H1030" s="2" t="s">
        <v>9</v>
      </c>
      <c r="I103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3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3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31" spans="1:11">
      <c r="A1031" s="2" t="s">
        <v>12</v>
      </c>
      <c r="B1031" s="2" t="s">
        <v>5</v>
      </c>
      <c r="C1031" s="1">
        <v>15</v>
      </c>
      <c r="D1031" s="2" t="s">
        <v>16</v>
      </c>
      <c r="E1031" s="5" t="str">
        <f>IF(Table1[[#This Row],[Pre or Post]]="Pre",IF(IF(Table1[[#This Row],[Response]]="Male",0,1)+IF(Table1[[#This Row],[Response]]="Female",0,1)=2,E1030,Table1[[#This Row],[Response]]),"")</f>
        <v/>
      </c>
      <c r="F1031" s="1">
        <v>7</v>
      </c>
      <c r="G1031" s="2"/>
      <c r="H1031" s="2" t="s">
        <v>9</v>
      </c>
      <c r="I103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3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3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32" spans="1:11">
      <c r="A1032" s="2" t="s">
        <v>12</v>
      </c>
      <c r="B1032" s="2" t="s">
        <v>5</v>
      </c>
      <c r="C1032" s="1">
        <v>15</v>
      </c>
      <c r="D1032" s="2" t="s">
        <v>16</v>
      </c>
      <c r="E1032" s="5" t="str">
        <f>IF(Table1[[#This Row],[Pre or Post]]="Pre",IF(IF(Table1[[#This Row],[Response]]="Male",0,1)+IF(Table1[[#This Row],[Response]]="Female",0,1)=2,E1031,Table1[[#This Row],[Response]]),"")</f>
        <v/>
      </c>
      <c r="F1032" s="1">
        <v>16</v>
      </c>
      <c r="G1032" s="1">
        <v>2.5</v>
      </c>
      <c r="H1032" s="2" t="s">
        <v>9</v>
      </c>
      <c r="I103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3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3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33" spans="1:11">
      <c r="A1033" s="2" t="s">
        <v>12</v>
      </c>
      <c r="B1033" s="2" t="s">
        <v>5</v>
      </c>
      <c r="C1033" s="1">
        <v>15</v>
      </c>
      <c r="D1033" s="2" t="s">
        <v>16</v>
      </c>
      <c r="E1033" s="5" t="str">
        <f>IF(Table1[[#This Row],[Pre or Post]]="Pre",IF(IF(Table1[[#This Row],[Response]]="Male",0,1)+IF(Table1[[#This Row],[Response]]="Female",0,1)=2,E1032,Table1[[#This Row],[Response]]),"")</f>
        <v/>
      </c>
      <c r="F1033" s="1">
        <v>17</v>
      </c>
      <c r="G1033" s="1">
        <v>5</v>
      </c>
      <c r="H1033" s="2" t="s">
        <v>9</v>
      </c>
      <c r="I103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3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3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34" spans="1:11">
      <c r="A1034" s="2" t="s">
        <v>12</v>
      </c>
      <c r="B1034" s="2" t="s">
        <v>5</v>
      </c>
      <c r="C1034" s="1">
        <v>15</v>
      </c>
      <c r="D1034" s="2" t="s">
        <v>16</v>
      </c>
      <c r="E1034" s="5" t="str">
        <f>IF(Table1[[#This Row],[Pre or Post]]="Pre",IF(IF(Table1[[#This Row],[Response]]="Male",0,1)+IF(Table1[[#This Row],[Response]]="Female",0,1)=2,E1033,Table1[[#This Row],[Response]]),"")</f>
        <v/>
      </c>
      <c r="F1034" s="1">
        <v>8</v>
      </c>
      <c r="G1034" s="1" t="s">
        <v>8</v>
      </c>
      <c r="H1034" s="2" t="s">
        <v>9</v>
      </c>
      <c r="I103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3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3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35" spans="1:11">
      <c r="A1035" s="2" t="s">
        <v>12</v>
      </c>
      <c r="B1035" s="2" t="s">
        <v>5</v>
      </c>
      <c r="C1035" s="1">
        <v>15</v>
      </c>
      <c r="D1035" s="2" t="s">
        <v>16</v>
      </c>
      <c r="E1035" s="5" t="str">
        <f>IF(Table1[[#This Row],[Pre or Post]]="Pre",IF(IF(Table1[[#This Row],[Response]]="Male",0,1)+IF(Table1[[#This Row],[Response]]="Female",0,1)=2,E1034,Table1[[#This Row],[Response]]),"")</f>
        <v/>
      </c>
      <c r="F1035" s="1">
        <v>9</v>
      </c>
      <c r="G1035" s="1" t="s">
        <v>17</v>
      </c>
      <c r="H1035" s="2" t="s">
        <v>9</v>
      </c>
      <c r="I103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3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3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36" spans="1:11">
      <c r="A1036" s="2" t="s">
        <v>12</v>
      </c>
      <c r="B1036" s="2" t="s">
        <v>5</v>
      </c>
      <c r="C1036" s="1">
        <v>15</v>
      </c>
      <c r="D1036" s="2" t="s">
        <v>16</v>
      </c>
      <c r="E1036" s="5" t="str">
        <f>IF(Table1[[#This Row],[Pre or Post]]="Pre",IF(IF(Table1[[#This Row],[Response]]="Male",0,1)+IF(Table1[[#This Row],[Response]]="Female",0,1)=2,E1035,Table1[[#This Row],[Response]]),"")</f>
        <v/>
      </c>
      <c r="F1036" s="1">
        <v>10</v>
      </c>
      <c r="G1036" s="1" t="s">
        <v>18</v>
      </c>
      <c r="H1036" s="2" t="s">
        <v>9</v>
      </c>
      <c r="I103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3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3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37" spans="1:11">
      <c r="A1037" s="2" t="s">
        <v>12</v>
      </c>
      <c r="B1037" s="2" t="s">
        <v>5</v>
      </c>
      <c r="C1037" s="1">
        <v>16</v>
      </c>
      <c r="D1037" s="2" t="s">
        <v>16</v>
      </c>
      <c r="E1037" s="5" t="str">
        <f>IF(Table1[[#This Row],[Pre or Post]]="Pre",IF(IF(Table1[[#This Row],[Response]]="Male",0,1)+IF(Table1[[#This Row],[Response]]="Female",0,1)=2,E1036,Table1[[#This Row],[Response]]),"")</f>
        <v/>
      </c>
      <c r="F1037" s="1">
        <v>2</v>
      </c>
      <c r="G1037" s="1">
        <v>4</v>
      </c>
      <c r="H1037" s="2" t="s">
        <v>9</v>
      </c>
      <c r="I103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3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3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38" spans="1:11">
      <c r="A1038" s="2" t="s">
        <v>12</v>
      </c>
      <c r="B1038" s="2" t="s">
        <v>5</v>
      </c>
      <c r="C1038" s="1">
        <v>16</v>
      </c>
      <c r="D1038" s="2" t="s">
        <v>16</v>
      </c>
      <c r="E1038" s="5" t="str">
        <f>IF(Table1[[#This Row],[Pre or Post]]="Pre",IF(IF(Table1[[#This Row],[Response]]="Male",0,1)+IF(Table1[[#This Row],[Response]]="Female",0,1)=2,E1037,Table1[[#This Row],[Response]]),"")</f>
        <v/>
      </c>
      <c r="F1038" s="1">
        <v>3</v>
      </c>
      <c r="G1038" s="1">
        <v>4</v>
      </c>
      <c r="H1038" s="2" t="s">
        <v>9</v>
      </c>
      <c r="I103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3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3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39" spans="1:11">
      <c r="A1039" s="2" t="s">
        <v>12</v>
      </c>
      <c r="B1039" s="2" t="s">
        <v>5</v>
      </c>
      <c r="C1039" s="1">
        <v>16</v>
      </c>
      <c r="D1039" s="2" t="s">
        <v>16</v>
      </c>
      <c r="E1039" s="5" t="str">
        <f>IF(Table1[[#This Row],[Pre or Post]]="Pre",IF(IF(Table1[[#This Row],[Response]]="Male",0,1)+IF(Table1[[#This Row],[Response]]="Female",0,1)=2,E1038,Table1[[#This Row],[Response]]),"")</f>
        <v/>
      </c>
      <c r="F1039" s="1">
        <v>4</v>
      </c>
      <c r="G1039" s="1">
        <v>3</v>
      </c>
      <c r="H1039" s="2" t="s">
        <v>9</v>
      </c>
      <c r="I103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3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3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40" spans="1:11">
      <c r="A1040" s="2" t="s">
        <v>12</v>
      </c>
      <c r="B1040" s="2" t="s">
        <v>5</v>
      </c>
      <c r="C1040" s="1">
        <v>16</v>
      </c>
      <c r="D1040" s="2" t="s">
        <v>16</v>
      </c>
      <c r="E1040" s="5" t="str">
        <f>IF(Table1[[#This Row],[Pre or Post]]="Pre",IF(IF(Table1[[#This Row],[Response]]="Male",0,1)+IF(Table1[[#This Row],[Response]]="Female",0,1)=2,E1039,Table1[[#This Row],[Response]]),"")</f>
        <v/>
      </c>
      <c r="F1040" s="1">
        <v>12</v>
      </c>
      <c r="G1040" s="1">
        <v>2</v>
      </c>
      <c r="H1040" s="2" t="s">
        <v>9</v>
      </c>
      <c r="I104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4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4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41" spans="1:11">
      <c r="A1041" s="2" t="s">
        <v>12</v>
      </c>
      <c r="B1041" s="2" t="s">
        <v>5</v>
      </c>
      <c r="C1041" s="1">
        <v>16</v>
      </c>
      <c r="D1041" s="2" t="s">
        <v>16</v>
      </c>
      <c r="E1041" s="5" t="str">
        <f>IF(Table1[[#This Row],[Pre or Post]]="Pre",IF(IF(Table1[[#This Row],[Response]]="Male",0,1)+IF(Table1[[#This Row],[Response]]="Female",0,1)=2,E1040,Table1[[#This Row],[Response]]),"")</f>
        <v/>
      </c>
      <c r="F1041" s="1">
        <v>13</v>
      </c>
      <c r="G1041" s="2">
        <v>5</v>
      </c>
      <c r="H1041" s="2" t="s">
        <v>9</v>
      </c>
      <c r="I104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4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4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42" spans="1:11">
      <c r="A1042" s="2" t="s">
        <v>12</v>
      </c>
      <c r="B1042" s="2" t="s">
        <v>5</v>
      </c>
      <c r="C1042" s="1">
        <v>16</v>
      </c>
      <c r="D1042" s="2" t="s">
        <v>16</v>
      </c>
      <c r="E1042" s="5" t="str">
        <f>IF(Table1[[#This Row],[Pre or Post]]="Pre",IF(IF(Table1[[#This Row],[Response]]="Male",0,1)+IF(Table1[[#This Row],[Response]]="Female",0,1)=2,E1041,Table1[[#This Row],[Response]]),"")</f>
        <v/>
      </c>
      <c r="F1042" s="1">
        <v>5</v>
      </c>
      <c r="G1042" s="1">
        <v>4</v>
      </c>
      <c r="H1042" s="2" t="s">
        <v>9</v>
      </c>
      <c r="I104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4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4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43" spans="1:11">
      <c r="A1043" s="2" t="s">
        <v>12</v>
      </c>
      <c r="B1043" s="2" t="s">
        <v>5</v>
      </c>
      <c r="C1043" s="1">
        <v>16</v>
      </c>
      <c r="D1043" s="2" t="s">
        <v>16</v>
      </c>
      <c r="E1043" s="5" t="str">
        <f>IF(Table1[[#This Row],[Pre or Post]]="Pre",IF(IF(Table1[[#This Row],[Response]]="Male",0,1)+IF(Table1[[#This Row],[Response]]="Female",0,1)=2,E1042,Table1[[#This Row],[Response]]),"")</f>
        <v/>
      </c>
      <c r="F1043" s="1">
        <v>6</v>
      </c>
      <c r="G1043" s="1">
        <v>3</v>
      </c>
      <c r="H1043" s="2" t="s">
        <v>9</v>
      </c>
      <c r="I104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4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4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44" spans="1:11">
      <c r="A1044" s="2" t="s">
        <v>12</v>
      </c>
      <c r="B1044" s="2" t="s">
        <v>5</v>
      </c>
      <c r="C1044" s="1">
        <v>16</v>
      </c>
      <c r="D1044" s="2" t="s">
        <v>16</v>
      </c>
      <c r="E1044" s="5" t="str">
        <f>IF(Table1[[#This Row],[Pre or Post]]="Pre",IF(IF(Table1[[#This Row],[Response]]="Male",0,1)+IF(Table1[[#This Row],[Response]]="Female",0,1)=2,E1043,Table1[[#This Row],[Response]]),"")</f>
        <v/>
      </c>
      <c r="F1044" s="1">
        <v>15</v>
      </c>
      <c r="G1044" s="1">
        <v>3</v>
      </c>
      <c r="H1044" s="2" t="s">
        <v>9</v>
      </c>
      <c r="I104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4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4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45" spans="1:11">
      <c r="A1045" s="2" t="s">
        <v>12</v>
      </c>
      <c r="B1045" s="2" t="s">
        <v>5</v>
      </c>
      <c r="C1045" s="1">
        <v>16</v>
      </c>
      <c r="D1045" s="2" t="s">
        <v>16</v>
      </c>
      <c r="E1045" s="5" t="str">
        <f>IF(Table1[[#This Row],[Pre or Post]]="Pre",IF(IF(Table1[[#This Row],[Response]]="Male",0,1)+IF(Table1[[#This Row],[Response]]="Female",0,1)=2,E1044,Table1[[#This Row],[Response]]),"")</f>
        <v/>
      </c>
      <c r="F1045" s="1">
        <v>14</v>
      </c>
      <c r="G1045" s="1">
        <v>5</v>
      </c>
      <c r="H1045" s="2" t="s">
        <v>9</v>
      </c>
      <c r="I104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4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4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46" spans="1:11">
      <c r="A1046" s="2" t="s">
        <v>12</v>
      </c>
      <c r="B1046" s="2" t="s">
        <v>5</v>
      </c>
      <c r="C1046" s="1">
        <v>16</v>
      </c>
      <c r="D1046" s="2" t="s">
        <v>16</v>
      </c>
      <c r="E1046" s="5" t="str">
        <f>IF(Table1[[#This Row],[Pre or Post]]="Pre",IF(IF(Table1[[#This Row],[Response]]="Male",0,1)+IF(Table1[[#This Row],[Response]]="Female",0,1)=2,E1045,Table1[[#This Row],[Response]]),"")</f>
        <v/>
      </c>
      <c r="F1046" s="1">
        <v>7</v>
      </c>
      <c r="G1046" s="1">
        <v>3</v>
      </c>
      <c r="H1046" s="2" t="s">
        <v>9</v>
      </c>
      <c r="I104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4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4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47" spans="1:11">
      <c r="A1047" s="2" t="s">
        <v>12</v>
      </c>
      <c r="B1047" s="2" t="s">
        <v>5</v>
      </c>
      <c r="C1047" s="1">
        <v>16</v>
      </c>
      <c r="D1047" s="2" t="s">
        <v>16</v>
      </c>
      <c r="E1047" s="5" t="str">
        <f>IF(Table1[[#This Row],[Pre or Post]]="Pre",IF(IF(Table1[[#This Row],[Response]]="Male",0,1)+IF(Table1[[#This Row],[Response]]="Female",0,1)=2,E1046,Table1[[#This Row],[Response]]),"")</f>
        <v/>
      </c>
      <c r="F1047" s="1">
        <v>16</v>
      </c>
      <c r="G1047" s="1">
        <v>4</v>
      </c>
      <c r="H1047" s="2" t="s">
        <v>9</v>
      </c>
      <c r="I104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4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4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48" spans="1:11">
      <c r="A1048" s="2" t="s">
        <v>12</v>
      </c>
      <c r="B1048" s="2" t="s">
        <v>5</v>
      </c>
      <c r="C1048" s="1">
        <v>16</v>
      </c>
      <c r="D1048" s="2" t="s">
        <v>16</v>
      </c>
      <c r="E1048" s="5" t="str">
        <f>IF(Table1[[#This Row],[Pre or Post]]="Pre",IF(IF(Table1[[#This Row],[Response]]="Male",0,1)+IF(Table1[[#This Row],[Response]]="Female",0,1)=2,E1047,Table1[[#This Row],[Response]]),"")</f>
        <v/>
      </c>
      <c r="F1048" s="1">
        <v>17</v>
      </c>
      <c r="G1048" s="1">
        <v>5</v>
      </c>
      <c r="H1048" s="2" t="s">
        <v>9</v>
      </c>
      <c r="I104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4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4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49" spans="1:11">
      <c r="A1049" s="2" t="s">
        <v>12</v>
      </c>
      <c r="B1049" s="2" t="s">
        <v>5</v>
      </c>
      <c r="C1049" s="1">
        <v>16</v>
      </c>
      <c r="D1049" s="2" t="s">
        <v>16</v>
      </c>
      <c r="E1049" s="5" t="str">
        <f>IF(Table1[[#This Row],[Pre or Post]]="Pre",IF(IF(Table1[[#This Row],[Response]]="Male",0,1)+IF(Table1[[#This Row],[Response]]="Female",0,1)=2,E1048,Table1[[#This Row],[Response]]),"")</f>
        <v/>
      </c>
      <c r="F1049" s="1">
        <v>8</v>
      </c>
      <c r="G1049" s="1" t="s">
        <v>8</v>
      </c>
      <c r="H1049" s="2" t="s">
        <v>9</v>
      </c>
      <c r="I104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4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4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50" spans="1:11">
      <c r="A1050" s="2" t="s">
        <v>12</v>
      </c>
      <c r="B1050" s="2" t="s">
        <v>5</v>
      </c>
      <c r="C1050" s="1">
        <v>16</v>
      </c>
      <c r="D1050" s="2" t="s">
        <v>16</v>
      </c>
      <c r="E1050" s="5" t="str">
        <f>IF(Table1[[#This Row],[Pre or Post]]="Pre",IF(IF(Table1[[#This Row],[Response]]="Male",0,1)+IF(Table1[[#This Row],[Response]]="Female",0,1)=2,E1049,Table1[[#This Row],[Response]]),"")</f>
        <v/>
      </c>
      <c r="F1050" s="1">
        <v>9</v>
      </c>
      <c r="G1050" s="1" t="s">
        <v>17</v>
      </c>
      <c r="H1050" s="2" t="s">
        <v>9</v>
      </c>
      <c r="I105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5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5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51" spans="1:11">
      <c r="A1051" s="2" t="s">
        <v>12</v>
      </c>
      <c r="B1051" s="2" t="s">
        <v>5</v>
      </c>
      <c r="C1051" s="1">
        <v>16</v>
      </c>
      <c r="D1051" s="2" t="s">
        <v>16</v>
      </c>
      <c r="E1051" s="5" t="str">
        <f>IF(Table1[[#This Row],[Pre or Post]]="Pre",IF(IF(Table1[[#This Row],[Response]]="Male",0,1)+IF(Table1[[#This Row],[Response]]="Female",0,1)=2,E1050,Table1[[#This Row],[Response]]),"")</f>
        <v/>
      </c>
      <c r="F1051" s="1">
        <v>10</v>
      </c>
      <c r="G1051" s="1" t="s">
        <v>18</v>
      </c>
      <c r="H1051" s="2" t="s">
        <v>9</v>
      </c>
      <c r="I105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5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5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52" spans="1:11">
      <c r="A1052" s="2" t="s">
        <v>12</v>
      </c>
      <c r="B1052" s="2" t="s">
        <v>5</v>
      </c>
      <c r="C1052" s="1">
        <v>17</v>
      </c>
      <c r="D1052" s="2" t="s">
        <v>16</v>
      </c>
      <c r="E1052" s="5" t="str">
        <f>IF(Table1[[#This Row],[Pre or Post]]="Pre",IF(IF(Table1[[#This Row],[Response]]="Male",0,1)+IF(Table1[[#This Row],[Response]]="Female",0,1)=2,E1051,Table1[[#This Row],[Response]]),"")</f>
        <v/>
      </c>
      <c r="F1052" s="1">
        <v>2</v>
      </c>
      <c r="G1052" s="1">
        <v>3</v>
      </c>
      <c r="H1052" s="2" t="s">
        <v>9</v>
      </c>
      <c r="I105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5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5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53" spans="1:11">
      <c r="A1053" s="2" t="s">
        <v>12</v>
      </c>
      <c r="B1053" s="2" t="s">
        <v>5</v>
      </c>
      <c r="C1053" s="1">
        <v>17</v>
      </c>
      <c r="D1053" s="2" t="s">
        <v>16</v>
      </c>
      <c r="E1053" s="5" t="str">
        <f>IF(Table1[[#This Row],[Pre or Post]]="Pre",IF(IF(Table1[[#This Row],[Response]]="Male",0,1)+IF(Table1[[#This Row],[Response]]="Female",0,1)=2,E1052,Table1[[#This Row],[Response]]),"")</f>
        <v/>
      </c>
      <c r="F1053" s="1">
        <v>3</v>
      </c>
      <c r="G1053" s="1">
        <v>4</v>
      </c>
      <c r="H1053" s="2" t="s">
        <v>9</v>
      </c>
      <c r="I105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5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5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54" spans="1:11">
      <c r="A1054" s="2" t="s">
        <v>12</v>
      </c>
      <c r="B1054" s="2" t="s">
        <v>5</v>
      </c>
      <c r="C1054" s="1">
        <v>17</v>
      </c>
      <c r="D1054" s="2" t="s">
        <v>16</v>
      </c>
      <c r="E1054" s="5" t="str">
        <f>IF(Table1[[#This Row],[Pre or Post]]="Pre",IF(IF(Table1[[#This Row],[Response]]="Male",0,1)+IF(Table1[[#This Row],[Response]]="Female",0,1)=2,E1053,Table1[[#This Row],[Response]]),"")</f>
        <v/>
      </c>
      <c r="F1054" s="1">
        <v>4</v>
      </c>
      <c r="G1054" s="1">
        <v>1</v>
      </c>
      <c r="H1054" s="2" t="s">
        <v>9</v>
      </c>
      <c r="I105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5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5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55" spans="1:11">
      <c r="A1055" s="2" t="s">
        <v>12</v>
      </c>
      <c r="B1055" s="2" t="s">
        <v>5</v>
      </c>
      <c r="C1055" s="1">
        <v>17</v>
      </c>
      <c r="D1055" s="2" t="s">
        <v>16</v>
      </c>
      <c r="E1055" s="5" t="str">
        <f>IF(Table1[[#This Row],[Pre or Post]]="Pre",IF(IF(Table1[[#This Row],[Response]]="Male",0,1)+IF(Table1[[#This Row],[Response]]="Female",0,1)=2,E1054,Table1[[#This Row],[Response]]),"")</f>
        <v/>
      </c>
      <c r="F1055" s="1">
        <v>12</v>
      </c>
      <c r="G1055" s="1"/>
      <c r="H1055" s="2" t="s">
        <v>9</v>
      </c>
      <c r="I105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5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5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56" spans="1:11">
      <c r="A1056" s="2" t="s">
        <v>12</v>
      </c>
      <c r="B1056" s="2" t="s">
        <v>5</v>
      </c>
      <c r="C1056" s="1">
        <v>17</v>
      </c>
      <c r="D1056" s="2" t="s">
        <v>16</v>
      </c>
      <c r="E1056" s="5" t="str">
        <f>IF(Table1[[#This Row],[Pre or Post]]="Pre",IF(IF(Table1[[#This Row],[Response]]="Male",0,1)+IF(Table1[[#This Row],[Response]]="Female",0,1)=2,E1055,Table1[[#This Row],[Response]]),"")</f>
        <v/>
      </c>
      <c r="F1056" s="1">
        <v>13</v>
      </c>
      <c r="G1056" s="1">
        <v>4</v>
      </c>
      <c r="H1056" s="2" t="s">
        <v>9</v>
      </c>
      <c r="I105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5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5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57" spans="1:11">
      <c r="A1057" s="2" t="s">
        <v>12</v>
      </c>
      <c r="B1057" s="2" t="s">
        <v>5</v>
      </c>
      <c r="C1057" s="1">
        <v>17</v>
      </c>
      <c r="D1057" s="2" t="s">
        <v>16</v>
      </c>
      <c r="E1057" s="5" t="str">
        <f>IF(Table1[[#This Row],[Pre or Post]]="Pre",IF(IF(Table1[[#This Row],[Response]]="Male",0,1)+IF(Table1[[#This Row],[Response]]="Female",0,1)=2,E1056,Table1[[#This Row],[Response]]),"")</f>
        <v/>
      </c>
      <c r="F1057" s="1">
        <v>5</v>
      </c>
      <c r="G1057" s="1">
        <v>5</v>
      </c>
      <c r="H1057" s="2" t="s">
        <v>9</v>
      </c>
      <c r="I105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5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5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58" spans="1:11">
      <c r="A1058" s="2" t="s">
        <v>12</v>
      </c>
      <c r="B1058" s="2" t="s">
        <v>5</v>
      </c>
      <c r="C1058" s="1">
        <v>17</v>
      </c>
      <c r="D1058" s="2" t="s">
        <v>16</v>
      </c>
      <c r="E1058" s="5" t="str">
        <f>IF(Table1[[#This Row],[Pre or Post]]="Pre",IF(IF(Table1[[#This Row],[Response]]="Male",0,1)+IF(Table1[[#This Row],[Response]]="Female",0,1)=2,E1057,Table1[[#This Row],[Response]]),"")</f>
        <v/>
      </c>
      <c r="F1058" s="1">
        <v>6</v>
      </c>
      <c r="G1058" s="1"/>
      <c r="H1058" s="2" t="s">
        <v>9</v>
      </c>
      <c r="I105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5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5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59" spans="1:11">
      <c r="A1059" s="2" t="s">
        <v>12</v>
      </c>
      <c r="B1059" s="2" t="s">
        <v>5</v>
      </c>
      <c r="C1059" s="1">
        <v>17</v>
      </c>
      <c r="D1059" s="2" t="s">
        <v>16</v>
      </c>
      <c r="E1059" s="5" t="str">
        <f>IF(Table1[[#This Row],[Pre or Post]]="Pre",IF(IF(Table1[[#This Row],[Response]]="Male",0,1)+IF(Table1[[#This Row],[Response]]="Female",0,1)=2,E1058,Table1[[#This Row],[Response]]),"")</f>
        <v/>
      </c>
      <c r="F1059" s="1">
        <v>15</v>
      </c>
      <c r="G1059" s="1"/>
      <c r="H1059" s="2" t="s">
        <v>9</v>
      </c>
      <c r="I105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5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5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60" spans="1:11">
      <c r="A1060" s="2" t="s">
        <v>12</v>
      </c>
      <c r="B1060" s="2" t="s">
        <v>5</v>
      </c>
      <c r="C1060" s="1">
        <v>17</v>
      </c>
      <c r="D1060" s="2" t="s">
        <v>16</v>
      </c>
      <c r="E1060" s="5" t="str">
        <f>IF(Table1[[#This Row],[Pre or Post]]="Pre",IF(IF(Table1[[#This Row],[Response]]="Male",0,1)+IF(Table1[[#This Row],[Response]]="Female",0,1)=2,E1059,Table1[[#This Row],[Response]]),"")</f>
        <v/>
      </c>
      <c r="F1060" s="1">
        <v>14</v>
      </c>
      <c r="G1060" s="1">
        <v>5</v>
      </c>
      <c r="H1060" s="2" t="s">
        <v>9</v>
      </c>
      <c r="I106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6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6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61" spans="1:11">
      <c r="A1061" s="2" t="s">
        <v>12</v>
      </c>
      <c r="B1061" s="2" t="s">
        <v>5</v>
      </c>
      <c r="C1061" s="1">
        <v>17</v>
      </c>
      <c r="D1061" s="2" t="s">
        <v>16</v>
      </c>
      <c r="E1061" s="5" t="str">
        <f>IF(Table1[[#This Row],[Pre or Post]]="Pre",IF(IF(Table1[[#This Row],[Response]]="Male",0,1)+IF(Table1[[#This Row],[Response]]="Female",0,1)=2,E1060,Table1[[#This Row],[Response]]),"")</f>
        <v/>
      </c>
      <c r="F1061" s="1">
        <v>7</v>
      </c>
      <c r="G1061" s="1"/>
      <c r="H1061" s="2" t="s">
        <v>9</v>
      </c>
      <c r="I106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6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6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62" spans="1:11">
      <c r="A1062" s="2" t="s">
        <v>12</v>
      </c>
      <c r="B1062" s="2" t="s">
        <v>5</v>
      </c>
      <c r="C1062" s="1">
        <v>17</v>
      </c>
      <c r="D1062" s="2" t="s">
        <v>16</v>
      </c>
      <c r="E1062" s="5" t="str">
        <f>IF(Table1[[#This Row],[Pre or Post]]="Pre",IF(IF(Table1[[#This Row],[Response]]="Male",0,1)+IF(Table1[[#This Row],[Response]]="Female",0,1)=2,E1061,Table1[[#This Row],[Response]]),"")</f>
        <v/>
      </c>
      <c r="F1062" s="1">
        <v>16</v>
      </c>
      <c r="G1062" s="1"/>
      <c r="H1062" s="2" t="s">
        <v>9</v>
      </c>
      <c r="I106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6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6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63" spans="1:11">
      <c r="A1063" s="2" t="s">
        <v>12</v>
      </c>
      <c r="B1063" s="2" t="s">
        <v>5</v>
      </c>
      <c r="C1063" s="1">
        <v>17</v>
      </c>
      <c r="D1063" s="2" t="s">
        <v>16</v>
      </c>
      <c r="E1063" s="5" t="str">
        <f>IF(Table1[[#This Row],[Pre or Post]]="Pre",IF(IF(Table1[[#This Row],[Response]]="Male",0,1)+IF(Table1[[#This Row],[Response]]="Female",0,1)=2,E1062,Table1[[#This Row],[Response]]),"")</f>
        <v/>
      </c>
      <c r="F1063" s="1">
        <v>17</v>
      </c>
      <c r="G1063" s="1">
        <v>4</v>
      </c>
      <c r="H1063" s="2" t="s">
        <v>9</v>
      </c>
      <c r="I106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6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6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64" spans="1:11">
      <c r="A1064" s="2" t="s">
        <v>12</v>
      </c>
      <c r="B1064" s="2" t="s">
        <v>5</v>
      </c>
      <c r="C1064" s="1">
        <v>17</v>
      </c>
      <c r="D1064" s="2" t="s">
        <v>16</v>
      </c>
      <c r="E1064" s="5" t="str">
        <f>IF(Table1[[#This Row],[Pre or Post]]="Pre",IF(IF(Table1[[#This Row],[Response]]="Male",0,1)+IF(Table1[[#This Row],[Response]]="Female",0,1)=2,E1063,Table1[[#This Row],[Response]]),"")</f>
        <v/>
      </c>
      <c r="F1064" s="1">
        <v>8</v>
      </c>
      <c r="G1064" s="1"/>
      <c r="H1064" s="2" t="s">
        <v>9</v>
      </c>
      <c r="I106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6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6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65" spans="1:11">
      <c r="A1065" s="2" t="s">
        <v>12</v>
      </c>
      <c r="B1065" s="2" t="s">
        <v>5</v>
      </c>
      <c r="C1065" s="1">
        <v>17</v>
      </c>
      <c r="D1065" s="2" t="s">
        <v>16</v>
      </c>
      <c r="E1065" s="5" t="str">
        <f>IF(Table1[[#This Row],[Pre or Post]]="Pre",IF(IF(Table1[[#This Row],[Response]]="Male",0,1)+IF(Table1[[#This Row],[Response]]="Female",0,1)=2,E1064,Table1[[#This Row],[Response]]),"")</f>
        <v/>
      </c>
      <c r="F1065" s="1">
        <v>9</v>
      </c>
      <c r="G1065" s="1"/>
      <c r="H1065" s="2" t="s">
        <v>9</v>
      </c>
      <c r="I106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6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6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66" spans="1:11">
      <c r="A1066" s="2" t="s">
        <v>12</v>
      </c>
      <c r="B1066" s="2" t="s">
        <v>5</v>
      </c>
      <c r="C1066" s="1">
        <v>17</v>
      </c>
      <c r="D1066" s="2" t="s">
        <v>16</v>
      </c>
      <c r="E1066" s="5" t="str">
        <f>IF(Table1[[#This Row],[Pre or Post]]="Pre",IF(IF(Table1[[#This Row],[Response]]="Male",0,1)+IF(Table1[[#This Row],[Response]]="Female",0,1)=2,E1065,Table1[[#This Row],[Response]]),"")</f>
        <v/>
      </c>
      <c r="F1066" s="1">
        <v>10</v>
      </c>
      <c r="G1066" s="1"/>
      <c r="H1066" s="2" t="s">
        <v>9</v>
      </c>
      <c r="I106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6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6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67" spans="1:11">
      <c r="A1067" s="2" t="s">
        <v>12</v>
      </c>
      <c r="B1067" s="2" t="s">
        <v>5</v>
      </c>
      <c r="C1067" s="1">
        <v>18</v>
      </c>
      <c r="D1067" s="2" t="s">
        <v>16</v>
      </c>
      <c r="E1067" s="5" t="str">
        <f>IF(Table1[[#This Row],[Pre or Post]]="Pre",IF(IF(Table1[[#This Row],[Response]]="Male",0,1)+IF(Table1[[#This Row],[Response]]="Female",0,1)=2,E1066,Table1[[#This Row],[Response]]),"")</f>
        <v/>
      </c>
      <c r="F1067" s="1">
        <v>2</v>
      </c>
      <c r="G1067" s="1">
        <v>4</v>
      </c>
      <c r="H1067" s="2" t="s">
        <v>9</v>
      </c>
      <c r="I106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6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6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68" spans="1:11">
      <c r="A1068" s="2" t="s">
        <v>12</v>
      </c>
      <c r="B1068" s="2" t="s">
        <v>5</v>
      </c>
      <c r="C1068" s="1">
        <v>18</v>
      </c>
      <c r="D1068" s="2" t="s">
        <v>16</v>
      </c>
      <c r="E1068" s="5" t="str">
        <f>IF(Table1[[#This Row],[Pre or Post]]="Pre",IF(IF(Table1[[#This Row],[Response]]="Male",0,1)+IF(Table1[[#This Row],[Response]]="Female",0,1)=2,E1067,Table1[[#This Row],[Response]]),"")</f>
        <v/>
      </c>
      <c r="F1068" s="1">
        <v>3</v>
      </c>
      <c r="G1068" s="1">
        <v>4</v>
      </c>
      <c r="H1068" s="2" t="s">
        <v>9</v>
      </c>
      <c r="I106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6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6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69" spans="1:11">
      <c r="A1069" s="2" t="s">
        <v>12</v>
      </c>
      <c r="B1069" s="2" t="s">
        <v>5</v>
      </c>
      <c r="C1069" s="1">
        <v>18</v>
      </c>
      <c r="D1069" s="2" t="s">
        <v>16</v>
      </c>
      <c r="E1069" s="5" t="str">
        <f>IF(Table1[[#This Row],[Pre or Post]]="Pre",IF(IF(Table1[[#This Row],[Response]]="Male",0,1)+IF(Table1[[#This Row],[Response]]="Female",0,1)=2,E1068,Table1[[#This Row],[Response]]),"")</f>
        <v/>
      </c>
      <c r="F1069" s="1">
        <v>4</v>
      </c>
      <c r="G1069" s="1">
        <v>3</v>
      </c>
      <c r="H1069" s="2" t="s">
        <v>9</v>
      </c>
      <c r="I106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6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6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70" spans="1:11">
      <c r="A1070" s="2" t="s">
        <v>12</v>
      </c>
      <c r="B1070" s="2" t="s">
        <v>5</v>
      </c>
      <c r="C1070" s="1">
        <v>18</v>
      </c>
      <c r="D1070" s="2" t="s">
        <v>16</v>
      </c>
      <c r="E1070" s="5" t="str">
        <f>IF(Table1[[#This Row],[Pre or Post]]="Pre",IF(IF(Table1[[#This Row],[Response]]="Male",0,1)+IF(Table1[[#This Row],[Response]]="Female",0,1)=2,E1069,Table1[[#This Row],[Response]]),"")</f>
        <v/>
      </c>
      <c r="F1070" s="1">
        <v>12</v>
      </c>
      <c r="G1070" s="1">
        <v>1</v>
      </c>
      <c r="H1070" s="2" t="s">
        <v>9</v>
      </c>
      <c r="I107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7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7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71" spans="1:11">
      <c r="A1071" s="2" t="s">
        <v>12</v>
      </c>
      <c r="B1071" s="2" t="s">
        <v>5</v>
      </c>
      <c r="C1071" s="1">
        <v>18</v>
      </c>
      <c r="D1071" s="2" t="s">
        <v>16</v>
      </c>
      <c r="E1071" s="5" t="str">
        <f>IF(Table1[[#This Row],[Pre or Post]]="Pre",IF(IF(Table1[[#This Row],[Response]]="Male",0,1)+IF(Table1[[#This Row],[Response]]="Female",0,1)=2,E1070,Table1[[#This Row],[Response]]),"")</f>
        <v/>
      </c>
      <c r="F1071" s="1">
        <v>13</v>
      </c>
      <c r="G1071" s="1">
        <v>4</v>
      </c>
      <c r="H1071" s="2" t="s">
        <v>9</v>
      </c>
      <c r="I107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7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7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72" spans="1:11">
      <c r="A1072" s="2" t="s">
        <v>12</v>
      </c>
      <c r="B1072" s="2" t="s">
        <v>5</v>
      </c>
      <c r="C1072" s="1">
        <v>18</v>
      </c>
      <c r="D1072" s="2" t="s">
        <v>16</v>
      </c>
      <c r="E1072" s="5" t="str">
        <f>IF(Table1[[#This Row],[Pre or Post]]="Pre",IF(IF(Table1[[#This Row],[Response]]="Male",0,1)+IF(Table1[[#This Row],[Response]]="Female",0,1)=2,E1071,Table1[[#This Row],[Response]]),"")</f>
        <v/>
      </c>
      <c r="F1072" s="1">
        <v>5</v>
      </c>
      <c r="G1072" s="1">
        <v>4</v>
      </c>
      <c r="H1072" s="2" t="s">
        <v>9</v>
      </c>
      <c r="I107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7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7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73" spans="1:11">
      <c r="A1073" s="2" t="s">
        <v>12</v>
      </c>
      <c r="B1073" s="2" t="s">
        <v>5</v>
      </c>
      <c r="C1073" s="1">
        <v>18</v>
      </c>
      <c r="D1073" s="2" t="s">
        <v>16</v>
      </c>
      <c r="E1073" s="5" t="str">
        <f>IF(Table1[[#This Row],[Pre or Post]]="Pre",IF(IF(Table1[[#This Row],[Response]]="Male",0,1)+IF(Table1[[#This Row],[Response]]="Female",0,1)=2,E1072,Table1[[#This Row],[Response]]),"")</f>
        <v/>
      </c>
      <c r="F1073" s="1">
        <v>6</v>
      </c>
      <c r="G1073" s="1">
        <v>4</v>
      </c>
      <c r="H1073" s="2" t="s">
        <v>9</v>
      </c>
      <c r="I107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7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7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74" spans="1:11">
      <c r="A1074" s="2" t="s">
        <v>12</v>
      </c>
      <c r="B1074" s="2" t="s">
        <v>5</v>
      </c>
      <c r="C1074" s="1">
        <v>18</v>
      </c>
      <c r="D1074" s="2" t="s">
        <v>16</v>
      </c>
      <c r="E1074" s="5" t="str">
        <f>IF(Table1[[#This Row],[Pre or Post]]="Pre",IF(IF(Table1[[#This Row],[Response]]="Male",0,1)+IF(Table1[[#This Row],[Response]]="Female",0,1)=2,E1073,Table1[[#This Row],[Response]]),"")</f>
        <v/>
      </c>
      <c r="F1074" s="1">
        <v>15</v>
      </c>
      <c r="G1074" s="1">
        <v>2</v>
      </c>
      <c r="H1074" s="2" t="s">
        <v>9</v>
      </c>
      <c r="I107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7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7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75" spans="1:11">
      <c r="A1075" s="2" t="s">
        <v>12</v>
      </c>
      <c r="B1075" s="2" t="s">
        <v>5</v>
      </c>
      <c r="C1075" s="1">
        <v>18</v>
      </c>
      <c r="D1075" s="2" t="s">
        <v>16</v>
      </c>
      <c r="E1075" s="5" t="str">
        <f>IF(Table1[[#This Row],[Pre or Post]]="Pre",IF(IF(Table1[[#This Row],[Response]]="Male",0,1)+IF(Table1[[#This Row],[Response]]="Female",0,1)=2,E1074,Table1[[#This Row],[Response]]),"")</f>
        <v/>
      </c>
      <c r="F1075" s="1">
        <v>14</v>
      </c>
      <c r="G1075" s="1">
        <v>3</v>
      </c>
      <c r="H1075" s="2" t="s">
        <v>9</v>
      </c>
      <c r="I107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7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7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76" spans="1:11">
      <c r="A1076" s="2" t="s">
        <v>12</v>
      </c>
      <c r="B1076" s="2" t="s">
        <v>5</v>
      </c>
      <c r="C1076" s="1">
        <v>18</v>
      </c>
      <c r="D1076" s="2" t="s">
        <v>16</v>
      </c>
      <c r="E1076" s="5" t="str">
        <f>IF(Table1[[#This Row],[Pre or Post]]="Pre",IF(IF(Table1[[#This Row],[Response]]="Male",0,1)+IF(Table1[[#This Row],[Response]]="Female",0,1)=2,E1075,Table1[[#This Row],[Response]]),"")</f>
        <v/>
      </c>
      <c r="F1076" s="1">
        <v>7</v>
      </c>
      <c r="G1076" s="1">
        <v>2</v>
      </c>
      <c r="H1076" s="2" t="s">
        <v>9</v>
      </c>
      <c r="I107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7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7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77" spans="1:11">
      <c r="A1077" s="2" t="s">
        <v>12</v>
      </c>
      <c r="B1077" s="2" t="s">
        <v>5</v>
      </c>
      <c r="C1077" s="1">
        <v>18</v>
      </c>
      <c r="D1077" s="2" t="s">
        <v>16</v>
      </c>
      <c r="E1077" s="5" t="str">
        <f>IF(Table1[[#This Row],[Pre or Post]]="Pre",IF(IF(Table1[[#This Row],[Response]]="Male",0,1)+IF(Table1[[#This Row],[Response]]="Female",0,1)=2,E1076,Table1[[#This Row],[Response]]),"")</f>
        <v/>
      </c>
      <c r="F1077" s="1">
        <v>16</v>
      </c>
      <c r="G1077" s="1">
        <v>2</v>
      </c>
      <c r="H1077" s="2" t="s">
        <v>9</v>
      </c>
      <c r="I107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7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7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78" spans="1:11">
      <c r="A1078" s="2" t="s">
        <v>12</v>
      </c>
      <c r="B1078" s="2" t="s">
        <v>5</v>
      </c>
      <c r="C1078" s="1">
        <v>18</v>
      </c>
      <c r="D1078" s="2" t="s">
        <v>16</v>
      </c>
      <c r="E1078" s="5" t="str">
        <f>IF(Table1[[#This Row],[Pre or Post]]="Pre",IF(IF(Table1[[#This Row],[Response]]="Male",0,1)+IF(Table1[[#This Row],[Response]]="Female",0,1)=2,E1077,Table1[[#This Row],[Response]]),"")</f>
        <v/>
      </c>
      <c r="F1078" s="1">
        <v>17</v>
      </c>
      <c r="G1078" s="1">
        <v>3</v>
      </c>
      <c r="H1078" s="2" t="s">
        <v>9</v>
      </c>
      <c r="I107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7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7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79" spans="1:11">
      <c r="A1079" s="2" t="s">
        <v>12</v>
      </c>
      <c r="B1079" s="2" t="s">
        <v>5</v>
      </c>
      <c r="C1079" s="1">
        <v>18</v>
      </c>
      <c r="D1079" s="2" t="s">
        <v>16</v>
      </c>
      <c r="E1079" s="5" t="str">
        <f>IF(Table1[[#This Row],[Pre or Post]]="Pre",IF(IF(Table1[[#This Row],[Response]]="Male",0,1)+IF(Table1[[#This Row],[Response]]="Female",0,1)=2,E1078,Table1[[#This Row],[Response]]),"")</f>
        <v/>
      </c>
      <c r="F1079" s="1">
        <v>8</v>
      </c>
      <c r="G1079" s="1"/>
      <c r="H1079" s="2" t="s">
        <v>9</v>
      </c>
      <c r="I107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7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7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80" spans="1:11">
      <c r="A1080" s="2" t="s">
        <v>12</v>
      </c>
      <c r="B1080" s="2" t="s">
        <v>5</v>
      </c>
      <c r="C1080" s="1">
        <v>18</v>
      </c>
      <c r="D1080" s="2" t="s">
        <v>16</v>
      </c>
      <c r="E1080" s="5" t="str">
        <f>IF(Table1[[#This Row],[Pre or Post]]="Pre",IF(IF(Table1[[#This Row],[Response]]="Male",0,1)+IF(Table1[[#This Row],[Response]]="Female",0,1)=2,E1079,Table1[[#This Row],[Response]]),"")</f>
        <v/>
      </c>
      <c r="F1080" s="1">
        <v>9</v>
      </c>
      <c r="G1080" s="1"/>
      <c r="H1080" s="2" t="s">
        <v>9</v>
      </c>
      <c r="I108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8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8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81" spans="1:11">
      <c r="A1081" s="2" t="s">
        <v>12</v>
      </c>
      <c r="B1081" s="2" t="s">
        <v>5</v>
      </c>
      <c r="C1081" s="1">
        <v>18</v>
      </c>
      <c r="D1081" s="2" t="s">
        <v>16</v>
      </c>
      <c r="E1081" s="5" t="str">
        <f>IF(Table1[[#This Row],[Pre or Post]]="Pre",IF(IF(Table1[[#This Row],[Response]]="Male",0,1)+IF(Table1[[#This Row],[Response]]="Female",0,1)=2,E1080,Table1[[#This Row],[Response]]),"")</f>
        <v/>
      </c>
      <c r="F1081" s="1">
        <v>10</v>
      </c>
      <c r="G1081" s="1"/>
      <c r="H1081" s="2" t="s">
        <v>9</v>
      </c>
      <c r="I108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8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8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82" spans="1:11">
      <c r="A1082" s="2" t="s">
        <v>12</v>
      </c>
      <c r="B1082" s="2" t="s">
        <v>5</v>
      </c>
      <c r="C1082" s="2">
        <v>19</v>
      </c>
      <c r="D1082" s="2" t="s">
        <v>16</v>
      </c>
      <c r="E1082" s="5" t="str">
        <f>IF(Table1[[#This Row],[Pre or Post]]="Pre",IF(IF(Table1[[#This Row],[Response]]="Male",0,1)+IF(Table1[[#This Row],[Response]]="Female",0,1)=2,E1081,Table1[[#This Row],[Response]]),"")</f>
        <v/>
      </c>
      <c r="F1082" s="1">
        <v>2</v>
      </c>
      <c r="G1082" s="2">
        <v>4</v>
      </c>
      <c r="H1082" s="2" t="s">
        <v>9</v>
      </c>
      <c r="I108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8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8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83" spans="1:11">
      <c r="A1083" s="2" t="s">
        <v>12</v>
      </c>
      <c r="B1083" s="2" t="s">
        <v>5</v>
      </c>
      <c r="C1083" s="2">
        <v>19</v>
      </c>
      <c r="D1083" s="2" t="s">
        <v>16</v>
      </c>
      <c r="E1083" s="5" t="str">
        <f>IF(Table1[[#This Row],[Pre or Post]]="Pre",IF(IF(Table1[[#This Row],[Response]]="Male",0,1)+IF(Table1[[#This Row],[Response]]="Female",0,1)=2,E1082,Table1[[#This Row],[Response]]),"")</f>
        <v/>
      </c>
      <c r="F1083" s="1">
        <v>3</v>
      </c>
      <c r="G1083" s="2">
        <v>4</v>
      </c>
      <c r="H1083" s="2" t="s">
        <v>9</v>
      </c>
      <c r="I108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8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8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84" spans="1:11">
      <c r="A1084" s="2" t="s">
        <v>12</v>
      </c>
      <c r="B1084" s="2" t="s">
        <v>5</v>
      </c>
      <c r="C1084" s="2">
        <v>19</v>
      </c>
      <c r="D1084" s="2" t="s">
        <v>16</v>
      </c>
      <c r="E1084" s="5" t="str">
        <f>IF(Table1[[#This Row],[Pre or Post]]="Pre",IF(IF(Table1[[#This Row],[Response]]="Male",0,1)+IF(Table1[[#This Row],[Response]]="Female",0,1)=2,E1083,Table1[[#This Row],[Response]]),"")</f>
        <v/>
      </c>
      <c r="F1084" s="1">
        <v>4</v>
      </c>
      <c r="G1084" s="2">
        <v>3</v>
      </c>
      <c r="H1084" s="2" t="s">
        <v>9</v>
      </c>
      <c r="I108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8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8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85" spans="1:11">
      <c r="A1085" s="2" t="s">
        <v>12</v>
      </c>
      <c r="B1085" s="2" t="s">
        <v>5</v>
      </c>
      <c r="C1085" s="2">
        <v>19</v>
      </c>
      <c r="D1085" s="2" t="s">
        <v>16</v>
      </c>
      <c r="E1085" s="5" t="str">
        <f>IF(Table1[[#This Row],[Pre or Post]]="Pre",IF(IF(Table1[[#This Row],[Response]]="Male",0,1)+IF(Table1[[#This Row],[Response]]="Female",0,1)=2,E1084,Table1[[#This Row],[Response]]),"")</f>
        <v/>
      </c>
      <c r="F1085" s="1">
        <v>12</v>
      </c>
      <c r="G1085" s="2">
        <v>2</v>
      </c>
      <c r="H1085" s="2" t="s">
        <v>9</v>
      </c>
      <c r="I108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8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8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86" spans="1:11">
      <c r="A1086" s="2" t="s">
        <v>12</v>
      </c>
      <c r="B1086" s="2" t="s">
        <v>5</v>
      </c>
      <c r="C1086" s="2">
        <v>19</v>
      </c>
      <c r="D1086" s="2" t="s">
        <v>16</v>
      </c>
      <c r="E1086" s="5" t="str">
        <f>IF(Table1[[#This Row],[Pre or Post]]="Pre",IF(IF(Table1[[#This Row],[Response]]="Male",0,1)+IF(Table1[[#This Row],[Response]]="Female",0,1)=2,E1085,Table1[[#This Row],[Response]]),"")</f>
        <v/>
      </c>
      <c r="F1086" s="1">
        <v>13</v>
      </c>
      <c r="G1086" s="2">
        <v>4</v>
      </c>
      <c r="H1086" s="2" t="s">
        <v>9</v>
      </c>
      <c r="I108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8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8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87" spans="1:11">
      <c r="A1087" s="2" t="s">
        <v>12</v>
      </c>
      <c r="B1087" s="2" t="s">
        <v>5</v>
      </c>
      <c r="C1087" s="2">
        <v>19</v>
      </c>
      <c r="D1087" s="2" t="s">
        <v>16</v>
      </c>
      <c r="E1087" s="5" t="str">
        <f>IF(Table1[[#This Row],[Pre or Post]]="Pre",IF(IF(Table1[[#This Row],[Response]]="Male",0,1)+IF(Table1[[#This Row],[Response]]="Female",0,1)=2,E1086,Table1[[#This Row],[Response]]),"")</f>
        <v/>
      </c>
      <c r="F1087" s="1">
        <v>5</v>
      </c>
      <c r="G1087" s="2">
        <v>4</v>
      </c>
      <c r="H1087" s="2" t="s">
        <v>9</v>
      </c>
      <c r="I108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8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8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88" spans="1:11">
      <c r="A1088" s="2" t="s">
        <v>12</v>
      </c>
      <c r="B1088" s="2" t="s">
        <v>5</v>
      </c>
      <c r="C1088" s="2">
        <v>19</v>
      </c>
      <c r="D1088" s="2" t="s">
        <v>16</v>
      </c>
      <c r="E1088" s="5" t="str">
        <f>IF(Table1[[#This Row],[Pre or Post]]="Pre",IF(IF(Table1[[#This Row],[Response]]="Male",0,1)+IF(Table1[[#This Row],[Response]]="Female",0,1)=2,E1087,Table1[[#This Row],[Response]]),"")</f>
        <v/>
      </c>
      <c r="F1088" s="1">
        <v>6</v>
      </c>
      <c r="G1088" s="2">
        <v>2</v>
      </c>
      <c r="H1088" s="2" t="s">
        <v>9</v>
      </c>
      <c r="I108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8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8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89" spans="1:11">
      <c r="A1089" s="2" t="s">
        <v>12</v>
      </c>
      <c r="B1089" s="2" t="s">
        <v>5</v>
      </c>
      <c r="C1089" s="2">
        <v>19</v>
      </c>
      <c r="D1089" s="2" t="s">
        <v>16</v>
      </c>
      <c r="E1089" s="5" t="str">
        <f>IF(Table1[[#This Row],[Pre or Post]]="Pre",IF(IF(Table1[[#This Row],[Response]]="Male",0,1)+IF(Table1[[#This Row],[Response]]="Female",0,1)=2,E1088,Table1[[#This Row],[Response]]),"")</f>
        <v/>
      </c>
      <c r="F1089" s="1">
        <v>15</v>
      </c>
      <c r="G1089" s="2">
        <v>3</v>
      </c>
      <c r="H1089" s="2" t="s">
        <v>9</v>
      </c>
      <c r="I108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8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8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90" spans="1:11">
      <c r="A1090" s="2" t="s">
        <v>12</v>
      </c>
      <c r="B1090" s="2" t="s">
        <v>5</v>
      </c>
      <c r="C1090" s="2">
        <v>19</v>
      </c>
      <c r="D1090" s="2" t="s">
        <v>16</v>
      </c>
      <c r="E1090" s="5" t="str">
        <f>IF(Table1[[#This Row],[Pre or Post]]="Pre",IF(IF(Table1[[#This Row],[Response]]="Male",0,1)+IF(Table1[[#This Row],[Response]]="Female",0,1)=2,E1089,Table1[[#This Row],[Response]]),"")</f>
        <v/>
      </c>
      <c r="F1090" s="1">
        <v>14</v>
      </c>
      <c r="G1090" s="2">
        <v>2</v>
      </c>
      <c r="H1090" s="2" t="s">
        <v>9</v>
      </c>
      <c r="I109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9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9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91" spans="1:11">
      <c r="A1091" s="2" t="s">
        <v>12</v>
      </c>
      <c r="B1091" s="2" t="s">
        <v>5</v>
      </c>
      <c r="C1091" s="2">
        <v>19</v>
      </c>
      <c r="D1091" s="2" t="s">
        <v>16</v>
      </c>
      <c r="E1091" s="5" t="str">
        <f>IF(Table1[[#This Row],[Pre or Post]]="Pre",IF(IF(Table1[[#This Row],[Response]]="Male",0,1)+IF(Table1[[#This Row],[Response]]="Female",0,1)=2,E1090,Table1[[#This Row],[Response]]),"")</f>
        <v/>
      </c>
      <c r="F1091" s="1">
        <v>7</v>
      </c>
      <c r="G1091" s="2">
        <v>3</v>
      </c>
      <c r="H1091" s="2" t="s">
        <v>9</v>
      </c>
      <c r="I109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9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9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92" spans="1:11">
      <c r="A1092" s="2" t="s">
        <v>12</v>
      </c>
      <c r="B1092" s="2" t="s">
        <v>5</v>
      </c>
      <c r="C1092" s="2">
        <v>19</v>
      </c>
      <c r="D1092" s="2" t="s">
        <v>16</v>
      </c>
      <c r="E1092" s="5" t="str">
        <f>IF(Table1[[#This Row],[Pre or Post]]="Pre",IF(IF(Table1[[#This Row],[Response]]="Male",0,1)+IF(Table1[[#This Row],[Response]]="Female",0,1)=2,E1091,Table1[[#This Row],[Response]]),"")</f>
        <v/>
      </c>
      <c r="F1092" s="1">
        <v>16</v>
      </c>
      <c r="G1092" s="2">
        <v>3</v>
      </c>
      <c r="H1092" s="2" t="s">
        <v>9</v>
      </c>
      <c r="I109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9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9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93" spans="1:11">
      <c r="A1093" s="2" t="s">
        <v>12</v>
      </c>
      <c r="B1093" s="2" t="s">
        <v>5</v>
      </c>
      <c r="C1093" s="2">
        <v>19</v>
      </c>
      <c r="D1093" s="2" t="s">
        <v>16</v>
      </c>
      <c r="E1093" s="5" t="str">
        <f>IF(Table1[[#This Row],[Pre or Post]]="Pre",IF(IF(Table1[[#This Row],[Response]]="Male",0,1)+IF(Table1[[#This Row],[Response]]="Female",0,1)=2,E1092,Table1[[#This Row],[Response]]),"")</f>
        <v/>
      </c>
      <c r="F1093" s="1">
        <v>17</v>
      </c>
      <c r="G1093" s="2">
        <v>4</v>
      </c>
      <c r="H1093" s="2" t="s">
        <v>9</v>
      </c>
      <c r="I109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9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9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94" spans="1:11">
      <c r="A1094" s="2" t="s">
        <v>12</v>
      </c>
      <c r="B1094" s="2" t="s">
        <v>5</v>
      </c>
      <c r="C1094" s="2">
        <v>19</v>
      </c>
      <c r="D1094" s="2" t="s">
        <v>16</v>
      </c>
      <c r="E1094" s="5" t="str">
        <f>IF(Table1[[#This Row],[Pre or Post]]="Pre",IF(IF(Table1[[#This Row],[Response]]="Male",0,1)+IF(Table1[[#This Row],[Response]]="Female",0,1)=2,E1093,Table1[[#This Row],[Response]]),"")</f>
        <v/>
      </c>
      <c r="F1094" s="1">
        <v>8</v>
      </c>
      <c r="G1094" s="2" t="s">
        <v>8</v>
      </c>
      <c r="H1094" s="2" t="s">
        <v>9</v>
      </c>
      <c r="I109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9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9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95" spans="1:11">
      <c r="A1095" s="2" t="s">
        <v>12</v>
      </c>
      <c r="B1095" s="2" t="s">
        <v>5</v>
      </c>
      <c r="C1095" s="2">
        <v>19</v>
      </c>
      <c r="D1095" s="2" t="s">
        <v>16</v>
      </c>
      <c r="E1095" s="5" t="str">
        <f>IF(Table1[[#This Row],[Pre or Post]]="Pre",IF(IF(Table1[[#This Row],[Response]]="Male",0,1)+IF(Table1[[#This Row],[Response]]="Female",0,1)=2,E1094,Table1[[#This Row],[Response]]),"")</f>
        <v/>
      </c>
      <c r="F1095" s="1">
        <v>9</v>
      </c>
      <c r="G1095" s="2" t="s">
        <v>17</v>
      </c>
      <c r="H1095" s="2" t="s">
        <v>9</v>
      </c>
      <c r="I109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9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9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96" spans="1:11">
      <c r="A1096" s="2" t="s">
        <v>12</v>
      </c>
      <c r="B1096" s="2" t="s">
        <v>5</v>
      </c>
      <c r="C1096" s="2">
        <v>19</v>
      </c>
      <c r="D1096" s="2" t="s">
        <v>16</v>
      </c>
      <c r="E1096" s="5" t="str">
        <f>IF(Table1[[#This Row],[Pre or Post]]="Pre",IF(IF(Table1[[#This Row],[Response]]="Male",0,1)+IF(Table1[[#This Row],[Response]]="Female",0,1)=2,E1095,Table1[[#This Row],[Response]]),"")</f>
        <v/>
      </c>
      <c r="F1096" s="1">
        <v>10</v>
      </c>
      <c r="G1096" s="2"/>
      <c r="H1096" s="2" t="s">
        <v>9</v>
      </c>
      <c r="I109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9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9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97" spans="1:11">
      <c r="A1097" s="2" t="s">
        <v>12</v>
      </c>
      <c r="B1097" s="2" t="s">
        <v>5</v>
      </c>
      <c r="C1097" s="2">
        <v>20</v>
      </c>
      <c r="D1097" s="2" t="s">
        <v>16</v>
      </c>
      <c r="E1097" s="5" t="str">
        <f>IF(Table1[[#This Row],[Pre or Post]]="Pre",IF(IF(Table1[[#This Row],[Response]]="Male",0,1)+IF(Table1[[#This Row],[Response]]="Female",0,1)=2,E1096,Table1[[#This Row],[Response]]),"")</f>
        <v/>
      </c>
      <c r="F1097" s="1">
        <v>2</v>
      </c>
      <c r="G1097" s="2">
        <v>4</v>
      </c>
      <c r="H1097" s="2" t="s">
        <v>9</v>
      </c>
      <c r="I109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9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9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98" spans="1:11">
      <c r="A1098" s="2" t="s">
        <v>12</v>
      </c>
      <c r="B1098" s="2" t="s">
        <v>5</v>
      </c>
      <c r="C1098" s="2">
        <v>20</v>
      </c>
      <c r="D1098" s="2" t="s">
        <v>16</v>
      </c>
      <c r="E1098" s="5" t="str">
        <f>IF(Table1[[#This Row],[Pre or Post]]="Pre",IF(IF(Table1[[#This Row],[Response]]="Male",0,1)+IF(Table1[[#This Row],[Response]]="Female",0,1)=2,E1097,Table1[[#This Row],[Response]]),"")</f>
        <v/>
      </c>
      <c r="F1098" s="1">
        <v>3</v>
      </c>
      <c r="G1098" s="2">
        <v>4</v>
      </c>
      <c r="H1098" s="2" t="s">
        <v>9</v>
      </c>
      <c r="I109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9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9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099" spans="1:11">
      <c r="A1099" s="2" t="s">
        <v>12</v>
      </c>
      <c r="B1099" s="2" t="s">
        <v>5</v>
      </c>
      <c r="C1099" s="2">
        <v>20</v>
      </c>
      <c r="D1099" s="2" t="s">
        <v>16</v>
      </c>
      <c r="E1099" s="5" t="str">
        <f>IF(Table1[[#This Row],[Pre or Post]]="Pre",IF(IF(Table1[[#This Row],[Response]]="Male",0,1)+IF(Table1[[#This Row],[Response]]="Female",0,1)=2,E1098,Table1[[#This Row],[Response]]),"")</f>
        <v/>
      </c>
      <c r="F1099" s="1">
        <v>4</v>
      </c>
      <c r="G1099" s="2">
        <v>2</v>
      </c>
      <c r="H1099" s="2" t="s">
        <v>9</v>
      </c>
      <c r="I109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09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09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00" spans="1:11">
      <c r="A1100" s="2" t="s">
        <v>12</v>
      </c>
      <c r="B1100" s="2" t="s">
        <v>5</v>
      </c>
      <c r="C1100" s="2">
        <v>20</v>
      </c>
      <c r="D1100" s="2" t="s">
        <v>16</v>
      </c>
      <c r="E1100" s="5" t="str">
        <f>IF(Table1[[#This Row],[Pre or Post]]="Pre",IF(IF(Table1[[#This Row],[Response]]="Male",0,1)+IF(Table1[[#This Row],[Response]]="Female",0,1)=2,E1099,Table1[[#This Row],[Response]]),"")</f>
        <v/>
      </c>
      <c r="F1100" s="1">
        <v>12</v>
      </c>
      <c r="G1100" s="2">
        <v>3</v>
      </c>
      <c r="H1100" s="2" t="s">
        <v>9</v>
      </c>
      <c r="I110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0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0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01" spans="1:11">
      <c r="A1101" s="2" t="s">
        <v>12</v>
      </c>
      <c r="B1101" s="2" t="s">
        <v>5</v>
      </c>
      <c r="C1101" s="2">
        <v>20</v>
      </c>
      <c r="D1101" s="2" t="s">
        <v>16</v>
      </c>
      <c r="E1101" s="5" t="str">
        <f>IF(Table1[[#This Row],[Pre or Post]]="Pre",IF(IF(Table1[[#This Row],[Response]]="Male",0,1)+IF(Table1[[#This Row],[Response]]="Female",0,1)=2,E1100,Table1[[#This Row],[Response]]),"")</f>
        <v/>
      </c>
      <c r="F1101" s="1">
        <v>13</v>
      </c>
      <c r="G1101" s="2">
        <v>4</v>
      </c>
      <c r="H1101" s="2" t="s">
        <v>9</v>
      </c>
      <c r="I110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0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0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02" spans="1:11">
      <c r="A1102" s="2" t="s">
        <v>12</v>
      </c>
      <c r="B1102" s="2" t="s">
        <v>5</v>
      </c>
      <c r="C1102" s="2">
        <v>20</v>
      </c>
      <c r="D1102" s="2" t="s">
        <v>16</v>
      </c>
      <c r="E1102" s="5" t="str">
        <f>IF(Table1[[#This Row],[Pre or Post]]="Pre",IF(IF(Table1[[#This Row],[Response]]="Male",0,1)+IF(Table1[[#This Row],[Response]]="Female",0,1)=2,E1101,Table1[[#This Row],[Response]]),"")</f>
        <v/>
      </c>
      <c r="F1102" s="1">
        <v>5</v>
      </c>
      <c r="G1102" s="2">
        <v>3</v>
      </c>
      <c r="H1102" s="2" t="s">
        <v>9</v>
      </c>
      <c r="I110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0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0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03" spans="1:11">
      <c r="A1103" s="2" t="s">
        <v>12</v>
      </c>
      <c r="B1103" s="2" t="s">
        <v>5</v>
      </c>
      <c r="C1103" s="2">
        <v>20</v>
      </c>
      <c r="D1103" s="2" t="s">
        <v>16</v>
      </c>
      <c r="E1103" s="5" t="str">
        <f>IF(Table1[[#This Row],[Pre or Post]]="Pre",IF(IF(Table1[[#This Row],[Response]]="Male",0,1)+IF(Table1[[#This Row],[Response]]="Female",0,1)=2,E1102,Table1[[#This Row],[Response]]),"")</f>
        <v/>
      </c>
      <c r="F1103" s="1">
        <v>6</v>
      </c>
      <c r="G1103" s="2">
        <v>4</v>
      </c>
      <c r="H1103" s="2" t="s">
        <v>9</v>
      </c>
      <c r="I110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0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0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04" spans="1:11">
      <c r="A1104" s="2" t="s">
        <v>12</v>
      </c>
      <c r="B1104" s="2" t="s">
        <v>5</v>
      </c>
      <c r="C1104" s="2">
        <v>20</v>
      </c>
      <c r="D1104" s="2" t="s">
        <v>16</v>
      </c>
      <c r="E1104" s="5" t="str">
        <f>IF(Table1[[#This Row],[Pre or Post]]="Pre",IF(IF(Table1[[#This Row],[Response]]="Male",0,1)+IF(Table1[[#This Row],[Response]]="Female",0,1)=2,E1103,Table1[[#This Row],[Response]]),"")</f>
        <v/>
      </c>
      <c r="F1104" s="1">
        <v>15</v>
      </c>
      <c r="G1104" s="2">
        <v>3</v>
      </c>
      <c r="H1104" s="2" t="s">
        <v>9</v>
      </c>
      <c r="I110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0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0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05" spans="1:11">
      <c r="A1105" s="2" t="s">
        <v>12</v>
      </c>
      <c r="B1105" s="2" t="s">
        <v>5</v>
      </c>
      <c r="C1105" s="2">
        <v>20</v>
      </c>
      <c r="D1105" s="2" t="s">
        <v>16</v>
      </c>
      <c r="E1105" s="5" t="str">
        <f>IF(Table1[[#This Row],[Pre or Post]]="Pre",IF(IF(Table1[[#This Row],[Response]]="Male",0,1)+IF(Table1[[#This Row],[Response]]="Female",0,1)=2,E1104,Table1[[#This Row],[Response]]),"")</f>
        <v/>
      </c>
      <c r="F1105" s="1">
        <v>14</v>
      </c>
      <c r="G1105" s="2">
        <v>5</v>
      </c>
      <c r="H1105" s="2" t="s">
        <v>9</v>
      </c>
      <c r="I110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0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0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06" spans="1:11">
      <c r="A1106" s="2" t="s">
        <v>12</v>
      </c>
      <c r="B1106" s="2" t="s">
        <v>5</v>
      </c>
      <c r="C1106" s="2">
        <v>20</v>
      </c>
      <c r="D1106" s="2" t="s">
        <v>16</v>
      </c>
      <c r="E1106" s="5" t="str">
        <f>IF(Table1[[#This Row],[Pre or Post]]="Pre",IF(IF(Table1[[#This Row],[Response]]="Male",0,1)+IF(Table1[[#This Row],[Response]]="Female",0,1)=2,E1105,Table1[[#This Row],[Response]]),"")</f>
        <v/>
      </c>
      <c r="F1106" s="1">
        <v>7</v>
      </c>
      <c r="G1106" s="2">
        <v>4</v>
      </c>
      <c r="H1106" s="2" t="s">
        <v>9</v>
      </c>
      <c r="I110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0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0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07" spans="1:11">
      <c r="A1107" s="2" t="s">
        <v>12</v>
      </c>
      <c r="B1107" s="2" t="s">
        <v>5</v>
      </c>
      <c r="C1107" s="2">
        <v>20</v>
      </c>
      <c r="D1107" s="2" t="s">
        <v>16</v>
      </c>
      <c r="E1107" s="5" t="str">
        <f>IF(Table1[[#This Row],[Pre or Post]]="Pre",IF(IF(Table1[[#This Row],[Response]]="Male",0,1)+IF(Table1[[#This Row],[Response]]="Female",0,1)=2,E1106,Table1[[#This Row],[Response]]),"")</f>
        <v/>
      </c>
      <c r="F1107" s="1">
        <v>16</v>
      </c>
      <c r="G1107" s="2">
        <v>1</v>
      </c>
      <c r="H1107" s="2" t="s">
        <v>9</v>
      </c>
      <c r="I110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0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0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08" spans="1:11">
      <c r="A1108" s="2" t="s">
        <v>12</v>
      </c>
      <c r="B1108" s="2" t="s">
        <v>5</v>
      </c>
      <c r="C1108" s="2">
        <v>20</v>
      </c>
      <c r="D1108" s="2" t="s">
        <v>16</v>
      </c>
      <c r="E1108" s="5" t="str">
        <f>IF(Table1[[#This Row],[Pre or Post]]="Pre",IF(IF(Table1[[#This Row],[Response]]="Male",0,1)+IF(Table1[[#This Row],[Response]]="Female",0,1)=2,E1107,Table1[[#This Row],[Response]]),"")</f>
        <v/>
      </c>
      <c r="F1108" s="1">
        <v>17</v>
      </c>
      <c r="G1108" s="2">
        <v>5</v>
      </c>
      <c r="H1108" s="2" t="s">
        <v>9</v>
      </c>
      <c r="I110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0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0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09" spans="1:11">
      <c r="A1109" s="2" t="s">
        <v>12</v>
      </c>
      <c r="B1109" s="2" t="s">
        <v>5</v>
      </c>
      <c r="C1109" s="2">
        <v>20</v>
      </c>
      <c r="D1109" s="2" t="s">
        <v>16</v>
      </c>
      <c r="E1109" s="5" t="str">
        <f>IF(Table1[[#This Row],[Pre or Post]]="Pre",IF(IF(Table1[[#This Row],[Response]]="Male",0,1)+IF(Table1[[#This Row],[Response]]="Female",0,1)=2,E1108,Table1[[#This Row],[Response]]),"")</f>
        <v/>
      </c>
      <c r="F1109" s="1">
        <v>8</v>
      </c>
      <c r="G1109" s="2"/>
      <c r="H1109" s="2" t="s">
        <v>9</v>
      </c>
      <c r="I110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0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0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10" spans="1:11">
      <c r="A1110" s="2" t="s">
        <v>12</v>
      </c>
      <c r="B1110" s="2" t="s">
        <v>5</v>
      </c>
      <c r="C1110" s="2">
        <v>20</v>
      </c>
      <c r="D1110" s="2" t="s">
        <v>16</v>
      </c>
      <c r="E1110" s="5" t="str">
        <f>IF(Table1[[#This Row],[Pre or Post]]="Pre",IF(IF(Table1[[#This Row],[Response]]="Male",0,1)+IF(Table1[[#This Row],[Response]]="Female",0,1)=2,E1109,Table1[[#This Row],[Response]]),"")</f>
        <v/>
      </c>
      <c r="F1110" s="1">
        <v>9</v>
      </c>
      <c r="G1110" s="2"/>
      <c r="H1110" s="2" t="s">
        <v>9</v>
      </c>
      <c r="I111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1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1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11" spans="1:11">
      <c r="A1111" s="2" t="s">
        <v>12</v>
      </c>
      <c r="B1111" s="2" t="s">
        <v>5</v>
      </c>
      <c r="C1111" s="2">
        <v>20</v>
      </c>
      <c r="D1111" s="2" t="s">
        <v>16</v>
      </c>
      <c r="E1111" s="5" t="str">
        <f>IF(Table1[[#This Row],[Pre or Post]]="Pre",IF(IF(Table1[[#This Row],[Response]]="Male",0,1)+IF(Table1[[#This Row],[Response]]="Female",0,1)=2,E1110,Table1[[#This Row],[Response]]),"")</f>
        <v/>
      </c>
      <c r="F1111" s="1">
        <v>10</v>
      </c>
      <c r="G1111" s="2"/>
      <c r="H1111" s="2" t="s">
        <v>9</v>
      </c>
      <c r="I111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1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1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12" spans="1:11">
      <c r="A1112" s="2" t="s">
        <v>12</v>
      </c>
      <c r="B1112" s="2" t="s">
        <v>5</v>
      </c>
      <c r="C1112" s="2">
        <v>21</v>
      </c>
      <c r="D1112" s="2" t="s">
        <v>16</v>
      </c>
      <c r="E1112" s="5" t="str">
        <f>IF(Table1[[#This Row],[Pre or Post]]="Pre",IF(IF(Table1[[#This Row],[Response]]="Male",0,1)+IF(Table1[[#This Row],[Response]]="Female",0,1)=2,E1111,Table1[[#This Row],[Response]]),"")</f>
        <v/>
      </c>
      <c r="F1112" s="1">
        <v>2</v>
      </c>
      <c r="G1112" s="2">
        <v>4</v>
      </c>
      <c r="H1112" s="2" t="s">
        <v>9</v>
      </c>
      <c r="I111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1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1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13" spans="1:11">
      <c r="A1113" s="2" t="s">
        <v>12</v>
      </c>
      <c r="B1113" s="2" t="s">
        <v>5</v>
      </c>
      <c r="C1113" s="2">
        <v>21</v>
      </c>
      <c r="D1113" s="2" t="s">
        <v>16</v>
      </c>
      <c r="E1113" s="5" t="str">
        <f>IF(Table1[[#This Row],[Pre or Post]]="Pre",IF(IF(Table1[[#This Row],[Response]]="Male",0,1)+IF(Table1[[#This Row],[Response]]="Female",0,1)=2,E1112,Table1[[#This Row],[Response]]),"")</f>
        <v/>
      </c>
      <c r="F1113" s="1">
        <v>3</v>
      </c>
      <c r="G1113" s="2">
        <v>3</v>
      </c>
      <c r="H1113" s="2" t="s">
        <v>9</v>
      </c>
      <c r="I111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1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1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14" spans="1:11">
      <c r="A1114" s="2" t="s">
        <v>12</v>
      </c>
      <c r="B1114" s="2" t="s">
        <v>5</v>
      </c>
      <c r="C1114" s="2">
        <v>21</v>
      </c>
      <c r="D1114" s="2" t="s">
        <v>16</v>
      </c>
      <c r="E1114" s="5" t="str">
        <f>IF(Table1[[#This Row],[Pre or Post]]="Pre",IF(IF(Table1[[#This Row],[Response]]="Male",0,1)+IF(Table1[[#This Row],[Response]]="Female",0,1)=2,E1113,Table1[[#This Row],[Response]]),"")</f>
        <v/>
      </c>
      <c r="F1114" s="1">
        <v>4</v>
      </c>
      <c r="G1114" s="2">
        <v>1</v>
      </c>
      <c r="H1114" s="2" t="s">
        <v>9</v>
      </c>
      <c r="I111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1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1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15" spans="1:11">
      <c r="A1115" s="2" t="s">
        <v>12</v>
      </c>
      <c r="B1115" s="2" t="s">
        <v>5</v>
      </c>
      <c r="C1115" s="2">
        <v>21</v>
      </c>
      <c r="D1115" s="2" t="s">
        <v>16</v>
      </c>
      <c r="E1115" s="5" t="str">
        <f>IF(Table1[[#This Row],[Pre or Post]]="Pre",IF(IF(Table1[[#This Row],[Response]]="Male",0,1)+IF(Table1[[#This Row],[Response]]="Female",0,1)=2,E1114,Table1[[#This Row],[Response]]),"")</f>
        <v/>
      </c>
      <c r="F1115" s="1">
        <v>12</v>
      </c>
      <c r="G1115" s="2">
        <v>1</v>
      </c>
      <c r="H1115" s="2" t="s">
        <v>9</v>
      </c>
      <c r="I111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1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1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16" spans="1:11">
      <c r="A1116" s="2" t="s">
        <v>12</v>
      </c>
      <c r="B1116" s="2" t="s">
        <v>5</v>
      </c>
      <c r="C1116" s="2">
        <v>21</v>
      </c>
      <c r="D1116" s="2" t="s">
        <v>16</v>
      </c>
      <c r="E1116" s="5" t="str">
        <f>IF(Table1[[#This Row],[Pre or Post]]="Pre",IF(IF(Table1[[#This Row],[Response]]="Male",0,1)+IF(Table1[[#This Row],[Response]]="Female",0,1)=2,E1115,Table1[[#This Row],[Response]]),"")</f>
        <v/>
      </c>
      <c r="F1116" s="1">
        <v>13</v>
      </c>
      <c r="G1116" s="2">
        <v>5</v>
      </c>
      <c r="H1116" s="2" t="s">
        <v>9</v>
      </c>
      <c r="I111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1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1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17" spans="1:11">
      <c r="A1117" s="2" t="s">
        <v>12</v>
      </c>
      <c r="B1117" s="2" t="s">
        <v>5</v>
      </c>
      <c r="C1117" s="2">
        <v>21</v>
      </c>
      <c r="D1117" s="2" t="s">
        <v>16</v>
      </c>
      <c r="E1117" s="5" t="str">
        <f>IF(Table1[[#This Row],[Pre or Post]]="Pre",IF(IF(Table1[[#This Row],[Response]]="Male",0,1)+IF(Table1[[#This Row],[Response]]="Female",0,1)=2,E1116,Table1[[#This Row],[Response]]),"")</f>
        <v/>
      </c>
      <c r="F1117" s="1">
        <v>5</v>
      </c>
      <c r="G1117" s="2">
        <v>4</v>
      </c>
      <c r="H1117" s="2" t="s">
        <v>9</v>
      </c>
      <c r="I111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1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1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18" spans="1:11">
      <c r="A1118" s="2" t="s">
        <v>12</v>
      </c>
      <c r="B1118" s="2" t="s">
        <v>5</v>
      </c>
      <c r="C1118" s="2">
        <v>21</v>
      </c>
      <c r="D1118" s="2" t="s">
        <v>16</v>
      </c>
      <c r="E1118" s="5" t="str">
        <f>IF(Table1[[#This Row],[Pre or Post]]="Pre",IF(IF(Table1[[#This Row],[Response]]="Male",0,1)+IF(Table1[[#This Row],[Response]]="Female",0,1)=2,E1117,Table1[[#This Row],[Response]]),"")</f>
        <v/>
      </c>
      <c r="F1118" s="1">
        <v>6</v>
      </c>
      <c r="G1118" s="2">
        <v>5</v>
      </c>
      <c r="H1118" s="2" t="s">
        <v>9</v>
      </c>
      <c r="I111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1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1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19" spans="1:11">
      <c r="A1119" s="2" t="s">
        <v>12</v>
      </c>
      <c r="B1119" s="2" t="s">
        <v>5</v>
      </c>
      <c r="C1119" s="2">
        <v>21</v>
      </c>
      <c r="D1119" s="2" t="s">
        <v>16</v>
      </c>
      <c r="E1119" s="5" t="str">
        <f>IF(Table1[[#This Row],[Pre or Post]]="Pre",IF(IF(Table1[[#This Row],[Response]]="Male",0,1)+IF(Table1[[#This Row],[Response]]="Female",0,1)=2,E1118,Table1[[#This Row],[Response]]),"")</f>
        <v/>
      </c>
      <c r="F1119" s="1">
        <v>15</v>
      </c>
      <c r="G1119" s="2">
        <v>3</v>
      </c>
      <c r="H1119" s="2" t="s">
        <v>9</v>
      </c>
      <c r="I111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1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1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20" spans="1:11">
      <c r="A1120" s="2" t="s">
        <v>12</v>
      </c>
      <c r="B1120" s="2" t="s">
        <v>5</v>
      </c>
      <c r="C1120" s="2">
        <v>21</v>
      </c>
      <c r="D1120" s="2" t="s">
        <v>16</v>
      </c>
      <c r="E1120" s="5" t="str">
        <f>IF(Table1[[#This Row],[Pre or Post]]="Pre",IF(IF(Table1[[#This Row],[Response]]="Male",0,1)+IF(Table1[[#This Row],[Response]]="Female",0,1)=2,E1119,Table1[[#This Row],[Response]]),"")</f>
        <v/>
      </c>
      <c r="F1120" s="1">
        <v>14</v>
      </c>
      <c r="G1120" s="2"/>
      <c r="H1120" s="2" t="s">
        <v>9</v>
      </c>
      <c r="I112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2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2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21" spans="1:11">
      <c r="A1121" s="2" t="s">
        <v>12</v>
      </c>
      <c r="B1121" s="2" t="s">
        <v>5</v>
      </c>
      <c r="C1121" s="2">
        <v>21</v>
      </c>
      <c r="D1121" s="2" t="s">
        <v>16</v>
      </c>
      <c r="E1121" s="5" t="str">
        <f>IF(Table1[[#This Row],[Pre or Post]]="Pre",IF(IF(Table1[[#This Row],[Response]]="Male",0,1)+IF(Table1[[#This Row],[Response]]="Female",0,1)=2,E1120,Table1[[#This Row],[Response]]),"")</f>
        <v/>
      </c>
      <c r="F1121" s="1">
        <v>7</v>
      </c>
      <c r="G1121" s="2">
        <v>5</v>
      </c>
      <c r="H1121" s="2" t="s">
        <v>9</v>
      </c>
      <c r="I112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2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2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22" spans="1:11">
      <c r="A1122" s="2" t="s">
        <v>12</v>
      </c>
      <c r="B1122" s="2" t="s">
        <v>5</v>
      </c>
      <c r="C1122" s="2">
        <v>21</v>
      </c>
      <c r="D1122" s="2" t="s">
        <v>16</v>
      </c>
      <c r="E1122" s="5" t="str">
        <f>IF(Table1[[#This Row],[Pre or Post]]="Pre",IF(IF(Table1[[#This Row],[Response]]="Male",0,1)+IF(Table1[[#This Row],[Response]]="Female",0,1)=2,E1121,Table1[[#This Row],[Response]]),"")</f>
        <v/>
      </c>
      <c r="F1122" s="1">
        <v>16</v>
      </c>
      <c r="G1122" s="2">
        <v>1</v>
      </c>
      <c r="H1122" s="2" t="s">
        <v>9</v>
      </c>
      <c r="I112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2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2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23" spans="1:11">
      <c r="A1123" s="2" t="s">
        <v>12</v>
      </c>
      <c r="B1123" s="2" t="s">
        <v>5</v>
      </c>
      <c r="C1123" s="2">
        <v>21</v>
      </c>
      <c r="D1123" s="2" t="s">
        <v>16</v>
      </c>
      <c r="E1123" s="5" t="str">
        <f>IF(Table1[[#This Row],[Pre or Post]]="Pre",IF(IF(Table1[[#This Row],[Response]]="Male",0,1)+IF(Table1[[#This Row],[Response]]="Female",0,1)=2,E1122,Table1[[#This Row],[Response]]),"")</f>
        <v/>
      </c>
      <c r="F1123" s="1">
        <v>17</v>
      </c>
      <c r="G1123" s="2"/>
      <c r="H1123" s="2" t="s">
        <v>9</v>
      </c>
      <c r="I112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2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2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24" spans="1:11">
      <c r="A1124" s="2" t="s">
        <v>12</v>
      </c>
      <c r="B1124" s="2" t="s">
        <v>5</v>
      </c>
      <c r="C1124" s="2">
        <v>21</v>
      </c>
      <c r="D1124" s="2" t="s">
        <v>16</v>
      </c>
      <c r="E1124" s="5" t="str">
        <f>IF(Table1[[#This Row],[Pre or Post]]="Pre",IF(IF(Table1[[#This Row],[Response]]="Male",0,1)+IF(Table1[[#This Row],[Response]]="Female",0,1)=2,E1123,Table1[[#This Row],[Response]]),"")</f>
        <v/>
      </c>
      <c r="F1124" s="1">
        <v>8</v>
      </c>
      <c r="G1124" s="2"/>
      <c r="H1124" s="2" t="s">
        <v>9</v>
      </c>
      <c r="I112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2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2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25" spans="1:11">
      <c r="A1125" s="2" t="s">
        <v>12</v>
      </c>
      <c r="B1125" s="2" t="s">
        <v>5</v>
      </c>
      <c r="C1125" s="2">
        <v>21</v>
      </c>
      <c r="D1125" s="2" t="s">
        <v>16</v>
      </c>
      <c r="E1125" s="5" t="str">
        <f>IF(Table1[[#This Row],[Pre or Post]]="Pre",IF(IF(Table1[[#This Row],[Response]]="Male",0,1)+IF(Table1[[#This Row],[Response]]="Female",0,1)=2,E1124,Table1[[#This Row],[Response]]),"")</f>
        <v/>
      </c>
      <c r="F1125" s="1">
        <v>9</v>
      </c>
      <c r="G1125" s="2"/>
      <c r="H1125" s="2" t="s">
        <v>9</v>
      </c>
      <c r="I112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2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2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26" spans="1:11">
      <c r="A1126" s="2" t="s">
        <v>12</v>
      </c>
      <c r="B1126" s="2" t="s">
        <v>5</v>
      </c>
      <c r="C1126" s="2">
        <v>21</v>
      </c>
      <c r="D1126" s="2" t="s">
        <v>16</v>
      </c>
      <c r="E1126" s="5" t="str">
        <f>IF(Table1[[#This Row],[Pre or Post]]="Pre",IF(IF(Table1[[#This Row],[Response]]="Male",0,1)+IF(Table1[[#This Row],[Response]]="Female",0,1)=2,E1125,Table1[[#This Row],[Response]]),"")</f>
        <v/>
      </c>
      <c r="F1126" s="1">
        <v>10</v>
      </c>
      <c r="G1126" s="2"/>
      <c r="H1126" s="2" t="s">
        <v>9</v>
      </c>
      <c r="I112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2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2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27" spans="1:11">
      <c r="A1127" s="2" t="s">
        <v>12</v>
      </c>
      <c r="B1127" s="2" t="s">
        <v>5</v>
      </c>
      <c r="C1127" s="2">
        <v>22</v>
      </c>
      <c r="D1127" s="2" t="s">
        <v>16</v>
      </c>
      <c r="E1127" s="5" t="str">
        <f>IF(Table1[[#This Row],[Pre or Post]]="Pre",IF(IF(Table1[[#This Row],[Response]]="Male",0,1)+IF(Table1[[#This Row],[Response]]="Female",0,1)=2,E1126,Table1[[#This Row],[Response]]),"")</f>
        <v/>
      </c>
      <c r="F1127" s="1">
        <v>2</v>
      </c>
      <c r="G1127" s="2">
        <v>4</v>
      </c>
      <c r="H1127" s="2" t="s">
        <v>9</v>
      </c>
      <c r="I112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2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2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28" spans="1:11">
      <c r="A1128" s="2" t="s">
        <v>12</v>
      </c>
      <c r="B1128" s="2" t="s">
        <v>5</v>
      </c>
      <c r="C1128" s="2">
        <v>22</v>
      </c>
      <c r="D1128" s="2" t="s">
        <v>16</v>
      </c>
      <c r="E1128" s="5" t="str">
        <f>IF(Table1[[#This Row],[Pre or Post]]="Pre",IF(IF(Table1[[#This Row],[Response]]="Male",0,1)+IF(Table1[[#This Row],[Response]]="Female",0,1)=2,E1127,Table1[[#This Row],[Response]]),"")</f>
        <v/>
      </c>
      <c r="F1128" s="1">
        <v>3</v>
      </c>
      <c r="G1128" s="2">
        <v>3</v>
      </c>
      <c r="H1128" s="2" t="s">
        <v>9</v>
      </c>
      <c r="I112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2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2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29" spans="1:11">
      <c r="A1129" s="2" t="s">
        <v>12</v>
      </c>
      <c r="B1129" s="2" t="s">
        <v>5</v>
      </c>
      <c r="C1129" s="2">
        <v>22</v>
      </c>
      <c r="D1129" s="2" t="s">
        <v>16</v>
      </c>
      <c r="E1129" s="5" t="str">
        <f>IF(Table1[[#This Row],[Pre or Post]]="Pre",IF(IF(Table1[[#This Row],[Response]]="Male",0,1)+IF(Table1[[#This Row],[Response]]="Female",0,1)=2,E1128,Table1[[#This Row],[Response]]),"")</f>
        <v/>
      </c>
      <c r="F1129" s="1">
        <v>4</v>
      </c>
      <c r="G1129" s="2">
        <v>1</v>
      </c>
      <c r="H1129" s="2" t="s">
        <v>9</v>
      </c>
      <c r="I112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2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2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30" spans="1:11">
      <c r="A1130" s="2" t="s">
        <v>12</v>
      </c>
      <c r="B1130" s="2" t="s">
        <v>5</v>
      </c>
      <c r="C1130" s="2">
        <v>22</v>
      </c>
      <c r="D1130" s="2" t="s">
        <v>16</v>
      </c>
      <c r="E1130" s="5" t="str">
        <f>IF(Table1[[#This Row],[Pre or Post]]="Pre",IF(IF(Table1[[#This Row],[Response]]="Male",0,1)+IF(Table1[[#This Row],[Response]]="Female",0,1)=2,E1129,Table1[[#This Row],[Response]]),"")</f>
        <v/>
      </c>
      <c r="F1130" s="1">
        <v>12</v>
      </c>
      <c r="G1130" s="2">
        <v>1</v>
      </c>
      <c r="H1130" s="2" t="s">
        <v>9</v>
      </c>
      <c r="I113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3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3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31" spans="1:11">
      <c r="A1131" s="2" t="s">
        <v>12</v>
      </c>
      <c r="B1131" s="2" t="s">
        <v>5</v>
      </c>
      <c r="C1131" s="2">
        <v>22</v>
      </c>
      <c r="D1131" s="2" t="s">
        <v>16</v>
      </c>
      <c r="E1131" s="5" t="str">
        <f>IF(Table1[[#This Row],[Pre or Post]]="Pre",IF(IF(Table1[[#This Row],[Response]]="Male",0,1)+IF(Table1[[#This Row],[Response]]="Female",0,1)=2,E1130,Table1[[#This Row],[Response]]),"")</f>
        <v/>
      </c>
      <c r="F1131" s="1">
        <v>13</v>
      </c>
      <c r="G1131" s="2">
        <v>5</v>
      </c>
      <c r="H1131" s="2" t="s">
        <v>9</v>
      </c>
      <c r="I113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3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3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32" spans="1:11">
      <c r="A1132" s="2" t="s">
        <v>12</v>
      </c>
      <c r="B1132" s="2" t="s">
        <v>5</v>
      </c>
      <c r="C1132" s="2">
        <v>22</v>
      </c>
      <c r="D1132" s="2" t="s">
        <v>16</v>
      </c>
      <c r="E1132" s="5" t="str">
        <f>IF(Table1[[#This Row],[Pre or Post]]="Pre",IF(IF(Table1[[#This Row],[Response]]="Male",0,1)+IF(Table1[[#This Row],[Response]]="Female",0,1)=2,E1131,Table1[[#This Row],[Response]]),"")</f>
        <v/>
      </c>
      <c r="F1132" s="1">
        <v>5</v>
      </c>
      <c r="G1132" s="2">
        <v>4</v>
      </c>
      <c r="H1132" s="2" t="s">
        <v>9</v>
      </c>
      <c r="I113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3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3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33" spans="1:11">
      <c r="A1133" s="2" t="s">
        <v>12</v>
      </c>
      <c r="B1133" s="2" t="s">
        <v>5</v>
      </c>
      <c r="C1133" s="2">
        <v>22</v>
      </c>
      <c r="D1133" s="2" t="s">
        <v>16</v>
      </c>
      <c r="E1133" s="5" t="str">
        <f>IF(Table1[[#This Row],[Pre or Post]]="Pre",IF(IF(Table1[[#This Row],[Response]]="Male",0,1)+IF(Table1[[#This Row],[Response]]="Female",0,1)=2,E1132,Table1[[#This Row],[Response]]),"")</f>
        <v/>
      </c>
      <c r="F1133" s="1">
        <v>6</v>
      </c>
      <c r="G1133" s="2">
        <v>5</v>
      </c>
      <c r="H1133" s="2" t="s">
        <v>9</v>
      </c>
      <c r="I113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3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3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34" spans="1:11">
      <c r="A1134" s="2" t="s">
        <v>12</v>
      </c>
      <c r="B1134" s="2" t="s">
        <v>5</v>
      </c>
      <c r="C1134" s="2">
        <v>22</v>
      </c>
      <c r="D1134" s="2" t="s">
        <v>16</v>
      </c>
      <c r="E1134" s="5" t="str">
        <f>IF(Table1[[#This Row],[Pre or Post]]="Pre",IF(IF(Table1[[#This Row],[Response]]="Male",0,1)+IF(Table1[[#This Row],[Response]]="Female",0,1)=2,E1133,Table1[[#This Row],[Response]]),"")</f>
        <v/>
      </c>
      <c r="F1134" s="1">
        <v>15</v>
      </c>
      <c r="G1134" s="2">
        <v>3</v>
      </c>
      <c r="H1134" s="2" t="s">
        <v>9</v>
      </c>
      <c r="I113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3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3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35" spans="1:11">
      <c r="A1135" s="2" t="s">
        <v>12</v>
      </c>
      <c r="B1135" s="2" t="s">
        <v>5</v>
      </c>
      <c r="C1135" s="2">
        <v>22</v>
      </c>
      <c r="D1135" s="2" t="s">
        <v>16</v>
      </c>
      <c r="E1135" s="5" t="str">
        <f>IF(Table1[[#This Row],[Pre or Post]]="Pre",IF(IF(Table1[[#This Row],[Response]]="Male",0,1)+IF(Table1[[#This Row],[Response]]="Female",0,1)=2,E1134,Table1[[#This Row],[Response]]),"")</f>
        <v/>
      </c>
      <c r="F1135" s="1">
        <v>14</v>
      </c>
      <c r="G1135" s="2"/>
      <c r="H1135" s="2" t="s">
        <v>9</v>
      </c>
      <c r="I113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3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3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36" spans="1:11">
      <c r="A1136" s="2" t="s">
        <v>12</v>
      </c>
      <c r="B1136" s="2" t="s">
        <v>5</v>
      </c>
      <c r="C1136" s="2">
        <v>22</v>
      </c>
      <c r="D1136" s="2" t="s">
        <v>16</v>
      </c>
      <c r="E1136" s="5" t="str">
        <f>IF(Table1[[#This Row],[Pre or Post]]="Pre",IF(IF(Table1[[#This Row],[Response]]="Male",0,1)+IF(Table1[[#This Row],[Response]]="Female",0,1)=2,E1135,Table1[[#This Row],[Response]]),"")</f>
        <v/>
      </c>
      <c r="F1136" s="1">
        <v>7</v>
      </c>
      <c r="G1136" s="2">
        <v>5</v>
      </c>
      <c r="H1136" s="2" t="s">
        <v>9</v>
      </c>
      <c r="I113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3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3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37" spans="1:11">
      <c r="A1137" s="2" t="s">
        <v>12</v>
      </c>
      <c r="B1137" s="2" t="s">
        <v>5</v>
      </c>
      <c r="C1137" s="2">
        <v>22</v>
      </c>
      <c r="D1137" s="2" t="s">
        <v>16</v>
      </c>
      <c r="E1137" s="5" t="str">
        <f>IF(Table1[[#This Row],[Pre or Post]]="Pre",IF(IF(Table1[[#This Row],[Response]]="Male",0,1)+IF(Table1[[#This Row],[Response]]="Female",0,1)=2,E1136,Table1[[#This Row],[Response]]),"")</f>
        <v/>
      </c>
      <c r="F1137" s="1">
        <v>16</v>
      </c>
      <c r="G1137" s="2">
        <v>1</v>
      </c>
      <c r="H1137" s="2" t="s">
        <v>9</v>
      </c>
      <c r="I113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3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3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38" spans="1:11">
      <c r="A1138" s="2" t="s">
        <v>12</v>
      </c>
      <c r="B1138" s="2" t="s">
        <v>5</v>
      </c>
      <c r="C1138" s="2">
        <v>22</v>
      </c>
      <c r="D1138" s="2" t="s">
        <v>16</v>
      </c>
      <c r="E1138" s="5" t="str">
        <f>IF(Table1[[#This Row],[Pre or Post]]="Pre",IF(IF(Table1[[#This Row],[Response]]="Male",0,1)+IF(Table1[[#This Row],[Response]]="Female",0,1)=2,E1137,Table1[[#This Row],[Response]]),"")</f>
        <v/>
      </c>
      <c r="F1138" s="1">
        <v>17</v>
      </c>
      <c r="G1138" s="2"/>
      <c r="H1138" s="2" t="s">
        <v>9</v>
      </c>
      <c r="I113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3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3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39" spans="1:11">
      <c r="A1139" s="2" t="s">
        <v>12</v>
      </c>
      <c r="B1139" s="2" t="s">
        <v>5</v>
      </c>
      <c r="C1139" s="2">
        <v>22</v>
      </c>
      <c r="D1139" s="2" t="s">
        <v>16</v>
      </c>
      <c r="E1139" s="5" t="str">
        <f>IF(Table1[[#This Row],[Pre or Post]]="Pre",IF(IF(Table1[[#This Row],[Response]]="Male",0,1)+IF(Table1[[#This Row],[Response]]="Female",0,1)=2,E1138,Table1[[#This Row],[Response]]),"")</f>
        <v/>
      </c>
      <c r="F1139" s="1">
        <v>8</v>
      </c>
      <c r="G1139" s="2" t="s">
        <v>8</v>
      </c>
      <c r="H1139" s="2" t="s">
        <v>9</v>
      </c>
      <c r="I113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3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3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40" spans="1:11">
      <c r="A1140" s="2" t="s">
        <v>12</v>
      </c>
      <c r="B1140" s="2" t="s">
        <v>5</v>
      </c>
      <c r="C1140" s="2">
        <v>22</v>
      </c>
      <c r="D1140" s="2" t="s">
        <v>16</v>
      </c>
      <c r="E1140" s="5" t="str">
        <f>IF(Table1[[#This Row],[Pre or Post]]="Pre",IF(IF(Table1[[#This Row],[Response]]="Male",0,1)+IF(Table1[[#This Row],[Response]]="Female",0,1)=2,E1139,Table1[[#This Row],[Response]]),"")</f>
        <v/>
      </c>
      <c r="F1140" s="1">
        <v>9</v>
      </c>
      <c r="G1140" s="2" t="s">
        <v>17</v>
      </c>
      <c r="H1140" s="2" t="s">
        <v>9</v>
      </c>
      <c r="I114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4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4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41" spans="1:11">
      <c r="A1141" s="2" t="s">
        <v>12</v>
      </c>
      <c r="B1141" s="2" t="s">
        <v>5</v>
      </c>
      <c r="C1141" s="2">
        <v>22</v>
      </c>
      <c r="D1141" s="2" t="s">
        <v>16</v>
      </c>
      <c r="E1141" s="5" t="str">
        <f>IF(Table1[[#This Row],[Pre or Post]]="Pre",IF(IF(Table1[[#This Row],[Response]]="Male",0,1)+IF(Table1[[#This Row],[Response]]="Female",0,1)=2,E1140,Table1[[#This Row],[Response]]),"")</f>
        <v/>
      </c>
      <c r="F1141" s="1">
        <v>10</v>
      </c>
      <c r="G1141" s="2"/>
      <c r="H1141" s="2" t="s">
        <v>9</v>
      </c>
      <c r="I114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4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4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42" spans="1:11">
      <c r="A1142" s="2" t="s">
        <v>12</v>
      </c>
      <c r="B1142" s="2" t="s">
        <v>5</v>
      </c>
      <c r="C1142" s="2">
        <v>23</v>
      </c>
      <c r="D1142" s="2" t="s">
        <v>16</v>
      </c>
      <c r="E1142" s="5" t="str">
        <f>IF(Table1[[#This Row],[Pre or Post]]="Pre",IF(IF(Table1[[#This Row],[Response]]="Male",0,1)+IF(Table1[[#This Row],[Response]]="Female",0,1)=2,E1141,Table1[[#This Row],[Response]]),"")</f>
        <v/>
      </c>
      <c r="F1142" s="1">
        <v>2</v>
      </c>
      <c r="G1142" s="2">
        <v>4</v>
      </c>
      <c r="H1142" s="2" t="s">
        <v>9</v>
      </c>
      <c r="I114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4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4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43" spans="1:11">
      <c r="A1143" s="2" t="s">
        <v>12</v>
      </c>
      <c r="B1143" s="2" t="s">
        <v>5</v>
      </c>
      <c r="C1143" s="2">
        <v>23</v>
      </c>
      <c r="D1143" s="2" t="s">
        <v>16</v>
      </c>
      <c r="E1143" s="5" t="str">
        <f>IF(Table1[[#This Row],[Pre or Post]]="Pre",IF(IF(Table1[[#This Row],[Response]]="Male",0,1)+IF(Table1[[#This Row],[Response]]="Female",0,1)=2,E1142,Table1[[#This Row],[Response]]),"")</f>
        <v/>
      </c>
      <c r="F1143" s="1">
        <v>3</v>
      </c>
      <c r="G1143" s="2">
        <v>3</v>
      </c>
      <c r="H1143" s="2" t="s">
        <v>9</v>
      </c>
      <c r="I114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4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4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44" spans="1:11">
      <c r="A1144" s="2" t="s">
        <v>12</v>
      </c>
      <c r="B1144" s="2" t="s">
        <v>5</v>
      </c>
      <c r="C1144" s="2">
        <v>23</v>
      </c>
      <c r="D1144" s="2" t="s">
        <v>16</v>
      </c>
      <c r="E1144" s="5" t="str">
        <f>IF(Table1[[#This Row],[Pre or Post]]="Pre",IF(IF(Table1[[#This Row],[Response]]="Male",0,1)+IF(Table1[[#This Row],[Response]]="Female",0,1)=2,E1143,Table1[[#This Row],[Response]]),"")</f>
        <v/>
      </c>
      <c r="F1144" s="1">
        <v>4</v>
      </c>
      <c r="G1144" s="2">
        <v>1</v>
      </c>
      <c r="H1144" s="2" t="s">
        <v>9</v>
      </c>
      <c r="I114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4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4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45" spans="1:11">
      <c r="A1145" s="2" t="s">
        <v>12</v>
      </c>
      <c r="B1145" s="2" t="s">
        <v>5</v>
      </c>
      <c r="C1145" s="2">
        <v>23</v>
      </c>
      <c r="D1145" s="2" t="s">
        <v>16</v>
      </c>
      <c r="E1145" s="5" t="str">
        <f>IF(Table1[[#This Row],[Pre or Post]]="Pre",IF(IF(Table1[[#This Row],[Response]]="Male",0,1)+IF(Table1[[#This Row],[Response]]="Female",0,1)=2,E1144,Table1[[#This Row],[Response]]),"")</f>
        <v/>
      </c>
      <c r="F1145" s="1">
        <v>12</v>
      </c>
      <c r="G1145" s="2">
        <v>1</v>
      </c>
      <c r="H1145" s="2" t="s">
        <v>9</v>
      </c>
      <c r="I114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4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4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46" spans="1:11">
      <c r="A1146" s="2" t="s">
        <v>12</v>
      </c>
      <c r="B1146" s="2" t="s">
        <v>5</v>
      </c>
      <c r="C1146" s="2">
        <v>23</v>
      </c>
      <c r="D1146" s="2" t="s">
        <v>16</v>
      </c>
      <c r="E1146" s="5" t="str">
        <f>IF(Table1[[#This Row],[Pre or Post]]="Pre",IF(IF(Table1[[#This Row],[Response]]="Male",0,1)+IF(Table1[[#This Row],[Response]]="Female",0,1)=2,E1145,Table1[[#This Row],[Response]]),"")</f>
        <v/>
      </c>
      <c r="F1146" s="1">
        <v>13</v>
      </c>
      <c r="G1146" s="2">
        <v>5</v>
      </c>
      <c r="H1146" s="2" t="s">
        <v>9</v>
      </c>
      <c r="I114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4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4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47" spans="1:11">
      <c r="A1147" s="2" t="s">
        <v>12</v>
      </c>
      <c r="B1147" s="2" t="s">
        <v>5</v>
      </c>
      <c r="C1147" s="2">
        <v>23</v>
      </c>
      <c r="D1147" s="2" t="s">
        <v>16</v>
      </c>
      <c r="E1147" s="5" t="str">
        <f>IF(Table1[[#This Row],[Pre or Post]]="Pre",IF(IF(Table1[[#This Row],[Response]]="Male",0,1)+IF(Table1[[#This Row],[Response]]="Female",0,1)=2,E1146,Table1[[#This Row],[Response]]),"")</f>
        <v/>
      </c>
      <c r="F1147" s="1">
        <v>5</v>
      </c>
      <c r="G1147" s="2">
        <v>4</v>
      </c>
      <c r="H1147" s="2" t="s">
        <v>9</v>
      </c>
      <c r="I114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4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4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48" spans="1:11">
      <c r="A1148" s="2" t="s">
        <v>12</v>
      </c>
      <c r="B1148" s="2" t="s">
        <v>5</v>
      </c>
      <c r="C1148" s="2">
        <v>23</v>
      </c>
      <c r="D1148" s="2" t="s">
        <v>16</v>
      </c>
      <c r="E1148" s="5" t="str">
        <f>IF(Table1[[#This Row],[Pre or Post]]="Pre",IF(IF(Table1[[#This Row],[Response]]="Male",0,1)+IF(Table1[[#This Row],[Response]]="Female",0,1)=2,E1147,Table1[[#This Row],[Response]]),"")</f>
        <v/>
      </c>
      <c r="F1148" s="1">
        <v>6</v>
      </c>
      <c r="G1148" s="2">
        <v>5</v>
      </c>
      <c r="H1148" s="2" t="s">
        <v>9</v>
      </c>
      <c r="I114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4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4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49" spans="1:11">
      <c r="A1149" s="2" t="s">
        <v>12</v>
      </c>
      <c r="B1149" s="2" t="s">
        <v>5</v>
      </c>
      <c r="C1149" s="2">
        <v>23</v>
      </c>
      <c r="D1149" s="2" t="s">
        <v>16</v>
      </c>
      <c r="E1149" s="5" t="str">
        <f>IF(Table1[[#This Row],[Pre or Post]]="Pre",IF(IF(Table1[[#This Row],[Response]]="Male",0,1)+IF(Table1[[#This Row],[Response]]="Female",0,1)=2,E1148,Table1[[#This Row],[Response]]),"")</f>
        <v/>
      </c>
      <c r="F1149" s="1">
        <v>15</v>
      </c>
      <c r="G1149" s="2">
        <v>3</v>
      </c>
      <c r="H1149" s="2" t="s">
        <v>9</v>
      </c>
      <c r="I114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4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4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50" spans="1:11">
      <c r="A1150" s="2" t="s">
        <v>12</v>
      </c>
      <c r="B1150" s="2" t="s">
        <v>5</v>
      </c>
      <c r="C1150" s="2">
        <v>23</v>
      </c>
      <c r="D1150" s="2" t="s">
        <v>16</v>
      </c>
      <c r="E1150" s="5" t="str">
        <f>IF(Table1[[#This Row],[Pre or Post]]="Pre",IF(IF(Table1[[#This Row],[Response]]="Male",0,1)+IF(Table1[[#This Row],[Response]]="Female",0,1)=2,E1149,Table1[[#This Row],[Response]]),"")</f>
        <v/>
      </c>
      <c r="F1150" s="1">
        <v>14</v>
      </c>
      <c r="G1150" s="2"/>
      <c r="H1150" s="2" t="s">
        <v>9</v>
      </c>
      <c r="I115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5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5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51" spans="1:11">
      <c r="A1151" s="2" t="s">
        <v>12</v>
      </c>
      <c r="B1151" s="2" t="s">
        <v>5</v>
      </c>
      <c r="C1151" s="2">
        <v>23</v>
      </c>
      <c r="D1151" s="2" t="s">
        <v>16</v>
      </c>
      <c r="E1151" s="5" t="str">
        <f>IF(Table1[[#This Row],[Pre or Post]]="Pre",IF(IF(Table1[[#This Row],[Response]]="Male",0,1)+IF(Table1[[#This Row],[Response]]="Female",0,1)=2,E1150,Table1[[#This Row],[Response]]),"")</f>
        <v/>
      </c>
      <c r="F1151" s="1">
        <v>7</v>
      </c>
      <c r="G1151" s="2">
        <v>5</v>
      </c>
      <c r="H1151" s="2" t="s">
        <v>9</v>
      </c>
      <c r="I115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5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5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52" spans="1:11">
      <c r="A1152" s="2" t="s">
        <v>12</v>
      </c>
      <c r="B1152" s="2" t="s">
        <v>5</v>
      </c>
      <c r="C1152" s="2">
        <v>23</v>
      </c>
      <c r="D1152" s="2" t="s">
        <v>16</v>
      </c>
      <c r="E1152" s="5" t="str">
        <f>IF(Table1[[#This Row],[Pre or Post]]="Pre",IF(IF(Table1[[#This Row],[Response]]="Male",0,1)+IF(Table1[[#This Row],[Response]]="Female",0,1)=2,E1151,Table1[[#This Row],[Response]]),"")</f>
        <v/>
      </c>
      <c r="F1152" s="1">
        <v>16</v>
      </c>
      <c r="G1152" s="2">
        <v>1</v>
      </c>
      <c r="H1152" s="2" t="s">
        <v>9</v>
      </c>
      <c r="I115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5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5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53" spans="1:11">
      <c r="A1153" s="2" t="s">
        <v>12</v>
      </c>
      <c r="B1153" s="2" t="s">
        <v>5</v>
      </c>
      <c r="C1153" s="2">
        <v>23</v>
      </c>
      <c r="D1153" s="2" t="s">
        <v>16</v>
      </c>
      <c r="E1153" s="5" t="str">
        <f>IF(Table1[[#This Row],[Pre or Post]]="Pre",IF(IF(Table1[[#This Row],[Response]]="Male",0,1)+IF(Table1[[#This Row],[Response]]="Female",0,1)=2,E1152,Table1[[#This Row],[Response]]),"")</f>
        <v/>
      </c>
      <c r="F1153" s="1">
        <v>17</v>
      </c>
      <c r="G1153" s="2"/>
      <c r="H1153" s="2" t="s">
        <v>9</v>
      </c>
      <c r="I115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5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5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54" spans="1:11">
      <c r="A1154" s="2" t="s">
        <v>12</v>
      </c>
      <c r="B1154" s="2" t="s">
        <v>5</v>
      </c>
      <c r="C1154" s="2">
        <v>23</v>
      </c>
      <c r="D1154" s="2" t="s">
        <v>16</v>
      </c>
      <c r="E1154" s="5" t="str">
        <f>IF(Table1[[#This Row],[Pre or Post]]="Pre",IF(IF(Table1[[#This Row],[Response]]="Male",0,1)+IF(Table1[[#This Row],[Response]]="Female",0,1)=2,E1153,Table1[[#This Row],[Response]]),"")</f>
        <v/>
      </c>
      <c r="F1154" s="1">
        <v>8</v>
      </c>
      <c r="G1154" s="2"/>
      <c r="H1154" s="2" t="s">
        <v>9</v>
      </c>
      <c r="I115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5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5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55" spans="1:11">
      <c r="A1155" s="2" t="s">
        <v>12</v>
      </c>
      <c r="B1155" s="2" t="s">
        <v>5</v>
      </c>
      <c r="C1155" s="2">
        <v>23</v>
      </c>
      <c r="D1155" s="2" t="s">
        <v>16</v>
      </c>
      <c r="E1155" s="5" t="str">
        <f>IF(Table1[[#This Row],[Pre or Post]]="Pre",IF(IF(Table1[[#This Row],[Response]]="Male",0,1)+IF(Table1[[#This Row],[Response]]="Female",0,1)=2,E1154,Table1[[#This Row],[Response]]),"")</f>
        <v/>
      </c>
      <c r="F1155" s="1">
        <v>9</v>
      </c>
      <c r="G1155" s="2"/>
      <c r="H1155" s="2" t="s">
        <v>9</v>
      </c>
      <c r="I115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5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5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56" spans="1:11">
      <c r="A1156" s="2" t="s">
        <v>12</v>
      </c>
      <c r="B1156" s="2" t="s">
        <v>5</v>
      </c>
      <c r="C1156" s="2">
        <v>23</v>
      </c>
      <c r="D1156" s="2" t="s">
        <v>16</v>
      </c>
      <c r="E1156" s="5" t="str">
        <f>IF(Table1[[#This Row],[Pre or Post]]="Pre",IF(IF(Table1[[#This Row],[Response]]="Male",0,1)+IF(Table1[[#This Row],[Response]]="Female",0,1)=2,E1155,Table1[[#This Row],[Response]]),"")</f>
        <v/>
      </c>
      <c r="F1156" s="1">
        <v>10</v>
      </c>
      <c r="G1156" s="2"/>
      <c r="H1156" s="2" t="s">
        <v>9</v>
      </c>
      <c r="I115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5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5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57" spans="1:11">
      <c r="A1157" s="2" t="s">
        <v>12</v>
      </c>
      <c r="B1157" s="2" t="s">
        <v>5</v>
      </c>
      <c r="C1157" s="2">
        <v>24</v>
      </c>
      <c r="D1157" s="2" t="s">
        <v>16</v>
      </c>
      <c r="E1157" s="5" t="str">
        <f>IF(Table1[[#This Row],[Pre or Post]]="Pre",IF(IF(Table1[[#This Row],[Response]]="Male",0,1)+IF(Table1[[#This Row],[Response]]="Female",0,1)=2,E1156,Table1[[#This Row],[Response]]),"")</f>
        <v/>
      </c>
      <c r="F1157" s="1">
        <v>2</v>
      </c>
      <c r="G1157" s="2">
        <v>3</v>
      </c>
      <c r="H1157" s="2" t="s">
        <v>9</v>
      </c>
      <c r="I115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5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5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58" spans="1:11">
      <c r="A1158" s="2" t="s">
        <v>12</v>
      </c>
      <c r="B1158" s="2" t="s">
        <v>5</v>
      </c>
      <c r="C1158" s="2">
        <v>24</v>
      </c>
      <c r="D1158" s="2" t="s">
        <v>16</v>
      </c>
      <c r="E1158" s="5" t="str">
        <f>IF(Table1[[#This Row],[Pre or Post]]="Pre",IF(IF(Table1[[#This Row],[Response]]="Male",0,1)+IF(Table1[[#This Row],[Response]]="Female",0,1)=2,E1157,Table1[[#This Row],[Response]]),"")</f>
        <v/>
      </c>
      <c r="F1158" s="1">
        <v>3</v>
      </c>
      <c r="G1158" s="2">
        <v>4</v>
      </c>
      <c r="H1158" s="2" t="s">
        <v>9</v>
      </c>
      <c r="I115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5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5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59" spans="1:11">
      <c r="A1159" s="2" t="s">
        <v>12</v>
      </c>
      <c r="B1159" s="2" t="s">
        <v>5</v>
      </c>
      <c r="C1159" s="2">
        <v>24</v>
      </c>
      <c r="D1159" s="2" t="s">
        <v>16</v>
      </c>
      <c r="E1159" s="5" t="str">
        <f>IF(Table1[[#This Row],[Pre or Post]]="Pre",IF(IF(Table1[[#This Row],[Response]]="Male",0,1)+IF(Table1[[#This Row],[Response]]="Female",0,1)=2,E1158,Table1[[#This Row],[Response]]),"")</f>
        <v/>
      </c>
      <c r="F1159" s="1">
        <v>4</v>
      </c>
      <c r="G1159" s="2">
        <v>3</v>
      </c>
      <c r="H1159" s="2" t="s">
        <v>9</v>
      </c>
      <c r="I115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5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5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60" spans="1:11">
      <c r="A1160" s="2" t="s">
        <v>12</v>
      </c>
      <c r="B1160" s="2" t="s">
        <v>5</v>
      </c>
      <c r="C1160" s="2">
        <v>24</v>
      </c>
      <c r="D1160" s="2" t="s">
        <v>16</v>
      </c>
      <c r="E1160" s="5" t="str">
        <f>IF(Table1[[#This Row],[Pre or Post]]="Pre",IF(IF(Table1[[#This Row],[Response]]="Male",0,1)+IF(Table1[[#This Row],[Response]]="Female",0,1)=2,E1159,Table1[[#This Row],[Response]]),"")</f>
        <v/>
      </c>
      <c r="F1160" s="1">
        <v>12</v>
      </c>
      <c r="G1160" s="2">
        <v>4</v>
      </c>
      <c r="H1160" s="2" t="s">
        <v>9</v>
      </c>
      <c r="I116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6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6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61" spans="1:11">
      <c r="A1161" s="2" t="s">
        <v>12</v>
      </c>
      <c r="B1161" s="2" t="s">
        <v>5</v>
      </c>
      <c r="C1161" s="2">
        <v>24</v>
      </c>
      <c r="D1161" s="2" t="s">
        <v>16</v>
      </c>
      <c r="E1161" s="5" t="str">
        <f>IF(Table1[[#This Row],[Pre or Post]]="Pre",IF(IF(Table1[[#This Row],[Response]]="Male",0,1)+IF(Table1[[#This Row],[Response]]="Female",0,1)=2,E1160,Table1[[#This Row],[Response]]),"")</f>
        <v/>
      </c>
      <c r="F1161" s="1">
        <v>13</v>
      </c>
      <c r="G1161" s="2">
        <v>4</v>
      </c>
      <c r="H1161" s="2" t="s">
        <v>9</v>
      </c>
      <c r="I116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6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6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62" spans="1:11">
      <c r="A1162" s="2" t="s">
        <v>12</v>
      </c>
      <c r="B1162" s="2" t="s">
        <v>5</v>
      </c>
      <c r="C1162" s="2">
        <v>24</v>
      </c>
      <c r="D1162" s="2" t="s">
        <v>16</v>
      </c>
      <c r="E1162" s="5" t="str">
        <f>IF(Table1[[#This Row],[Pre or Post]]="Pre",IF(IF(Table1[[#This Row],[Response]]="Male",0,1)+IF(Table1[[#This Row],[Response]]="Female",0,1)=2,E1161,Table1[[#This Row],[Response]]),"")</f>
        <v/>
      </c>
      <c r="F1162" s="1">
        <v>5</v>
      </c>
      <c r="G1162" s="2">
        <v>4</v>
      </c>
      <c r="H1162" s="2" t="s">
        <v>9</v>
      </c>
      <c r="I1162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62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62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63" spans="1:11">
      <c r="A1163" s="2" t="s">
        <v>12</v>
      </c>
      <c r="B1163" s="2" t="s">
        <v>5</v>
      </c>
      <c r="C1163" s="2">
        <v>24</v>
      </c>
      <c r="D1163" s="2" t="s">
        <v>16</v>
      </c>
      <c r="E1163" s="5" t="str">
        <f>IF(Table1[[#This Row],[Pre or Post]]="Pre",IF(IF(Table1[[#This Row],[Response]]="Male",0,1)+IF(Table1[[#This Row],[Response]]="Female",0,1)=2,E1162,Table1[[#This Row],[Response]]),"")</f>
        <v/>
      </c>
      <c r="F1163" s="1">
        <v>6</v>
      </c>
      <c r="G1163" s="2">
        <v>4</v>
      </c>
      <c r="H1163" s="2" t="s">
        <v>9</v>
      </c>
      <c r="I1163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63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63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64" spans="1:11">
      <c r="A1164" s="2" t="s">
        <v>12</v>
      </c>
      <c r="B1164" s="2" t="s">
        <v>5</v>
      </c>
      <c r="C1164" s="2">
        <v>24</v>
      </c>
      <c r="D1164" s="2" t="s">
        <v>16</v>
      </c>
      <c r="E1164" s="5" t="str">
        <f>IF(Table1[[#This Row],[Pre or Post]]="Pre",IF(IF(Table1[[#This Row],[Response]]="Male",0,1)+IF(Table1[[#This Row],[Response]]="Female",0,1)=2,E1163,Table1[[#This Row],[Response]]),"")</f>
        <v/>
      </c>
      <c r="F1164" s="1">
        <v>15</v>
      </c>
      <c r="G1164" s="2"/>
      <c r="H1164" s="2" t="s">
        <v>9</v>
      </c>
      <c r="I1164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64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64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65" spans="1:11">
      <c r="A1165" s="2" t="s">
        <v>12</v>
      </c>
      <c r="B1165" s="2" t="s">
        <v>5</v>
      </c>
      <c r="C1165" s="2">
        <v>24</v>
      </c>
      <c r="D1165" s="2" t="s">
        <v>16</v>
      </c>
      <c r="E1165" s="5" t="str">
        <f>IF(Table1[[#This Row],[Pre or Post]]="Pre",IF(IF(Table1[[#This Row],[Response]]="Male",0,1)+IF(Table1[[#This Row],[Response]]="Female",0,1)=2,E1164,Table1[[#This Row],[Response]]),"")</f>
        <v/>
      </c>
      <c r="F1165" s="1">
        <v>14</v>
      </c>
      <c r="G1165" s="2"/>
      <c r="H1165" s="2" t="s">
        <v>9</v>
      </c>
      <c r="I1165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65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65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66" spans="1:11">
      <c r="A1166" s="2" t="s">
        <v>12</v>
      </c>
      <c r="B1166" s="2" t="s">
        <v>5</v>
      </c>
      <c r="C1166" s="2">
        <v>24</v>
      </c>
      <c r="D1166" s="2" t="s">
        <v>16</v>
      </c>
      <c r="E1166" s="5" t="str">
        <f>IF(Table1[[#This Row],[Pre or Post]]="Pre",IF(IF(Table1[[#This Row],[Response]]="Male",0,1)+IF(Table1[[#This Row],[Response]]="Female",0,1)=2,E1165,Table1[[#This Row],[Response]]),"")</f>
        <v/>
      </c>
      <c r="F1166" s="1">
        <v>7</v>
      </c>
      <c r="G1166" s="2">
        <v>4</v>
      </c>
      <c r="H1166" s="2" t="s">
        <v>9</v>
      </c>
      <c r="I1166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66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66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67" spans="1:11">
      <c r="A1167" s="2" t="s">
        <v>12</v>
      </c>
      <c r="B1167" s="2" t="s">
        <v>5</v>
      </c>
      <c r="C1167" s="2">
        <v>24</v>
      </c>
      <c r="D1167" s="2" t="s">
        <v>16</v>
      </c>
      <c r="E1167" s="5" t="str">
        <f>IF(Table1[[#This Row],[Pre or Post]]="Pre",IF(IF(Table1[[#This Row],[Response]]="Male",0,1)+IF(Table1[[#This Row],[Response]]="Female",0,1)=2,E1166,Table1[[#This Row],[Response]]),"")</f>
        <v/>
      </c>
      <c r="F1167" s="1">
        <v>16</v>
      </c>
      <c r="G1167" s="2"/>
      <c r="H1167" s="2" t="s">
        <v>9</v>
      </c>
      <c r="I1167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67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67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68" spans="1:11">
      <c r="A1168" s="2" t="s">
        <v>12</v>
      </c>
      <c r="B1168" s="2" t="s">
        <v>5</v>
      </c>
      <c r="C1168" s="2">
        <v>24</v>
      </c>
      <c r="D1168" s="2" t="s">
        <v>16</v>
      </c>
      <c r="E1168" s="5" t="str">
        <f>IF(Table1[[#This Row],[Pre or Post]]="Pre",IF(IF(Table1[[#This Row],[Response]]="Male",0,1)+IF(Table1[[#This Row],[Response]]="Female",0,1)=2,E1167,Table1[[#This Row],[Response]]),"")</f>
        <v/>
      </c>
      <c r="F1168" s="1">
        <v>17</v>
      </c>
      <c r="G1168" s="2"/>
      <c r="H1168" s="2" t="s">
        <v>9</v>
      </c>
      <c r="I1168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68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68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69" spans="1:11">
      <c r="A1169" s="2" t="s">
        <v>12</v>
      </c>
      <c r="B1169" s="2" t="s">
        <v>5</v>
      </c>
      <c r="C1169" s="2">
        <v>24</v>
      </c>
      <c r="D1169" s="2" t="s">
        <v>16</v>
      </c>
      <c r="E1169" s="5" t="str">
        <f>IF(Table1[[#This Row],[Pre or Post]]="Pre",IF(IF(Table1[[#This Row],[Response]]="Male",0,1)+IF(Table1[[#This Row],[Response]]="Female",0,1)=2,E1168,Table1[[#This Row],[Response]]),"")</f>
        <v/>
      </c>
      <c r="F1169" s="1">
        <v>8</v>
      </c>
      <c r="G1169" s="2"/>
      <c r="H1169" s="2" t="s">
        <v>9</v>
      </c>
      <c r="I1169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69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69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70" spans="1:11">
      <c r="A1170" s="2" t="s">
        <v>12</v>
      </c>
      <c r="B1170" s="2" t="s">
        <v>5</v>
      </c>
      <c r="C1170" s="2">
        <v>24</v>
      </c>
      <c r="D1170" s="2" t="s">
        <v>16</v>
      </c>
      <c r="E1170" s="5" t="str">
        <f>IF(Table1[[#This Row],[Pre or Post]]="Pre",IF(IF(Table1[[#This Row],[Response]]="Male",0,1)+IF(Table1[[#This Row],[Response]]="Female",0,1)=2,E1169,Table1[[#This Row],[Response]]),"")</f>
        <v/>
      </c>
      <c r="F1170" s="1">
        <v>9</v>
      </c>
      <c r="G1170" s="2"/>
      <c r="H1170" s="2" t="s">
        <v>9</v>
      </c>
      <c r="I1170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70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70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  <row r="1171" spans="1:11">
      <c r="A1171" s="2" t="s">
        <v>12</v>
      </c>
      <c r="B1171" s="2" t="s">
        <v>5</v>
      </c>
      <c r="C1171" s="2">
        <v>24</v>
      </c>
      <c r="D1171" s="2" t="s">
        <v>16</v>
      </c>
      <c r="E1171" s="5" t="str">
        <f>IF(Table1[[#This Row],[Pre or Post]]="Pre",IF(IF(Table1[[#This Row],[Response]]="Male",0,1)+IF(Table1[[#This Row],[Response]]="Female",0,1)=2,E1170,Table1[[#This Row],[Response]]),"")</f>
        <v/>
      </c>
      <c r="F1171" s="1">
        <v>10</v>
      </c>
      <c r="G1171" s="2"/>
      <c r="H1171" s="2" t="s">
        <v>9</v>
      </c>
      <c r="I1171" s="5" t="str">
        <f>IF(Table1[[#This Row],[Session]]="Alpha","Girls",IF(Table1[[#This Row],[Session]]="Beta","Boys",IF(Table1[[#This Row],[Session]]="Gamma","Boys",IF(Table1[[#This Row],[Session]]="Delta","Boys","Mixed"))))</f>
        <v>Girls</v>
      </c>
      <c r="J1171" s="5" t="str">
        <f>IF(Table1[[#This Row],[Session]]="Alpha","9:30AM",IF(Table1[[#This Row],[Session]]="Beta","11:30AM",IF(Table1[[#This Row],[Session]]="Gamma","1:45PM",IF(Table1[[#This Row],[Session]]="Delta","9:30AM",IF(Table1[[#This Row],[Session]]="Epsilon","9:00AM",IF(Table1[[#This Row],[Session]]="Zeta","11:00AM",IF(Table1[[#This Row],[Session]]="Eta","1:30PM",IF(Table1[[#This Row],[Session]]="Theta","11:00AM",IF(Table1[[#This Row],[Session]]="Iota","9:30AM","")))))))))</f>
        <v>9:30AM</v>
      </c>
      <c r="K1171" s="5" t="str">
        <f>IF(Table1[[#This Row],[Session]]="Alpha","Cathleena",IF(Table1[[#This Row],[Session]]="Beta", "Cathleena",IF(Table1[[#This Row],[Session]]="Gamma","Cathleena",IF(Table1[[#This Row],[Session]]="Delta", "Gemma",IF(Table1[[#This Row],[Session]]="Epsilon","Rosemary",IF(Table1[[#This Row],[Session]]="Zeta","Rosemary",IF(Table1[[#This Row],[Session]]="Eta","Rosemary",IF(Table1[[#This Row],[Session]]="Theta","Carly",IF(Table1[[#This Row],[Session]]="Iota","Caitlin","")))))))))</f>
        <v>Cathleena</v>
      </c>
    </row>
  </sheetData>
  <pageMargins left="0.7" right="0.7" top="0.75" bottom="0.75" header="0.3" footer="0.3"/>
  <pageSetup scale="49" fitToHeight="9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9"/>
  <sheetViews>
    <sheetView workbookViewId="0">
      <pane ySplit="1" topLeftCell="A81" activePane="bottomLeft" state="frozen"/>
      <selection activeCell="E37" sqref="E37"/>
      <selection pane="bottomLeft" activeCell="E37" sqref="E37"/>
    </sheetView>
  </sheetViews>
  <sheetFormatPr defaultColWidth="16.7109375" defaultRowHeight="15"/>
  <cols>
    <col min="1" max="16384" width="16.7109375" style="1"/>
  </cols>
  <sheetData>
    <row r="1" spans="1:15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20</v>
      </c>
      <c r="H1" s="1" t="s">
        <v>64</v>
      </c>
      <c r="I1" s="1" t="s">
        <v>65</v>
      </c>
      <c r="J1" s="1" t="s">
        <v>66</v>
      </c>
      <c r="K1" s="1" t="s">
        <v>67</v>
      </c>
      <c r="L1" s="1" t="s">
        <v>88</v>
      </c>
      <c r="M1" s="1" t="s">
        <v>89</v>
      </c>
      <c r="N1" s="1" t="s">
        <v>72</v>
      </c>
      <c r="O1" s="1" t="s">
        <v>83</v>
      </c>
    </row>
    <row r="2" spans="1:15">
      <c r="A2" s="2" t="s">
        <v>12</v>
      </c>
      <c r="B2" s="2" t="s">
        <v>5</v>
      </c>
      <c r="C2" s="1">
        <v>1</v>
      </c>
      <c r="D2" s="2" t="s">
        <v>16</v>
      </c>
      <c r="E2" s="1">
        <v>3</v>
      </c>
      <c r="F2" s="1">
        <v>3</v>
      </c>
      <c r="G2" s="2" t="s">
        <v>9</v>
      </c>
      <c r="H2" s="5" t="str">
        <f>IF(IF(Table4428[[#This Row],[Pre or Post]]="Pre",1,0)+IF(ISNUMBER(Table4428[[#This Row],[Response]])=TRUE,1,0)=2,1,"")</f>
        <v/>
      </c>
      <c r="I2" s="5">
        <f>IF(IF(Table4428[[#This Row],[Pre or Post]]="Post",1,0)+IF(ISNUMBER(Table4428[[#This Row],[Response]])=TRUE,1,0)=2,1,"")</f>
        <v>1</v>
      </c>
      <c r="J2" s="5" t="str">
        <f>IF(IF(Table4428[[#This Row],[Pre or Post]]="Pre",1,0)+IF(ISNUMBER(Table4428[[#This Row],[Response]])=TRUE,1,0)=2,Table4428[[#This Row],[Response]],"")</f>
        <v/>
      </c>
      <c r="K2" s="5">
        <f>IF(IF(Table4428[[#This Row],[Pre or Post]]="Post",1,0)+IF(ISNUMBER(Table4428[[#This Row],[Response]])=TRUE,1,0)=2,Table4428[[#This Row],[Response]],"")</f>
        <v>3</v>
      </c>
      <c r="L2" s="5" t="str">
        <f>IF(IF(ISNUMBER(J2),1,0)+IF(ISNUMBER(K3),1,0)=2,IF(IF(C3=C2,1,0)+IF(B3=B2,1,0)+IF(D3="Post",1,0)+IF(D2="Pre",1,0)=4,Table4428[[#This Row],[Pre Total]],""),"")</f>
        <v/>
      </c>
      <c r="M2" s="5" t="str">
        <f>IF(IF(ISNUMBER(J1),1,0)+IF(ISNUMBER(Table4428[[#This Row],[Post Total]]),1,0)=2,IF(IF(Table4428[[#This Row],[Student Number]]=C1,1,0)+IF(Table4428[[#This Row],[Session]]=B1,1,0)+IF(Table4428[[#This Row],[Pre or Post]]="Post",1,0)+IF(D1="Pre",1,0)=4,Table4428[[#This Row],[Post Total]],""),"")</f>
        <v/>
      </c>
      <c r="N2" s="5" t="str">
        <f>IF(IF(ISNUMBER(J1),1,0)+IF(ISNUMBER(Table4428[[#This Row],[Post Total]]),1,0)=2,IF(IF(Table4428[[#This Row],[Student Number]]=C1,1,0)+IF(Table4428[[#This Row],[Session]]=B1,1,0)+IF(Table4428[[#This Row],[Pre or Post]]="Post",1,0)+IF(D1="Pre",1,0)=4,Table4428[[#This Row],[Post Total]]-J1,""),"")</f>
        <v/>
      </c>
      <c r="O2" s="5" t="b">
        <f>ISNUMBER(Table4428[[#This Row],[Change]])</f>
        <v>0</v>
      </c>
    </row>
    <row r="3" spans="1:15">
      <c r="A3" s="2" t="s">
        <v>12</v>
      </c>
      <c r="B3" s="2" t="s">
        <v>5</v>
      </c>
      <c r="C3" s="1">
        <v>2</v>
      </c>
      <c r="D3" s="2" t="s">
        <v>16</v>
      </c>
      <c r="E3" s="1">
        <v>3</v>
      </c>
      <c r="F3" s="1">
        <v>3</v>
      </c>
      <c r="G3" s="2" t="s">
        <v>9</v>
      </c>
      <c r="H3" s="5" t="str">
        <f>IF(IF(Table4428[[#This Row],[Pre or Post]]="Pre",1,0)+IF(ISNUMBER(Table4428[[#This Row],[Response]])=TRUE,1,0)=2,1,"")</f>
        <v/>
      </c>
      <c r="I3" s="5">
        <f>IF(IF(Table4428[[#This Row],[Pre or Post]]="Post",1,0)+IF(ISNUMBER(Table4428[[#This Row],[Response]])=TRUE,1,0)=2,1,"")</f>
        <v>1</v>
      </c>
      <c r="J3" s="5" t="str">
        <f>IF(IF(Table4428[[#This Row],[Pre or Post]]="Pre",1,0)+IF(ISNUMBER(Table4428[[#This Row],[Response]])=TRUE,1,0)=2,Table4428[[#This Row],[Response]],"")</f>
        <v/>
      </c>
      <c r="K3" s="5">
        <f>IF(IF(Table4428[[#This Row],[Pre or Post]]="Post",1,0)+IF(ISNUMBER(Table4428[[#This Row],[Response]])=TRUE,1,0)=2,Table4428[[#This Row],[Response]],"")</f>
        <v>3</v>
      </c>
      <c r="L3" s="5" t="str">
        <f>IF(IF(ISNUMBER(J3),1,0)+IF(ISNUMBER(K4),1,0)=2,IF(IF(C4=C3,1,0)+IF(B4=B3,1,0)+IF(D4="Post",1,0)+IF(D3="Pre",1,0)=4,Table4428[[#This Row],[Pre Total]],""),"")</f>
        <v/>
      </c>
      <c r="M3" s="5" t="str">
        <f>IF(IF(ISNUMBER(J2),1,0)+IF(ISNUMBER(Table4428[[#This Row],[Post Total]]),1,0)=2,IF(IF(Table4428[[#This Row],[Student Number]]=C2,1,0)+IF(Table4428[[#This Row],[Session]]=B2,1,0)+IF(Table4428[[#This Row],[Pre or Post]]="Post",1,0)+IF(D2="Pre",1,0)=4,Table4428[[#This Row],[Post Total]],""),"")</f>
        <v/>
      </c>
      <c r="N3" s="5" t="str">
        <f>IF(IF(ISNUMBER(J2),1,0)+IF(ISNUMBER(Table4428[[#This Row],[Post Total]]),1,0)=2,IF(IF(Table4428[[#This Row],[Student Number]]=C2,1,0)+IF(Table4428[[#This Row],[Session]]=B2,1,0)+IF(Table4428[[#This Row],[Pre or Post]]="Post",1,0)+IF(D2="Pre",1,0)=4,Table4428[[#This Row],[Post Total]]-J2,""),"")</f>
        <v/>
      </c>
      <c r="O3" s="5" t="b">
        <f>ISNUMBER(Table4428[[#This Row],[Change]])</f>
        <v>0</v>
      </c>
    </row>
    <row r="4" spans="1:15">
      <c r="A4" s="2" t="s">
        <v>12</v>
      </c>
      <c r="B4" s="2" t="s">
        <v>5</v>
      </c>
      <c r="C4" s="1">
        <v>3</v>
      </c>
      <c r="D4" s="2" t="s">
        <v>16</v>
      </c>
      <c r="E4" s="1">
        <v>3</v>
      </c>
      <c r="F4" s="1">
        <v>2</v>
      </c>
      <c r="G4" s="2" t="s">
        <v>9</v>
      </c>
      <c r="H4" s="5" t="str">
        <f>IF(IF(Table4428[[#This Row],[Pre or Post]]="Pre",1,0)+IF(ISNUMBER(Table4428[[#This Row],[Response]])=TRUE,1,0)=2,1,"")</f>
        <v/>
      </c>
      <c r="I4" s="5">
        <f>IF(IF(Table4428[[#This Row],[Pre or Post]]="Post",1,0)+IF(ISNUMBER(Table4428[[#This Row],[Response]])=TRUE,1,0)=2,1,"")</f>
        <v>1</v>
      </c>
      <c r="J4" s="5" t="str">
        <f>IF(IF(Table4428[[#This Row],[Pre or Post]]="Pre",1,0)+IF(ISNUMBER(Table4428[[#This Row],[Response]])=TRUE,1,0)=2,Table4428[[#This Row],[Response]],"")</f>
        <v/>
      </c>
      <c r="K4" s="5">
        <f>IF(IF(Table4428[[#This Row],[Pre or Post]]="Post",1,0)+IF(ISNUMBER(Table4428[[#This Row],[Response]])=TRUE,1,0)=2,Table4428[[#This Row],[Response]],"")</f>
        <v>2</v>
      </c>
      <c r="L4" s="5" t="str">
        <f>IF(IF(ISNUMBER(J4),1,0)+IF(ISNUMBER(K5),1,0)=2,IF(IF(C5=C4,1,0)+IF(B5=B4,1,0)+IF(D5="Post",1,0)+IF(D4="Pre",1,0)=4,Table4428[[#This Row],[Pre Total]],""),"")</f>
        <v/>
      </c>
      <c r="M4" s="5" t="str">
        <f>IF(IF(ISNUMBER(J3),1,0)+IF(ISNUMBER(Table4428[[#This Row],[Post Total]]),1,0)=2,IF(IF(Table4428[[#This Row],[Student Number]]=C3,1,0)+IF(Table4428[[#This Row],[Session]]=B3,1,0)+IF(Table4428[[#This Row],[Pre or Post]]="Post",1,0)+IF(D3="Pre",1,0)=4,Table4428[[#This Row],[Post Total]],""),"")</f>
        <v/>
      </c>
      <c r="N4" s="5" t="str">
        <f>IF(IF(ISNUMBER(J3),1,0)+IF(ISNUMBER(Table4428[[#This Row],[Post Total]]),1,0)=2,IF(IF(Table4428[[#This Row],[Student Number]]=C3,1,0)+IF(Table4428[[#This Row],[Session]]=B3,1,0)+IF(Table4428[[#This Row],[Pre or Post]]="Post",1,0)+IF(D3="Pre",1,0)=4,Table4428[[#This Row],[Post Total]]-J3,""),"")</f>
        <v/>
      </c>
      <c r="O4" s="5" t="b">
        <f>ISNUMBER(Table4428[[#This Row],[Change]])</f>
        <v>0</v>
      </c>
    </row>
    <row r="5" spans="1:15">
      <c r="A5" s="2" t="s">
        <v>12</v>
      </c>
      <c r="B5" s="2" t="s">
        <v>5</v>
      </c>
      <c r="C5" s="1">
        <v>4</v>
      </c>
      <c r="D5" s="2" t="s">
        <v>16</v>
      </c>
      <c r="E5" s="1">
        <v>3</v>
      </c>
      <c r="F5" s="1">
        <v>3</v>
      </c>
      <c r="G5" s="2" t="s">
        <v>9</v>
      </c>
      <c r="H5" s="5" t="str">
        <f>IF(IF(Table4428[[#This Row],[Pre or Post]]="Pre",1,0)+IF(ISNUMBER(Table4428[[#This Row],[Response]])=TRUE,1,0)=2,1,"")</f>
        <v/>
      </c>
      <c r="I5" s="5">
        <f>IF(IF(Table4428[[#This Row],[Pre or Post]]="Post",1,0)+IF(ISNUMBER(Table4428[[#This Row],[Response]])=TRUE,1,0)=2,1,"")</f>
        <v>1</v>
      </c>
      <c r="J5" s="5" t="str">
        <f>IF(IF(Table4428[[#This Row],[Pre or Post]]="Pre",1,0)+IF(ISNUMBER(Table4428[[#This Row],[Response]])=TRUE,1,0)=2,Table4428[[#This Row],[Response]],"")</f>
        <v/>
      </c>
      <c r="K5" s="5">
        <f>IF(IF(Table4428[[#This Row],[Pre or Post]]="Post",1,0)+IF(ISNUMBER(Table4428[[#This Row],[Response]])=TRUE,1,0)=2,Table4428[[#This Row],[Response]],"")</f>
        <v>3</v>
      </c>
      <c r="L5" s="5" t="str">
        <f>IF(IF(ISNUMBER(J5),1,0)+IF(ISNUMBER(K6),1,0)=2,IF(IF(C6=C5,1,0)+IF(B6=B5,1,0)+IF(D6="Post",1,0)+IF(D5="Pre",1,0)=4,Table4428[[#This Row],[Pre Total]],""),"")</f>
        <v/>
      </c>
      <c r="M5" s="5" t="str">
        <f>IF(IF(ISNUMBER(J4),1,0)+IF(ISNUMBER(Table4428[[#This Row],[Post Total]]),1,0)=2,IF(IF(Table4428[[#This Row],[Student Number]]=C4,1,0)+IF(Table4428[[#This Row],[Session]]=B4,1,0)+IF(Table4428[[#This Row],[Pre or Post]]="Post",1,0)+IF(D4="Pre",1,0)=4,Table4428[[#This Row],[Post Total]],""),"")</f>
        <v/>
      </c>
      <c r="N5" s="5" t="str">
        <f>IF(IF(ISNUMBER(J4),1,0)+IF(ISNUMBER(Table4428[[#This Row],[Post Total]]),1,0)=2,IF(IF(Table4428[[#This Row],[Student Number]]=C4,1,0)+IF(Table4428[[#This Row],[Session]]=B4,1,0)+IF(Table4428[[#This Row],[Pre or Post]]="Post",1,0)+IF(D4="Pre",1,0)=4,Table4428[[#This Row],[Post Total]]-J4,""),"")</f>
        <v/>
      </c>
      <c r="O5" s="5" t="b">
        <f>ISNUMBER(Table4428[[#This Row],[Change]])</f>
        <v>0</v>
      </c>
    </row>
    <row r="6" spans="1:15">
      <c r="A6" s="2" t="s">
        <v>12</v>
      </c>
      <c r="B6" s="2" t="s">
        <v>5</v>
      </c>
      <c r="C6" s="1">
        <v>5</v>
      </c>
      <c r="D6" s="2" t="s">
        <v>16</v>
      </c>
      <c r="E6" s="1">
        <v>3</v>
      </c>
      <c r="F6" s="1">
        <v>3</v>
      </c>
      <c r="G6" s="2" t="s">
        <v>9</v>
      </c>
      <c r="H6" s="5" t="str">
        <f>IF(IF(Table4428[[#This Row],[Pre or Post]]="Pre",1,0)+IF(ISNUMBER(Table4428[[#This Row],[Response]])=TRUE,1,0)=2,1,"")</f>
        <v/>
      </c>
      <c r="I6" s="5">
        <f>IF(IF(Table4428[[#This Row],[Pre or Post]]="Post",1,0)+IF(ISNUMBER(Table4428[[#This Row],[Response]])=TRUE,1,0)=2,1,"")</f>
        <v>1</v>
      </c>
      <c r="J6" s="5" t="str">
        <f>IF(IF(Table4428[[#This Row],[Pre or Post]]="Pre",1,0)+IF(ISNUMBER(Table4428[[#This Row],[Response]])=TRUE,1,0)=2,Table4428[[#This Row],[Response]],"")</f>
        <v/>
      </c>
      <c r="K6" s="5">
        <f>IF(IF(Table4428[[#This Row],[Pre or Post]]="Post",1,0)+IF(ISNUMBER(Table4428[[#This Row],[Response]])=TRUE,1,0)=2,Table4428[[#This Row],[Response]],"")</f>
        <v>3</v>
      </c>
      <c r="L6" s="5" t="str">
        <f>IF(IF(ISNUMBER(J6),1,0)+IF(ISNUMBER(K7),1,0)=2,IF(IF(C7=C6,1,0)+IF(B7=B6,1,0)+IF(D7="Post",1,0)+IF(D6="Pre",1,0)=4,Table4428[[#This Row],[Pre Total]],""),"")</f>
        <v/>
      </c>
      <c r="M6" s="5" t="str">
        <f>IF(IF(ISNUMBER(J5),1,0)+IF(ISNUMBER(Table4428[[#This Row],[Post Total]]),1,0)=2,IF(IF(Table4428[[#This Row],[Student Number]]=C5,1,0)+IF(Table4428[[#This Row],[Session]]=B5,1,0)+IF(Table4428[[#This Row],[Pre or Post]]="Post",1,0)+IF(D5="Pre",1,0)=4,Table4428[[#This Row],[Post Total]],""),"")</f>
        <v/>
      </c>
      <c r="N6" s="5" t="str">
        <f>IF(IF(ISNUMBER(J5),1,0)+IF(ISNUMBER(Table4428[[#This Row],[Post Total]]),1,0)=2,IF(IF(Table4428[[#This Row],[Student Number]]=C5,1,0)+IF(Table4428[[#This Row],[Session]]=B5,1,0)+IF(Table4428[[#This Row],[Pre or Post]]="Post",1,0)+IF(D5="Pre",1,0)=4,Table4428[[#This Row],[Post Total]]-J5,""),"")</f>
        <v/>
      </c>
      <c r="O6" s="5" t="b">
        <f>ISNUMBER(Table4428[[#This Row],[Change]])</f>
        <v>0</v>
      </c>
    </row>
    <row r="7" spans="1:15">
      <c r="A7" s="2" t="s">
        <v>12</v>
      </c>
      <c r="B7" s="2" t="s">
        <v>5</v>
      </c>
      <c r="C7" s="1">
        <v>6</v>
      </c>
      <c r="D7" s="2" t="s">
        <v>16</v>
      </c>
      <c r="E7" s="1">
        <v>3</v>
      </c>
      <c r="F7" s="1">
        <v>3</v>
      </c>
      <c r="G7" s="2" t="s">
        <v>9</v>
      </c>
      <c r="H7" s="5" t="str">
        <f>IF(IF(Table4428[[#This Row],[Pre or Post]]="Pre",1,0)+IF(ISNUMBER(Table4428[[#This Row],[Response]])=TRUE,1,0)=2,1,"")</f>
        <v/>
      </c>
      <c r="I7" s="5">
        <f>IF(IF(Table4428[[#This Row],[Pre or Post]]="Post",1,0)+IF(ISNUMBER(Table4428[[#This Row],[Response]])=TRUE,1,0)=2,1,"")</f>
        <v>1</v>
      </c>
      <c r="J7" s="5" t="str">
        <f>IF(IF(Table4428[[#This Row],[Pre or Post]]="Pre",1,0)+IF(ISNUMBER(Table4428[[#This Row],[Response]])=TRUE,1,0)=2,Table4428[[#This Row],[Response]],"")</f>
        <v/>
      </c>
      <c r="K7" s="5">
        <f>IF(IF(Table4428[[#This Row],[Pre or Post]]="Post",1,0)+IF(ISNUMBER(Table4428[[#This Row],[Response]])=TRUE,1,0)=2,Table4428[[#This Row],[Response]],"")</f>
        <v>3</v>
      </c>
      <c r="L7" s="5" t="str">
        <f>IF(IF(ISNUMBER(J7),1,0)+IF(ISNUMBER(K8),1,0)=2,IF(IF(C8=C7,1,0)+IF(B8=B7,1,0)+IF(D8="Post",1,0)+IF(D7="Pre",1,0)=4,Table4428[[#This Row],[Pre Total]],""),"")</f>
        <v/>
      </c>
      <c r="M7" s="5" t="str">
        <f>IF(IF(ISNUMBER(J6),1,0)+IF(ISNUMBER(Table4428[[#This Row],[Post Total]]),1,0)=2,IF(IF(Table4428[[#This Row],[Student Number]]=C6,1,0)+IF(Table4428[[#This Row],[Session]]=B6,1,0)+IF(Table4428[[#This Row],[Pre or Post]]="Post",1,0)+IF(D6="Pre",1,0)=4,Table4428[[#This Row],[Post Total]],""),"")</f>
        <v/>
      </c>
      <c r="N7" s="5" t="str">
        <f>IF(IF(ISNUMBER(J6),1,0)+IF(ISNUMBER(Table4428[[#This Row],[Post Total]]),1,0)=2,IF(IF(Table4428[[#This Row],[Student Number]]=C6,1,0)+IF(Table4428[[#This Row],[Session]]=B6,1,0)+IF(Table4428[[#This Row],[Pre or Post]]="Post",1,0)+IF(D6="Pre",1,0)=4,Table4428[[#This Row],[Post Total]]-J6,""),"")</f>
        <v/>
      </c>
      <c r="O7" s="5" t="b">
        <f>ISNUMBER(Table4428[[#This Row],[Change]])</f>
        <v>0</v>
      </c>
    </row>
    <row r="8" spans="1:15">
      <c r="A8" s="2" t="s">
        <v>12</v>
      </c>
      <c r="B8" s="2" t="s">
        <v>5</v>
      </c>
      <c r="C8" s="1">
        <v>7</v>
      </c>
      <c r="D8" s="2" t="s">
        <v>16</v>
      </c>
      <c r="E8" s="1">
        <v>3</v>
      </c>
      <c r="F8" s="1">
        <v>4</v>
      </c>
      <c r="G8" s="2" t="s">
        <v>9</v>
      </c>
      <c r="H8" s="5" t="str">
        <f>IF(IF(Table4428[[#This Row],[Pre or Post]]="Pre",1,0)+IF(ISNUMBER(Table4428[[#This Row],[Response]])=TRUE,1,0)=2,1,"")</f>
        <v/>
      </c>
      <c r="I8" s="5">
        <f>IF(IF(Table4428[[#This Row],[Pre or Post]]="Post",1,0)+IF(ISNUMBER(Table4428[[#This Row],[Response]])=TRUE,1,0)=2,1,"")</f>
        <v>1</v>
      </c>
      <c r="J8" s="5" t="str">
        <f>IF(IF(Table4428[[#This Row],[Pre or Post]]="Pre",1,0)+IF(ISNUMBER(Table4428[[#This Row],[Response]])=TRUE,1,0)=2,Table4428[[#This Row],[Response]],"")</f>
        <v/>
      </c>
      <c r="K8" s="5">
        <f>IF(IF(Table4428[[#This Row],[Pre or Post]]="Post",1,0)+IF(ISNUMBER(Table4428[[#This Row],[Response]])=TRUE,1,0)=2,Table4428[[#This Row],[Response]],"")</f>
        <v>4</v>
      </c>
      <c r="L8" s="5" t="str">
        <f>IF(IF(ISNUMBER(J8),1,0)+IF(ISNUMBER(K9),1,0)=2,IF(IF(C9=C8,1,0)+IF(B9=B8,1,0)+IF(D9="Post",1,0)+IF(D8="Pre",1,0)=4,Table4428[[#This Row],[Pre Total]],""),"")</f>
        <v/>
      </c>
      <c r="M8" s="5" t="str">
        <f>IF(IF(ISNUMBER(J7),1,0)+IF(ISNUMBER(Table4428[[#This Row],[Post Total]]),1,0)=2,IF(IF(Table4428[[#This Row],[Student Number]]=C7,1,0)+IF(Table4428[[#This Row],[Session]]=B7,1,0)+IF(Table4428[[#This Row],[Pre or Post]]="Post",1,0)+IF(D7="Pre",1,0)=4,Table4428[[#This Row],[Post Total]],""),"")</f>
        <v/>
      </c>
      <c r="N8" s="5" t="str">
        <f>IF(IF(ISNUMBER(J7),1,0)+IF(ISNUMBER(Table4428[[#This Row],[Post Total]]),1,0)=2,IF(IF(Table4428[[#This Row],[Student Number]]=C7,1,0)+IF(Table4428[[#This Row],[Session]]=B7,1,0)+IF(Table4428[[#This Row],[Pre or Post]]="Post",1,0)+IF(D7="Pre",1,0)=4,Table4428[[#This Row],[Post Total]]-J7,""),"")</f>
        <v/>
      </c>
      <c r="O8" s="5" t="b">
        <f>ISNUMBER(Table4428[[#This Row],[Change]])</f>
        <v>0</v>
      </c>
    </row>
    <row r="9" spans="1:15">
      <c r="A9" s="2" t="s">
        <v>12</v>
      </c>
      <c r="B9" s="2" t="s">
        <v>5</v>
      </c>
      <c r="C9" s="1">
        <v>8</v>
      </c>
      <c r="D9" s="2" t="s">
        <v>16</v>
      </c>
      <c r="E9" s="1">
        <v>3</v>
      </c>
      <c r="F9" s="1">
        <v>4</v>
      </c>
      <c r="G9" s="2" t="s">
        <v>9</v>
      </c>
      <c r="H9" s="5" t="str">
        <f>IF(IF(Table4428[[#This Row],[Pre or Post]]="Pre",1,0)+IF(ISNUMBER(Table4428[[#This Row],[Response]])=TRUE,1,0)=2,1,"")</f>
        <v/>
      </c>
      <c r="I9" s="5">
        <f>IF(IF(Table4428[[#This Row],[Pre or Post]]="Post",1,0)+IF(ISNUMBER(Table4428[[#This Row],[Response]])=TRUE,1,0)=2,1,"")</f>
        <v>1</v>
      </c>
      <c r="J9" s="5" t="str">
        <f>IF(IF(Table4428[[#This Row],[Pre or Post]]="Pre",1,0)+IF(ISNUMBER(Table4428[[#This Row],[Response]])=TRUE,1,0)=2,Table4428[[#This Row],[Response]],"")</f>
        <v/>
      </c>
      <c r="K9" s="5">
        <f>IF(IF(Table4428[[#This Row],[Pre or Post]]="Post",1,0)+IF(ISNUMBER(Table4428[[#This Row],[Response]])=TRUE,1,0)=2,Table4428[[#This Row],[Response]],"")</f>
        <v>4</v>
      </c>
      <c r="L9" s="5" t="str">
        <f>IF(IF(ISNUMBER(J9),1,0)+IF(ISNUMBER(K10),1,0)=2,IF(IF(C10=C9,1,0)+IF(B10=B9,1,0)+IF(D10="Post",1,0)+IF(D9="Pre",1,0)=4,Table4428[[#This Row],[Pre Total]],""),"")</f>
        <v/>
      </c>
      <c r="M9" s="5" t="str">
        <f>IF(IF(ISNUMBER(J8),1,0)+IF(ISNUMBER(Table4428[[#This Row],[Post Total]]),1,0)=2,IF(IF(Table4428[[#This Row],[Student Number]]=C8,1,0)+IF(Table4428[[#This Row],[Session]]=B8,1,0)+IF(Table4428[[#This Row],[Pre or Post]]="Post",1,0)+IF(D8="Pre",1,0)=4,Table4428[[#This Row],[Post Total]],""),"")</f>
        <v/>
      </c>
      <c r="N9" s="5" t="str">
        <f>IF(IF(ISNUMBER(J8),1,0)+IF(ISNUMBER(Table4428[[#This Row],[Post Total]]),1,0)=2,IF(IF(Table4428[[#This Row],[Student Number]]=C8,1,0)+IF(Table4428[[#This Row],[Session]]=B8,1,0)+IF(Table4428[[#This Row],[Pre or Post]]="Post",1,0)+IF(D8="Pre",1,0)=4,Table4428[[#This Row],[Post Total]]-J8,""),"")</f>
        <v/>
      </c>
      <c r="O9" s="5" t="b">
        <f>ISNUMBER(Table4428[[#This Row],[Change]])</f>
        <v>0</v>
      </c>
    </row>
    <row r="10" spans="1:15">
      <c r="A10" s="2" t="s">
        <v>12</v>
      </c>
      <c r="B10" s="2" t="s">
        <v>5</v>
      </c>
      <c r="C10" s="1">
        <v>9</v>
      </c>
      <c r="D10" s="2" t="s">
        <v>16</v>
      </c>
      <c r="E10" s="1">
        <v>3</v>
      </c>
      <c r="F10" s="1">
        <v>3</v>
      </c>
      <c r="G10" s="2" t="s">
        <v>9</v>
      </c>
      <c r="H10" s="5" t="str">
        <f>IF(IF(Table4428[[#This Row],[Pre or Post]]="Pre",1,0)+IF(ISNUMBER(Table4428[[#This Row],[Response]])=TRUE,1,0)=2,1,"")</f>
        <v/>
      </c>
      <c r="I10" s="5">
        <f>IF(IF(Table4428[[#This Row],[Pre or Post]]="Post",1,0)+IF(ISNUMBER(Table4428[[#This Row],[Response]])=TRUE,1,0)=2,1,"")</f>
        <v>1</v>
      </c>
      <c r="J10" s="5" t="str">
        <f>IF(IF(Table4428[[#This Row],[Pre or Post]]="Pre",1,0)+IF(ISNUMBER(Table4428[[#This Row],[Response]])=TRUE,1,0)=2,Table4428[[#This Row],[Response]],"")</f>
        <v/>
      </c>
      <c r="K10" s="5">
        <f>IF(IF(Table4428[[#This Row],[Pre or Post]]="Post",1,0)+IF(ISNUMBER(Table4428[[#This Row],[Response]])=TRUE,1,0)=2,Table4428[[#This Row],[Response]],"")</f>
        <v>3</v>
      </c>
      <c r="L10" s="5" t="str">
        <f>IF(IF(ISNUMBER(J10),1,0)+IF(ISNUMBER(K11),1,0)=2,IF(IF(C11=C10,1,0)+IF(B11=B10,1,0)+IF(D11="Post",1,0)+IF(D10="Pre",1,0)=4,Table4428[[#This Row],[Pre Total]],""),"")</f>
        <v/>
      </c>
      <c r="M10" s="5" t="str">
        <f>IF(IF(ISNUMBER(J9),1,0)+IF(ISNUMBER(Table4428[[#This Row],[Post Total]]),1,0)=2,IF(IF(Table4428[[#This Row],[Student Number]]=C9,1,0)+IF(Table4428[[#This Row],[Session]]=B9,1,0)+IF(Table4428[[#This Row],[Pre or Post]]="Post",1,0)+IF(D9="Pre",1,0)=4,Table4428[[#This Row],[Post Total]],""),"")</f>
        <v/>
      </c>
      <c r="N10" s="5" t="str">
        <f>IF(IF(ISNUMBER(J9),1,0)+IF(ISNUMBER(Table4428[[#This Row],[Post Total]]),1,0)=2,IF(IF(Table4428[[#This Row],[Student Number]]=C9,1,0)+IF(Table4428[[#This Row],[Session]]=B9,1,0)+IF(Table4428[[#This Row],[Pre or Post]]="Post",1,0)+IF(D9="Pre",1,0)=4,Table4428[[#This Row],[Post Total]]-J9,""),"")</f>
        <v/>
      </c>
      <c r="O10" s="5" t="b">
        <f>ISNUMBER(Table4428[[#This Row],[Change]])</f>
        <v>0</v>
      </c>
    </row>
    <row r="11" spans="1:15">
      <c r="A11" s="2" t="s">
        <v>12</v>
      </c>
      <c r="B11" s="2" t="s">
        <v>5</v>
      </c>
      <c r="C11" s="1">
        <v>10</v>
      </c>
      <c r="D11" s="2" t="s">
        <v>16</v>
      </c>
      <c r="E11" s="1">
        <v>3</v>
      </c>
      <c r="F11" s="1">
        <v>4</v>
      </c>
      <c r="G11" s="2" t="s">
        <v>9</v>
      </c>
      <c r="H11" s="5" t="str">
        <f>IF(IF(Table4428[[#This Row],[Pre or Post]]="Pre",1,0)+IF(ISNUMBER(Table4428[[#This Row],[Response]])=TRUE,1,0)=2,1,"")</f>
        <v/>
      </c>
      <c r="I11" s="5">
        <f>IF(IF(Table4428[[#This Row],[Pre or Post]]="Post",1,0)+IF(ISNUMBER(Table4428[[#This Row],[Response]])=TRUE,1,0)=2,1,"")</f>
        <v>1</v>
      </c>
      <c r="J11" s="5" t="str">
        <f>IF(IF(Table4428[[#This Row],[Pre or Post]]="Pre",1,0)+IF(ISNUMBER(Table4428[[#This Row],[Response]])=TRUE,1,0)=2,Table4428[[#This Row],[Response]],"")</f>
        <v/>
      </c>
      <c r="K11" s="5">
        <f>IF(IF(Table4428[[#This Row],[Pre or Post]]="Post",1,0)+IF(ISNUMBER(Table4428[[#This Row],[Response]])=TRUE,1,0)=2,Table4428[[#This Row],[Response]],"")</f>
        <v>4</v>
      </c>
      <c r="L11" s="5" t="str">
        <f>IF(IF(ISNUMBER(J11),1,0)+IF(ISNUMBER(K12),1,0)=2,IF(IF(C12=C11,1,0)+IF(B12=B11,1,0)+IF(D12="Post",1,0)+IF(D11="Pre",1,0)=4,Table4428[[#This Row],[Pre Total]],""),"")</f>
        <v/>
      </c>
      <c r="M11" s="5" t="str">
        <f>IF(IF(ISNUMBER(J10),1,0)+IF(ISNUMBER(Table4428[[#This Row],[Post Total]]),1,0)=2,IF(IF(Table4428[[#This Row],[Student Number]]=C10,1,0)+IF(Table4428[[#This Row],[Session]]=B10,1,0)+IF(Table4428[[#This Row],[Pre or Post]]="Post",1,0)+IF(D10="Pre",1,0)=4,Table4428[[#This Row],[Post Total]],""),"")</f>
        <v/>
      </c>
      <c r="N11" s="5" t="str">
        <f>IF(IF(ISNUMBER(J10),1,0)+IF(ISNUMBER(Table4428[[#This Row],[Post Total]]),1,0)=2,IF(IF(Table4428[[#This Row],[Student Number]]=C10,1,0)+IF(Table4428[[#This Row],[Session]]=B10,1,0)+IF(Table4428[[#This Row],[Pre or Post]]="Post",1,0)+IF(D10="Pre",1,0)=4,Table4428[[#This Row],[Post Total]]-J10,""),"")</f>
        <v/>
      </c>
      <c r="O11" s="5" t="b">
        <f>ISNUMBER(Table4428[[#This Row],[Change]])</f>
        <v>0</v>
      </c>
    </row>
    <row r="12" spans="1:15">
      <c r="A12" s="2" t="s">
        <v>12</v>
      </c>
      <c r="B12" s="2" t="s">
        <v>5</v>
      </c>
      <c r="C12" s="1">
        <v>11</v>
      </c>
      <c r="D12" s="2" t="s">
        <v>16</v>
      </c>
      <c r="E12" s="1">
        <v>3</v>
      </c>
      <c r="F12" s="1">
        <v>4</v>
      </c>
      <c r="G12" s="2" t="s">
        <v>9</v>
      </c>
      <c r="H12" s="5" t="str">
        <f>IF(IF(Table4428[[#This Row],[Pre or Post]]="Pre",1,0)+IF(ISNUMBER(Table4428[[#This Row],[Response]])=TRUE,1,0)=2,1,"")</f>
        <v/>
      </c>
      <c r="I12" s="5">
        <f>IF(IF(Table4428[[#This Row],[Pre or Post]]="Post",1,0)+IF(ISNUMBER(Table4428[[#This Row],[Response]])=TRUE,1,0)=2,1,"")</f>
        <v>1</v>
      </c>
      <c r="J12" s="5" t="str">
        <f>IF(IF(Table4428[[#This Row],[Pre or Post]]="Pre",1,0)+IF(ISNUMBER(Table4428[[#This Row],[Response]])=TRUE,1,0)=2,Table4428[[#This Row],[Response]],"")</f>
        <v/>
      </c>
      <c r="K12" s="5">
        <f>IF(IF(Table4428[[#This Row],[Pre or Post]]="Post",1,0)+IF(ISNUMBER(Table4428[[#This Row],[Response]])=TRUE,1,0)=2,Table4428[[#This Row],[Response]],"")</f>
        <v>4</v>
      </c>
      <c r="L12" s="5" t="str">
        <f>IF(IF(ISNUMBER(J12),1,0)+IF(ISNUMBER(K13),1,0)=2,IF(IF(C13=C12,1,0)+IF(B13=B12,1,0)+IF(D13="Post",1,0)+IF(D12="Pre",1,0)=4,Table4428[[#This Row],[Pre Total]],""),"")</f>
        <v/>
      </c>
      <c r="M12" s="5" t="str">
        <f>IF(IF(ISNUMBER(J11),1,0)+IF(ISNUMBER(Table4428[[#This Row],[Post Total]]),1,0)=2,IF(IF(Table4428[[#This Row],[Student Number]]=C11,1,0)+IF(Table4428[[#This Row],[Session]]=B11,1,0)+IF(Table4428[[#This Row],[Pre or Post]]="Post",1,0)+IF(D11="Pre",1,0)=4,Table4428[[#This Row],[Post Total]],""),"")</f>
        <v/>
      </c>
      <c r="N12" s="5" t="str">
        <f>IF(IF(ISNUMBER(J11),1,0)+IF(ISNUMBER(Table4428[[#This Row],[Post Total]]),1,0)=2,IF(IF(Table4428[[#This Row],[Student Number]]=C11,1,0)+IF(Table4428[[#This Row],[Session]]=B11,1,0)+IF(Table4428[[#This Row],[Pre or Post]]="Post",1,0)+IF(D11="Pre",1,0)=4,Table4428[[#This Row],[Post Total]]-J11,""),"")</f>
        <v/>
      </c>
      <c r="O12" s="5" t="b">
        <f>ISNUMBER(Table4428[[#This Row],[Change]])</f>
        <v>0</v>
      </c>
    </row>
    <row r="13" spans="1:15">
      <c r="A13" s="2" t="s">
        <v>12</v>
      </c>
      <c r="B13" s="2" t="s">
        <v>5</v>
      </c>
      <c r="C13" s="1">
        <v>12</v>
      </c>
      <c r="D13" s="2" t="s">
        <v>16</v>
      </c>
      <c r="E13" s="1">
        <v>3</v>
      </c>
      <c r="F13" s="1">
        <v>4</v>
      </c>
      <c r="G13" s="2" t="s">
        <v>9</v>
      </c>
      <c r="H13" s="5" t="str">
        <f>IF(IF(Table4428[[#This Row],[Pre or Post]]="Pre",1,0)+IF(ISNUMBER(Table4428[[#This Row],[Response]])=TRUE,1,0)=2,1,"")</f>
        <v/>
      </c>
      <c r="I13" s="5">
        <f>IF(IF(Table4428[[#This Row],[Pre or Post]]="Post",1,0)+IF(ISNUMBER(Table4428[[#This Row],[Response]])=TRUE,1,0)=2,1,"")</f>
        <v>1</v>
      </c>
      <c r="J13" s="5" t="str">
        <f>IF(IF(Table4428[[#This Row],[Pre or Post]]="Pre",1,0)+IF(ISNUMBER(Table4428[[#This Row],[Response]])=TRUE,1,0)=2,Table4428[[#This Row],[Response]],"")</f>
        <v/>
      </c>
      <c r="K13" s="5">
        <f>IF(IF(Table4428[[#This Row],[Pre or Post]]="Post",1,0)+IF(ISNUMBER(Table4428[[#This Row],[Response]])=TRUE,1,0)=2,Table4428[[#This Row],[Response]],"")</f>
        <v>4</v>
      </c>
      <c r="L13" s="5" t="str">
        <f>IF(IF(ISNUMBER(J13),1,0)+IF(ISNUMBER(K14),1,0)=2,IF(IF(C14=C13,1,0)+IF(B14=B13,1,0)+IF(D14="Post",1,0)+IF(D13="Pre",1,0)=4,Table4428[[#This Row],[Pre Total]],""),"")</f>
        <v/>
      </c>
      <c r="M13" s="5" t="str">
        <f>IF(IF(ISNUMBER(J12),1,0)+IF(ISNUMBER(Table4428[[#This Row],[Post Total]]),1,0)=2,IF(IF(Table4428[[#This Row],[Student Number]]=C12,1,0)+IF(Table4428[[#This Row],[Session]]=B12,1,0)+IF(Table4428[[#This Row],[Pre or Post]]="Post",1,0)+IF(D12="Pre",1,0)=4,Table4428[[#This Row],[Post Total]],""),"")</f>
        <v/>
      </c>
      <c r="N13" s="5" t="str">
        <f>IF(IF(ISNUMBER(J12),1,0)+IF(ISNUMBER(Table4428[[#This Row],[Post Total]]),1,0)=2,IF(IF(Table4428[[#This Row],[Student Number]]=C12,1,0)+IF(Table4428[[#This Row],[Session]]=B12,1,0)+IF(Table4428[[#This Row],[Pre or Post]]="Post",1,0)+IF(D12="Pre",1,0)=4,Table4428[[#This Row],[Post Total]]-J12,""),"")</f>
        <v/>
      </c>
      <c r="O13" s="5" t="b">
        <f>ISNUMBER(Table4428[[#This Row],[Change]])</f>
        <v>0</v>
      </c>
    </row>
    <row r="14" spans="1:15">
      <c r="A14" s="2" t="s">
        <v>12</v>
      </c>
      <c r="B14" s="2" t="s">
        <v>5</v>
      </c>
      <c r="C14" s="1">
        <v>13</v>
      </c>
      <c r="D14" s="2" t="s">
        <v>16</v>
      </c>
      <c r="E14" s="1">
        <v>3</v>
      </c>
      <c r="F14" s="1">
        <v>3</v>
      </c>
      <c r="G14" s="2" t="s">
        <v>9</v>
      </c>
      <c r="H14" s="5" t="str">
        <f>IF(IF(Table4428[[#This Row],[Pre or Post]]="Pre",1,0)+IF(ISNUMBER(Table4428[[#This Row],[Response]])=TRUE,1,0)=2,1,"")</f>
        <v/>
      </c>
      <c r="I14" s="5">
        <f>IF(IF(Table4428[[#This Row],[Pre or Post]]="Post",1,0)+IF(ISNUMBER(Table4428[[#This Row],[Response]])=TRUE,1,0)=2,1,"")</f>
        <v>1</v>
      </c>
      <c r="J14" s="5" t="str">
        <f>IF(IF(Table4428[[#This Row],[Pre or Post]]="Pre",1,0)+IF(ISNUMBER(Table4428[[#This Row],[Response]])=TRUE,1,0)=2,Table4428[[#This Row],[Response]],"")</f>
        <v/>
      </c>
      <c r="K14" s="5">
        <f>IF(IF(Table4428[[#This Row],[Pre or Post]]="Post",1,0)+IF(ISNUMBER(Table4428[[#This Row],[Response]])=TRUE,1,0)=2,Table4428[[#This Row],[Response]],"")</f>
        <v>3</v>
      </c>
      <c r="L14" s="5" t="str">
        <f>IF(IF(ISNUMBER(J14),1,0)+IF(ISNUMBER(K15),1,0)=2,IF(IF(C15=C14,1,0)+IF(B15=B14,1,0)+IF(D15="Post",1,0)+IF(D14="Pre",1,0)=4,Table4428[[#This Row],[Pre Total]],""),"")</f>
        <v/>
      </c>
      <c r="M14" s="5" t="str">
        <f>IF(IF(ISNUMBER(J13),1,0)+IF(ISNUMBER(Table4428[[#This Row],[Post Total]]),1,0)=2,IF(IF(Table4428[[#This Row],[Student Number]]=C13,1,0)+IF(Table4428[[#This Row],[Session]]=B13,1,0)+IF(Table4428[[#This Row],[Pre or Post]]="Post",1,0)+IF(D13="Pre",1,0)=4,Table4428[[#This Row],[Post Total]],""),"")</f>
        <v/>
      </c>
      <c r="N14" s="5" t="str">
        <f>IF(IF(ISNUMBER(J13),1,0)+IF(ISNUMBER(Table4428[[#This Row],[Post Total]]),1,0)=2,IF(IF(Table4428[[#This Row],[Student Number]]=C13,1,0)+IF(Table4428[[#This Row],[Session]]=B13,1,0)+IF(Table4428[[#This Row],[Pre or Post]]="Post",1,0)+IF(D13="Pre",1,0)=4,Table4428[[#This Row],[Post Total]]-J13,""),"")</f>
        <v/>
      </c>
      <c r="O14" s="5" t="b">
        <f>ISNUMBER(Table4428[[#This Row],[Change]])</f>
        <v>0</v>
      </c>
    </row>
    <row r="15" spans="1:15">
      <c r="A15" s="2" t="s">
        <v>12</v>
      </c>
      <c r="B15" s="2" t="s">
        <v>5</v>
      </c>
      <c r="C15" s="1">
        <v>14</v>
      </c>
      <c r="D15" s="2" t="s">
        <v>16</v>
      </c>
      <c r="E15" s="1">
        <v>3</v>
      </c>
      <c r="F15" s="1">
        <v>2</v>
      </c>
      <c r="G15" s="2" t="s">
        <v>9</v>
      </c>
      <c r="H15" s="5" t="str">
        <f>IF(IF(Table4428[[#This Row],[Pre or Post]]="Pre",1,0)+IF(ISNUMBER(Table4428[[#This Row],[Response]])=TRUE,1,0)=2,1,"")</f>
        <v/>
      </c>
      <c r="I15" s="5">
        <f>IF(IF(Table4428[[#This Row],[Pre or Post]]="Post",1,0)+IF(ISNUMBER(Table4428[[#This Row],[Response]])=TRUE,1,0)=2,1,"")</f>
        <v>1</v>
      </c>
      <c r="J15" s="5" t="str">
        <f>IF(IF(Table4428[[#This Row],[Pre or Post]]="Pre",1,0)+IF(ISNUMBER(Table4428[[#This Row],[Response]])=TRUE,1,0)=2,Table4428[[#This Row],[Response]],"")</f>
        <v/>
      </c>
      <c r="K15" s="5">
        <f>IF(IF(Table4428[[#This Row],[Pre or Post]]="Post",1,0)+IF(ISNUMBER(Table4428[[#This Row],[Response]])=TRUE,1,0)=2,Table4428[[#This Row],[Response]],"")</f>
        <v>2</v>
      </c>
      <c r="L15" s="5" t="str">
        <f>IF(IF(ISNUMBER(J15),1,0)+IF(ISNUMBER(K16),1,0)=2,IF(IF(C16=C15,1,0)+IF(B16=B15,1,0)+IF(D16="Post",1,0)+IF(D15="Pre",1,0)=4,Table4428[[#This Row],[Pre Total]],""),"")</f>
        <v/>
      </c>
      <c r="M15" s="5" t="str">
        <f>IF(IF(ISNUMBER(J14),1,0)+IF(ISNUMBER(Table4428[[#This Row],[Post Total]]),1,0)=2,IF(IF(Table4428[[#This Row],[Student Number]]=C14,1,0)+IF(Table4428[[#This Row],[Session]]=B14,1,0)+IF(Table4428[[#This Row],[Pre or Post]]="Post",1,0)+IF(D14="Pre",1,0)=4,Table4428[[#This Row],[Post Total]],""),"")</f>
        <v/>
      </c>
      <c r="N15" s="5" t="str">
        <f>IF(IF(ISNUMBER(J14),1,0)+IF(ISNUMBER(Table4428[[#This Row],[Post Total]]),1,0)=2,IF(IF(Table4428[[#This Row],[Student Number]]=C14,1,0)+IF(Table4428[[#This Row],[Session]]=B14,1,0)+IF(Table4428[[#This Row],[Pre or Post]]="Post",1,0)+IF(D14="Pre",1,0)=4,Table4428[[#This Row],[Post Total]]-J14,""),"")</f>
        <v/>
      </c>
      <c r="O15" s="5" t="b">
        <f>ISNUMBER(Table4428[[#This Row],[Change]])</f>
        <v>0</v>
      </c>
    </row>
    <row r="16" spans="1:15">
      <c r="A16" s="2" t="s">
        <v>12</v>
      </c>
      <c r="B16" s="2" t="s">
        <v>5</v>
      </c>
      <c r="C16" s="1">
        <v>15</v>
      </c>
      <c r="D16" s="2" t="s">
        <v>16</v>
      </c>
      <c r="E16" s="1">
        <v>3</v>
      </c>
      <c r="F16" s="1">
        <v>3</v>
      </c>
      <c r="G16" s="2" t="s">
        <v>9</v>
      </c>
      <c r="H16" s="5" t="str">
        <f>IF(IF(Table4428[[#This Row],[Pre or Post]]="Pre",1,0)+IF(ISNUMBER(Table4428[[#This Row],[Response]])=TRUE,1,0)=2,1,"")</f>
        <v/>
      </c>
      <c r="I16" s="5">
        <f>IF(IF(Table4428[[#This Row],[Pre or Post]]="Post",1,0)+IF(ISNUMBER(Table4428[[#This Row],[Response]])=TRUE,1,0)=2,1,"")</f>
        <v>1</v>
      </c>
      <c r="J16" s="5" t="str">
        <f>IF(IF(Table4428[[#This Row],[Pre or Post]]="Pre",1,0)+IF(ISNUMBER(Table4428[[#This Row],[Response]])=TRUE,1,0)=2,Table4428[[#This Row],[Response]],"")</f>
        <v/>
      </c>
      <c r="K16" s="5">
        <f>IF(IF(Table4428[[#This Row],[Pre or Post]]="Post",1,0)+IF(ISNUMBER(Table4428[[#This Row],[Response]])=TRUE,1,0)=2,Table4428[[#This Row],[Response]],"")</f>
        <v>3</v>
      </c>
      <c r="L16" s="5" t="str">
        <f>IF(IF(ISNUMBER(J16),1,0)+IF(ISNUMBER(K17),1,0)=2,IF(IF(C17=C16,1,0)+IF(B17=B16,1,0)+IF(D17="Post",1,0)+IF(D16="Pre",1,0)=4,Table4428[[#This Row],[Pre Total]],""),"")</f>
        <v/>
      </c>
      <c r="M16" s="5" t="str">
        <f>IF(IF(ISNUMBER(J15),1,0)+IF(ISNUMBER(Table4428[[#This Row],[Post Total]]),1,0)=2,IF(IF(Table4428[[#This Row],[Student Number]]=C15,1,0)+IF(Table4428[[#This Row],[Session]]=B15,1,0)+IF(Table4428[[#This Row],[Pre or Post]]="Post",1,0)+IF(D15="Pre",1,0)=4,Table4428[[#This Row],[Post Total]],""),"")</f>
        <v/>
      </c>
      <c r="N16" s="5" t="str">
        <f>IF(IF(ISNUMBER(J15),1,0)+IF(ISNUMBER(Table4428[[#This Row],[Post Total]]),1,0)=2,IF(IF(Table4428[[#This Row],[Student Number]]=C15,1,0)+IF(Table4428[[#This Row],[Session]]=B15,1,0)+IF(Table4428[[#This Row],[Pre or Post]]="Post",1,0)+IF(D15="Pre",1,0)=4,Table4428[[#This Row],[Post Total]]-J15,""),"")</f>
        <v/>
      </c>
      <c r="O16" s="5" t="b">
        <f>ISNUMBER(Table4428[[#This Row],[Change]])</f>
        <v>0</v>
      </c>
    </row>
    <row r="17" spans="1:15">
      <c r="A17" s="2" t="s">
        <v>12</v>
      </c>
      <c r="B17" s="2" t="s">
        <v>5</v>
      </c>
      <c r="C17" s="1">
        <v>16</v>
      </c>
      <c r="D17" s="2" t="s">
        <v>16</v>
      </c>
      <c r="E17" s="1">
        <v>3</v>
      </c>
      <c r="F17" s="1">
        <v>4</v>
      </c>
      <c r="G17" s="2" t="s">
        <v>9</v>
      </c>
      <c r="H17" s="5" t="str">
        <f>IF(IF(Table4428[[#This Row],[Pre or Post]]="Pre",1,0)+IF(ISNUMBER(Table4428[[#This Row],[Response]])=TRUE,1,0)=2,1,"")</f>
        <v/>
      </c>
      <c r="I17" s="5">
        <f>IF(IF(Table4428[[#This Row],[Pre or Post]]="Post",1,0)+IF(ISNUMBER(Table4428[[#This Row],[Response]])=TRUE,1,0)=2,1,"")</f>
        <v>1</v>
      </c>
      <c r="J17" s="5" t="str">
        <f>IF(IF(Table4428[[#This Row],[Pre or Post]]="Pre",1,0)+IF(ISNUMBER(Table4428[[#This Row],[Response]])=TRUE,1,0)=2,Table4428[[#This Row],[Response]],"")</f>
        <v/>
      </c>
      <c r="K17" s="5">
        <f>IF(IF(Table4428[[#This Row],[Pre or Post]]="Post",1,0)+IF(ISNUMBER(Table4428[[#This Row],[Response]])=TRUE,1,0)=2,Table4428[[#This Row],[Response]],"")</f>
        <v>4</v>
      </c>
      <c r="L17" s="5" t="str">
        <f>IF(IF(ISNUMBER(J17),1,0)+IF(ISNUMBER(K18),1,0)=2,IF(IF(C18=C17,1,0)+IF(B18=B17,1,0)+IF(D18="Post",1,0)+IF(D17="Pre",1,0)=4,Table4428[[#This Row],[Pre Total]],""),"")</f>
        <v/>
      </c>
      <c r="M17" s="5" t="str">
        <f>IF(IF(ISNUMBER(J16),1,0)+IF(ISNUMBER(Table4428[[#This Row],[Post Total]]),1,0)=2,IF(IF(Table4428[[#This Row],[Student Number]]=C16,1,0)+IF(Table4428[[#This Row],[Session]]=B16,1,0)+IF(Table4428[[#This Row],[Pre or Post]]="Post",1,0)+IF(D16="Pre",1,0)=4,Table4428[[#This Row],[Post Total]],""),"")</f>
        <v/>
      </c>
      <c r="N17" s="5" t="str">
        <f>IF(IF(ISNUMBER(J16),1,0)+IF(ISNUMBER(Table4428[[#This Row],[Post Total]]),1,0)=2,IF(IF(Table4428[[#This Row],[Student Number]]=C16,1,0)+IF(Table4428[[#This Row],[Session]]=B16,1,0)+IF(Table4428[[#This Row],[Pre or Post]]="Post",1,0)+IF(D16="Pre",1,0)=4,Table4428[[#This Row],[Post Total]]-J16,""),"")</f>
        <v/>
      </c>
      <c r="O17" s="5" t="b">
        <f>ISNUMBER(Table4428[[#This Row],[Change]])</f>
        <v>0</v>
      </c>
    </row>
    <row r="18" spans="1:15">
      <c r="A18" s="2" t="s">
        <v>12</v>
      </c>
      <c r="B18" s="2" t="s">
        <v>5</v>
      </c>
      <c r="C18" s="1">
        <v>17</v>
      </c>
      <c r="D18" s="2" t="s">
        <v>16</v>
      </c>
      <c r="E18" s="1">
        <v>3</v>
      </c>
      <c r="F18" s="1">
        <v>4</v>
      </c>
      <c r="G18" s="2" t="s">
        <v>9</v>
      </c>
      <c r="H18" s="5" t="str">
        <f>IF(IF(Table4428[[#This Row],[Pre or Post]]="Pre",1,0)+IF(ISNUMBER(Table4428[[#This Row],[Response]])=TRUE,1,0)=2,1,"")</f>
        <v/>
      </c>
      <c r="I18" s="5">
        <f>IF(IF(Table4428[[#This Row],[Pre or Post]]="Post",1,0)+IF(ISNUMBER(Table4428[[#This Row],[Response]])=TRUE,1,0)=2,1,"")</f>
        <v>1</v>
      </c>
      <c r="J18" s="5" t="str">
        <f>IF(IF(Table4428[[#This Row],[Pre or Post]]="Pre",1,0)+IF(ISNUMBER(Table4428[[#This Row],[Response]])=TRUE,1,0)=2,Table4428[[#This Row],[Response]],"")</f>
        <v/>
      </c>
      <c r="K18" s="5">
        <f>IF(IF(Table4428[[#This Row],[Pre or Post]]="Post",1,0)+IF(ISNUMBER(Table4428[[#This Row],[Response]])=TRUE,1,0)=2,Table4428[[#This Row],[Response]],"")</f>
        <v>4</v>
      </c>
      <c r="L18" s="5" t="str">
        <f>IF(IF(ISNUMBER(J18),1,0)+IF(ISNUMBER(K19),1,0)=2,IF(IF(C19=C18,1,0)+IF(B19=B18,1,0)+IF(D19="Post",1,0)+IF(D18="Pre",1,0)=4,Table4428[[#This Row],[Pre Total]],""),"")</f>
        <v/>
      </c>
      <c r="M18" s="5" t="str">
        <f>IF(IF(ISNUMBER(J17),1,0)+IF(ISNUMBER(Table4428[[#This Row],[Post Total]]),1,0)=2,IF(IF(Table4428[[#This Row],[Student Number]]=C17,1,0)+IF(Table4428[[#This Row],[Session]]=B17,1,0)+IF(Table4428[[#This Row],[Pre or Post]]="Post",1,0)+IF(D17="Pre",1,0)=4,Table4428[[#This Row],[Post Total]],""),"")</f>
        <v/>
      </c>
      <c r="N18" s="5" t="str">
        <f>IF(IF(ISNUMBER(J17),1,0)+IF(ISNUMBER(Table4428[[#This Row],[Post Total]]),1,0)=2,IF(IF(Table4428[[#This Row],[Student Number]]=C17,1,0)+IF(Table4428[[#This Row],[Session]]=B17,1,0)+IF(Table4428[[#This Row],[Pre or Post]]="Post",1,0)+IF(D17="Pre",1,0)=4,Table4428[[#This Row],[Post Total]]-J17,""),"")</f>
        <v/>
      </c>
      <c r="O18" s="5" t="b">
        <f>ISNUMBER(Table4428[[#This Row],[Change]])</f>
        <v>0</v>
      </c>
    </row>
    <row r="19" spans="1:15">
      <c r="A19" s="2" t="s">
        <v>12</v>
      </c>
      <c r="B19" s="2" t="s">
        <v>5</v>
      </c>
      <c r="C19" s="1">
        <v>18</v>
      </c>
      <c r="D19" s="2" t="s">
        <v>16</v>
      </c>
      <c r="E19" s="1">
        <v>3</v>
      </c>
      <c r="F19" s="1">
        <v>4</v>
      </c>
      <c r="G19" s="2" t="s">
        <v>9</v>
      </c>
      <c r="H19" s="5" t="str">
        <f>IF(IF(Table4428[[#This Row],[Pre or Post]]="Pre",1,0)+IF(ISNUMBER(Table4428[[#This Row],[Response]])=TRUE,1,0)=2,1,"")</f>
        <v/>
      </c>
      <c r="I19" s="5">
        <f>IF(IF(Table4428[[#This Row],[Pre or Post]]="Post",1,0)+IF(ISNUMBER(Table4428[[#This Row],[Response]])=TRUE,1,0)=2,1,"")</f>
        <v>1</v>
      </c>
      <c r="J19" s="5" t="str">
        <f>IF(IF(Table4428[[#This Row],[Pre or Post]]="Pre",1,0)+IF(ISNUMBER(Table4428[[#This Row],[Response]])=TRUE,1,0)=2,Table4428[[#This Row],[Response]],"")</f>
        <v/>
      </c>
      <c r="K19" s="5">
        <f>IF(IF(Table4428[[#This Row],[Pre or Post]]="Post",1,0)+IF(ISNUMBER(Table4428[[#This Row],[Response]])=TRUE,1,0)=2,Table4428[[#This Row],[Response]],"")</f>
        <v>4</v>
      </c>
      <c r="L19" s="5" t="str">
        <f>IF(IF(ISNUMBER(J19),1,0)+IF(ISNUMBER(K20),1,0)=2,IF(IF(C20=C19,1,0)+IF(B20=B19,1,0)+IF(D20="Post",1,0)+IF(D19="Pre",1,0)=4,Table4428[[#This Row],[Pre Total]],""),"")</f>
        <v/>
      </c>
      <c r="M19" s="5" t="str">
        <f>IF(IF(ISNUMBER(J18),1,0)+IF(ISNUMBER(Table4428[[#This Row],[Post Total]]),1,0)=2,IF(IF(Table4428[[#This Row],[Student Number]]=C18,1,0)+IF(Table4428[[#This Row],[Session]]=B18,1,0)+IF(Table4428[[#This Row],[Pre or Post]]="Post",1,0)+IF(D18="Pre",1,0)=4,Table4428[[#This Row],[Post Total]],""),"")</f>
        <v/>
      </c>
      <c r="N19" s="5" t="str">
        <f>IF(IF(ISNUMBER(J18),1,0)+IF(ISNUMBER(Table4428[[#This Row],[Post Total]]),1,0)=2,IF(IF(Table4428[[#This Row],[Student Number]]=C18,1,0)+IF(Table4428[[#This Row],[Session]]=B18,1,0)+IF(Table4428[[#This Row],[Pre or Post]]="Post",1,0)+IF(D18="Pre",1,0)=4,Table4428[[#This Row],[Post Total]]-J18,""),"")</f>
        <v/>
      </c>
      <c r="O19" s="5" t="b">
        <f>ISNUMBER(Table4428[[#This Row],[Change]])</f>
        <v>0</v>
      </c>
    </row>
    <row r="20" spans="1:15">
      <c r="A20" s="2" t="s">
        <v>12</v>
      </c>
      <c r="B20" s="2" t="s">
        <v>5</v>
      </c>
      <c r="C20" s="2">
        <v>19</v>
      </c>
      <c r="D20" s="2" t="s">
        <v>16</v>
      </c>
      <c r="E20" s="1">
        <v>3</v>
      </c>
      <c r="F20" s="2">
        <v>4</v>
      </c>
      <c r="G20" s="2" t="s">
        <v>9</v>
      </c>
      <c r="H20" s="5" t="str">
        <f>IF(IF(Table4428[[#This Row],[Pre or Post]]="Pre",1,0)+IF(ISNUMBER(Table4428[[#This Row],[Response]])=TRUE,1,0)=2,1,"")</f>
        <v/>
      </c>
      <c r="I20" s="5">
        <f>IF(IF(Table4428[[#This Row],[Pre or Post]]="Post",1,0)+IF(ISNUMBER(Table4428[[#This Row],[Response]])=TRUE,1,0)=2,1,"")</f>
        <v>1</v>
      </c>
      <c r="J20" s="5" t="str">
        <f>IF(IF(Table4428[[#This Row],[Pre or Post]]="Pre",1,0)+IF(ISNUMBER(Table4428[[#This Row],[Response]])=TRUE,1,0)=2,Table4428[[#This Row],[Response]],"")</f>
        <v/>
      </c>
      <c r="K20" s="5">
        <f>IF(IF(Table4428[[#This Row],[Pre or Post]]="Post",1,0)+IF(ISNUMBER(Table4428[[#This Row],[Response]])=TRUE,1,0)=2,Table4428[[#This Row],[Response]],"")</f>
        <v>4</v>
      </c>
      <c r="L20" s="5" t="str">
        <f>IF(IF(ISNUMBER(J20),1,0)+IF(ISNUMBER(K21),1,0)=2,IF(IF(C21=C20,1,0)+IF(B21=B20,1,0)+IF(D21="Post",1,0)+IF(D20="Pre",1,0)=4,Table4428[[#This Row],[Pre Total]],""),"")</f>
        <v/>
      </c>
      <c r="M20" s="5" t="str">
        <f>IF(IF(ISNUMBER(J19),1,0)+IF(ISNUMBER(Table4428[[#This Row],[Post Total]]),1,0)=2,IF(IF(Table4428[[#This Row],[Student Number]]=C19,1,0)+IF(Table4428[[#This Row],[Session]]=B19,1,0)+IF(Table4428[[#This Row],[Pre or Post]]="Post",1,0)+IF(D19="Pre",1,0)=4,Table4428[[#This Row],[Post Total]],""),"")</f>
        <v/>
      </c>
      <c r="N20" s="5" t="str">
        <f>IF(IF(ISNUMBER(J19),1,0)+IF(ISNUMBER(Table4428[[#This Row],[Post Total]]),1,0)=2,IF(IF(Table4428[[#This Row],[Student Number]]=C19,1,0)+IF(Table4428[[#This Row],[Session]]=B19,1,0)+IF(Table4428[[#This Row],[Pre or Post]]="Post",1,0)+IF(D19="Pre",1,0)=4,Table4428[[#This Row],[Post Total]]-J19,""),"")</f>
        <v/>
      </c>
      <c r="O20" s="5" t="b">
        <f>ISNUMBER(Table4428[[#This Row],[Change]])</f>
        <v>0</v>
      </c>
    </row>
    <row r="21" spans="1:15">
      <c r="A21" s="2" t="s">
        <v>12</v>
      </c>
      <c r="B21" s="2" t="s">
        <v>5</v>
      </c>
      <c r="C21" s="2">
        <v>20</v>
      </c>
      <c r="D21" s="2" t="s">
        <v>16</v>
      </c>
      <c r="E21" s="1">
        <v>3</v>
      </c>
      <c r="F21" s="2">
        <v>4</v>
      </c>
      <c r="G21" s="2" t="s">
        <v>9</v>
      </c>
      <c r="H21" s="5" t="str">
        <f>IF(IF(Table4428[[#This Row],[Pre or Post]]="Pre",1,0)+IF(ISNUMBER(Table4428[[#This Row],[Response]])=TRUE,1,0)=2,1,"")</f>
        <v/>
      </c>
      <c r="I21" s="5">
        <f>IF(IF(Table4428[[#This Row],[Pre or Post]]="Post",1,0)+IF(ISNUMBER(Table4428[[#This Row],[Response]])=TRUE,1,0)=2,1,"")</f>
        <v>1</v>
      </c>
      <c r="J21" s="5" t="str">
        <f>IF(IF(Table4428[[#This Row],[Pre or Post]]="Pre",1,0)+IF(ISNUMBER(Table4428[[#This Row],[Response]])=TRUE,1,0)=2,Table4428[[#This Row],[Response]],"")</f>
        <v/>
      </c>
      <c r="K21" s="5">
        <f>IF(IF(Table4428[[#This Row],[Pre or Post]]="Post",1,0)+IF(ISNUMBER(Table4428[[#This Row],[Response]])=TRUE,1,0)=2,Table4428[[#This Row],[Response]],"")</f>
        <v>4</v>
      </c>
      <c r="L21" s="5" t="str">
        <f>IF(IF(ISNUMBER(J21),1,0)+IF(ISNUMBER(K22),1,0)=2,IF(IF(C22=C21,1,0)+IF(B22=B21,1,0)+IF(D22="Post",1,0)+IF(D21="Pre",1,0)=4,Table4428[[#This Row],[Pre Total]],""),"")</f>
        <v/>
      </c>
      <c r="M21" s="5" t="str">
        <f>IF(IF(ISNUMBER(J20),1,0)+IF(ISNUMBER(Table4428[[#This Row],[Post Total]]),1,0)=2,IF(IF(Table4428[[#This Row],[Student Number]]=C20,1,0)+IF(Table4428[[#This Row],[Session]]=B20,1,0)+IF(Table4428[[#This Row],[Pre or Post]]="Post",1,0)+IF(D20="Pre",1,0)=4,Table4428[[#This Row],[Post Total]],""),"")</f>
        <v/>
      </c>
      <c r="N21" s="5" t="str">
        <f>IF(IF(ISNUMBER(J20),1,0)+IF(ISNUMBER(Table4428[[#This Row],[Post Total]]),1,0)=2,IF(IF(Table4428[[#This Row],[Student Number]]=C20,1,0)+IF(Table4428[[#This Row],[Session]]=B20,1,0)+IF(Table4428[[#This Row],[Pre or Post]]="Post",1,0)+IF(D20="Pre",1,0)=4,Table4428[[#This Row],[Post Total]]-J20,""),"")</f>
        <v/>
      </c>
      <c r="O21" s="5" t="b">
        <f>ISNUMBER(Table4428[[#This Row],[Change]])</f>
        <v>0</v>
      </c>
    </row>
    <row r="22" spans="1:15">
      <c r="A22" s="2" t="s">
        <v>12</v>
      </c>
      <c r="B22" s="2" t="s">
        <v>5</v>
      </c>
      <c r="C22" s="2">
        <v>21</v>
      </c>
      <c r="D22" s="2" t="s">
        <v>16</v>
      </c>
      <c r="E22" s="1">
        <v>3</v>
      </c>
      <c r="F22" s="2">
        <v>3</v>
      </c>
      <c r="G22" s="2" t="s">
        <v>9</v>
      </c>
      <c r="H22" s="5" t="str">
        <f>IF(IF(Table4428[[#This Row],[Pre or Post]]="Pre",1,0)+IF(ISNUMBER(Table4428[[#This Row],[Response]])=TRUE,1,0)=2,1,"")</f>
        <v/>
      </c>
      <c r="I22" s="5">
        <f>IF(IF(Table4428[[#This Row],[Pre or Post]]="Post",1,0)+IF(ISNUMBER(Table4428[[#This Row],[Response]])=TRUE,1,0)=2,1,"")</f>
        <v>1</v>
      </c>
      <c r="J22" s="5" t="str">
        <f>IF(IF(Table4428[[#This Row],[Pre or Post]]="Pre",1,0)+IF(ISNUMBER(Table4428[[#This Row],[Response]])=TRUE,1,0)=2,Table4428[[#This Row],[Response]],"")</f>
        <v/>
      </c>
      <c r="K22" s="5">
        <f>IF(IF(Table4428[[#This Row],[Pre or Post]]="Post",1,0)+IF(ISNUMBER(Table4428[[#This Row],[Response]])=TRUE,1,0)=2,Table4428[[#This Row],[Response]],"")</f>
        <v>3</v>
      </c>
      <c r="L22" s="5" t="str">
        <f>IF(IF(ISNUMBER(J22),1,0)+IF(ISNUMBER(K23),1,0)=2,IF(IF(C23=C22,1,0)+IF(B23=B22,1,0)+IF(D23="Post",1,0)+IF(D22="Pre",1,0)=4,Table4428[[#This Row],[Pre Total]],""),"")</f>
        <v/>
      </c>
      <c r="M22" s="5" t="str">
        <f>IF(IF(ISNUMBER(J21),1,0)+IF(ISNUMBER(Table4428[[#This Row],[Post Total]]),1,0)=2,IF(IF(Table4428[[#This Row],[Student Number]]=C21,1,0)+IF(Table4428[[#This Row],[Session]]=B21,1,0)+IF(Table4428[[#This Row],[Pre or Post]]="Post",1,0)+IF(D21="Pre",1,0)=4,Table4428[[#This Row],[Post Total]],""),"")</f>
        <v/>
      </c>
      <c r="N22" s="5" t="str">
        <f>IF(IF(ISNUMBER(J21),1,0)+IF(ISNUMBER(Table4428[[#This Row],[Post Total]]),1,0)=2,IF(IF(Table4428[[#This Row],[Student Number]]=C21,1,0)+IF(Table4428[[#This Row],[Session]]=B21,1,0)+IF(Table4428[[#This Row],[Pre or Post]]="Post",1,0)+IF(D21="Pre",1,0)=4,Table4428[[#This Row],[Post Total]]-J21,""),"")</f>
        <v/>
      </c>
      <c r="O22" s="5" t="b">
        <f>ISNUMBER(Table4428[[#This Row],[Change]])</f>
        <v>0</v>
      </c>
    </row>
    <row r="23" spans="1:15">
      <c r="A23" s="2" t="s">
        <v>12</v>
      </c>
      <c r="B23" s="2" t="s">
        <v>5</v>
      </c>
      <c r="C23" s="2">
        <v>22</v>
      </c>
      <c r="D23" s="2" t="s">
        <v>16</v>
      </c>
      <c r="E23" s="1">
        <v>3</v>
      </c>
      <c r="F23" s="2">
        <v>3</v>
      </c>
      <c r="G23" s="2" t="s">
        <v>9</v>
      </c>
      <c r="H23" s="5" t="str">
        <f>IF(IF(Table4428[[#This Row],[Pre or Post]]="Pre",1,0)+IF(ISNUMBER(Table4428[[#This Row],[Response]])=TRUE,1,0)=2,1,"")</f>
        <v/>
      </c>
      <c r="I23" s="5">
        <f>IF(IF(Table4428[[#This Row],[Pre or Post]]="Post",1,0)+IF(ISNUMBER(Table4428[[#This Row],[Response]])=TRUE,1,0)=2,1,"")</f>
        <v>1</v>
      </c>
      <c r="J23" s="5" t="str">
        <f>IF(IF(Table4428[[#This Row],[Pre or Post]]="Pre",1,0)+IF(ISNUMBER(Table4428[[#This Row],[Response]])=TRUE,1,0)=2,Table4428[[#This Row],[Response]],"")</f>
        <v/>
      </c>
      <c r="K23" s="5">
        <f>IF(IF(Table4428[[#This Row],[Pre or Post]]="Post",1,0)+IF(ISNUMBER(Table4428[[#This Row],[Response]])=TRUE,1,0)=2,Table4428[[#This Row],[Response]],"")</f>
        <v>3</v>
      </c>
      <c r="L23" s="5" t="str">
        <f>IF(IF(ISNUMBER(J23),1,0)+IF(ISNUMBER(K24),1,0)=2,IF(IF(C24=C23,1,0)+IF(B24=B23,1,0)+IF(D24="Post",1,0)+IF(D23="Pre",1,0)=4,Table4428[[#This Row],[Pre Total]],""),"")</f>
        <v/>
      </c>
      <c r="M23" s="5" t="str">
        <f>IF(IF(ISNUMBER(J22),1,0)+IF(ISNUMBER(Table4428[[#This Row],[Post Total]]),1,0)=2,IF(IF(Table4428[[#This Row],[Student Number]]=C22,1,0)+IF(Table4428[[#This Row],[Session]]=B22,1,0)+IF(Table4428[[#This Row],[Pre or Post]]="Post",1,0)+IF(D22="Pre",1,0)=4,Table4428[[#This Row],[Post Total]],""),"")</f>
        <v/>
      </c>
      <c r="N23" s="5" t="str">
        <f>IF(IF(ISNUMBER(J22),1,0)+IF(ISNUMBER(Table4428[[#This Row],[Post Total]]),1,0)=2,IF(IF(Table4428[[#This Row],[Student Number]]=C22,1,0)+IF(Table4428[[#This Row],[Session]]=B22,1,0)+IF(Table4428[[#This Row],[Pre or Post]]="Post",1,0)+IF(D22="Pre",1,0)=4,Table4428[[#This Row],[Post Total]]-J22,""),"")</f>
        <v/>
      </c>
      <c r="O23" s="5" t="b">
        <f>ISNUMBER(Table4428[[#This Row],[Change]])</f>
        <v>0</v>
      </c>
    </row>
    <row r="24" spans="1:15">
      <c r="A24" s="2" t="s">
        <v>12</v>
      </c>
      <c r="B24" s="2" t="s">
        <v>5</v>
      </c>
      <c r="C24" s="2">
        <v>23</v>
      </c>
      <c r="D24" s="2" t="s">
        <v>16</v>
      </c>
      <c r="E24" s="1">
        <v>3</v>
      </c>
      <c r="F24" s="2">
        <v>3</v>
      </c>
      <c r="G24" s="2" t="s">
        <v>9</v>
      </c>
      <c r="H24" s="5" t="str">
        <f>IF(IF(Table4428[[#This Row],[Pre or Post]]="Pre",1,0)+IF(ISNUMBER(Table4428[[#This Row],[Response]])=TRUE,1,0)=2,1,"")</f>
        <v/>
      </c>
      <c r="I24" s="5">
        <f>IF(IF(Table4428[[#This Row],[Pre or Post]]="Post",1,0)+IF(ISNUMBER(Table4428[[#This Row],[Response]])=TRUE,1,0)=2,1,"")</f>
        <v>1</v>
      </c>
      <c r="J24" s="5" t="str">
        <f>IF(IF(Table4428[[#This Row],[Pre or Post]]="Pre",1,0)+IF(ISNUMBER(Table4428[[#This Row],[Response]])=TRUE,1,0)=2,Table4428[[#This Row],[Response]],"")</f>
        <v/>
      </c>
      <c r="K24" s="5">
        <f>IF(IF(Table4428[[#This Row],[Pre or Post]]="Post",1,0)+IF(ISNUMBER(Table4428[[#This Row],[Response]])=TRUE,1,0)=2,Table4428[[#This Row],[Response]],"")</f>
        <v>3</v>
      </c>
      <c r="L24" s="5" t="str">
        <f>IF(IF(ISNUMBER(J24),1,0)+IF(ISNUMBER(K25),1,0)=2,IF(IF(C25=C24,1,0)+IF(B25=B24,1,0)+IF(D25="Post",1,0)+IF(D24="Pre",1,0)=4,Table4428[[#This Row],[Pre Total]],""),"")</f>
        <v/>
      </c>
      <c r="M24" s="5" t="str">
        <f>IF(IF(ISNUMBER(J23),1,0)+IF(ISNUMBER(Table4428[[#This Row],[Post Total]]),1,0)=2,IF(IF(Table4428[[#This Row],[Student Number]]=C23,1,0)+IF(Table4428[[#This Row],[Session]]=B23,1,0)+IF(Table4428[[#This Row],[Pre or Post]]="Post",1,0)+IF(D23="Pre",1,0)=4,Table4428[[#This Row],[Post Total]],""),"")</f>
        <v/>
      </c>
      <c r="N24" s="5" t="str">
        <f>IF(IF(ISNUMBER(J23),1,0)+IF(ISNUMBER(Table4428[[#This Row],[Post Total]]),1,0)=2,IF(IF(Table4428[[#This Row],[Student Number]]=C23,1,0)+IF(Table4428[[#This Row],[Session]]=B23,1,0)+IF(Table4428[[#This Row],[Pre or Post]]="Post",1,0)+IF(D23="Pre",1,0)=4,Table4428[[#This Row],[Post Total]]-J23,""),"")</f>
        <v/>
      </c>
      <c r="O24" s="5" t="b">
        <f>ISNUMBER(Table4428[[#This Row],[Change]])</f>
        <v>0</v>
      </c>
    </row>
    <row r="25" spans="1:15">
      <c r="A25" s="2" t="s">
        <v>12</v>
      </c>
      <c r="B25" s="2" t="s">
        <v>5</v>
      </c>
      <c r="C25" s="2">
        <v>24</v>
      </c>
      <c r="D25" s="2" t="s">
        <v>16</v>
      </c>
      <c r="E25" s="1">
        <v>3</v>
      </c>
      <c r="F25" s="2">
        <v>4</v>
      </c>
      <c r="G25" s="2" t="s">
        <v>9</v>
      </c>
      <c r="H25" s="5" t="str">
        <f>IF(IF(Table4428[[#This Row],[Pre or Post]]="Pre",1,0)+IF(ISNUMBER(Table4428[[#This Row],[Response]])=TRUE,1,0)=2,1,"")</f>
        <v/>
      </c>
      <c r="I25" s="5">
        <f>IF(IF(Table4428[[#This Row],[Pre or Post]]="Post",1,0)+IF(ISNUMBER(Table4428[[#This Row],[Response]])=TRUE,1,0)=2,1,"")</f>
        <v>1</v>
      </c>
      <c r="J25" s="5" t="str">
        <f>IF(IF(Table4428[[#This Row],[Pre or Post]]="Pre",1,0)+IF(ISNUMBER(Table4428[[#This Row],[Response]])=TRUE,1,0)=2,Table4428[[#This Row],[Response]],"")</f>
        <v/>
      </c>
      <c r="K25" s="5">
        <f>IF(IF(Table4428[[#This Row],[Pre or Post]]="Post",1,0)+IF(ISNUMBER(Table4428[[#This Row],[Response]])=TRUE,1,0)=2,Table4428[[#This Row],[Response]],"")</f>
        <v>4</v>
      </c>
      <c r="L25" s="5" t="str">
        <f>IF(IF(ISNUMBER(J25),1,0)+IF(ISNUMBER(K26),1,0)=2,IF(IF(C26=C25,1,0)+IF(B26=B25,1,0)+IF(D26="Post",1,0)+IF(D25="Pre",1,0)=4,Table4428[[#This Row],[Pre Total]],""),"")</f>
        <v/>
      </c>
      <c r="M25" s="5" t="str">
        <f>IF(IF(ISNUMBER(J24),1,0)+IF(ISNUMBER(Table4428[[#This Row],[Post Total]]),1,0)=2,IF(IF(Table4428[[#This Row],[Student Number]]=C24,1,0)+IF(Table4428[[#This Row],[Session]]=B24,1,0)+IF(Table4428[[#This Row],[Pre or Post]]="Post",1,0)+IF(D24="Pre",1,0)=4,Table4428[[#This Row],[Post Total]],""),"")</f>
        <v/>
      </c>
      <c r="N25" s="5" t="str">
        <f>IF(IF(ISNUMBER(J24),1,0)+IF(ISNUMBER(Table4428[[#This Row],[Post Total]]),1,0)=2,IF(IF(Table4428[[#This Row],[Student Number]]=C24,1,0)+IF(Table4428[[#This Row],[Session]]=B24,1,0)+IF(Table4428[[#This Row],[Pre or Post]]="Post",1,0)+IF(D24="Pre",1,0)=4,Table4428[[#This Row],[Post Total]]-J24,""),"")</f>
        <v/>
      </c>
      <c r="O25" s="5" t="b">
        <f>ISNUMBER(Table4428[[#This Row],[Change]])</f>
        <v>0</v>
      </c>
    </row>
    <row r="26" spans="1:15">
      <c r="A26" s="2" t="s">
        <v>12</v>
      </c>
      <c r="B26" s="2" t="s">
        <v>21</v>
      </c>
      <c r="C26" s="1">
        <v>1</v>
      </c>
      <c r="D26" s="2" t="s">
        <v>6</v>
      </c>
      <c r="E26" s="1">
        <v>10</v>
      </c>
      <c r="F26" s="1">
        <v>4</v>
      </c>
      <c r="G26" s="2" t="s">
        <v>8</v>
      </c>
      <c r="H26" s="5">
        <f>IF(IF(Table4428[[#This Row],[Pre or Post]]="Pre",1,0)+IF(ISNUMBER(Table4428[[#This Row],[Response]])=TRUE,1,0)=2,1,"")</f>
        <v>1</v>
      </c>
      <c r="I26" s="5" t="str">
        <f>IF(IF(Table4428[[#This Row],[Pre or Post]]="Post",1,0)+IF(ISNUMBER(Table4428[[#This Row],[Response]])=TRUE,1,0)=2,1,"")</f>
        <v/>
      </c>
      <c r="J26" s="5">
        <f>IF(IF(Table4428[[#This Row],[Pre or Post]]="Pre",1,0)+IF(ISNUMBER(Table4428[[#This Row],[Response]])=TRUE,1,0)=2,Table4428[[#This Row],[Response]],"")</f>
        <v>4</v>
      </c>
      <c r="K26" s="5" t="str">
        <f>IF(IF(Table4428[[#This Row],[Pre or Post]]="Post",1,0)+IF(ISNUMBER(Table4428[[#This Row],[Response]])=TRUE,1,0)=2,Table4428[[#This Row],[Response]],"")</f>
        <v/>
      </c>
      <c r="L26" s="5">
        <f>IF(IF(ISNUMBER(J26),1,0)+IF(ISNUMBER(K27),1,0)=2,IF(IF(C27=C26,1,0)+IF(B27=B26,1,0)+IF(D27="Post",1,0)+IF(D26="Pre",1,0)=4,Table4428[[#This Row],[Pre Total]],""),"")</f>
        <v>4</v>
      </c>
      <c r="M26" s="5" t="str">
        <f>IF(IF(ISNUMBER(J25),1,0)+IF(ISNUMBER(Table4428[[#This Row],[Post Total]]),1,0)=2,IF(IF(Table4428[[#This Row],[Student Number]]=C25,1,0)+IF(Table4428[[#This Row],[Session]]=B25,1,0)+IF(Table4428[[#This Row],[Pre or Post]]="Post",1,0)+IF(D25="Pre",1,0)=4,Table4428[[#This Row],[Post Total]],""),"")</f>
        <v/>
      </c>
      <c r="N26" s="5" t="str">
        <f>IF(IF(ISNUMBER(J25),1,0)+IF(ISNUMBER(Table4428[[#This Row],[Post Total]]),1,0)=2,IF(IF(Table4428[[#This Row],[Student Number]]=C25,1,0)+IF(Table4428[[#This Row],[Session]]=B25,1,0)+IF(Table4428[[#This Row],[Pre or Post]]="Post",1,0)+IF(D25="Pre",1,0)=4,Table4428[[#This Row],[Post Total]]-J25,""),"")</f>
        <v/>
      </c>
      <c r="O26" s="5" t="b">
        <f>ISNUMBER(Table4428[[#This Row],[Change]])</f>
        <v>0</v>
      </c>
    </row>
    <row r="27" spans="1:15">
      <c r="A27" s="2" t="s">
        <v>12</v>
      </c>
      <c r="B27" s="2" t="s">
        <v>21</v>
      </c>
      <c r="C27" s="1">
        <v>1</v>
      </c>
      <c r="D27" s="2" t="s">
        <v>16</v>
      </c>
      <c r="E27" s="1">
        <v>3</v>
      </c>
      <c r="F27" s="1">
        <v>5</v>
      </c>
      <c r="G27" s="2" t="s">
        <v>8</v>
      </c>
      <c r="H27" s="5" t="str">
        <f>IF(IF(Table4428[[#This Row],[Pre or Post]]="Pre",1,0)+IF(ISNUMBER(Table4428[[#This Row],[Response]])=TRUE,1,0)=2,1,"")</f>
        <v/>
      </c>
      <c r="I27" s="5">
        <f>IF(IF(Table4428[[#This Row],[Pre or Post]]="Post",1,0)+IF(ISNUMBER(Table4428[[#This Row],[Response]])=TRUE,1,0)=2,1,"")</f>
        <v>1</v>
      </c>
      <c r="J27" s="5" t="str">
        <f>IF(IF(Table4428[[#This Row],[Pre or Post]]="Pre",1,0)+IF(ISNUMBER(Table4428[[#This Row],[Response]])=TRUE,1,0)=2,Table4428[[#This Row],[Response]],"")</f>
        <v/>
      </c>
      <c r="K27" s="5">
        <f>IF(IF(Table4428[[#This Row],[Pre or Post]]="Post",1,0)+IF(ISNUMBER(Table4428[[#This Row],[Response]])=TRUE,1,0)=2,Table4428[[#This Row],[Response]],"")</f>
        <v>5</v>
      </c>
      <c r="L27" s="5" t="str">
        <f>IF(IF(ISNUMBER(J27),1,0)+IF(ISNUMBER(K28),1,0)=2,IF(IF(C28=C27,1,0)+IF(B28=B27,1,0)+IF(D28="Post",1,0)+IF(D27="Pre",1,0)=4,Table4428[[#This Row],[Pre Total]],""),"")</f>
        <v/>
      </c>
      <c r="M27" s="5">
        <f>IF(IF(ISNUMBER(J26),1,0)+IF(ISNUMBER(Table4428[[#This Row],[Post Total]]),1,0)=2,IF(IF(Table4428[[#This Row],[Student Number]]=C26,1,0)+IF(Table4428[[#This Row],[Session]]=B26,1,0)+IF(Table4428[[#This Row],[Pre or Post]]="Post",1,0)+IF(D26="Pre",1,0)=4,Table4428[[#This Row],[Post Total]],""),"")</f>
        <v>5</v>
      </c>
      <c r="N27" s="5">
        <f>IF(IF(ISNUMBER(J26),1,0)+IF(ISNUMBER(Table4428[[#This Row],[Post Total]]),1,0)=2,IF(IF(Table4428[[#This Row],[Student Number]]=C26,1,0)+IF(Table4428[[#This Row],[Session]]=B26,1,0)+IF(Table4428[[#This Row],[Pre or Post]]="Post",1,0)+IF(D26="Pre",1,0)=4,Table4428[[#This Row],[Post Total]]-J26,""),"")</f>
        <v>1</v>
      </c>
      <c r="O27" s="5" t="b">
        <f>ISNUMBER(Table4428[[#This Row],[Change]])</f>
        <v>1</v>
      </c>
    </row>
    <row r="28" spans="1:15">
      <c r="A28" s="2" t="s">
        <v>12</v>
      </c>
      <c r="B28" s="2" t="s">
        <v>21</v>
      </c>
      <c r="C28" s="1">
        <v>2</v>
      </c>
      <c r="D28" s="2" t="s">
        <v>6</v>
      </c>
      <c r="E28" s="1">
        <v>10</v>
      </c>
      <c r="F28" s="1">
        <v>3</v>
      </c>
      <c r="G28" s="2" t="s">
        <v>8</v>
      </c>
      <c r="H28" s="5">
        <f>IF(IF(Table4428[[#This Row],[Pre or Post]]="Pre",1,0)+IF(ISNUMBER(Table4428[[#This Row],[Response]])=TRUE,1,0)=2,1,"")</f>
        <v>1</v>
      </c>
      <c r="I28" s="5" t="str">
        <f>IF(IF(Table4428[[#This Row],[Pre or Post]]="Post",1,0)+IF(ISNUMBER(Table4428[[#This Row],[Response]])=TRUE,1,0)=2,1,"")</f>
        <v/>
      </c>
      <c r="J28" s="5">
        <f>IF(IF(Table4428[[#This Row],[Pre or Post]]="Pre",1,0)+IF(ISNUMBER(Table4428[[#This Row],[Response]])=TRUE,1,0)=2,Table4428[[#This Row],[Response]],"")</f>
        <v>3</v>
      </c>
      <c r="K28" s="5" t="str">
        <f>IF(IF(Table4428[[#This Row],[Pre or Post]]="Post",1,0)+IF(ISNUMBER(Table4428[[#This Row],[Response]])=TRUE,1,0)=2,Table4428[[#This Row],[Response]],"")</f>
        <v/>
      </c>
      <c r="L28" s="5">
        <f>IF(IF(ISNUMBER(J28),1,0)+IF(ISNUMBER(K29),1,0)=2,IF(IF(C29=C28,1,0)+IF(B29=B28,1,0)+IF(D29="Post",1,0)+IF(D28="Pre",1,0)=4,Table4428[[#This Row],[Pre Total]],""),"")</f>
        <v>3</v>
      </c>
      <c r="M28" s="5" t="str">
        <f>IF(IF(ISNUMBER(J27),1,0)+IF(ISNUMBER(Table4428[[#This Row],[Post Total]]),1,0)=2,IF(IF(Table4428[[#This Row],[Student Number]]=C27,1,0)+IF(Table4428[[#This Row],[Session]]=B27,1,0)+IF(Table4428[[#This Row],[Pre or Post]]="Post",1,0)+IF(D27="Pre",1,0)=4,Table4428[[#This Row],[Post Total]],""),"")</f>
        <v/>
      </c>
      <c r="N28" s="5" t="str">
        <f>IF(IF(ISNUMBER(J27),1,0)+IF(ISNUMBER(Table4428[[#This Row],[Post Total]]),1,0)=2,IF(IF(Table4428[[#This Row],[Student Number]]=C27,1,0)+IF(Table4428[[#This Row],[Session]]=B27,1,0)+IF(Table4428[[#This Row],[Pre or Post]]="Post",1,0)+IF(D27="Pre",1,0)=4,Table4428[[#This Row],[Post Total]]-J27,""),"")</f>
        <v/>
      </c>
      <c r="O28" s="5" t="b">
        <f>ISNUMBER(Table4428[[#This Row],[Change]])</f>
        <v>0</v>
      </c>
    </row>
    <row r="29" spans="1:15">
      <c r="A29" s="2" t="s">
        <v>12</v>
      </c>
      <c r="B29" s="2" t="s">
        <v>21</v>
      </c>
      <c r="C29" s="1">
        <v>2</v>
      </c>
      <c r="D29" s="2" t="s">
        <v>16</v>
      </c>
      <c r="E29" s="1">
        <v>3</v>
      </c>
      <c r="F29" s="1">
        <v>2</v>
      </c>
      <c r="G29" s="2" t="s">
        <v>8</v>
      </c>
      <c r="H29" s="5" t="str">
        <f>IF(IF(Table4428[[#This Row],[Pre or Post]]="Pre",1,0)+IF(ISNUMBER(Table4428[[#This Row],[Response]])=TRUE,1,0)=2,1,"")</f>
        <v/>
      </c>
      <c r="I29" s="5">
        <f>IF(IF(Table4428[[#This Row],[Pre or Post]]="Post",1,0)+IF(ISNUMBER(Table4428[[#This Row],[Response]])=TRUE,1,0)=2,1,"")</f>
        <v>1</v>
      </c>
      <c r="J29" s="5" t="str">
        <f>IF(IF(Table4428[[#This Row],[Pre or Post]]="Pre",1,0)+IF(ISNUMBER(Table4428[[#This Row],[Response]])=TRUE,1,0)=2,Table4428[[#This Row],[Response]],"")</f>
        <v/>
      </c>
      <c r="K29" s="5">
        <f>IF(IF(Table4428[[#This Row],[Pre or Post]]="Post",1,0)+IF(ISNUMBER(Table4428[[#This Row],[Response]])=TRUE,1,0)=2,Table4428[[#This Row],[Response]],"")</f>
        <v>2</v>
      </c>
      <c r="L29" s="5" t="str">
        <f>IF(IF(ISNUMBER(J29),1,0)+IF(ISNUMBER(K30),1,0)=2,IF(IF(C30=C29,1,0)+IF(B30=B29,1,0)+IF(D30="Post",1,0)+IF(D29="Pre",1,0)=4,Table4428[[#This Row],[Pre Total]],""),"")</f>
        <v/>
      </c>
      <c r="M29" s="5">
        <f>IF(IF(ISNUMBER(J28),1,0)+IF(ISNUMBER(Table4428[[#This Row],[Post Total]]),1,0)=2,IF(IF(Table4428[[#This Row],[Student Number]]=C28,1,0)+IF(Table4428[[#This Row],[Session]]=B28,1,0)+IF(Table4428[[#This Row],[Pre or Post]]="Post",1,0)+IF(D28="Pre",1,0)=4,Table4428[[#This Row],[Post Total]],""),"")</f>
        <v>2</v>
      </c>
      <c r="N29" s="5">
        <f>IF(IF(ISNUMBER(J28),1,0)+IF(ISNUMBER(Table4428[[#This Row],[Post Total]]),1,0)=2,IF(IF(Table4428[[#This Row],[Student Number]]=C28,1,0)+IF(Table4428[[#This Row],[Session]]=B28,1,0)+IF(Table4428[[#This Row],[Pre or Post]]="Post",1,0)+IF(D28="Pre",1,0)=4,Table4428[[#This Row],[Post Total]]-J28,""),"")</f>
        <v>-1</v>
      </c>
      <c r="O29" s="5" t="b">
        <f>ISNUMBER(Table4428[[#This Row],[Change]])</f>
        <v>1</v>
      </c>
    </row>
    <row r="30" spans="1:15">
      <c r="A30" s="2" t="s">
        <v>12</v>
      </c>
      <c r="B30" s="2" t="s">
        <v>21</v>
      </c>
      <c r="C30" s="1">
        <v>3</v>
      </c>
      <c r="D30" s="2" t="s">
        <v>6</v>
      </c>
      <c r="E30" s="1">
        <v>10</v>
      </c>
      <c r="F30" s="1">
        <v>3</v>
      </c>
      <c r="G30" s="2" t="s">
        <v>8</v>
      </c>
      <c r="H30" s="5">
        <f>IF(IF(Table4428[[#This Row],[Pre or Post]]="Pre",1,0)+IF(ISNUMBER(Table4428[[#This Row],[Response]])=TRUE,1,0)=2,1,"")</f>
        <v>1</v>
      </c>
      <c r="I30" s="5" t="str">
        <f>IF(IF(Table4428[[#This Row],[Pre or Post]]="Post",1,0)+IF(ISNUMBER(Table4428[[#This Row],[Response]])=TRUE,1,0)=2,1,"")</f>
        <v/>
      </c>
      <c r="J30" s="5">
        <f>IF(IF(Table4428[[#This Row],[Pre or Post]]="Pre",1,0)+IF(ISNUMBER(Table4428[[#This Row],[Response]])=TRUE,1,0)=2,Table4428[[#This Row],[Response]],"")</f>
        <v>3</v>
      </c>
      <c r="K30" s="5" t="str">
        <f>IF(IF(Table4428[[#This Row],[Pre or Post]]="Post",1,0)+IF(ISNUMBER(Table4428[[#This Row],[Response]])=TRUE,1,0)=2,Table4428[[#This Row],[Response]],"")</f>
        <v/>
      </c>
      <c r="L30" s="5">
        <f>IF(IF(ISNUMBER(J30),1,0)+IF(ISNUMBER(K31),1,0)=2,IF(IF(C31=C30,1,0)+IF(B31=B30,1,0)+IF(D31="Post",1,0)+IF(D30="Pre",1,0)=4,Table4428[[#This Row],[Pre Total]],""),"")</f>
        <v>3</v>
      </c>
      <c r="M30" s="5" t="str">
        <f>IF(IF(ISNUMBER(J29),1,0)+IF(ISNUMBER(Table4428[[#This Row],[Post Total]]),1,0)=2,IF(IF(Table4428[[#This Row],[Student Number]]=C29,1,0)+IF(Table4428[[#This Row],[Session]]=B29,1,0)+IF(Table4428[[#This Row],[Pre or Post]]="Post",1,0)+IF(D29="Pre",1,0)=4,Table4428[[#This Row],[Post Total]],""),"")</f>
        <v/>
      </c>
      <c r="N30" s="5" t="str">
        <f>IF(IF(ISNUMBER(J29),1,0)+IF(ISNUMBER(Table4428[[#This Row],[Post Total]]),1,0)=2,IF(IF(Table4428[[#This Row],[Student Number]]=C29,1,0)+IF(Table4428[[#This Row],[Session]]=B29,1,0)+IF(Table4428[[#This Row],[Pre or Post]]="Post",1,0)+IF(D29="Pre",1,0)=4,Table4428[[#This Row],[Post Total]]-J29,""),"")</f>
        <v/>
      </c>
      <c r="O30" s="5" t="b">
        <f>ISNUMBER(Table4428[[#This Row],[Change]])</f>
        <v>0</v>
      </c>
    </row>
    <row r="31" spans="1:15">
      <c r="A31" s="2" t="s">
        <v>12</v>
      </c>
      <c r="B31" s="2" t="s">
        <v>21</v>
      </c>
      <c r="C31" s="1">
        <v>3</v>
      </c>
      <c r="D31" s="2" t="s">
        <v>16</v>
      </c>
      <c r="E31" s="1">
        <v>3</v>
      </c>
      <c r="F31" s="1">
        <v>3</v>
      </c>
      <c r="G31" s="2" t="s">
        <v>8</v>
      </c>
      <c r="H31" s="5" t="str">
        <f>IF(IF(Table4428[[#This Row],[Pre or Post]]="Pre",1,0)+IF(ISNUMBER(Table4428[[#This Row],[Response]])=TRUE,1,0)=2,1,"")</f>
        <v/>
      </c>
      <c r="I31" s="5">
        <f>IF(IF(Table4428[[#This Row],[Pre or Post]]="Post",1,0)+IF(ISNUMBER(Table4428[[#This Row],[Response]])=TRUE,1,0)=2,1,"")</f>
        <v>1</v>
      </c>
      <c r="J31" s="5" t="str">
        <f>IF(IF(Table4428[[#This Row],[Pre or Post]]="Pre",1,0)+IF(ISNUMBER(Table4428[[#This Row],[Response]])=TRUE,1,0)=2,Table4428[[#This Row],[Response]],"")</f>
        <v/>
      </c>
      <c r="K31" s="5">
        <f>IF(IF(Table4428[[#This Row],[Pre or Post]]="Post",1,0)+IF(ISNUMBER(Table4428[[#This Row],[Response]])=TRUE,1,0)=2,Table4428[[#This Row],[Response]],"")</f>
        <v>3</v>
      </c>
      <c r="L31" s="5" t="str">
        <f>IF(IF(ISNUMBER(J31),1,0)+IF(ISNUMBER(K32),1,0)=2,IF(IF(C32=C31,1,0)+IF(B32=B31,1,0)+IF(D32="Post",1,0)+IF(D31="Pre",1,0)=4,Table4428[[#This Row],[Pre Total]],""),"")</f>
        <v/>
      </c>
      <c r="M31" s="5">
        <f>IF(IF(ISNUMBER(J30),1,0)+IF(ISNUMBER(Table4428[[#This Row],[Post Total]]),1,0)=2,IF(IF(Table4428[[#This Row],[Student Number]]=C30,1,0)+IF(Table4428[[#This Row],[Session]]=B30,1,0)+IF(Table4428[[#This Row],[Pre or Post]]="Post",1,0)+IF(D30="Pre",1,0)=4,Table4428[[#This Row],[Post Total]],""),"")</f>
        <v>3</v>
      </c>
      <c r="N31" s="5">
        <f>IF(IF(ISNUMBER(J30),1,0)+IF(ISNUMBER(Table4428[[#This Row],[Post Total]]),1,0)=2,IF(IF(Table4428[[#This Row],[Student Number]]=C30,1,0)+IF(Table4428[[#This Row],[Session]]=B30,1,0)+IF(Table4428[[#This Row],[Pre or Post]]="Post",1,0)+IF(D30="Pre",1,0)=4,Table4428[[#This Row],[Post Total]]-J30,""),"")</f>
        <v>0</v>
      </c>
      <c r="O31" s="5" t="b">
        <f>ISNUMBER(Table4428[[#This Row],[Change]])</f>
        <v>1</v>
      </c>
    </row>
    <row r="32" spans="1:15">
      <c r="A32" s="2" t="s">
        <v>12</v>
      </c>
      <c r="B32" s="2" t="s">
        <v>21</v>
      </c>
      <c r="C32" s="1">
        <v>4</v>
      </c>
      <c r="D32" s="2" t="s">
        <v>6</v>
      </c>
      <c r="E32" s="1">
        <v>10</v>
      </c>
      <c r="F32" s="1">
        <v>3</v>
      </c>
      <c r="G32" s="2" t="s">
        <v>8</v>
      </c>
      <c r="H32" s="5">
        <f>IF(IF(Table4428[[#This Row],[Pre or Post]]="Pre",1,0)+IF(ISNUMBER(Table4428[[#This Row],[Response]])=TRUE,1,0)=2,1,"")</f>
        <v>1</v>
      </c>
      <c r="I32" s="5" t="str">
        <f>IF(IF(Table4428[[#This Row],[Pre or Post]]="Post",1,0)+IF(ISNUMBER(Table4428[[#This Row],[Response]])=TRUE,1,0)=2,1,"")</f>
        <v/>
      </c>
      <c r="J32" s="5">
        <f>IF(IF(Table4428[[#This Row],[Pre or Post]]="Pre",1,0)+IF(ISNUMBER(Table4428[[#This Row],[Response]])=TRUE,1,0)=2,Table4428[[#This Row],[Response]],"")</f>
        <v>3</v>
      </c>
      <c r="K32" s="5" t="str">
        <f>IF(IF(Table4428[[#This Row],[Pre or Post]]="Post",1,0)+IF(ISNUMBER(Table4428[[#This Row],[Response]])=TRUE,1,0)=2,Table4428[[#This Row],[Response]],"")</f>
        <v/>
      </c>
      <c r="L32" s="5">
        <f>IF(IF(ISNUMBER(J32),1,0)+IF(ISNUMBER(K33),1,0)=2,IF(IF(C33=C32,1,0)+IF(B33=B32,1,0)+IF(D33="Post",1,0)+IF(D32="Pre",1,0)=4,Table4428[[#This Row],[Pre Total]],""),"")</f>
        <v>3</v>
      </c>
      <c r="M32" s="5" t="str">
        <f>IF(IF(ISNUMBER(J31),1,0)+IF(ISNUMBER(Table4428[[#This Row],[Post Total]]),1,0)=2,IF(IF(Table4428[[#This Row],[Student Number]]=C31,1,0)+IF(Table4428[[#This Row],[Session]]=B31,1,0)+IF(Table4428[[#This Row],[Pre or Post]]="Post",1,0)+IF(D31="Pre",1,0)=4,Table4428[[#This Row],[Post Total]],""),"")</f>
        <v/>
      </c>
      <c r="N32" s="5" t="str">
        <f>IF(IF(ISNUMBER(J31),1,0)+IF(ISNUMBER(Table4428[[#This Row],[Post Total]]),1,0)=2,IF(IF(Table4428[[#This Row],[Student Number]]=C31,1,0)+IF(Table4428[[#This Row],[Session]]=B31,1,0)+IF(Table4428[[#This Row],[Pre or Post]]="Post",1,0)+IF(D31="Pre",1,0)=4,Table4428[[#This Row],[Post Total]]-J31,""),"")</f>
        <v/>
      </c>
      <c r="O32" s="5" t="b">
        <f>ISNUMBER(Table4428[[#This Row],[Change]])</f>
        <v>0</v>
      </c>
    </row>
    <row r="33" spans="1:15">
      <c r="A33" s="2" t="s">
        <v>12</v>
      </c>
      <c r="B33" s="2" t="s">
        <v>21</v>
      </c>
      <c r="C33" s="1">
        <v>4</v>
      </c>
      <c r="D33" s="2" t="s">
        <v>16</v>
      </c>
      <c r="E33" s="1">
        <v>3</v>
      </c>
      <c r="F33" s="1">
        <v>4</v>
      </c>
      <c r="G33" s="2" t="s">
        <v>8</v>
      </c>
      <c r="H33" s="5" t="str">
        <f>IF(IF(Table4428[[#This Row],[Pre or Post]]="Pre",1,0)+IF(ISNUMBER(Table4428[[#This Row],[Response]])=TRUE,1,0)=2,1,"")</f>
        <v/>
      </c>
      <c r="I33" s="5">
        <f>IF(IF(Table4428[[#This Row],[Pre or Post]]="Post",1,0)+IF(ISNUMBER(Table4428[[#This Row],[Response]])=TRUE,1,0)=2,1,"")</f>
        <v>1</v>
      </c>
      <c r="J33" s="5" t="str">
        <f>IF(IF(Table4428[[#This Row],[Pre or Post]]="Pre",1,0)+IF(ISNUMBER(Table4428[[#This Row],[Response]])=TRUE,1,0)=2,Table4428[[#This Row],[Response]],"")</f>
        <v/>
      </c>
      <c r="K33" s="5">
        <f>IF(IF(Table4428[[#This Row],[Pre or Post]]="Post",1,0)+IF(ISNUMBER(Table4428[[#This Row],[Response]])=TRUE,1,0)=2,Table4428[[#This Row],[Response]],"")</f>
        <v>4</v>
      </c>
      <c r="L33" s="5" t="str">
        <f>IF(IF(ISNUMBER(J33),1,0)+IF(ISNUMBER(K34),1,0)=2,IF(IF(C34=C33,1,0)+IF(B34=B33,1,0)+IF(D34="Post",1,0)+IF(D33="Pre",1,0)=4,Table4428[[#This Row],[Pre Total]],""),"")</f>
        <v/>
      </c>
      <c r="M33" s="5">
        <f>IF(IF(ISNUMBER(J32),1,0)+IF(ISNUMBER(Table4428[[#This Row],[Post Total]]),1,0)=2,IF(IF(Table4428[[#This Row],[Student Number]]=C32,1,0)+IF(Table4428[[#This Row],[Session]]=B32,1,0)+IF(Table4428[[#This Row],[Pre or Post]]="Post",1,0)+IF(D32="Pre",1,0)=4,Table4428[[#This Row],[Post Total]],""),"")</f>
        <v>4</v>
      </c>
      <c r="N33" s="5">
        <f>IF(IF(ISNUMBER(J32),1,0)+IF(ISNUMBER(Table4428[[#This Row],[Post Total]]),1,0)=2,IF(IF(Table4428[[#This Row],[Student Number]]=C32,1,0)+IF(Table4428[[#This Row],[Session]]=B32,1,0)+IF(Table4428[[#This Row],[Pre or Post]]="Post",1,0)+IF(D32="Pre",1,0)=4,Table4428[[#This Row],[Post Total]]-J32,""),"")</f>
        <v>1</v>
      </c>
      <c r="O33" s="5" t="b">
        <f>ISNUMBER(Table4428[[#This Row],[Change]])</f>
        <v>1</v>
      </c>
    </row>
    <row r="34" spans="1:15">
      <c r="A34" s="2" t="s">
        <v>12</v>
      </c>
      <c r="B34" s="2" t="s">
        <v>21</v>
      </c>
      <c r="C34" s="1">
        <v>5</v>
      </c>
      <c r="D34" s="2" t="s">
        <v>6</v>
      </c>
      <c r="E34" s="1">
        <v>10</v>
      </c>
      <c r="F34" s="1">
        <v>3</v>
      </c>
      <c r="G34" s="2" t="s">
        <v>8</v>
      </c>
      <c r="H34" s="5">
        <f>IF(IF(Table4428[[#This Row],[Pre or Post]]="Pre",1,0)+IF(ISNUMBER(Table4428[[#This Row],[Response]])=TRUE,1,0)=2,1,"")</f>
        <v>1</v>
      </c>
      <c r="I34" s="5" t="str">
        <f>IF(IF(Table4428[[#This Row],[Pre or Post]]="Post",1,0)+IF(ISNUMBER(Table4428[[#This Row],[Response]])=TRUE,1,0)=2,1,"")</f>
        <v/>
      </c>
      <c r="J34" s="5">
        <f>IF(IF(Table4428[[#This Row],[Pre or Post]]="Pre",1,0)+IF(ISNUMBER(Table4428[[#This Row],[Response]])=TRUE,1,0)=2,Table4428[[#This Row],[Response]],"")</f>
        <v>3</v>
      </c>
      <c r="K34" s="5" t="str">
        <f>IF(IF(Table4428[[#This Row],[Pre or Post]]="Post",1,0)+IF(ISNUMBER(Table4428[[#This Row],[Response]])=TRUE,1,0)=2,Table4428[[#This Row],[Response]],"")</f>
        <v/>
      </c>
      <c r="L34" s="5">
        <f>IF(IF(ISNUMBER(J34),1,0)+IF(ISNUMBER(K35),1,0)=2,IF(IF(C35=C34,1,0)+IF(B35=B34,1,0)+IF(D35="Post",1,0)+IF(D34="Pre",1,0)=4,Table4428[[#This Row],[Pre Total]],""),"")</f>
        <v>3</v>
      </c>
      <c r="M34" s="5" t="str">
        <f>IF(IF(ISNUMBER(J33),1,0)+IF(ISNUMBER(Table4428[[#This Row],[Post Total]]),1,0)=2,IF(IF(Table4428[[#This Row],[Student Number]]=C33,1,0)+IF(Table4428[[#This Row],[Session]]=B33,1,0)+IF(Table4428[[#This Row],[Pre or Post]]="Post",1,0)+IF(D33="Pre",1,0)=4,Table4428[[#This Row],[Post Total]],""),"")</f>
        <v/>
      </c>
      <c r="N34" s="5" t="str">
        <f>IF(IF(ISNUMBER(J33),1,0)+IF(ISNUMBER(Table4428[[#This Row],[Post Total]]),1,0)=2,IF(IF(Table4428[[#This Row],[Student Number]]=C33,1,0)+IF(Table4428[[#This Row],[Session]]=B33,1,0)+IF(Table4428[[#This Row],[Pre or Post]]="Post",1,0)+IF(D33="Pre",1,0)=4,Table4428[[#This Row],[Post Total]]-J33,""),"")</f>
        <v/>
      </c>
      <c r="O34" s="5" t="b">
        <f>ISNUMBER(Table4428[[#This Row],[Change]])</f>
        <v>0</v>
      </c>
    </row>
    <row r="35" spans="1:15">
      <c r="A35" s="2" t="s">
        <v>12</v>
      </c>
      <c r="B35" s="2" t="s">
        <v>21</v>
      </c>
      <c r="C35" s="1">
        <v>5</v>
      </c>
      <c r="D35" s="2" t="s">
        <v>16</v>
      </c>
      <c r="E35" s="1">
        <v>3</v>
      </c>
      <c r="F35" s="1">
        <v>3</v>
      </c>
      <c r="G35" s="2" t="s">
        <v>8</v>
      </c>
      <c r="H35" s="5" t="str">
        <f>IF(IF(Table4428[[#This Row],[Pre or Post]]="Pre",1,0)+IF(ISNUMBER(Table4428[[#This Row],[Response]])=TRUE,1,0)=2,1,"")</f>
        <v/>
      </c>
      <c r="I35" s="5">
        <f>IF(IF(Table4428[[#This Row],[Pre or Post]]="Post",1,0)+IF(ISNUMBER(Table4428[[#This Row],[Response]])=TRUE,1,0)=2,1,"")</f>
        <v>1</v>
      </c>
      <c r="J35" s="5" t="str">
        <f>IF(IF(Table4428[[#This Row],[Pre or Post]]="Pre",1,0)+IF(ISNUMBER(Table4428[[#This Row],[Response]])=TRUE,1,0)=2,Table4428[[#This Row],[Response]],"")</f>
        <v/>
      </c>
      <c r="K35" s="5">
        <f>IF(IF(Table4428[[#This Row],[Pre or Post]]="Post",1,0)+IF(ISNUMBER(Table4428[[#This Row],[Response]])=TRUE,1,0)=2,Table4428[[#This Row],[Response]],"")</f>
        <v>3</v>
      </c>
      <c r="L35" s="5" t="str">
        <f>IF(IF(ISNUMBER(J35),1,0)+IF(ISNUMBER(K36),1,0)=2,IF(IF(C36=C35,1,0)+IF(B36=B35,1,0)+IF(D36="Post",1,0)+IF(D35="Pre",1,0)=4,Table4428[[#This Row],[Pre Total]],""),"")</f>
        <v/>
      </c>
      <c r="M35" s="5">
        <f>IF(IF(ISNUMBER(J34),1,0)+IF(ISNUMBER(Table4428[[#This Row],[Post Total]]),1,0)=2,IF(IF(Table4428[[#This Row],[Student Number]]=C34,1,0)+IF(Table4428[[#This Row],[Session]]=B34,1,0)+IF(Table4428[[#This Row],[Pre or Post]]="Post",1,0)+IF(D34="Pre",1,0)=4,Table4428[[#This Row],[Post Total]],""),"")</f>
        <v>3</v>
      </c>
      <c r="N35" s="5">
        <f>IF(IF(ISNUMBER(J34),1,0)+IF(ISNUMBER(Table4428[[#This Row],[Post Total]]),1,0)=2,IF(IF(Table4428[[#This Row],[Student Number]]=C34,1,0)+IF(Table4428[[#This Row],[Session]]=B34,1,0)+IF(Table4428[[#This Row],[Pre or Post]]="Post",1,0)+IF(D34="Pre",1,0)=4,Table4428[[#This Row],[Post Total]]-J34,""),"")</f>
        <v>0</v>
      </c>
      <c r="O35" s="5" t="b">
        <f>ISNUMBER(Table4428[[#This Row],[Change]])</f>
        <v>1</v>
      </c>
    </row>
    <row r="36" spans="1:15">
      <c r="A36" s="2" t="s">
        <v>12</v>
      </c>
      <c r="B36" s="2" t="s">
        <v>21</v>
      </c>
      <c r="C36" s="1">
        <v>6</v>
      </c>
      <c r="D36" s="2" t="s">
        <v>6</v>
      </c>
      <c r="E36" s="1">
        <v>10</v>
      </c>
      <c r="F36" s="1">
        <v>3</v>
      </c>
      <c r="G36" s="2" t="s">
        <v>8</v>
      </c>
      <c r="H36" s="5">
        <f>IF(IF(Table4428[[#This Row],[Pre or Post]]="Pre",1,0)+IF(ISNUMBER(Table4428[[#This Row],[Response]])=TRUE,1,0)=2,1,"")</f>
        <v>1</v>
      </c>
      <c r="I36" s="5" t="str">
        <f>IF(IF(Table4428[[#This Row],[Pre or Post]]="Post",1,0)+IF(ISNUMBER(Table4428[[#This Row],[Response]])=TRUE,1,0)=2,1,"")</f>
        <v/>
      </c>
      <c r="J36" s="5">
        <f>IF(IF(Table4428[[#This Row],[Pre or Post]]="Pre",1,0)+IF(ISNUMBER(Table4428[[#This Row],[Response]])=TRUE,1,0)=2,Table4428[[#This Row],[Response]],"")</f>
        <v>3</v>
      </c>
      <c r="K36" s="5" t="str">
        <f>IF(IF(Table4428[[#This Row],[Pre or Post]]="Post",1,0)+IF(ISNUMBER(Table4428[[#This Row],[Response]])=TRUE,1,0)=2,Table4428[[#This Row],[Response]],"")</f>
        <v/>
      </c>
      <c r="L36" s="5">
        <f>IF(IF(ISNUMBER(J36),1,0)+IF(ISNUMBER(K37),1,0)=2,IF(IF(C37=C36,1,0)+IF(B37=B36,1,0)+IF(D37="Post",1,0)+IF(D36="Pre",1,0)=4,Table4428[[#This Row],[Pre Total]],""),"")</f>
        <v>3</v>
      </c>
      <c r="M36" s="5" t="str">
        <f>IF(IF(ISNUMBER(J35),1,0)+IF(ISNUMBER(Table4428[[#This Row],[Post Total]]),1,0)=2,IF(IF(Table4428[[#This Row],[Student Number]]=C35,1,0)+IF(Table4428[[#This Row],[Session]]=B35,1,0)+IF(Table4428[[#This Row],[Pre or Post]]="Post",1,0)+IF(D35="Pre",1,0)=4,Table4428[[#This Row],[Post Total]],""),"")</f>
        <v/>
      </c>
      <c r="N36" s="5" t="str">
        <f>IF(IF(ISNUMBER(J35),1,0)+IF(ISNUMBER(Table4428[[#This Row],[Post Total]]),1,0)=2,IF(IF(Table4428[[#This Row],[Student Number]]=C35,1,0)+IF(Table4428[[#This Row],[Session]]=B35,1,0)+IF(Table4428[[#This Row],[Pre or Post]]="Post",1,0)+IF(D35="Pre",1,0)=4,Table4428[[#This Row],[Post Total]]-J35,""),"")</f>
        <v/>
      </c>
      <c r="O36" s="5" t="b">
        <f>ISNUMBER(Table4428[[#This Row],[Change]])</f>
        <v>0</v>
      </c>
    </row>
    <row r="37" spans="1:15">
      <c r="A37" s="2" t="s">
        <v>12</v>
      </c>
      <c r="B37" s="2" t="s">
        <v>21</v>
      </c>
      <c r="C37" s="1">
        <v>6</v>
      </c>
      <c r="D37" s="2" t="s">
        <v>16</v>
      </c>
      <c r="E37" s="1">
        <v>3</v>
      </c>
      <c r="F37" s="1">
        <v>4</v>
      </c>
      <c r="G37" s="2" t="s">
        <v>8</v>
      </c>
      <c r="H37" s="5" t="str">
        <f>IF(IF(Table4428[[#This Row],[Pre or Post]]="Pre",1,0)+IF(ISNUMBER(Table4428[[#This Row],[Response]])=TRUE,1,0)=2,1,"")</f>
        <v/>
      </c>
      <c r="I37" s="5">
        <f>IF(IF(Table4428[[#This Row],[Pre or Post]]="Post",1,0)+IF(ISNUMBER(Table4428[[#This Row],[Response]])=TRUE,1,0)=2,1,"")</f>
        <v>1</v>
      </c>
      <c r="J37" s="5" t="str">
        <f>IF(IF(Table4428[[#This Row],[Pre or Post]]="Pre",1,0)+IF(ISNUMBER(Table4428[[#This Row],[Response]])=TRUE,1,0)=2,Table4428[[#This Row],[Response]],"")</f>
        <v/>
      </c>
      <c r="K37" s="5">
        <f>IF(IF(Table4428[[#This Row],[Pre or Post]]="Post",1,0)+IF(ISNUMBER(Table4428[[#This Row],[Response]])=TRUE,1,0)=2,Table4428[[#This Row],[Response]],"")</f>
        <v>4</v>
      </c>
      <c r="L37" s="5" t="str">
        <f>IF(IF(ISNUMBER(J37),1,0)+IF(ISNUMBER(K38),1,0)=2,IF(IF(C38=C37,1,0)+IF(B38=B37,1,0)+IF(D38="Post",1,0)+IF(D37="Pre",1,0)=4,Table4428[[#This Row],[Pre Total]],""),"")</f>
        <v/>
      </c>
      <c r="M37" s="5">
        <f>IF(IF(ISNUMBER(J36),1,0)+IF(ISNUMBER(Table4428[[#This Row],[Post Total]]),1,0)=2,IF(IF(Table4428[[#This Row],[Student Number]]=C36,1,0)+IF(Table4428[[#This Row],[Session]]=B36,1,0)+IF(Table4428[[#This Row],[Pre or Post]]="Post",1,0)+IF(D36="Pre",1,0)=4,Table4428[[#This Row],[Post Total]],""),"")</f>
        <v>4</v>
      </c>
      <c r="N37" s="5">
        <f>IF(IF(ISNUMBER(J36),1,0)+IF(ISNUMBER(Table4428[[#This Row],[Post Total]]),1,0)=2,IF(IF(Table4428[[#This Row],[Student Number]]=C36,1,0)+IF(Table4428[[#This Row],[Session]]=B36,1,0)+IF(Table4428[[#This Row],[Pre or Post]]="Post",1,0)+IF(D36="Pre",1,0)=4,Table4428[[#This Row],[Post Total]]-J36,""),"")</f>
        <v>1</v>
      </c>
      <c r="O37" s="5" t="b">
        <f>ISNUMBER(Table4428[[#This Row],[Change]])</f>
        <v>1</v>
      </c>
    </row>
    <row r="38" spans="1:15">
      <c r="A38" s="2" t="s">
        <v>12</v>
      </c>
      <c r="B38" s="2" t="s">
        <v>21</v>
      </c>
      <c r="C38" s="1">
        <v>7</v>
      </c>
      <c r="D38" s="2" t="s">
        <v>6</v>
      </c>
      <c r="E38" s="1">
        <v>10</v>
      </c>
      <c r="F38" s="1">
        <v>3</v>
      </c>
      <c r="G38" s="2" t="s">
        <v>8</v>
      </c>
      <c r="H38" s="5">
        <f>IF(IF(Table4428[[#This Row],[Pre or Post]]="Pre",1,0)+IF(ISNUMBER(Table4428[[#This Row],[Response]])=TRUE,1,0)=2,1,"")</f>
        <v>1</v>
      </c>
      <c r="I38" s="5" t="str">
        <f>IF(IF(Table4428[[#This Row],[Pre or Post]]="Post",1,0)+IF(ISNUMBER(Table4428[[#This Row],[Response]])=TRUE,1,0)=2,1,"")</f>
        <v/>
      </c>
      <c r="J38" s="5">
        <f>IF(IF(Table4428[[#This Row],[Pre or Post]]="Pre",1,0)+IF(ISNUMBER(Table4428[[#This Row],[Response]])=TRUE,1,0)=2,Table4428[[#This Row],[Response]],"")</f>
        <v>3</v>
      </c>
      <c r="K38" s="5" t="str">
        <f>IF(IF(Table4428[[#This Row],[Pre or Post]]="Post",1,0)+IF(ISNUMBER(Table4428[[#This Row],[Response]])=TRUE,1,0)=2,Table4428[[#This Row],[Response]],"")</f>
        <v/>
      </c>
      <c r="L38" s="5">
        <f>IF(IF(ISNUMBER(J38),1,0)+IF(ISNUMBER(K39),1,0)=2,IF(IF(C39=C38,1,0)+IF(B39=B38,1,0)+IF(D39="Post",1,0)+IF(D38="Pre",1,0)=4,Table4428[[#This Row],[Pre Total]],""),"")</f>
        <v>3</v>
      </c>
      <c r="M38" s="5" t="str">
        <f>IF(IF(ISNUMBER(J37),1,0)+IF(ISNUMBER(Table4428[[#This Row],[Post Total]]),1,0)=2,IF(IF(Table4428[[#This Row],[Student Number]]=C37,1,0)+IF(Table4428[[#This Row],[Session]]=B37,1,0)+IF(Table4428[[#This Row],[Pre or Post]]="Post",1,0)+IF(D37="Pre",1,0)=4,Table4428[[#This Row],[Post Total]],""),"")</f>
        <v/>
      </c>
      <c r="N38" s="5" t="str">
        <f>IF(IF(ISNUMBER(J37),1,0)+IF(ISNUMBER(Table4428[[#This Row],[Post Total]]),1,0)=2,IF(IF(Table4428[[#This Row],[Student Number]]=C37,1,0)+IF(Table4428[[#This Row],[Session]]=B37,1,0)+IF(Table4428[[#This Row],[Pre or Post]]="Post",1,0)+IF(D37="Pre",1,0)=4,Table4428[[#This Row],[Post Total]]-J37,""),"")</f>
        <v/>
      </c>
      <c r="O38" s="5" t="b">
        <f>ISNUMBER(Table4428[[#This Row],[Change]])</f>
        <v>0</v>
      </c>
    </row>
    <row r="39" spans="1:15">
      <c r="A39" s="2" t="s">
        <v>12</v>
      </c>
      <c r="B39" s="2" t="s">
        <v>21</v>
      </c>
      <c r="C39" s="1">
        <v>7</v>
      </c>
      <c r="D39" s="2" t="s">
        <v>16</v>
      </c>
      <c r="E39" s="1">
        <v>3</v>
      </c>
      <c r="F39" s="1">
        <v>3</v>
      </c>
      <c r="G39" s="2" t="s">
        <v>8</v>
      </c>
      <c r="H39" s="5" t="str">
        <f>IF(IF(Table4428[[#This Row],[Pre or Post]]="Pre",1,0)+IF(ISNUMBER(Table4428[[#This Row],[Response]])=TRUE,1,0)=2,1,"")</f>
        <v/>
      </c>
      <c r="I39" s="5">
        <f>IF(IF(Table4428[[#This Row],[Pre or Post]]="Post",1,0)+IF(ISNUMBER(Table4428[[#This Row],[Response]])=TRUE,1,0)=2,1,"")</f>
        <v>1</v>
      </c>
      <c r="J39" s="5" t="str">
        <f>IF(IF(Table4428[[#This Row],[Pre or Post]]="Pre",1,0)+IF(ISNUMBER(Table4428[[#This Row],[Response]])=TRUE,1,0)=2,Table4428[[#This Row],[Response]],"")</f>
        <v/>
      </c>
      <c r="K39" s="5">
        <f>IF(IF(Table4428[[#This Row],[Pre or Post]]="Post",1,0)+IF(ISNUMBER(Table4428[[#This Row],[Response]])=TRUE,1,0)=2,Table4428[[#This Row],[Response]],"")</f>
        <v>3</v>
      </c>
      <c r="L39" s="5" t="str">
        <f>IF(IF(ISNUMBER(J39),1,0)+IF(ISNUMBER(K40),1,0)=2,IF(IF(C40=C39,1,0)+IF(B40=B39,1,0)+IF(D40="Post",1,0)+IF(D39="Pre",1,0)=4,Table4428[[#This Row],[Pre Total]],""),"")</f>
        <v/>
      </c>
      <c r="M39" s="5">
        <f>IF(IF(ISNUMBER(J38),1,0)+IF(ISNUMBER(Table4428[[#This Row],[Post Total]]),1,0)=2,IF(IF(Table4428[[#This Row],[Student Number]]=C38,1,0)+IF(Table4428[[#This Row],[Session]]=B38,1,0)+IF(Table4428[[#This Row],[Pre or Post]]="Post",1,0)+IF(D38="Pre",1,0)=4,Table4428[[#This Row],[Post Total]],""),"")</f>
        <v>3</v>
      </c>
      <c r="N39" s="5">
        <f>IF(IF(ISNUMBER(J38),1,0)+IF(ISNUMBER(Table4428[[#This Row],[Post Total]]),1,0)=2,IF(IF(Table4428[[#This Row],[Student Number]]=C38,1,0)+IF(Table4428[[#This Row],[Session]]=B38,1,0)+IF(Table4428[[#This Row],[Pre or Post]]="Post",1,0)+IF(D38="Pre",1,0)=4,Table4428[[#This Row],[Post Total]]-J38,""),"")</f>
        <v>0</v>
      </c>
      <c r="O39" s="5" t="b">
        <f>ISNUMBER(Table4428[[#This Row],[Change]])</f>
        <v>1</v>
      </c>
    </row>
    <row r="40" spans="1:15">
      <c r="A40" s="2" t="s">
        <v>12</v>
      </c>
      <c r="B40" s="2" t="s">
        <v>21</v>
      </c>
      <c r="C40" s="1">
        <v>8</v>
      </c>
      <c r="D40" s="2" t="s">
        <v>6</v>
      </c>
      <c r="E40" s="1">
        <v>10</v>
      </c>
      <c r="F40" s="1">
        <v>2</v>
      </c>
      <c r="G40" s="2" t="s">
        <v>8</v>
      </c>
      <c r="H40" s="5">
        <f>IF(IF(Table4428[[#This Row],[Pre or Post]]="Pre",1,0)+IF(ISNUMBER(Table4428[[#This Row],[Response]])=TRUE,1,0)=2,1,"")</f>
        <v>1</v>
      </c>
      <c r="I40" s="5" t="str">
        <f>IF(IF(Table4428[[#This Row],[Pre or Post]]="Post",1,0)+IF(ISNUMBER(Table4428[[#This Row],[Response]])=TRUE,1,0)=2,1,"")</f>
        <v/>
      </c>
      <c r="J40" s="5">
        <f>IF(IF(Table4428[[#This Row],[Pre or Post]]="Pre",1,0)+IF(ISNUMBER(Table4428[[#This Row],[Response]])=TRUE,1,0)=2,Table4428[[#This Row],[Response]],"")</f>
        <v>2</v>
      </c>
      <c r="K40" s="5" t="str">
        <f>IF(IF(Table4428[[#This Row],[Pre or Post]]="Post",1,0)+IF(ISNUMBER(Table4428[[#This Row],[Response]])=TRUE,1,0)=2,Table4428[[#This Row],[Response]],"")</f>
        <v/>
      </c>
      <c r="L40" s="5">
        <f>IF(IF(ISNUMBER(J40),1,0)+IF(ISNUMBER(K41),1,0)=2,IF(IF(C41=C40,1,0)+IF(B41=B40,1,0)+IF(D41="Post",1,0)+IF(D40="Pre",1,0)=4,Table4428[[#This Row],[Pre Total]],""),"")</f>
        <v>2</v>
      </c>
      <c r="M40" s="5" t="str">
        <f>IF(IF(ISNUMBER(J39),1,0)+IF(ISNUMBER(Table4428[[#This Row],[Post Total]]),1,0)=2,IF(IF(Table4428[[#This Row],[Student Number]]=C39,1,0)+IF(Table4428[[#This Row],[Session]]=B39,1,0)+IF(Table4428[[#This Row],[Pre or Post]]="Post",1,0)+IF(D39="Pre",1,0)=4,Table4428[[#This Row],[Post Total]],""),"")</f>
        <v/>
      </c>
      <c r="N40" s="5" t="str">
        <f>IF(IF(ISNUMBER(J39),1,0)+IF(ISNUMBER(Table4428[[#This Row],[Post Total]]),1,0)=2,IF(IF(Table4428[[#This Row],[Student Number]]=C39,1,0)+IF(Table4428[[#This Row],[Session]]=B39,1,0)+IF(Table4428[[#This Row],[Pre or Post]]="Post",1,0)+IF(D39="Pre",1,0)=4,Table4428[[#This Row],[Post Total]]-J39,""),"")</f>
        <v/>
      </c>
      <c r="O40" s="5" t="b">
        <f>ISNUMBER(Table4428[[#This Row],[Change]])</f>
        <v>0</v>
      </c>
    </row>
    <row r="41" spans="1:15">
      <c r="A41" s="2" t="s">
        <v>12</v>
      </c>
      <c r="B41" s="2" t="s">
        <v>21</v>
      </c>
      <c r="C41" s="1">
        <v>8</v>
      </c>
      <c r="D41" s="2" t="s">
        <v>16</v>
      </c>
      <c r="E41" s="1">
        <v>3</v>
      </c>
      <c r="F41" s="1">
        <v>3</v>
      </c>
      <c r="G41" s="2" t="s">
        <v>8</v>
      </c>
      <c r="H41" s="5" t="str">
        <f>IF(IF(Table4428[[#This Row],[Pre or Post]]="Pre",1,0)+IF(ISNUMBER(Table4428[[#This Row],[Response]])=TRUE,1,0)=2,1,"")</f>
        <v/>
      </c>
      <c r="I41" s="5">
        <f>IF(IF(Table4428[[#This Row],[Pre or Post]]="Post",1,0)+IF(ISNUMBER(Table4428[[#This Row],[Response]])=TRUE,1,0)=2,1,"")</f>
        <v>1</v>
      </c>
      <c r="J41" s="5" t="str">
        <f>IF(IF(Table4428[[#This Row],[Pre or Post]]="Pre",1,0)+IF(ISNUMBER(Table4428[[#This Row],[Response]])=TRUE,1,0)=2,Table4428[[#This Row],[Response]],"")</f>
        <v/>
      </c>
      <c r="K41" s="5">
        <f>IF(IF(Table4428[[#This Row],[Pre or Post]]="Post",1,0)+IF(ISNUMBER(Table4428[[#This Row],[Response]])=TRUE,1,0)=2,Table4428[[#This Row],[Response]],"")</f>
        <v>3</v>
      </c>
      <c r="L41" s="5" t="str">
        <f>IF(IF(ISNUMBER(J41),1,0)+IF(ISNUMBER(K42),1,0)=2,IF(IF(C42=C41,1,0)+IF(B42=B41,1,0)+IF(D42="Post",1,0)+IF(D41="Pre",1,0)=4,Table4428[[#This Row],[Pre Total]],""),"")</f>
        <v/>
      </c>
      <c r="M41" s="5">
        <f>IF(IF(ISNUMBER(J40),1,0)+IF(ISNUMBER(Table4428[[#This Row],[Post Total]]),1,0)=2,IF(IF(Table4428[[#This Row],[Student Number]]=C40,1,0)+IF(Table4428[[#This Row],[Session]]=B40,1,0)+IF(Table4428[[#This Row],[Pre or Post]]="Post",1,0)+IF(D40="Pre",1,0)=4,Table4428[[#This Row],[Post Total]],""),"")</f>
        <v>3</v>
      </c>
      <c r="N41" s="5">
        <f>IF(IF(ISNUMBER(J40),1,0)+IF(ISNUMBER(Table4428[[#This Row],[Post Total]]),1,0)=2,IF(IF(Table4428[[#This Row],[Student Number]]=C40,1,0)+IF(Table4428[[#This Row],[Session]]=B40,1,0)+IF(Table4428[[#This Row],[Pre or Post]]="Post",1,0)+IF(D40="Pre",1,0)=4,Table4428[[#This Row],[Post Total]]-J40,""),"")</f>
        <v>1</v>
      </c>
      <c r="O41" s="5" t="b">
        <f>ISNUMBER(Table4428[[#This Row],[Change]])</f>
        <v>1</v>
      </c>
    </row>
    <row r="42" spans="1:15">
      <c r="A42" s="2" t="s">
        <v>12</v>
      </c>
      <c r="B42" s="2" t="s">
        <v>21</v>
      </c>
      <c r="C42" s="1">
        <v>9</v>
      </c>
      <c r="D42" s="2" t="s">
        <v>6</v>
      </c>
      <c r="E42" s="1">
        <v>10</v>
      </c>
      <c r="F42" s="1">
        <v>4</v>
      </c>
      <c r="G42" s="2" t="s">
        <v>8</v>
      </c>
      <c r="H42" s="5">
        <f>IF(IF(Table4428[[#This Row],[Pre or Post]]="Pre",1,0)+IF(ISNUMBER(Table4428[[#This Row],[Response]])=TRUE,1,0)=2,1,"")</f>
        <v>1</v>
      </c>
      <c r="I42" s="5" t="str">
        <f>IF(IF(Table4428[[#This Row],[Pre or Post]]="Post",1,0)+IF(ISNUMBER(Table4428[[#This Row],[Response]])=TRUE,1,0)=2,1,"")</f>
        <v/>
      </c>
      <c r="J42" s="5">
        <f>IF(IF(Table4428[[#This Row],[Pre or Post]]="Pre",1,0)+IF(ISNUMBER(Table4428[[#This Row],[Response]])=TRUE,1,0)=2,Table4428[[#This Row],[Response]],"")</f>
        <v>4</v>
      </c>
      <c r="K42" s="5" t="str">
        <f>IF(IF(Table4428[[#This Row],[Pre or Post]]="Post",1,0)+IF(ISNUMBER(Table4428[[#This Row],[Response]])=TRUE,1,0)=2,Table4428[[#This Row],[Response]],"")</f>
        <v/>
      </c>
      <c r="L42" s="5">
        <f>IF(IF(ISNUMBER(J42),1,0)+IF(ISNUMBER(K43),1,0)=2,IF(IF(C43=C42,1,0)+IF(B43=B42,1,0)+IF(D43="Post",1,0)+IF(D42="Pre",1,0)=4,Table4428[[#This Row],[Pre Total]],""),"")</f>
        <v>4</v>
      </c>
      <c r="M42" s="5" t="str">
        <f>IF(IF(ISNUMBER(J41),1,0)+IF(ISNUMBER(Table4428[[#This Row],[Post Total]]),1,0)=2,IF(IF(Table4428[[#This Row],[Student Number]]=C41,1,0)+IF(Table4428[[#This Row],[Session]]=B41,1,0)+IF(Table4428[[#This Row],[Pre or Post]]="Post",1,0)+IF(D41="Pre",1,0)=4,Table4428[[#This Row],[Post Total]],""),"")</f>
        <v/>
      </c>
      <c r="N42" s="5" t="str">
        <f>IF(IF(ISNUMBER(J41),1,0)+IF(ISNUMBER(Table4428[[#This Row],[Post Total]]),1,0)=2,IF(IF(Table4428[[#This Row],[Student Number]]=C41,1,0)+IF(Table4428[[#This Row],[Session]]=B41,1,0)+IF(Table4428[[#This Row],[Pre or Post]]="Post",1,0)+IF(D41="Pre",1,0)=4,Table4428[[#This Row],[Post Total]]-J41,""),"")</f>
        <v/>
      </c>
      <c r="O42" s="5" t="b">
        <f>ISNUMBER(Table4428[[#This Row],[Change]])</f>
        <v>0</v>
      </c>
    </row>
    <row r="43" spans="1:15">
      <c r="A43" s="2" t="s">
        <v>12</v>
      </c>
      <c r="B43" s="2" t="s">
        <v>21</v>
      </c>
      <c r="C43" s="1">
        <v>9</v>
      </c>
      <c r="D43" s="2" t="s">
        <v>16</v>
      </c>
      <c r="E43" s="1">
        <v>3</v>
      </c>
      <c r="F43" s="1">
        <v>4</v>
      </c>
      <c r="G43" s="2" t="s">
        <v>8</v>
      </c>
      <c r="H43" s="5" t="str">
        <f>IF(IF(Table4428[[#This Row],[Pre or Post]]="Pre",1,0)+IF(ISNUMBER(Table4428[[#This Row],[Response]])=TRUE,1,0)=2,1,"")</f>
        <v/>
      </c>
      <c r="I43" s="5">
        <f>IF(IF(Table4428[[#This Row],[Pre or Post]]="Post",1,0)+IF(ISNUMBER(Table4428[[#This Row],[Response]])=TRUE,1,0)=2,1,"")</f>
        <v>1</v>
      </c>
      <c r="J43" s="5" t="str">
        <f>IF(IF(Table4428[[#This Row],[Pre or Post]]="Pre",1,0)+IF(ISNUMBER(Table4428[[#This Row],[Response]])=TRUE,1,0)=2,Table4428[[#This Row],[Response]],"")</f>
        <v/>
      </c>
      <c r="K43" s="5">
        <f>IF(IF(Table4428[[#This Row],[Pre or Post]]="Post",1,0)+IF(ISNUMBER(Table4428[[#This Row],[Response]])=TRUE,1,0)=2,Table4428[[#This Row],[Response]],"")</f>
        <v>4</v>
      </c>
      <c r="L43" s="5" t="str">
        <f>IF(IF(ISNUMBER(J43),1,0)+IF(ISNUMBER(K44),1,0)=2,IF(IF(C44=C43,1,0)+IF(B44=B43,1,0)+IF(D44="Post",1,0)+IF(D43="Pre",1,0)=4,Table4428[[#This Row],[Pre Total]],""),"")</f>
        <v/>
      </c>
      <c r="M43" s="5">
        <f>IF(IF(ISNUMBER(J42),1,0)+IF(ISNUMBER(Table4428[[#This Row],[Post Total]]),1,0)=2,IF(IF(Table4428[[#This Row],[Student Number]]=C42,1,0)+IF(Table4428[[#This Row],[Session]]=B42,1,0)+IF(Table4428[[#This Row],[Pre or Post]]="Post",1,0)+IF(D42="Pre",1,0)=4,Table4428[[#This Row],[Post Total]],""),"")</f>
        <v>4</v>
      </c>
      <c r="N43" s="5">
        <f>IF(IF(ISNUMBER(J42),1,0)+IF(ISNUMBER(Table4428[[#This Row],[Post Total]]),1,0)=2,IF(IF(Table4428[[#This Row],[Student Number]]=C42,1,0)+IF(Table4428[[#This Row],[Session]]=B42,1,0)+IF(Table4428[[#This Row],[Pre or Post]]="Post",1,0)+IF(D42="Pre",1,0)=4,Table4428[[#This Row],[Post Total]]-J42,""),"")</f>
        <v>0</v>
      </c>
      <c r="O43" s="5" t="b">
        <f>ISNUMBER(Table4428[[#This Row],[Change]])</f>
        <v>1</v>
      </c>
    </row>
    <row r="44" spans="1:15">
      <c r="A44" s="2" t="s">
        <v>12</v>
      </c>
      <c r="B44" s="2" t="s">
        <v>21</v>
      </c>
      <c r="C44" s="1">
        <v>10</v>
      </c>
      <c r="D44" s="2" t="s">
        <v>6</v>
      </c>
      <c r="E44" s="1">
        <v>10</v>
      </c>
      <c r="F44" s="1">
        <v>5</v>
      </c>
      <c r="G44" s="2" t="s">
        <v>8</v>
      </c>
      <c r="H44" s="5">
        <f>IF(IF(Table4428[[#This Row],[Pre or Post]]="Pre",1,0)+IF(ISNUMBER(Table4428[[#This Row],[Response]])=TRUE,1,0)=2,1,"")</f>
        <v>1</v>
      </c>
      <c r="I44" s="5" t="str">
        <f>IF(IF(Table4428[[#This Row],[Pre or Post]]="Post",1,0)+IF(ISNUMBER(Table4428[[#This Row],[Response]])=TRUE,1,0)=2,1,"")</f>
        <v/>
      </c>
      <c r="J44" s="5">
        <f>IF(IF(Table4428[[#This Row],[Pre or Post]]="Pre",1,0)+IF(ISNUMBER(Table4428[[#This Row],[Response]])=TRUE,1,0)=2,Table4428[[#This Row],[Response]],"")</f>
        <v>5</v>
      </c>
      <c r="K44" s="5" t="str">
        <f>IF(IF(Table4428[[#This Row],[Pre or Post]]="Post",1,0)+IF(ISNUMBER(Table4428[[#This Row],[Response]])=TRUE,1,0)=2,Table4428[[#This Row],[Response]],"")</f>
        <v/>
      </c>
      <c r="L44" s="5">
        <f>IF(IF(ISNUMBER(J44),1,0)+IF(ISNUMBER(K45),1,0)=2,IF(IF(C45=C44,1,0)+IF(B45=B44,1,0)+IF(D45="Post",1,0)+IF(D44="Pre",1,0)=4,Table4428[[#This Row],[Pre Total]],""),"")</f>
        <v>5</v>
      </c>
      <c r="M44" s="5" t="str">
        <f>IF(IF(ISNUMBER(J43),1,0)+IF(ISNUMBER(Table4428[[#This Row],[Post Total]]),1,0)=2,IF(IF(Table4428[[#This Row],[Student Number]]=C43,1,0)+IF(Table4428[[#This Row],[Session]]=B43,1,0)+IF(Table4428[[#This Row],[Pre or Post]]="Post",1,0)+IF(D43="Pre",1,0)=4,Table4428[[#This Row],[Post Total]],""),"")</f>
        <v/>
      </c>
      <c r="N44" s="5" t="str">
        <f>IF(IF(ISNUMBER(J43),1,0)+IF(ISNUMBER(Table4428[[#This Row],[Post Total]]),1,0)=2,IF(IF(Table4428[[#This Row],[Student Number]]=C43,1,0)+IF(Table4428[[#This Row],[Session]]=B43,1,0)+IF(Table4428[[#This Row],[Pre or Post]]="Post",1,0)+IF(D43="Pre",1,0)=4,Table4428[[#This Row],[Post Total]]-J43,""),"")</f>
        <v/>
      </c>
      <c r="O44" s="5" t="b">
        <f>ISNUMBER(Table4428[[#This Row],[Change]])</f>
        <v>0</v>
      </c>
    </row>
    <row r="45" spans="1:15">
      <c r="A45" s="2" t="s">
        <v>12</v>
      </c>
      <c r="B45" s="2" t="s">
        <v>21</v>
      </c>
      <c r="C45" s="1">
        <v>10</v>
      </c>
      <c r="D45" s="2" t="s">
        <v>16</v>
      </c>
      <c r="E45" s="1">
        <v>3</v>
      </c>
      <c r="F45" s="1">
        <v>5</v>
      </c>
      <c r="G45" s="2" t="s">
        <v>8</v>
      </c>
      <c r="H45" s="5" t="str">
        <f>IF(IF(Table4428[[#This Row],[Pre or Post]]="Pre",1,0)+IF(ISNUMBER(Table4428[[#This Row],[Response]])=TRUE,1,0)=2,1,"")</f>
        <v/>
      </c>
      <c r="I45" s="5">
        <f>IF(IF(Table4428[[#This Row],[Pre or Post]]="Post",1,0)+IF(ISNUMBER(Table4428[[#This Row],[Response]])=TRUE,1,0)=2,1,"")</f>
        <v>1</v>
      </c>
      <c r="J45" s="5" t="str">
        <f>IF(IF(Table4428[[#This Row],[Pre or Post]]="Pre",1,0)+IF(ISNUMBER(Table4428[[#This Row],[Response]])=TRUE,1,0)=2,Table4428[[#This Row],[Response]],"")</f>
        <v/>
      </c>
      <c r="K45" s="5">
        <f>IF(IF(Table4428[[#This Row],[Pre or Post]]="Post",1,0)+IF(ISNUMBER(Table4428[[#This Row],[Response]])=TRUE,1,0)=2,Table4428[[#This Row],[Response]],"")</f>
        <v>5</v>
      </c>
      <c r="L45" s="5" t="str">
        <f>IF(IF(ISNUMBER(J45),1,0)+IF(ISNUMBER(K46),1,0)=2,IF(IF(C46=C45,1,0)+IF(B46=B45,1,0)+IF(D46="Post",1,0)+IF(D45="Pre",1,0)=4,Table4428[[#This Row],[Pre Total]],""),"")</f>
        <v/>
      </c>
      <c r="M45" s="5">
        <f>IF(IF(ISNUMBER(J44),1,0)+IF(ISNUMBER(Table4428[[#This Row],[Post Total]]),1,0)=2,IF(IF(Table4428[[#This Row],[Student Number]]=C44,1,0)+IF(Table4428[[#This Row],[Session]]=B44,1,0)+IF(Table4428[[#This Row],[Pre or Post]]="Post",1,0)+IF(D44="Pre",1,0)=4,Table4428[[#This Row],[Post Total]],""),"")</f>
        <v>5</v>
      </c>
      <c r="N45" s="5">
        <f>IF(IF(ISNUMBER(J44),1,0)+IF(ISNUMBER(Table4428[[#This Row],[Post Total]]),1,0)=2,IF(IF(Table4428[[#This Row],[Student Number]]=C44,1,0)+IF(Table4428[[#This Row],[Session]]=B44,1,0)+IF(Table4428[[#This Row],[Pre or Post]]="Post",1,0)+IF(D44="Pre",1,0)=4,Table4428[[#This Row],[Post Total]]-J44,""),"")</f>
        <v>0</v>
      </c>
      <c r="O45" s="5" t="b">
        <f>ISNUMBER(Table4428[[#This Row],[Change]])</f>
        <v>1</v>
      </c>
    </row>
    <row r="46" spans="1:15">
      <c r="A46" s="2" t="s">
        <v>12</v>
      </c>
      <c r="B46" s="2" t="s">
        <v>21</v>
      </c>
      <c r="C46" s="1">
        <v>11</v>
      </c>
      <c r="D46" s="2" t="s">
        <v>6</v>
      </c>
      <c r="E46" s="1">
        <v>10</v>
      </c>
      <c r="F46" s="1">
        <v>4</v>
      </c>
      <c r="G46" s="2" t="s">
        <v>8</v>
      </c>
      <c r="H46" s="5">
        <f>IF(IF(Table4428[[#This Row],[Pre or Post]]="Pre",1,0)+IF(ISNUMBER(Table4428[[#This Row],[Response]])=TRUE,1,0)=2,1,"")</f>
        <v>1</v>
      </c>
      <c r="I46" s="5" t="str">
        <f>IF(IF(Table4428[[#This Row],[Pre or Post]]="Post",1,0)+IF(ISNUMBER(Table4428[[#This Row],[Response]])=TRUE,1,0)=2,1,"")</f>
        <v/>
      </c>
      <c r="J46" s="5">
        <f>IF(IF(Table4428[[#This Row],[Pre or Post]]="Pre",1,0)+IF(ISNUMBER(Table4428[[#This Row],[Response]])=TRUE,1,0)=2,Table4428[[#This Row],[Response]],"")</f>
        <v>4</v>
      </c>
      <c r="K46" s="5" t="str">
        <f>IF(IF(Table4428[[#This Row],[Pre or Post]]="Post",1,0)+IF(ISNUMBER(Table4428[[#This Row],[Response]])=TRUE,1,0)=2,Table4428[[#This Row],[Response]],"")</f>
        <v/>
      </c>
      <c r="L46" s="5">
        <f>IF(IF(ISNUMBER(J46),1,0)+IF(ISNUMBER(K47),1,0)=2,IF(IF(C47=C46,1,0)+IF(B47=B46,1,0)+IF(D47="Post",1,0)+IF(D46="Pre",1,0)=4,Table4428[[#This Row],[Pre Total]],""),"")</f>
        <v>4</v>
      </c>
      <c r="M46" s="5" t="str">
        <f>IF(IF(ISNUMBER(J45),1,0)+IF(ISNUMBER(Table4428[[#This Row],[Post Total]]),1,0)=2,IF(IF(Table4428[[#This Row],[Student Number]]=C45,1,0)+IF(Table4428[[#This Row],[Session]]=B45,1,0)+IF(Table4428[[#This Row],[Pre or Post]]="Post",1,0)+IF(D45="Pre",1,0)=4,Table4428[[#This Row],[Post Total]],""),"")</f>
        <v/>
      </c>
      <c r="N46" s="5" t="str">
        <f>IF(IF(ISNUMBER(J45),1,0)+IF(ISNUMBER(Table4428[[#This Row],[Post Total]]),1,0)=2,IF(IF(Table4428[[#This Row],[Student Number]]=C45,1,0)+IF(Table4428[[#This Row],[Session]]=B45,1,0)+IF(Table4428[[#This Row],[Pre or Post]]="Post",1,0)+IF(D45="Pre",1,0)=4,Table4428[[#This Row],[Post Total]]-J45,""),"")</f>
        <v/>
      </c>
      <c r="O46" s="5" t="b">
        <f>ISNUMBER(Table4428[[#This Row],[Change]])</f>
        <v>0</v>
      </c>
    </row>
    <row r="47" spans="1:15">
      <c r="A47" s="2" t="s">
        <v>12</v>
      </c>
      <c r="B47" s="2" t="s">
        <v>21</v>
      </c>
      <c r="C47" s="1">
        <v>11</v>
      </c>
      <c r="D47" s="2" t="s">
        <v>16</v>
      </c>
      <c r="E47" s="1">
        <v>3</v>
      </c>
      <c r="F47" s="1">
        <v>4</v>
      </c>
      <c r="G47" s="2" t="s">
        <v>8</v>
      </c>
      <c r="H47" s="5" t="str">
        <f>IF(IF(Table4428[[#This Row],[Pre or Post]]="Pre",1,0)+IF(ISNUMBER(Table4428[[#This Row],[Response]])=TRUE,1,0)=2,1,"")</f>
        <v/>
      </c>
      <c r="I47" s="5">
        <f>IF(IF(Table4428[[#This Row],[Pre or Post]]="Post",1,0)+IF(ISNUMBER(Table4428[[#This Row],[Response]])=TRUE,1,0)=2,1,"")</f>
        <v>1</v>
      </c>
      <c r="J47" s="5" t="str">
        <f>IF(IF(Table4428[[#This Row],[Pre or Post]]="Pre",1,0)+IF(ISNUMBER(Table4428[[#This Row],[Response]])=TRUE,1,0)=2,Table4428[[#This Row],[Response]],"")</f>
        <v/>
      </c>
      <c r="K47" s="5">
        <f>IF(IF(Table4428[[#This Row],[Pre or Post]]="Post",1,0)+IF(ISNUMBER(Table4428[[#This Row],[Response]])=TRUE,1,0)=2,Table4428[[#This Row],[Response]],"")</f>
        <v>4</v>
      </c>
      <c r="L47" s="5" t="str">
        <f>IF(IF(ISNUMBER(J47),1,0)+IF(ISNUMBER(K48),1,0)=2,IF(IF(C48=C47,1,0)+IF(B48=B47,1,0)+IF(D48="Post",1,0)+IF(D47="Pre",1,0)=4,Table4428[[#This Row],[Pre Total]],""),"")</f>
        <v/>
      </c>
      <c r="M47" s="5">
        <f>IF(IF(ISNUMBER(J46),1,0)+IF(ISNUMBER(Table4428[[#This Row],[Post Total]]),1,0)=2,IF(IF(Table4428[[#This Row],[Student Number]]=C46,1,0)+IF(Table4428[[#This Row],[Session]]=B46,1,0)+IF(Table4428[[#This Row],[Pre or Post]]="Post",1,0)+IF(D46="Pre",1,0)=4,Table4428[[#This Row],[Post Total]],""),"")</f>
        <v>4</v>
      </c>
      <c r="N47" s="5">
        <f>IF(IF(ISNUMBER(J46),1,0)+IF(ISNUMBER(Table4428[[#This Row],[Post Total]]),1,0)=2,IF(IF(Table4428[[#This Row],[Student Number]]=C46,1,0)+IF(Table4428[[#This Row],[Session]]=B46,1,0)+IF(Table4428[[#This Row],[Pre or Post]]="Post",1,0)+IF(D46="Pre",1,0)=4,Table4428[[#This Row],[Post Total]]-J46,""),"")</f>
        <v>0</v>
      </c>
      <c r="O47" s="5" t="b">
        <f>ISNUMBER(Table4428[[#This Row],[Change]])</f>
        <v>1</v>
      </c>
    </row>
    <row r="48" spans="1:15">
      <c r="A48" s="2" t="s">
        <v>12</v>
      </c>
      <c r="B48" s="2" t="s">
        <v>21</v>
      </c>
      <c r="C48" s="1">
        <v>12</v>
      </c>
      <c r="D48" s="2" t="s">
        <v>6</v>
      </c>
      <c r="E48" s="1">
        <v>10</v>
      </c>
      <c r="F48" s="1">
        <v>1</v>
      </c>
      <c r="G48" s="2" t="s">
        <v>8</v>
      </c>
      <c r="H48" s="5">
        <f>IF(IF(Table4428[[#This Row],[Pre or Post]]="Pre",1,0)+IF(ISNUMBER(Table4428[[#This Row],[Response]])=TRUE,1,0)=2,1,"")</f>
        <v>1</v>
      </c>
      <c r="I48" s="5" t="str">
        <f>IF(IF(Table4428[[#This Row],[Pre or Post]]="Post",1,0)+IF(ISNUMBER(Table4428[[#This Row],[Response]])=TRUE,1,0)=2,1,"")</f>
        <v/>
      </c>
      <c r="J48" s="5">
        <f>IF(IF(Table4428[[#This Row],[Pre or Post]]="Pre",1,0)+IF(ISNUMBER(Table4428[[#This Row],[Response]])=TRUE,1,0)=2,Table4428[[#This Row],[Response]],"")</f>
        <v>1</v>
      </c>
      <c r="K48" s="5" t="str">
        <f>IF(IF(Table4428[[#This Row],[Pre or Post]]="Post",1,0)+IF(ISNUMBER(Table4428[[#This Row],[Response]])=TRUE,1,0)=2,Table4428[[#This Row],[Response]],"")</f>
        <v/>
      </c>
      <c r="L48" s="5">
        <f>IF(IF(ISNUMBER(J48),1,0)+IF(ISNUMBER(K49),1,0)=2,IF(IF(C49=C48,1,0)+IF(B49=B48,1,0)+IF(D49="Post",1,0)+IF(D48="Pre",1,0)=4,Table4428[[#This Row],[Pre Total]],""),"")</f>
        <v>1</v>
      </c>
      <c r="M48" s="5" t="str">
        <f>IF(IF(ISNUMBER(J47),1,0)+IF(ISNUMBER(Table4428[[#This Row],[Post Total]]),1,0)=2,IF(IF(Table4428[[#This Row],[Student Number]]=C47,1,0)+IF(Table4428[[#This Row],[Session]]=B47,1,0)+IF(Table4428[[#This Row],[Pre or Post]]="Post",1,0)+IF(D47="Pre",1,0)=4,Table4428[[#This Row],[Post Total]],""),"")</f>
        <v/>
      </c>
      <c r="N48" s="5" t="str">
        <f>IF(IF(ISNUMBER(J47),1,0)+IF(ISNUMBER(Table4428[[#This Row],[Post Total]]),1,0)=2,IF(IF(Table4428[[#This Row],[Student Number]]=C47,1,0)+IF(Table4428[[#This Row],[Session]]=B47,1,0)+IF(Table4428[[#This Row],[Pre or Post]]="Post",1,0)+IF(D47="Pre",1,0)=4,Table4428[[#This Row],[Post Total]]-J47,""),"")</f>
        <v/>
      </c>
      <c r="O48" s="5" t="b">
        <f>ISNUMBER(Table4428[[#This Row],[Change]])</f>
        <v>0</v>
      </c>
    </row>
    <row r="49" spans="1:15">
      <c r="A49" s="2" t="s">
        <v>12</v>
      </c>
      <c r="B49" s="2" t="s">
        <v>21</v>
      </c>
      <c r="C49" s="1">
        <v>12</v>
      </c>
      <c r="D49" s="2" t="s">
        <v>16</v>
      </c>
      <c r="E49" s="1">
        <v>3</v>
      </c>
      <c r="F49" s="1">
        <v>1</v>
      </c>
      <c r="G49" s="2" t="s">
        <v>8</v>
      </c>
      <c r="H49" s="5" t="str">
        <f>IF(IF(Table4428[[#This Row],[Pre or Post]]="Pre",1,0)+IF(ISNUMBER(Table4428[[#This Row],[Response]])=TRUE,1,0)=2,1,"")</f>
        <v/>
      </c>
      <c r="I49" s="5">
        <f>IF(IF(Table4428[[#This Row],[Pre or Post]]="Post",1,0)+IF(ISNUMBER(Table4428[[#This Row],[Response]])=TRUE,1,0)=2,1,"")</f>
        <v>1</v>
      </c>
      <c r="J49" s="5" t="str">
        <f>IF(IF(Table4428[[#This Row],[Pre or Post]]="Pre",1,0)+IF(ISNUMBER(Table4428[[#This Row],[Response]])=TRUE,1,0)=2,Table4428[[#This Row],[Response]],"")</f>
        <v/>
      </c>
      <c r="K49" s="5">
        <f>IF(IF(Table4428[[#This Row],[Pre or Post]]="Post",1,0)+IF(ISNUMBER(Table4428[[#This Row],[Response]])=TRUE,1,0)=2,Table4428[[#This Row],[Response]],"")</f>
        <v>1</v>
      </c>
      <c r="L49" s="5" t="str">
        <f>IF(IF(ISNUMBER(J49),1,0)+IF(ISNUMBER(K50),1,0)=2,IF(IF(C50=C49,1,0)+IF(B50=B49,1,0)+IF(D50="Post",1,0)+IF(D49="Pre",1,0)=4,Table4428[[#This Row],[Pre Total]],""),"")</f>
        <v/>
      </c>
      <c r="M49" s="5">
        <f>IF(IF(ISNUMBER(J48),1,0)+IF(ISNUMBER(Table4428[[#This Row],[Post Total]]),1,0)=2,IF(IF(Table4428[[#This Row],[Student Number]]=C48,1,0)+IF(Table4428[[#This Row],[Session]]=B48,1,0)+IF(Table4428[[#This Row],[Pre or Post]]="Post",1,0)+IF(D48="Pre",1,0)=4,Table4428[[#This Row],[Post Total]],""),"")</f>
        <v>1</v>
      </c>
      <c r="N49" s="5">
        <f>IF(IF(ISNUMBER(J48),1,0)+IF(ISNUMBER(Table4428[[#This Row],[Post Total]]),1,0)=2,IF(IF(Table4428[[#This Row],[Student Number]]=C48,1,0)+IF(Table4428[[#This Row],[Session]]=B48,1,0)+IF(Table4428[[#This Row],[Pre or Post]]="Post",1,0)+IF(D48="Pre",1,0)=4,Table4428[[#This Row],[Post Total]]-J48,""),"")</f>
        <v>0</v>
      </c>
      <c r="O49" s="5" t="b">
        <f>ISNUMBER(Table4428[[#This Row],[Change]])</f>
        <v>1</v>
      </c>
    </row>
    <row r="50" spans="1:15">
      <c r="A50" s="2" t="s">
        <v>12</v>
      </c>
      <c r="B50" s="2" t="s">
        <v>21</v>
      </c>
      <c r="C50" s="1">
        <v>13</v>
      </c>
      <c r="D50" s="2" t="s">
        <v>6</v>
      </c>
      <c r="E50" s="1">
        <v>10</v>
      </c>
      <c r="F50" s="1">
        <v>4</v>
      </c>
      <c r="G50" s="2" t="s">
        <v>8</v>
      </c>
      <c r="H50" s="5">
        <f>IF(IF(Table4428[[#This Row],[Pre or Post]]="Pre",1,0)+IF(ISNUMBER(Table4428[[#This Row],[Response]])=TRUE,1,0)=2,1,"")</f>
        <v>1</v>
      </c>
      <c r="I50" s="5" t="str">
        <f>IF(IF(Table4428[[#This Row],[Pre or Post]]="Post",1,0)+IF(ISNUMBER(Table4428[[#This Row],[Response]])=TRUE,1,0)=2,1,"")</f>
        <v/>
      </c>
      <c r="J50" s="5">
        <f>IF(IF(Table4428[[#This Row],[Pre or Post]]="Pre",1,0)+IF(ISNUMBER(Table4428[[#This Row],[Response]])=TRUE,1,0)=2,Table4428[[#This Row],[Response]],"")</f>
        <v>4</v>
      </c>
      <c r="K50" s="5" t="str">
        <f>IF(IF(Table4428[[#This Row],[Pre or Post]]="Post",1,0)+IF(ISNUMBER(Table4428[[#This Row],[Response]])=TRUE,1,0)=2,Table4428[[#This Row],[Response]],"")</f>
        <v/>
      </c>
      <c r="L50" s="5">
        <f>IF(IF(ISNUMBER(J50),1,0)+IF(ISNUMBER(K51),1,0)=2,IF(IF(C51=C50,1,0)+IF(B51=B50,1,0)+IF(D51="Post",1,0)+IF(D50="Pre",1,0)=4,Table4428[[#This Row],[Pre Total]],""),"")</f>
        <v>4</v>
      </c>
      <c r="M50" s="5" t="str">
        <f>IF(IF(ISNUMBER(J49),1,0)+IF(ISNUMBER(Table4428[[#This Row],[Post Total]]),1,0)=2,IF(IF(Table4428[[#This Row],[Student Number]]=C49,1,0)+IF(Table4428[[#This Row],[Session]]=B49,1,0)+IF(Table4428[[#This Row],[Pre or Post]]="Post",1,0)+IF(D49="Pre",1,0)=4,Table4428[[#This Row],[Post Total]],""),"")</f>
        <v/>
      </c>
      <c r="N50" s="5" t="str">
        <f>IF(IF(ISNUMBER(J49),1,0)+IF(ISNUMBER(Table4428[[#This Row],[Post Total]]),1,0)=2,IF(IF(Table4428[[#This Row],[Student Number]]=C49,1,0)+IF(Table4428[[#This Row],[Session]]=B49,1,0)+IF(Table4428[[#This Row],[Pre or Post]]="Post",1,0)+IF(D49="Pre",1,0)=4,Table4428[[#This Row],[Post Total]]-J49,""),"")</f>
        <v/>
      </c>
      <c r="O50" s="5" t="b">
        <f>ISNUMBER(Table4428[[#This Row],[Change]])</f>
        <v>0</v>
      </c>
    </row>
    <row r="51" spans="1:15">
      <c r="A51" s="2" t="s">
        <v>12</v>
      </c>
      <c r="B51" s="2" t="s">
        <v>21</v>
      </c>
      <c r="C51" s="1">
        <v>13</v>
      </c>
      <c r="D51" s="2" t="s">
        <v>16</v>
      </c>
      <c r="E51" s="1">
        <v>3</v>
      </c>
      <c r="F51" s="1">
        <v>4</v>
      </c>
      <c r="G51" s="2" t="s">
        <v>8</v>
      </c>
      <c r="H51" s="5" t="str">
        <f>IF(IF(Table4428[[#This Row],[Pre or Post]]="Pre",1,0)+IF(ISNUMBER(Table4428[[#This Row],[Response]])=TRUE,1,0)=2,1,"")</f>
        <v/>
      </c>
      <c r="I51" s="5">
        <f>IF(IF(Table4428[[#This Row],[Pre or Post]]="Post",1,0)+IF(ISNUMBER(Table4428[[#This Row],[Response]])=TRUE,1,0)=2,1,"")</f>
        <v>1</v>
      </c>
      <c r="J51" s="5" t="str">
        <f>IF(IF(Table4428[[#This Row],[Pre or Post]]="Pre",1,0)+IF(ISNUMBER(Table4428[[#This Row],[Response]])=TRUE,1,0)=2,Table4428[[#This Row],[Response]],"")</f>
        <v/>
      </c>
      <c r="K51" s="5">
        <f>IF(IF(Table4428[[#This Row],[Pre or Post]]="Post",1,0)+IF(ISNUMBER(Table4428[[#This Row],[Response]])=TRUE,1,0)=2,Table4428[[#This Row],[Response]],"")</f>
        <v>4</v>
      </c>
      <c r="L51" s="5" t="str">
        <f>IF(IF(ISNUMBER(J51),1,0)+IF(ISNUMBER(K52),1,0)=2,IF(IF(C52=C51,1,0)+IF(B52=B51,1,0)+IF(D52="Post",1,0)+IF(D51="Pre",1,0)=4,Table4428[[#This Row],[Pre Total]],""),"")</f>
        <v/>
      </c>
      <c r="M51" s="5">
        <f>IF(IF(ISNUMBER(J50),1,0)+IF(ISNUMBER(Table4428[[#This Row],[Post Total]]),1,0)=2,IF(IF(Table4428[[#This Row],[Student Number]]=C50,1,0)+IF(Table4428[[#This Row],[Session]]=B50,1,0)+IF(Table4428[[#This Row],[Pre or Post]]="Post",1,0)+IF(D50="Pre",1,0)=4,Table4428[[#This Row],[Post Total]],""),"")</f>
        <v>4</v>
      </c>
      <c r="N51" s="5">
        <f>IF(IF(ISNUMBER(J50),1,0)+IF(ISNUMBER(Table4428[[#This Row],[Post Total]]),1,0)=2,IF(IF(Table4428[[#This Row],[Student Number]]=C50,1,0)+IF(Table4428[[#This Row],[Session]]=B50,1,0)+IF(Table4428[[#This Row],[Pre or Post]]="Post",1,0)+IF(D50="Pre",1,0)=4,Table4428[[#This Row],[Post Total]]-J50,""),"")</f>
        <v>0</v>
      </c>
      <c r="O51" s="5" t="b">
        <f>ISNUMBER(Table4428[[#This Row],[Change]])</f>
        <v>1</v>
      </c>
    </row>
    <row r="52" spans="1:15">
      <c r="A52" s="2" t="s">
        <v>12</v>
      </c>
      <c r="B52" s="2" t="s">
        <v>21</v>
      </c>
      <c r="C52" s="1">
        <v>14</v>
      </c>
      <c r="D52" s="2" t="s">
        <v>6</v>
      </c>
      <c r="E52" s="1">
        <v>10</v>
      </c>
      <c r="F52" s="1">
        <v>2</v>
      </c>
      <c r="G52" s="2" t="s">
        <v>8</v>
      </c>
      <c r="H52" s="5">
        <f>IF(IF(Table4428[[#This Row],[Pre or Post]]="Pre",1,0)+IF(ISNUMBER(Table4428[[#This Row],[Response]])=TRUE,1,0)=2,1,"")</f>
        <v>1</v>
      </c>
      <c r="I52" s="5" t="str">
        <f>IF(IF(Table4428[[#This Row],[Pre or Post]]="Post",1,0)+IF(ISNUMBER(Table4428[[#This Row],[Response]])=TRUE,1,0)=2,1,"")</f>
        <v/>
      </c>
      <c r="J52" s="5">
        <f>IF(IF(Table4428[[#This Row],[Pre or Post]]="Pre",1,0)+IF(ISNUMBER(Table4428[[#This Row],[Response]])=TRUE,1,0)=2,Table4428[[#This Row],[Response]],"")</f>
        <v>2</v>
      </c>
      <c r="K52" s="5" t="str">
        <f>IF(IF(Table4428[[#This Row],[Pre or Post]]="Post",1,0)+IF(ISNUMBER(Table4428[[#This Row],[Response]])=TRUE,1,0)=2,Table4428[[#This Row],[Response]],"")</f>
        <v/>
      </c>
      <c r="L52" s="5">
        <f>IF(IF(ISNUMBER(J52),1,0)+IF(ISNUMBER(K53),1,0)=2,IF(IF(C53=C52,1,0)+IF(B53=B52,1,0)+IF(D53="Post",1,0)+IF(D52="Pre",1,0)=4,Table4428[[#This Row],[Pre Total]],""),"")</f>
        <v>2</v>
      </c>
      <c r="M52" s="5" t="str">
        <f>IF(IF(ISNUMBER(J51),1,0)+IF(ISNUMBER(Table4428[[#This Row],[Post Total]]),1,0)=2,IF(IF(Table4428[[#This Row],[Student Number]]=C51,1,0)+IF(Table4428[[#This Row],[Session]]=B51,1,0)+IF(Table4428[[#This Row],[Pre or Post]]="Post",1,0)+IF(D51="Pre",1,0)=4,Table4428[[#This Row],[Post Total]],""),"")</f>
        <v/>
      </c>
      <c r="N52" s="5" t="str">
        <f>IF(IF(ISNUMBER(J51),1,0)+IF(ISNUMBER(Table4428[[#This Row],[Post Total]]),1,0)=2,IF(IF(Table4428[[#This Row],[Student Number]]=C51,1,0)+IF(Table4428[[#This Row],[Session]]=B51,1,0)+IF(Table4428[[#This Row],[Pre or Post]]="Post",1,0)+IF(D51="Pre",1,0)=4,Table4428[[#This Row],[Post Total]]-J51,""),"")</f>
        <v/>
      </c>
      <c r="O52" s="5" t="b">
        <f>ISNUMBER(Table4428[[#This Row],[Change]])</f>
        <v>0</v>
      </c>
    </row>
    <row r="53" spans="1:15">
      <c r="A53" s="2" t="s">
        <v>12</v>
      </c>
      <c r="B53" s="2" t="s">
        <v>21</v>
      </c>
      <c r="C53" s="1">
        <v>14</v>
      </c>
      <c r="D53" s="2" t="s">
        <v>16</v>
      </c>
      <c r="E53" s="1">
        <v>3</v>
      </c>
      <c r="F53" s="1">
        <v>3</v>
      </c>
      <c r="G53" s="2" t="s">
        <v>8</v>
      </c>
      <c r="H53" s="5" t="str">
        <f>IF(IF(Table4428[[#This Row],[Pre or Post]]="Pre",1,0)+IF(ISNUMBER(Table4428[[#This Row],[Response]])=TRUE,1,0)=2,1,"")</f>
        <v/>
      </c>
      <c r="I53" s="5">
        <f>IF(IF(Table4428[[#This Row],[Pre or Post]]="Post",1,0)+IF(ISNUMBER(Table4428[[#This Row],[Response]])=TRUE,1,0)=2,1,"")</f>
        <v>1</v>
      </c>
      <c r="J53" s="5" t="str">
        <f>IF(IF(Table4428[[#This Row],[Pre or Post]]="Pre",1,0)+IF(ISNUMBER(Table4428[[#This Row],[Response]])=TRUE,1,0)=2,Table4428[[#This Row],[Response]],"")</f>
        <v/>
      </c>
      <c r="K53" s="5">
        <f>IF(IF(Table4428[[#This Row],[Pre or Post]]="Post",1,0)+IF(ISNUMBER(Table4428[[#This Row],[Response]])=TRUE,1,0)=2,Table4428[[#This Row],[Response]],"")</f>
        <v>3</v>
      </c>
      <c r="L53" s="5" t="str">
        <f>IF(IF(ISNUMBER(J53),1,0)+IF(ISNUMBER(K54),1,0)=2,IF(IF(C54=C53,1,0)+IF(B54=B53,1,0)+IF(D54="Post",1,0)+IF(D53="Pre",1,0)=4,Table4428[[#This Row],[Pre Total]],""),"")</f>
        <v/>
      </c>
      <c r="M53" s="5">
        <f>IF(IF(ISNUMBER(J52),1,0)+IF(ISNUMBER(Table4428[[#This Row],[Post Total]]),1,0)=2,IF(IF(Table4428[[#This Row],[Student Number]]=C52,1,0)+IF(Table4428[[#This Row],[Session]]=B52,1,0)+IF(Table4428[[#This Row],[Pre or Post]]="Post",1,0)+IF(D52="Pre",1,0)=4,Table4428[[#This Row],[Post Total]],""),"")</f>
        <v>3</v>
      </c>
      <c r="N53" s="5">
        <f>IF(IF(ISNUMBER(J52),1,0)+IF(ISNUMBER(Table4428[[#This Row],[Post Total]]),1,0)=2,IF(IF(Table4428[[#This Row],[Student Number]]=C52,1,0)+IF(Table4428[[#This Row],[Session]]=B52,1,0)+IF(Table4428[[#This Row],[Pre or Post]]="Post",1,0)+IF(D52="Pre",1,0)=4,Table4428[[#This Row],[Post Total]]-J52,""),"")</f>
        <v>1</v>
      </c>
      <c r="O53" s="5" t="b">
        <f>ISNUMBER(Table4428[[#This Row],[Change]])</f>
        <v>1</v>
      </c>
    </row>
    <row r="54" spans="1:15">
      <c r="A54" s="2" t="s">
        <v>12</v>
      </c>
      <c r="B54" s="2" t="s">
        <v>21</v>
      </c>
      <c r="C54" s="1">
        <v>15</v>
      </c>
      <c r="D54" s="2" t="s">
        <v>6</v>
      </c>
      <c r="E54" s="1">
        <v>10</v>
      </c>
      <c r="F54" s="1">
        <v>2</v>
      </c>
      <c r="G54" s="2" t="s">
        <v>8</v>
      </c>
      <c r="H54" s="5">
        <f>IF(IF(Table4428[[#This Row],[Pre or Post]]="Pre",1,0)+IF(ISNUMBER(Table4428[[#This Row],[Response]])=TRUE,1,0)=2,1,"")</f>
        <v>1</v>
      </c>
      <c r="I54" s="5" t="str">
        <f>IF(IF(Table4428[[#This Row],[Pre or Post]]="Post",1,0)+IF(ISNUMBER(Table4428[[#This Row],[Response]])=TRUE,1,0)=2,1,"")</f>
        <v/>
      </c>
      <c r="J54" s="5">
        <f>IF(IF(Table4428[[#This Row],[Pre or Post]]="Pre",1,0)+IF(ISNUMBER(Table4428[[#This Row],[Response]])=TRUE,1,0)=2,Table4428[[#This Row],[Response]],"")</f>
        <v>2</v>
      </c>
      <c r="K54" s="5" t="str">
        <f>IF(IF(Table4428[[#This Row],[Pre or Post]]="Post",1,0)+IF(ISNUMBER(Table4428[[#This Row],[Response]])=TRUE,1,0)=2,Table4428[[#This Row],[Response]],"")</f>
        <v/>
      </c>
      <c r="L54" s="5">
        <f>IF(IF(ISNUMBER(J54),1,0)+IF(ISNUMBER(K55),1,0)=2,IF(IF(C55=C54,1,0)+IF(B55=B54,1,0)+IF(D55="Post",1,0)+IF(D54="Pre",1,0)=4,Table4428[[#This Row],[Pre Total]],""),"")</f>
        <v>2</v>
      </c>
      <c r="M54" s="5" t="str">
        <f>IF(IF(ISNUMBER(J53),1,0)+IF(ISNUMBER(Table4428[[#This Row],[Post Total]]),1,0)=2,IF(IF(Table4428[[#This Row],[Student Number]]=C53,1,0)+IF(Table4428[[#This Row],[Session]]=B53,1,0)+IF(Table4428[[#This Row],[Pre or Post]]="Post",1,0)+IF(D53="Pre",1,0)=4,Table4428[[#This Row],[Post Total]],""),"")</f>
        <v/>
      </c>
      <c r="N54" s="5" t="str">
        <f>IF(IF(ISNUMBER(J53),1,0)+IF(ISNUMBER(Table4428[[#This Row],[Post Total]]),1,0)=2,IF(IF(Table4428[[#This Row],[Student Number]]=C53,1,0)+IF(Table4428[[#This Row],[Session]]=B53,1,0)+IF(Table4428[[#This Row],[Pre or Post]]="Post",1,0)+IF(D53="Pre",1,0)=4,Table4428[[#This Row],[Post Total]]-J53,""),"")</f>
        <v/>
      </c>
      <c r="O54" s="5" t="b">
        <f>ISNUMBER(Table4428[[#This Row],[Change]])</f>
        <v>0</v>
      </c>
    </row>
    <row r="55" spans="1:15">
      <c r="A55" s="2" t="s">
        <v>12</v>
      </c>
      <c r="B55" s="2" t="s">
        <v>21</v>
      </c>
      <c r="C55" s="1">
        <v>15</v>
      </c>
      <c r="D55" s="2" t="s">
        <v>16</v>
      </c>
      <c r="E55" s="1">
        <v>3</v>
      </c>
      <c r="F55" s="1">
        <v>2</v>
      </c>
      <c r="G55" s="2" t="s">
        <v>8</v>
      </c>
      <c r="H55" s="5" t="str">
        <f>IF(IF(Table4428[[#This Row],[Pre or Post]]="Pre",1,0)+IF(ISNUMBER(Table4428[[#This Row],[Response]])=TRUE,1,0)=2,1,"")</f>
        <v/>
      </c>
      <c r="I55" s="5">
        <f>IF(IF(Table4428[[#This Row],[Pre or Post]]="Post",1,0)+IF(ISNUMBER(Table4428[[#This Row],[Response]])=TRUE,1,0)=2,1,"")</f>
        <v>1</v>
      </c>
      <c r="J55" s="5" t="str">
        <f>IF(IF(Table4428[[#This Row],[Pre or Post]]="Pre",1,0)+IF(ISNUMBER(Table4428[[#This Row],[Response]])=TRUE,1,0)=2,Table4428[[#This Row],[Response]],"")</f>
        <v/>
      </c>
      <c r="K55" s="5">
        <f>IF(IF(Table4428[[#This Row],[Pre or Post]]="Post",1,0)+IF(ISNUMBER(Table4428[[#This Row],[Response]])=TRUE,1,0)=2,Table4428[[#This Row],[Response]],"")</f>
        <v>2</v>
      </c>
      <c r="L55" s="5" t="str">
        <f>IF(IF(ISNUMBER(J55),1,0)+IF(ISNUMBER(K56),1,0)=2,IF(IF(C56=C55,1,0)+IF(B56=B55,1,0)+IF(D56="Post",1,0)+IF(D55="Pre",1,0)=4,Table4428[[#This Row],[Pre Total]],""),"")</f>
        <v/>
      </c>
      <c r="M55" s="5">
        <f>IF(IF(ISNUMBER(J54),1,0)+IF(ISNUMBER(Table4428[[#This Row],[Post Total]]),1,0)=2,IF(IF(Table4428[[#This Row],[Student Number]]=C54,1,0)+IF(Table4428[[#This Row],[Session]]=B54,1,0)+IF(Table4428[[#This Row],[Pre or Post]]="Post",1,0)+IF(D54="Pre",1,0)=4,Table4428[[#This Row],[Post Total]],""),"")</f>
        <v>2</v>
      </c>
      <c r="N55" s="5">
        <f>IF(IF(ISNUMBER(J54),1,0)+IF(ISNUMBER(Table4428[[#This Row],[Post Total]]),1,0)=2,IF(IF(Table4428[[#This Row],[Student Number]]=C54,1,0)+IF(Table4428[[#This Row],[Session]]=B54,1,0)+IF(Table4428[[#This Row],[Pre or Post]]="Post",1,0)+IF(D54="Pre",1,0)=4,Table4428[[#This Row],[Post Total]]-J54,""),"")</f>
        <v>0</v>
      </c>
      <c r="O55" s="5" t="b">
        <f>ISNUMBER(Table4428[[#This Row],[Change]])</f>
        <v>1</v>
      </c>
    </row>
    <row r="56" spans="1:15">
      <c r="A56" s="2" t="s">
        <v>12</v>
      </c>
      <c r="B56" s="2" t="s">
        <v>21</v>
      </c>
      <c r="C56" s="1">
        <v>16</v>
      </c>
      <c r="D56" s="2" t="s">
        <v>6</v>
      </c>
      <c r="E56" s="1">
        <v>10</v>
      </c>
      <c r="F56" s="1">
        <v>3</v>
      </c>
      <c r="G56" s="2" t="s">
        <v>8</v>
      </c>
      <c r="H56" s="5">
        <f>IF(IF(Table4428[[#This Row],[Pre or Post]]="Pre",1,0)+IF(ISNUMBER(Table4428[[#This Row],[Response]])=TRUE,1,0)=2,1,"")</f>
        <v>1</v>
      </c>
      <c r="I56" s="5" t="str">
        <f>IF(IF(Table4428[[#This Row],[Pre or Post]]="Post",1,0)+IF(ISNUMBER(Table4428[[#This Row],[Response]])=TRUE,1,0)=2,1,"")</f>
        <v/>
      </c>
      <c r="J56" s="5">
        <f>IF(IF(Table4428[[#This Row],[Pre or Post]]="Pre",1,0)+IF(ISNUMBER(Table4428[[#This Row],[Response]])=TRUE,1,0)=2,Table4428[[#This Row],[Response]],"")</f>
        <v>3</v>
      </c>
      <c r="K56" s="5" t="str">
        <f>IF(IF(Table4428[[#This Row],[Pre or Post]]="Post",1,0)+IF(ISNUMBER(Table4428[[#This Row],[Response]])=TRUE,1,0)=2,Table4428[[#This Row],[Response]],"")</f>
        <v/>
      </c>
      <c r="L56" s="5">
        <f>IF(IF(ISNUMBER(J56),1,0)+IF(ISNUMBER(K57),1,0)=2,IF(IF(C57=C56,1,0)+IF(B57=B56,1,0)+IF(D57="Post",1,0)+IF(D56="Pre",1,0)=4,Table4428[[#This Row],[Pre Total]],""),"")</f>
        <v>3</v>
      </c>
      <c r="M56" s="5" t="str">
        <f>IF(IF(ISNUMBER(J55),1,0)+IF(ISNUMBER(Table4428[[#This Row],[Post Total]]),1,0)=2,IF(IF(Table4428[[#This Row],[Student Number]]=C55,1,0)+IF(Table4428[[#This Row],[Session]]=B55,1,0)+IF(Table4428[[#This Row],[Pre or Post]]="Post",1,0)+IF(D55="Pre",1,0)=4,Table4428[[#This Row],[Post Total]],""),"")</f>
        <v/>
      </c>
      <c r="N56" s="5" t="str">
        <f>IF(IF(ISNUMBER(J55),1,0)+IF(ISNUMBER(Table4428[[#This Row],[Post Total]]),1,0)=2,IF(IF(Table4428[[#This Row],[Student Number]]=C55,1,0)+IF(Table4428[[#This Row],[Session]]=B55,1,0)+IF(Table4428[[#This Row],[Pre or Post]]="Post",1,0)+IF(D55="Pre",1,0)=4,Table4428[[#This Row],[Post Total]]-J55,""),"")</f>
        <v/>
      </c>
      <c r="O56" s="5" t="b">
        <f>ISNUMBER(Table4428[[#This Row],[Change]])</f>
        <v>0</v>
      </c>
    </row>
    <row r="57" spans="1:15">
      <c r="A57" s="2" t="s">
        <v>12</v>
      </c>
      <c r="B57" s="2" t="s">
        <v>21</v>
      </c>
      <c r="C57" s="1">
        <v>16</v>
      </c>
      <c r="D57" s="2" t="s">
        <v>16</v>
      </c>
      <c r="E57" s="1">
        <v>3</v>
      </c>
      <c r="F57" s="1">
        <v>3</v>
      </c>
      <c r="G57" s="2" t="s">
        <v>8</v>
      </c>
      <c r="H57" s="5" t="str">
        <f>IF(IF(Table4428[[#This Row],[Pre or Post]]="Pre",1,0)+IF(ISNUMBER(Table4428[[#This Row],[Response]])=TRUE,1,0)=2,1,"")</f>
        <v/>
      </c>
      <c r="I57" s="5">
        <f>IF(IF(Table4428[[#This Row],[Pre or Post]]="Post",1,0)+IF(ISNUMBER(Table4428[[#This Row],[Response]])=TRUE,1,0)=2,1,"")</f>
        <v>1</v>
      </c>
      <c r="J57" s="5" t="str">
        <f>IF(IF(Table4428[[#This Row],[Pre or Post]]="Pre",1,0)+IF(ISNUMBER(Table4428[[#This Row],[Response]])=TRUE,1,0)=2,Table4428[[#This Row],[Response]],"")</f>
        <v/>
      </c>
      <c r="K57" s="5">
        <f>IF(IF(Table4428[[#This Row],[Pre or Post]]="Post",1,0)+IF(ISNUMBER(Table4428[[#This Row],[Response]])=TRUE,1,0)=2,Table4428[[#This Row],[Response]],"")</f>
        <v>3</v>
      </c>
      <c r="L57" s="5" t="str">
        <f>IF(IF(ISNUMBER(J57),1,0)+IF(ISNUMBER(K58),1,0)=2,IF(IF(C58=C57,1,0)+IF(B58=B57,1,0)+IF(D58="Post",1,0)+IF(D57="Pre",1,0)=4,Table4428[[#This Row],[Pre Total]],""),"")</f>
        <v/>
      </c>
      <c r="M57" s="5">
        <f>IF(IF(ISNUMBER(J56),1,0)+IF(ISNUMBER(Table4428[[#This Row],[Post Total]]),1,0)=2,IF(IF(Table4428[[#This Row],[Student Number]]=C56,1,0)+IF(Table4428[[#This Row],[Session]]=B56,1,0)+IF(Table4428[[#This Row],[Pre or Post]]="Post",1,0)+IF(D56="Pre",1,0)=4,Table4428[[#This Row],[Post Total]],""),"")</f>
        <v>3</v>
      </c>
      <c r="N57" s="5">
        <f>IF(IF(ISNUMBER(J56),1,0)+IF(ISNUMBER(Table4428[[#This Row],[Post Total]]),1,0)=2,IF(IF(Table4428[[#This Row],[Student Number]]=C56,1,0)+IF(Table4428[[#This Row],[Session]]=B56,1,0)+IF(Table4428[[#This Row],[Pre or Post]]="Post",1,0)+IF(D56="Pre",1,0)=4,Table4428[[#This Row],[Post Total]]-J56,""),"")</f>
        <v>0</v>
      </c>
      <c r="O57" s="5" t="b">
        <f>ISNUMBER(Table4428[[#This Row],[Change]])</f>
        <v>1</v>
      </c>
    </row>
    <row r="58" spans="1:15">
      <c r="A58" s="2" t="s">
        <v>12</v>
      </c>
      <c r="B58" s="2" t="s">
        <v>21</v>
      </c>
      <c r="C58" s="1">
        <v>17</v>
      </c>
      <c r="D58" s="2" t="s">
        <v>6</v>
      </c>
      <c r="E58" s="1">
        <v>10</v>
      </c>
      <c r="F58" s="1">
        <v>1</v>
      </c>
      <c r="G58" s="2" t="s">
        <v>8</v>
      </c>
      <c r="H58" s="5">
        <f>IF(IF(Table4428[[#This Row],[Pre or Post]]="Pre",1,0)+IF(ISNUMBER(Table4428[[#This Row],[Response]])=TRUE,1,0)=2,1,"")</f>
        <v>1</v>
      </c>
      <c r="I58" s="5" t="str">
        <f>IF(IF(Table4428[[#This Row],[Pre or Post]]="Post",1,0)+IF(ISNUMBER(Table4428[[#This Row],[Response]])=TRUE,1,0)=2,1,"")</f>
        <v/>
      </c>
      <c r="J58" s="5">
        <f>IF(IF(Table4428[[#This Row],[Pre or Post]]="Pre",1,0)+IF(ISNUMBER(Table4428[[#This Row],[Response]])=TRUE,1,0)=2,Table4428[[#This Row],[Response]],"")</f>
        <v>1</v>
      </c>
      <c r="K58" s="5" t="str">
        <f>IF(IF(Table4428[[#This Row],[Pre or Post]]="Post",1,0)+IF(ISNUMBER(Table4428[[#This Row],[Response]])=TRUE,1,0)=2,Table4428[[#This Row],[Response]],"")</f>
        <v/>
      </c>
      <c r="L58" s="5">
        <f>IF(IF(ISNUMBER(J58),1,0)+IF(ISNUMBER(K59),1,0)=2,IF(IF(C59=C58,1,0)+IF(B59=B58,1,0)+IF(D59="Post",1,0)+IF(D58="Pre",1,0)=4,Table4428[[#This Row],[Pre Total]],""),"")</f>
        <v>1</v>
      </c>
      <c r="M58" s="5" t="str">
        <f>IF(IF(ISNUMBER(J57),1,0)+IF(ISNUMBER(Table4428[[#This Row],[Post Total]]),1,0)=2,IF(IF(Table4428[[#This Row],[Student Number]]=C57,1,0)+IF(Table4428[[#This Row],[Session]]=B57,1,0)+IF(Table4428[[#This Row],[Pre or Post]]="Post",1,0)+IF(D57="Pre",1,0)=4,Table4428[[#This Row],[Post Total]],""),"")</f>
        <v/>
      </c>
      <c r="N58" s="5" t="str">
        <f>IF(IF(ISNUMBER(J57),1,0)+IF(ISNUMBER(Table4428[[#This Row],[Post Total]]),1,0)=2,IF(IF(Table4428[[#This Row],[Student Number]]=C57,1,0)+IF(Table4428[[#This Row],[Session]]=B57,1,0)+IF(Table4428[[#This Row],[Pre or Post]]="Post",1,0)+IF(D57="Pre",1,0)=4,Table4428[[#This Row],[Post Total]]-J57,""),"")</f>
        <v/>
      </c>
      <c r="O58" s="5" t="b">
        <f>ISNUMBER(Table4428[[#This Row],[Change]])</f>
        <v>0</v>
      </c>
    </row>
    <row r="59" spans="1:15">
      <c r="A59" s="2" t="s">
        <v>12</v>
      </c>
      <c r="B59" s="2" t="s">
        <v>21</v>
      </c>
      <c r="C59" s="1">
        <v>17</v>
      </c>
      <c r="D59" s="2" t="s">
        <v>16</v>
      </c>
      <c r="E59" s="1">
        <v>3</v>
      </c>
      <c r="F59" s="1">
        <v>1</v>
      </c>
      <c r="G59" s="2" t="s">
        <v>8</v>
      </c>
      <c r="H59" s="5" t="str">
        <f>IF(IF(Table4428[[#This Row],[Pre or Post]]="Pre",1,0)+IF(ISNUMBER(Table4428[[#This Row],[Response]])=TRUE,1,0)=2,1,"")</f>
        <v/>
      </c>
      <c r="I59" s="5">
        <f>IF(IF(Table4428[[#This Row],[Pre or Post]]="Post",1,0)+IF(ISNUMBER(Table4428[[#This Row],[Response]])=TRUE,1,0)=2,1,"")</f>
        <v>1</v>
      </c>
      <c r="J59" s="5" t="str">
        <f>IF(IF(Table4428[[#This Row],[Pre or Post]]="Pre",1,0)+IF(ISNUMBER(Table4428[[#This Row],[Response]])=TRUE,1,0)=2,Table4428[[#This Row],[Response]],"")</f>
        <v/>
      </c>
      <c r="K59" s="5">
        <f>IF(IF(Table4428[[#This Row],[Pre or Post]]="Post",1,0)+IF(ISNUMBER(Table4428[[#This Row],[Response]])=TRUE,1,0)=2,Table4428[[#This Row],[Response]],"")</f>
        <v>1</v>
      </c>
      <c r="L59" s="5" t="str">
        <f>IF(IF(ISNUMBER(J59),1,0)+IF(ISNUMBER(K60),1,0)=2,IF(IF(C60=C59,1,0)+IF(B60=B59,1,0)+IF(D60="Post",1,0)+IF(D59="Pre",1,0)=4,Table4428[[#This Row],[Pre Total]],""),"")</f>
        <v/>
      </c>
      <c r="M59" s="5">
        <f>IF(IF(ISNUMBER(J58),1,0)+IF(ISNUMBER(Table4428[[#This Row],[Post Total]]),1,0)=2,IF(IF(Table4428[[#This Row],[Student Number]]=C58,1,0)+IF(Table4428[[#This Row],[Session]]=B58,1,0)+IF(Table4428[[#This Row],[Pre or Post]]="Post",1,0)+IF(D58="Pre",1,0)=4,Table4428[[#This Row],[Post Total]],""),"")</f>
        <v>1</v>
      </c>
      <c r="N59" s="5">
        <f>IF(IF(ISNUMBER(J58),1,0)+IF(ISNUMBER(Table4428[[#This Row],[Post Total]]),1,0)=2,IF(IF(Table4428[[#This Row],[Student Number]]=C58,1,0)+IF(Table4428[[#This Row],[Session]]=B58,1,0)+IF(Table4428[[#This Row],[Pre or Post]]="Post",1,0)+IF(D58="Pre",1,0)=4,Table4428[[#This Row],[Post Total]]-J58,""),"")</f>
        <v>0</v>
      </c>
      <c r="O59" s="5" t="b">
        <f>ISNUMBER(Table4428[[#This Row],[Change]])</f>
        <v>1</v>
      </c>
    </row>
    <row r="60" spans="1:15">
      <c r="A60" s="2" t="s">
        <v>12</v>
      </c>
      <c r="B60" s="2" t="s">
        <v>21</v>
      </c>
      <c r="C60" s="1">
        <v>18</v>
      </c>
      <c r="D60" s="2" t="s">
        <v>6</v>
      </c>
      <c r="E60" s="1">
        <v>10</v>
      </c>
      <c r="F60" s="1">
        <v>5</v>
      </c>
      <c r="G60" s="2" t="s">
        <v>8</v>
      </c>
      <c r="H60" s="5">
        <f>IF(IF(Table4428[[#This Row],[Pre or Post]]="Pre",1,0)+IF(ISNUMBER(Table4428[[#This Row],[Response]])=TRUE,1,0)=2,1,"")</f>
        <v>1</v>
      </c>
      <c r="I60" s="5" t="str">
        <f>IF(IF(Table4428[[#This Row],[Pre or Post]]="Post",1,0)+IF(ISNUMBER(Table4428[[#This Row],[Response]])=TRUE,1,0)=2,1,"")</f>
        <v/>
      </c>
      <c r="J60" s="5">
        <f>IF(IF(Table4428[[#This Row],[Pre or Post]]="Pre",1,0)+IF(ISNUMBER(Table4428[[#This Row],[Response]])=TRUE,1,0)=2,Table4428[[#This Row],[Response]],"")</f>
        <v>5</v>
      </c>
      <c r="K60" s="5" t="str">
        <f>IF(IF(Table4428[[#This Row],[Pre or Post]]="Post",1,0)+IF(ISNUMBER(Table4428[[#This Row],[Response]])=TRUE,1,0)=2,Table4428[[#This Row],[Response]],"")</f>
        <v/>
      </c>
      <c r="L60" s="5">
        <f>IF(IF(ISNUMBER(J60),1,0)+IF(ISNUMBER(K61),1,0)=2,IF(IF(C61=C60,1,0)+IF(B61=B60,1,0)+IF(D61="Post",1,0)+IF(D60="Pre",1,0)=4,Table4428[[#This Row],[Pre Total]],""),"")</f>
        <v>5</v>
      </c>
      <c r="M60" s="5" t="str">
        <f>IF(IF(ISNUMBER(J59),1,0)+IF(ISNUMBER(Table4428[[#This Row],[Post Total]]),1,0)=2,IF(IF(Table4428[[#This Row],[Student Number]]=C59,1,0)+IF(Table4428[[#This Row],[Session]]=B59,1,0)+IF(Table4428[[#This Row],[Pre or Post]]="Post",1,0)+IF(D59="Pre",1,0)=4,Table4428[[#This Row],[Post Total]],""),"")</f>
        <v/>
      </c>
      <c r="N60" s="5" t="str">
        <f>IF(IF(ISNUMBER(J59),1,0)+IF(ISNUMBER(Table4428[[#This Row],[Post Total]]),1,0)=2,IF(IF(Table4428[[#This Row],[Student Number]]=C59,1,0)+IF(Table4428[[#This Row],[Session]]=B59,1,0)+IF(Table4428[[#This Row],[Pre or Post]]="Post",1,0)+IF(D59="Pre",1,0)=4,Table4428[[#This Row],[Post Total]]-J59,""),"")</f>
        <v/>
      </c>
      <c r="O60" s="5" t="b">
        <f>ISNUMBER(Table4428[[#This Row],[Change]])</f>
        <v>0</v>
      </c>
    </row>
    <row r="61" spans="1:15">
      <c r="A61" s="2" t="s">
        <v>12</v>
      </c>
      <c r="B61" s="2" t="s">
        <v>21</v>
      </c>
      <c r="C61" s="1">
        <v>18</v>
      </c>
      <c r="D61" s="2" t="s">
        <v>16</v>
      </c>
      <c r="E61" s="1">
        <v>3</v>
      </c>
      <c r="F61" s="1">
        <v>4</v>
      </c>
      <c r="G61" s="2" t="s">
        <v>8</v>
      </c>
      <c r="H61" s="5" t="str">
        <f>IF(IF(Table4428[[#This Row],[Pre or Post]]="Pre",1,0)+IF(ISNUMBER(Table4428[[#This Row],[Response]])=TRUE,1,0)=2,1,"")</f>
        <v/>
      </c>
      <c r="I61" s="5">
        <f>IF(IF(Table4428[[#This Row],[Pre or Post]]="Post",1,0)+IF(ISNUMBER(Table4428[[#This Row],[Response]])=TRUE,1,0)=2,1,"")</f>
        <v>1</v>
      </c>
      <c r="J61" s="5" t="str">
        <f>IF(IF(Table4428[[#This Row],[Pre or Post]]="Pre",1,0)+IF(ISNUMBER(Table4428[[#This Row],[Response]])=TRUE,1,0)=2,Table4428[[#This Row],[Response]],"")</f>
        <v/>
      </c>
      <c r="K61" s="5">
        <f>IF(IF(Table4428[[#This Row],[Pre or Post]]="Post",1,0)+IF(ISNUMBER(Table4428[[#This Row],[Response]])=TRUE,1,0)=2,Table4428[[#This Row],[Response]],"")</f>
        <v>4</v>
      </c>
      <c r="L61" s="5" t="str">
        <f>IF(IF(ISNUMBER(J61),1,0)+IF(ISNUMBER(K62),1,0)=2,IF(IF(C62=C61,1,0)+IF(B62=B61,1,0)+IF(D62="Post",1,0)+IF(D61="Pre",1,0)=4,Table4428[[#This Row],[Pre Total]],""),"")</f>
        <v/>
      </c>
      <c r="M61" s="5">
        <f>IF(IF(ISNUMBER(J60),1,0)+IF(ISNUMBER(Table4428[[#This Row],[Post Total]]),1,0)=2,IF(IF(Table4428[[#This Row],[Student Number]]=C60,1,0)+IF(Table4428[[#This Row],[Session]]=B60,1,0)+IF(Table4428[[#This Row],[Pre or Post]]="Post",1,0)+IF(D60="Pre",1,0)=4,Table4428[[#This Row],[Post Total]],""),"")</f>
        <v>4</v>
      </c>
      <c r="N61" s="5">
        <f>IF(IF(ISNUMBER(J60),1,0)+IF(ISNUMBER(Table4428[[#This Row],[Post Total]]),1,0)=2,IF(IF(Table4428[[#This Row],[Student Number]]=C60,1,0)+IF(Table4428[[#This Row],[Session]]=B60,1,0)+IF(Table4428[[#This Row],[Pre or Post]]="Post",1,0)+IF(D60="Pre",1,0)=4,Table4428[[#This Row],[Post Total]]-J60,""),"")</f>
        <v>-1</v>
      </c>
      <c r="O61" s="5" t="b">
        <f>ISNUMBER(Table4428[[#This Row],[Change]])</f>
        <v>1</v>
      </c>
    </row>
    <row r="62" spans="1:15">
      <c r="A62" s="2" t="s">
        <v>12</v>
      </c>
      <c r="B62" s="2" t="s">
        <v>21</v>
      </c>
      <c r="C62" s="1">
        <v>19</v>
      </c>
      <c r="D62" s="2" t="s">
        <v>6</v>
      </c>
      <c r="E62" s="1">
        <v>10</v>
      </c>
      <c r="F62" s="1">
        <v>3</v>
      </c>
      <c r="G62" s="2" t="s">
        <v>8</v>
      </c>
      <c r="H62" s="5">
        <f>IF(IF(Table4428[[#This Row],[Pre or Post]]="Pre",1,0)+IF(ISNUMBER(Table4428[[#This Row],[Response]])=TRUE,1,0)=2,1,"")</f>
        <v>1</v>
      </c>
      <c r="I62" s="5" t="str">
        <f>IF(IF(Table4428[[#This Row],[Pre or Post]]="Post",1,0)+IF(ISNUMBER(Table4428[[#This Row],[Response]])=TRUE,1,0)=2,1,"")</f>
        <v/>
      </c>
      <c r="J62" s="5">
        <f>IF(IF(Table4428[[#This Row],[Pre or Post]]="Pre",1,0)+IF(ISNUMBER(Table4428[[#This Row],[Response]])=TRUE,1,0)=2,Table4428[[#This Row],[Response]],"")</f>
        <v>3</v>
      </c>
      <c r="K62" s="5" t="str">
        <f>IF(IF(Table4428[[#This Row],[Pre or Post]]="Post",1,0)+IF(ISNUMBER(Table4428[[#This Row],[Response]])=TRUE,1,0)=2,Table4428[[#This Row],[Response]],"")</f>
        <v/>
      </c>
      <c r="L62" s="5">
        <f>IF(IF(ISNUMBER(J62),1,0)+IF(ISNUMBER(K63),1,0)=2,IF(IF(C63=C62,1,0)+IF(B63=B62,1,0)+IF(D63="Post",1,0)+IF(D62="Pre",1,0)=4,Table4428[[#This Row],[Pre Total]],""),"")</f>
        <v>3</v>
      </c>
      <c r="M62" s="5" t="str">
        <f>IF(IF(ISNUMBER(J61),1,0)+IF(ISNUMBER(Table4428[[#This Row],[Post Total]]),1,0)=2,IF(IF(Table4428[[#This Row],[Student Number]]=C61,1,0)+IF(Table4428[[#This Row],[Session]]=B61,1,0)+IF(Table4428[[#This Row],[Pre or Post]]="Post",1,0)+IF(D61="Pre",1,0)=4,Table4428[[#This Row],[Post Total]],""),"")</f>
        <v/>
      </c>
      <c r="N62" s="5" t="str">
        <f>IF(IF(ISNUMBER(J61),1,0)+IF(ISNUMBER(Table4428[[#This Row],[Post Total]]),1,0)=2,IF(IF(Table4428[[#This Row],[Student Number]]=C61,1,0)+IF(Table4428[[#This Row],[Session]]=B61,1,0)+IF(Table4428[[#This Row],[Pre or Post]]="Post",1,0)+IF(D61="Pre",1,0)=4,Table4428[[#This Row],[Post Total]]-J61,""),"")</f>
        <v/>
      </c>
      <c r="O62" s="5" t="b">
        <f>ISNUMBER(Table4428[[#This Row],[Change]])</f>
        <v>0</v>
      </c>
    </row>
    <row r="63" spans="1:15">
      <c r="A63" s="2" t="s">
        <v>12</v>
      </c>
      <c r="B63" s="2" t="s">
        <v>21</v>
      </c>
      <c r="C63" s="1">
        <v>19</v>
      </c>
      <c r="D63" s="2" t="s">
        <v>16</v>
      </c>
      <c r="E63" s="1">
        <v>3</v>
      </c>
      <c r="F63" s="1">
        <v>2</v>
      </c>
      <c r="G63" s="2" t="s">
        <v>8</v>
      </c>
      <c r="H63" s="5" t="str">
        <f>IF(IF(Table4428[[#This Row],[Pre or Post]]="Pre",1,0)+IF(ISNUMBER(Table4428[[#This Row],[Response]])=TRUE,1,0)=2,1,"")</f>
        <v/>
      </c>
      <c r="I63" s="5">
        <f>IF(IF(Table4428[[#This Row],[Pre or Post]]="Post",1,0)+IF(ISNUMBER(Table4428[[#This Row],[Response]])=TRUE,1,0)=2,1,"")</f>
        <v>1</v>
      </c>
      <c r="J63" s="5" t="str">
        <f>IF(IF(Table4428[[#This Row],[Pre or Post]]="Pre",1,0)+IF(ISNUMBER(Table4428[[#This Row],[Response]])=TRUE,1,0)=2,Table4428[[#This Row],[Response]],"")</f>
        <v/>
      </c>
      <c r="K63" s="5">
        <f>IF(IF(Table4428[[#This Row],[Pre or Post]]="Post",1,0)+IF(ISNUMBER(Table4428[[#This Row],[Response]])=TRUE,1,0)=2,Table4428[[#This Row],[Response]],"")</f>
        <v>2</v>
      </c>
      <c r="L63" s="5" t="str">
        <f>IF(IF(ISNUMBER(J63),1,0)+IF(ISNUMBER(K64),1,0)=2,IF(IF(C64=C63,1,0)+IF(B64=B63,1,0)+IF(D64="Post",1,0)+IF(D63="Pre",1,0)=4,Table4428[[#This Row],[Pre Total]],""),"")</f>
        <v/>
      </c>
      <c r="M63" s="5">
        <f>IF(IF(ISNUMBER(J62),1,0)+IF(ISNUMBER(Table4428[[#This Row],[Post Total]]),1,0)=2,IF(IF(Table4428[[#This Row],[Student Number]]=C62,1,0)+IF(Table4428[[#This Row],[Session]]=B62,1,0)+IF(Table4428[[#This Row],[Pre or Post]]="Post",1,0)+IF(D62="Pre",1,0)=4,Table4428[[#This Row],[Post Total]],""),"")</f>
        <v>2</v>
      </c>
      <c r="N63" s="5">
        <f>IF(IF(ISNUMBER(J62),1,0)+IF(ISNUMBER(Table4428[[#This Row],[Post Total]]),1,0)=2,IF(IF(Table4428[[#This Row],[Student Number]]=C62,1,0)+IF(Table4428[[#This Row],[Session]]=B62,1,0)+IF(Table4428[[#This Row],[Pre or Post]]="Post",1,0)+IF(D62="Pre",1,0)=4,Table4428[[#This Row],[Post Total]]-J62,""),"")</f>
        <v>-1</v>
      </c>
      <c r="O63" s="5" t="b">
        <f>ISNUMBER(Table4428[[#This Row],[Change]])</f>
        <v>1</v>
      </c>
    </row>
    <row r="64" spans="1:15">
      <c r="A64" s="2" t="s">
        <v>12</v>
      </c>
      <c r="B64" s="2" t="s">
        <v>21</v>
      </c>
      <c r="C64" s="1">
        <v>20</v>
      </c>
      <c r="D64" s="2" t="s">
        <v>6</v>
      </c>
      <c r="E64" s="1">
        <v>10</v>
      </c>
      <c r="F64" s="1">
        <v>3</v>
      </c>
      <c r="G64" s="2" t="s">
        <v>8</v>
      </c>
      <c r="H64" s="5">
        <f>IF(IF(Table4428[[#This Row],[Pre or Post]]="Pre",1,0)+IF(ISNUMBER(Table4428[[#This Row],[Response]])=TRUE,1,0)=2,1,"")</f>
        <v>1</v>
      </c>
      <c r="I64" s="5" t="str">
        <f>IF(IF(Table4428[[#This Row],[Pre or Post]]="Post",1,0)+IF(ISNUMBER(Table4428[[#This Row],[Response]])=TRUE,1,0)=2,1,"")</f>
        <v/>
      </c>
      <c r="J64" s="5">
        <f>IF(IF(Table4428[[#This Row],[Pre or Post]]="Pre",1,0)+IF(ISNUMBER(Table4428[[#This Row],[Response]])=TRUE,1,0)=2,Table4428[[#This Row],[Response]],"")</f>
        <v>3</v>
      </c>
      <c r="K64" s="5" t="str">
        <f>IF(IF(Table4428[[#This Row],[Pre or Post]]="Post",1,0)+IF(ISNUMBER(Table4428[[#This Row],[Response]])=TRUE,1,0)=2,Table4428[[#This Row],[Response]],"")</f>
        <v/>
      </c>
      <c r="L64" s="5">
        <f>IF(IF(ISNUMBER(J64),1,0)+IF(ISNUMBER(K65),1,0)=2,IF(IF(C65=C64,1,0)+IF(B65=B64,1,0)+IF(D65="Post",1,0)+IF(D64="Pre",1,0)=4,Table4428[[#This Row],[Pre Total]],""),"")</f>
        <v>3</v>
      </c>
      <c r="M64" s="5" t="str">
        <f>IF(IF(ISNUMBER(J63),1,0)+IF(ISNUMBER(Table4428[[#This Row],[Post Total]]),1,0)=2,IF(IF(Table4428[[#This Row],[Student Number]]=C63,1,0)+IF(Table4428[[#This Row],[Session]]=B63,1,0)+IF(Table4428[[#This Row],[Pre or Post]]="Post",1,0)+IF(D63="Pre",1,0)=4,Table4428[[#This Row],[Post Total]],""),"")</f>
        <v/>
      </c>
      <c r="N64" s="5" t="str">
        <f>IF(IF(ISNUMBER(J63),1,0)+IF(ISNUMBER(Table4428[[#This Row],[Post Total]]),1,0)=2,IF(IF(Table4428[[#This Row],[Student Number]]=C63,1,0)+IF(Table4428[[#This Row],[Session]]=B63,1,0)+IF(Table4428[[#This Row],[Pre or Post]]="Post",1,0)+IF(D63="Pre",1,0)=4,Table4428[[#This Row],[Post Total]]-J63,""),"")</f>
        <v/>
      </c>
      <c r="O64" s="5" t="b">
        <f>ISNUMBER(Table4428[[#This Row],[Change]])</f>
        <v>0</v>
      </c>
    </row>
    <row r="65" spans="1:15">
      <c r="A65" s="2" t="s">
        <v>12</v>
      </c>
      <c r="B65" s="2" t="s">
        <v>21</v>
      </c>
      <c r="C65" s="1">
        <v>20</v>
      </c>
      <c r="D65" s="2" t="s">
        <v>16</v>
      </c>
      <c r="E65" s="1">
        <v>3</v>
      </c>
      <c r="F65" s="1">
        <v>3</v>
      </c>
      <c r="G65" s="2" t="s">
        <v>8</v>
      </c>
      <c r="H65" s="5" t="str">
        <f>IF(IF(Table4428[[#This Row],[Pre or Post]]="Pre",1,0)+IF(ISNUMBER(Table4428[[#This Row],[Response]])=TRUE,1,0)=2,1,"")</f>
        <v/>
      </c>
      <c r="I65" s="5">
        <f>IF(IF(Table4428[[#This Row],[Pre or Post]]="Post",1,0)+IF(ISNUMBER(Table4428[[#This Row],[Response]])=TRUE,1,0)=2,1,"")</f>
        <v>1</v>
      </c>
      <c r="J65" s="5" t="str">
        <f>IF(IF(Table4428[[#This Row],[Pre or Post]]="Pre",1,0)+IF(ISNUMBER(Table4428[[#This Row],[Response]])=TRUE,1,0)=2,Table4428[[#This Row],[Response]],"")</f>
        <v/>
      </c>
      <c r="K65" s="5">
        <f>IF(IF(Table4428[[#This Row],[Pre or Post]]="Post",1,0)+IF(ISNUMBER(Table4428[[#This Row],[Response]])=TRUE,1,0)=2,Table4428[[#This Row],[Response]],"")</f>
        <v>3</v>
      </c>
      <c r="L65" s="5" t="str">
        <f>IF(IF(ISNUMBER(J65),1,0)+IF(ISNUMBER(K66),1,0)=2,IF(IF(C66=C65,1,0)+IF(B66=B65,1,0)+IF(D66="Post",1,0)+IF(D65="Pre",1,0)=4,Table4428[[#This Row],[Pre Total]],""),"")</f>
        <v/>
      </c>
      <c r="M65" s="5">
        <f>IF(IF(ISNUMBER(J64),1,0)+IF(ISNUMBER(Table4428[[#This Row],[Post Total]]),1,0)=2,IF(IF(Table4428[[#This Row],[Student Number]]=C64,1,0)+IF(Table4428[[#This Row],[Session]]=B64,1,0)+IF(Table4428[[#This Row],[Pre or Post]]="Post",1,0)+IF(D64="Pre",1,0)=4,Table4428[[#This Row],[Post Total]],""),"")</f>
        <v>3</v>
      </c>
      <c r="N65" s="5">
        <f>IF(IF(ISNUMBER(J64),1,0)+IF(ISNUMBER(Table4428[[#This Row],[Post Total]]),1,0)=2,IF(IF(Table4428[[#This Row],[Student Number]]=C64,1,0)+IF(Table4428[[#This Row],[Session]]=B64,1,0)+IF(Table4428[[#This Row],[Pre or Post]]="Post",1,0)+IF(D64="Pre",1,0)=4,Table4428[[#This Row],[Post Total]]-J64,""),"")</f>
        <v>0</v>
      </c>
      <c r="O65" s="5" t="b">
        <f>ISNUMBER(Table4428[[#This Row],[Change]])</f>
        <v>1</v>
      </c>
    </row>
    <row r="66" spans="1:15">
      <c r="A66" s="2" t="s">
        <v>12</v>
      </c>
      <c r="B66" s="2" t="s">
        <v>21</v>
      </c>
      <c r="C66" s="1">
        <v>21</v>
      </c>
      <c r="D66" s="2" t="s">
        <v>6</v>
      </c>
      <c r="E66" s="1">
        <v>10</v>
      </c>
      <c r="F66" s="1">
        <v>1</v>
      </c>
      <c r="G66" s="2" t="s">
        <v>8</v>
      </c>
      <c r="H66" s="5">
        <f>IF(IF(Table4428[[#This Row],[Pre or Post]]="Pre",1,0)+IF(ISNUMBER(Table4428[[#This Row],[Response]])=TRUE,1,0)=2,1,"")</f>
        <v>1</v>
      </c>
      <c r="I66" s="5" t="str">
        <f>IF(IF(Table4428[[#This Row],[Pre or Post]]="Post",1,0)+IF(ISNUMBER(Table4428[[#This Row],[Response]])=TRUE,1,0)=2,1,"")</f>
        <v/>
      </c>
      <c r="J66" s="5">
        <f>IF(IF(Table4428[[#This Row],[Pre or Post]]="Pre",1,0)+IF(ISNUMBER(Table4428[[#This Row],[Response]])=TRUE,1,0)=2,Table4428[[#This Row],[Response]],"")</f>
        <v>1</v>
      </c>
      <c r="K66" s="5" t="str">
        <f>IF(IF(Table4428[[#This Row],[Pre or Post]]="Post",1,0)+IF(ISNUMBER(Table4428[[#This Row],[Response]])=TRUE,1,0)=2,Table4428[[#This Row],[Response]],"")</f>
        <v/>
      </c>
      <c r="L66" s="5">
        <f>IF(IF(ISNUMBER(J66),1,0)+IF(ISNUMBER(K67),1,0)=2,IF(IF(C67=C66,1,0)+IF(B67=B66,1,0)+IF(D67="Post",1,0)+IF(D66="Pre",1,0)=4,Table4428[[#This Row],[Pre Total]],""),"")</f>
        <v>1</v>
      </c>
      <c r="M66" s="5" t="str">
        <f>IF(IF(ISNUMBER(J65),1,0)+IF(ISNUMBER(Table4428[[#This Row],[Post Total]]),1,0)=2,IF(IF(Table4428[[#This Row],[Student Number]]=C65,1,0)+IF(Table4428[[#This Row],[Session]]=B65,1,0)+IF(Table4428[[#This Row],[Pre or Post]]="Post",1,0)+IF(D65="Pre",1,0)=4,Table4428[[#This Row],[Post Total]],""),"")</f>
        <v/>
      </c>
      <c r="N66" s="5" t="str">
        <f>IF(IF(ISNUMBER(J65),1,0)+IF(ISNUMBER(Table4428[[#This Row],[Post Total]]),1,0)=2,IF(IF(Table4428[[#This Row],[Student Number]]=C65,1,0)+IF(Table4428[[#This Row],[Session]]=B65,1,0)+IF(Table4428[[#This Row],[Pre or Post]]="Post",1,0)+IF(D65="Pre",1,0)=4,Table4428[[#This Row],[Post Total]]-J65,""),"")</f>
        <v/>
      </c>
      <c r="O66" s="5" t="b">
        <f>ISNUMBER(Table4428[[#This Row],[Change]])</f>
        <v>0</v>
      </c>
    </row>
    <row r="67" spans="1:15">
      <c r="A67" s="2" t="s">
        <v>12</v>
      </c>
      <c r="B67" s="2" t="s">
        <v>21</v>
      </c>
      <c r="C67" s="1">
        <v>21</v>
      </c>
      <c r="D67" s="2" t="s">
        <v>16</v>
      </c>
      <c r="E67" s="1">
        <v>3</v>
      </c>
      <c r="F67" s="1">
        <v>1</v>
      </c>
      <c r="G67" s="2" t="s">
        <v>8</v>
      </c>
      <c r="H67" s="5" t="str">
        <f>IF(IF(Table4428[[#This Row],[Pre or Post]]="Pre",1,0)+IF(ISNUMBER(Table4428[[#This Row],[Response]])=TRUE,1,0)=2,1,"")</f>
        <v/>
      </c>
      <c r="I67" s="5">
        <f>IF(IF(Table4428[[#This Row],[Pre or Post]]="Post",1,0)+IF(ISNUMBER(Table4428[[#This Row],[Response]])=TRUE,1,0)=2,1,"")</f>
        <v>1</v>
      </c>
      <c r="J67" s="5" t="str">
        <f>IF(IF(Table4428[[#This Row],[Pre or Post]]="Pre",1,0)+IF(ISNUMBER(Table4428[[#This Row],[Response]])=TRUE,1,0)=2,Table4428[[#This Row],[Response]],"")</f>
        <v/>
      </c>
      <c r="K67" s="5">
        <f>IF(IF(Table4428[[#This Row],[Pre or Post]]="Post",1,0)+IF(ISNUMBER(Table4428[[#This Row],[Response]])=TRUE,1,0)=2,Table4428[[#This Row],[Response]],"")</f>
        <v>1</v>
      </c>
      <c r="L67" s="5" t="str">
        <f>IF(IF(ISNUMBER(J67),1,0)+IF(ISNUMBER(K68),1,0)=2,IF(IF(C68=C67,1,0)+IF(B68=B67,1,0)+IF(D68="Post",1,0)+IF(D67="Pre",1,0)=4,Table4428[[#This Row],[Pre Total]],""),"")</f>
        <v/>
      </c>
      <c r="M67" s="5">
        <f>IF(IF(ISNUMBER(J66),1,0)+IF(ISNUMBER(Table4428[[#This Row],[Post Total]]),1,0)=2,IF(IF(Table4428[[#This Row],[Student Number]]=C66,1,0)+IF(Table4428[[#This Row],[Session]]=B66,1,0)+IF(Table4428[[#This Row],[Pre or Post]]="Post",1,0)+IF(D66="Pre",1,0)=4,Table4428[[#This Row],[Post Total]],""),"")</f>
        <v>1</v>
      </c>
      <c r="N67" s="5">
        <f>IF(IF(ISNUMBER(J66),1,0)+IF(ISNUMBER(Table4428[[#This Row],[Post Total]]),1,0)=2,IF(IF(Table4428[[#This Row],[Student Number]]=C66,1,0)+IF(Table4428[[#This Row],[Session]]=B66,1,0)+IF(Table4428[[#This Row],[Pre or Post]]="Post",1,0)+IF(D66="Pre",1,0)=4,Table4428[[#This Row],[Post Total]]-J66,""),"")</f>
        <v>0</v>
      </c>
      <c r="O67" s="5" t="b">
        <f>ISNUMBER(Table4428[[#This Row],[Change]])</f>
        <v>1</v>
      </c>
    </row>
    <row r="68" spans="1:15">
      <c r="A68" s="2" t="s">
        <v>12</v>
      </c>
      <c r="B68" s="2" t="s">
        <v>21</v>
      </c>
      <c r="C68" s="1">
        <v>22</v>
      </c>
      <c r="D68" s="2" t="s">
        <v>6</v>
      </c>
      <c r="E68" s="1">
        <v>10</v>
      </c>
      <c r="F68" s="1">
        <v>5</v>
      </c>
      <c r="G68" s="2" t="s">
        <v>8</v>
      </c>
      <c r="H68" s="5">
        <f>IF(IF(Table4428[[#This Row],[Pre or Post]]="Pre",1,0)+IF(ISNUMBER(Table4428[[#This Row],[Response]])=TRUE,1,0)=2,1,"")</f>
        <v>1</v>
      </c>
      <c r="I68" s="5" t="str">
        <f>IF(IF(Table4428[[#This Row],[Pre or Post]]="Post",1,0)+IF(ISNUMBER(Table4428[[#This Row],[Response]])=TRUE,1,0)=2,1,"")</f>
        <v/>
      </c>
      <c r="J68" s="5">
        <f>IF(IF(Table4428[[#This Row],[Pre or Post]]="Pre",1,0)+IF(ISNUMBER(Table4428[[#This Row],[Response]])=TRUE,1,0)=2,Table4428[[#This Row],[Response]],"")</f>
        <v>5</v>
      </c>
      <c r="K68" s="5" t="str">
        <f>IF(IF(Table4428[[#This Row],[Pre or Post]]="Post",1,0)+IF(ISNUMBER(Table4428[[#This Row],[Response]])=TRUE,1,0)=2,Table4428[[#This Row],[Response]],"")</f>
        <v/>
      </c>
      <c r="L68" s="5">
        <f>IF(IF(ISNUMBER(J68),1,0)+IF(ISNUMBER(K69),1,0)=2,IF(IF(C69=C68,1,0)+IF(B69=B68,1,0)+IF(D69="Post",1,0)+IF(D68="Pre",1,0)=4,Table4428[[#This Row],[Pre Total]],""),"")</f>
        <v>5</v>
      </c>
      <c r="M68" s="5" t="str">
        <f>IF(IF(ISNUMBER(J67),1,0)+IF(ISNUMBER(Table4428[[#This Row],[Post Total]]),1,0)=2,IF(IF(Table4428[[#This Row],[Student Number]]=C67,1,0)+IF(Table4428[[#This Row],[Session]]=B67,1,0)+IF(Table4428[[#This Row],[Pre or Post]]="Post",1,0)+IF(D67="Pre",1,0)=4,Table4428[[#This Row],[Post Total]],""),"")</f>
        <v/>
      </c>
      <c r="N68" s="5" t="str">
        <f>IF(IF(ISNUMBER(J67),1,0)+IF(ISNUMBER(Table4428[[#This Row],[Post Total]]),1,0)=2,IF(IF(Table4428[[#This Row],[Student Number]]=C67,1,0)+IF(Table4428[[#This Row],[Session]]=B67,1,0)+IF(Table4428[[#This Row],[Pre or Post]]="Post",1,0)+IF(D67="Pre",1,0)=4,Table4428[[#This Row],[Post Total]]-J67,""),"")</f>
        <v/>
      </c>
      <c r="O68" s="5" t="b">
        <f>ISNUMBER(Table4428[[#This Row],[Change]])</f>
        <v>0</v>
      </c>
    </row>
    <row r="69" spans="1:15">
      <c r="A69" s="2" t="s">
        <v>12</v>
      </c>
      <c r="B69" s="2" t="s">
        <v>21</v>
      </c>
      <c r="C69" s="1">
        <v>22</v>
      </c>
      <c r="D69" s="2" t="s">
        <v>16</v>
      </c>
      <c r="E69" s="1">
        <v>3</v>
      </c>
      <c r="F69" s="1">
        <v>3</v>
      </c>
      <c r="G69" s="2" t="s">
        <v>8</v>
      </c>
      <c r="H69" s="5" t="str">
        <f>IF(IF(Table4428[[#This Row],[Pre or Post]]="Pre",1,0)+IF(ISNUMBER(Table4428[[#This Row],[Response]])=TRUE,1,0)=2,1,"")</f>
        <v/>
      </c>
      <c r="I69" s="5">
        <f>IF(IF(Table4428[[#This Row],[Pre or Post]]="Post",1,0)+IF(ISNUMBER(Table4428[[#This Row],[Response]])=TRUE,1,0)=2,1,"")</f>
        <v>1</v>
      </c>
      <c r="J69" s="5" t="str">
        <f>IF(IF(Table4428[[#This Row],[Pre or Post]]="Pre",1,0)+IF(ISNUMBER(Table4428[[#This Row],[Response]])=TRUE,1,0)=2,Table4428[[#This Row],[Response]],"")</f>
        <v/>
      </c>
      <c r="K69" s="5">
        <f>IF(IF(Table4428[[#This Row],[Pre or Post]]="Post",1,0)+IF(ISNUMBER(Table4428[[#This Row],[Response]])=TRUE,1,0)=2,Table4428[[#This Row],[Response]],"")</f>
        <v>3</v>
      </c>
      <c r="L69" s="5" t="str">
        <f>IF(IF(ISNUMBER(J69),1,0)+IF(ISNUMBER(K70),1,0)=2,IF(IF(C70=C69,1,0)+IF(B70=B69,1,0)+IF(D70="Post",1,0)+IF(D69="Pre",1,0)=4,Table4428[[#This Row],[Pre Total]],""),"")</f>
        <v/>
      </c>
      <c r="M69" s="5">
        <f>IF(IF(ISNUMBER(J68),1,0)+IF(ISNUMBER(Table4428[[#This Row],[Post Total]]),1,0)=2,IF(IF(Table4428[[#This Row],[Student Number]]=C68,1,0)+IF(Table4428[[#This Row],[Session]]=B68,1,0)+IF(Table4428[[#This Row],[Pre or Post]]="Post",1,0)+IF(D68="Pre",1,0)=4,Table4428[[#This Row],[Post Total]],""),"")</f>
        <v>3</v>
      </c>
      <c r="N69" s="5">
        <f>IF(IF(ISNUMBER(J68),1,0)+IF(ISNUMBER(Table4428[[#This Row],[Post Total]]),1,0)=2,IF(IF(Table4428[[#This Row],[Student Number]]=C68,1,0)+IF(Table4428[[#This Row],[Session]]=B68,1,0)+IF(Table4428[[#This Row],[Pre or Post]]="Post",1,0)+IF(D68="Pre",1,0)=4,Table4428[[#This Row],[Post Total]]-J68,""),"")</f>
        <v>-2</v>
      </c>
      <c r="O69" s="5" t="b">
        <f>ISNUMBER(Table4428[[#This Row],[Change]])</f>
        <v>1</v>
      </c>
    </row>
    <row r="70" spans="1:15">
      <c r="A70" s="2" t="s">
        <v>12</v>
      </c>
      <c r="B70" s="2" t="s">
        <v>21</v>
      </c>
      <c r="C70" s="1">
        <v>23</v>
      </c>
      <c r="D70" s="2" t="s">
        <v>6</v>
      </c>
      <c r="E70" s="1">
        <v>10</v>
      </c>
      <c r="F70" s="1">
        <v>3</v>
      </c>
      <c r="G70" s="2" t="s">
        <v>8</v>
      </c>
      <c r="H70" s="5">
        <f>IF(IF(Table4428[[#This Row],[Pre or Post]]="Pre",1,0)+IF(ISNUMBER(Table4428[[#This Row],[Response]])=TRUE,1,0)=2,1,"")</f>
        <v>1</v>
      </c>
      <c r="I70" s="5" t="str">
        <f>IF(IF(Table4428[[#This Row],[Pre or Post]]="Post",1,0)+IF(ISNUMBER(Table4428[[#This Row],[Response]])=TRUE,1,0)=2,1,"")</f>
        <v/>
      </c>
      <c r="J70" s="5">
        <f>IF(IF(Table4428[[#This Row],[Pre or Post]]="Pre",1,0)+IF(ISNUMBER(Table4428[[#This Row],[Response]])=TRUE,1,0)=2,Table4428[[#This Row],[Response]],"")</f>
        <v>3</v>
      </c>
      <c r="K70" s="5" t="str">
        <f>IF(IF(Table4428[[#This Row],[Pre or Post]]="Post",1,0)+IF(ISNUMBER(Table4428[[#This Row],[Response]])=TRUE,1,0)=2,Table4428[[#This Row],[Response]],"")</f>
        <v/>
      </c>
      <c r="L70" s="5">
        <f>IF(IF(ISNUMBER(J70),1,0)+IF(ISNUMBER(K71),1,0)=2,IF(IF(C71=C70,1,0)+IF(B71=B70,1,0)+IF(D71="Post",1,0)+IF(D70="Pre",1,0)=4,Table4428[[#This Row],[Pre Total]],""),"")</f>
        <v>3</v>
      </c>
      <c r="M70" s="5" t="str">
        <f>IF(IF(ISNUMBER(J69),1,0)+IF(ISNUMBER(Table4428[[#This Row],[Post Total]]),1,0)=2,IF(IF(Table4428[[#This Row],[Student Number]]=C69,1,0)+IF(Table4428[[#This Row],[Session]]=B69,1,0)+IF(Table4428[[#This Row],[Pre or Post]]="Post",1,0)+IF(D69="Pre",1,0)=4,Table4428[[#This Row],[Post Total]],""),"")</f>
        <v/>
      </c>
      <c r="N70" s="5" t="str">
        <f>IF(IF(ISNUMBER(J69),1,0)+IF(ISNUMBER(Table4428[[#This Row],[Post Total]]),1,0)=2,IF(IF(Table4428[[#This Row],[Student Number]]=C69,1,0)+IF(Table4428[[#This Row],[Session]]=B69,1,0)+IF(Table4428[[#This Row],[Pre or Post]]="Post",1,0)+IF(D69="Pre",1,0)=4,Table4428[[#This Row],[Post Total]]-J69,""),"")</f>
        <v/>
      </c>
      <c r="O70" s="5" t="b">
        <f>ISNUMBER(Table4428[[#This Row],[Change]])</f>
        <v>0</v>
      </c>
    </row>
    <row r="71" spans="1:15">
      <c r="A71" s="2" t="s">
        <v>12</v>
      </c>
      <c r="B71" s="2" t="s">
        <v>21</v>
      </c>
      <c r="C71" s="1">
        <v>23</v>
      </c>
      <c r="D71" s="2" t="s">
        <v>16</v>
      </c>
      <c r="E71" s="1">
        <v>3</v>
      </c>
      <c r="F71" s="1">
        <v>3</v>
      </c>
      <c r="G71" s="2" t="s">
        <v>8</v>
      </c>
      <c r="H71" s="5" t="str">
        <f>IF(IF(Table4428[[#This Row],[Pre or Post]]="Pre",1,0)+IF(ISNUMBER(Table4428[[#This Row],[Response]])=TRUE,1,0)=2,1,"")</f>
        <v/>
      </c>
      <c r="I71" s="5">
        <f>IF(IF(Table4428[[#This Row],[Pre or Post]]="Post",1,0)+IF(ISNUMBER(Table4428[[#This Row],[Response]])=TRUE,1,0)=2,1,"")</f>
        <v>1</v>
      </c>
      <c r="J71" s="5" t="str">
        <f>IF(IF(Table4428[[#This Row],[Pre or Post]]="Pre",1,0)+IF(ISNUMBER(Table4428[[#This Row],[Response]])=TRUE,1,0)=2,Table4428[[#This Row],[Response]],"")</f>
        <v/>
      </c>
      <c r="K71" s="5">
        <f>IF(IF(Table4428[[#This Row],[Pre or Post]]="Post",1,0)+IF(ISNUMBER(Table4428[[#This Row],[Response]])=TRUE,1,0)=2,Table4428[[#This Row],[Response]],"")</f>
        <v>3</v>
      </c>
      <c r="L71" s="5" t="str">
        <f>IF(IF(ISNUMBER(J71),1,0)+IF(ISNUMBER(K72),1,0)=2,IF(IF(C72=C71,1,0)+IF(B72=B71,1,0)+IF(D72="Post",1,0)+IF(D71="Pre",1,0)=4,Table4428[[#This Row],[Pre Total]],""),"")</f>
        <v/>
      </c>
      <c r="M71" s="5">
        <f>IF(IF(ISNUMBER(J70),1,0)+IF(ISNUMBER(Table4428[[#This Row],[Post Total]]),1,0)=2,IF(IF(Table4428[[#This Row],[Student Number]]=C70,1,0)+IF(Table4428[[#This Row],[Session]]=B70,1,0)+IF(Table4428[[#This Row],[Pre or Post]]="Post",1,0)+IF(D70="Pre",1,0)=4,Table4428[[#This Row],[Post Total]],""),"")</f>
        <v>3</v>
      </c>
      <c r="N71" s="5">
        <f>IF(IF(ISNUMBER(J70),1,0)+IF(ISNUMBER(Table4428[[#This Row],[Post Total]]),1,0)=2,IF(IF(Table4428[[#This Row],[Student Number]]=C70,1,0)+IF(Table4428[[#This Row],[Session]]=B70,1,0)+IF(Table4428[[#This Row],[Pre or Post]]="Post",1,0)+IF(D70="Pre",1,0)=4,Table4428[[#This Row],[Post Total]]-J70,""),"")</f>
        <v>0</v>
      </c>
      <c r="O71" s="5" t="b">
        <f>ISNUMBER(Table4428[[#This Row],[Change]])</f>
        <v>1</v>
      </c>
    </row>
    <row r="72" spans="1:15">
      <c r="A72" s="1" t="s">
        <v>12</v>
      </c>
      <c r="B72" s="1" t="s">
        <v>10</v>
      </c>
      <c r="C72" s="1">
        <v>1</v>
      </c>
      <c r="D72" s="1" t="s">
        <v>6</v>
      </c>
      <c r="E72" s="1">
        <v>10</v>
      </c>
      <c r="F72" s="1">
        <v>3</v>
      </c>
      <c r="G72" s="1" t="s">
        <v>8</v>
      </c>
      <c r="H72" s="5">
        <f>IF(IF(Table4428[[#This Row],[Pre or Post]]="Pre",1,0)+IF(ISNUMBER(Table4428[[#This Row],[Response]])=TRUE,1,0)=2,1,"")</f>
        <v>1</v>
      </c>
      <c r="I72" s="5" t="str">
        <f>IF(IF(Table4428[[#This Row],[Pre or Post]]="Post",1,0)+IF(ISNUMBER(Table4428[[#This Row],[Response]])=TRUE,1,0)=2,1,"")</f>
        <v/>
      </c>
      <c r="J72" s="5">
        <f>IF(IF(Table4428[[#This Row],[Pre or Post]]="Pre",1,0)+IF(ISNUMBER(Table4428[[#This Row],[Response]])=TRUE,1,0)=2,Table4428[[#This Row],[Response]],"")</f>
        <v>3</v>
      </c>
      <c r="K72" s="5" t="str">
        <f>IF(IF(Table4428[[#This Row],[Pre or Post]]="Post",1,0)+IF(ISNUMBER(Table4428[[#This Row],[Response]])=TRUE,1,0)=2,Table4428[[#This Row],[Response]],"")</f>
        <v/>
      </c>
      <c r="L72" s="5">
        <f>IF(IF(ISNUMBER(J72),1,0)+IF(ISNUMBER(K73),1,0)=2,IF(IF(C73=C72,1,0)+IF(B73=B72,1,0)+IF(D73="Post",1,0)+IF(D72="Pre",1,0)=4,Table4428[[#This Row],[Pre Total]],""),"")</f>
        <v>3</v>
      </c>
      <c r="M72" s="5" t="str">
        <f>IF(IF(ISNUMBER(J71),1,0)+IF(ISNUMBER(Table4428[[#This Row],[Post Total]]),1,0)=2,IF(IF(Table4428[[#This Row],[Student Number]]=C71,1,0)+IF(Table4428[[#This Row],[Session]]=B71,1,0)+IF(Table4428[[#This Row],[Pre or Post]]="Post",1,0)+IF(D71="Pre",1,0)=4,Table4428[[#This Row],[Post Total]],""),"")</f>
        <v/>
      </c>
      <c r="N72" s="6" t="str">
        <f>IF(IF(ISNUMBER(J71),1,0)+IF(ISNUMBER(Table4428[[#This Row],[Post Total]]),1,0)=2,IF(IF(Table4428[[#This Row],[Student Number]]=C71,1,0)+IF(Table4428[[#This Row],[Session]]=B71,1,0)+IF(Table4428[[#This Row],[Pre or Post]]="Post",1,0)+IF(D71="Pre",1,0)=4,Table4428[[#This Row],[Post Total]]-J71,""),"")</f>
        <v/>
      </c>
      <c r="O72" s="6" t="b">
        <f>ISNUMBER(Table4428[[#This Row],[Change]])</f>
        <v>0</v>
      </c>
    </row>
    <row r="73" spans="1:15">
      <c r="A73" s="1" t="s">
        <v>12</v>
      </c>
      <c r="B73" s="1" t="s">
        <v>10</v>
      </c>
      <c r="C73" s="1">
        <v>1</v>
      </c>
      <c r="D73" s="1" t="s">
        <v>16</v>
      </c>
      <c r="E73" s="1">
        <v>3</v>
      </c>
      <c r="F73" s="1">
        <v>3</v>
      </c>
      <c r="G73" s="1" t="s">
        <v>8</v>
      </c>
      <c r="H73" s="5" t="str">
        <f>IF(IF(Table4428[[#This Row],[Pre or Post]]="Pre",1,0)+IF(ISNUMBER(Table4428[[#This Row],[Response]])=TRUE,1,0)=2,1,"")</f>
        <v/>
      </c>
      <c r="I73" s="5">
        <f>IF(IF(Table4428[[#This Row],[Pre or Post]]="Post",1,0)+IF(ISNUMBER(Table4428[[#This Row],[Response]])=TRUE,1,0)=2,1,"")</f>
        <v>1</v>
      </c>
      <c r="J73" s="5" t="str">
        <f>IF(IF(Table4428[[#This Row],[Pre or Post]]="Pre",1,0)+IF(ISNUMBER(Table4428[[#This Row],[Response]])=TRUE,1,0)=2,Table4428[[#This Row],[Response]],"")</f>
        <v/>
      </c>
      <c r="K73" s="5">
        <f>IF(IF(Table4428[[#This Row],[Pre or Post]]="Post",1,0)+IF(ISNUMBER(Table4428[[#This Row],[Response]])=TRUE,1,0)=2,Table4428[[#This Row],[Response]],"")</f>
        <v>3</v>
      </c>
      <c r="L73" s="5" t="str">
        <f>IF(IF(ISNUMBER(J73),1,0)+IF(ISNUMBER(K74),1,0)=2,IF(IF(C74=C73,1,0)+IF(B74=B73,1,0)+IF(D74="Post",1,0)+IF(D73="Pre",1,0)=4,Table4428[[#This Row],[Pre Total]],""),"")</f>
        <v/>
      </c>
      <c r="M73" s="5">
        <f>IF(IF(ISNUMBER(J72),1,0)+IF(ISNUMBER(Table4428[[#This Row],[Post Total]]),1,0)=2,IF(IF(Table4428[[#This Row],[Student Number]]=C72,1,0)+IF(Table4428[[#This Row],[Session]]=B72,1,0)+IF(Table4428[[#This Row],[Pre or Post]]="Post",1,0)+IF(D72="Pre",1,0)=4,Table4428[[#This Row],[Post Total]],""),"")</f>
        <v>3</v>
      </c>
      <c r="N73" s="5">
        <f>IF(IF(ISNUMBER(J72),1,0)+IF(ISNUMBER(Table4428[[#This Row],[Post Total]]),1,0)=2,IF(IF(Table4428[[#This Row],[Student Number]]=C72,1,0)+IF(Table4428[[#This Row],[Session]]=B72,1,0)+IF(Table4428[[#This Row],[Pre or Post]]="Post",1,0)+IF(D72="Pre",1,0)=4,Table4428[[#This Row],[Post Total]]-J72,""),"")</f>
        <v>0</v>
      </c>
      <c r="O73" s="5" t="b">
        <f>ISNUMBER(Table4428[[#This Row],[Change]])</f>
        <v>1</v>
      </c>
    </row>
    <row r="74" spans="1:15">
      <c r="A74" s="1" t="s">
        <v>12</v>
      </c>
      <c r="B74" s="1" t="s">
        <v>10</v>
      </c>
      <c r="C74" s="1">
        <v>2</v>
      </c>
      <c r="D74" s="1" t="s">
        <v>6</v>
      </c>
      <c r="E74" s="1">
        <v>10</v>
      </c>
      <c r="F74" s="1">
        <v>3</v>
      </c>
      <c r="G74" s="1" t="s">
        <v>8</v>
      </c>
      <c r="H74" s="5">
        <f>IF(IF(Table4428[[#This Row],[Pre or Post]]="Pre",1,0)+IF(ISNUMBER(Table4428[[#This Row],[Response]])=TRUE,1,0)=2,1,"")</f>
        <v>1</v>
      </c>
      <c r="I74" s="5" t="str">
        <f>IF(IF(Table4428[[#This Row],[Pre or Post]]="Post",1,0)+IF(ISNUMBER(Table4428[[#This Row],[Response]])=TRUE,1,0)=2,1,"")</f>
        <v/>
      </c>
      <c r="J74" s="5">
        <f>IF(IF(Table4428[[#This Row],[Pre or Post]]="Pre",1,0)+IF(ISNUMBER(Table4428[[#This Row],[Response]])=TRUE,1,0)=2,Table4428[[#This Row],[Response]],"")</f>
        <v>3</v>
      </c>
      <c r="K74" s="5" t="str">
        <f>IF(IF(Table4428[[#This Row],[Pre or Post]]="Post",1,0)+IF(ISNUMBER(Table4428[[#This Row],[Response]])=TRUE,1,0)=2,Table4428[[#This Row],[Response]],"")</f>
        <v/>
      </c>
      <c r="L74" s="5">
        <f>IF(IF(ISNUMBER(J74),1,0)+IF(ISNUMBER(K75),1,0)=2,IF(IF(C75=C74,1,0)+IF(B75=B74,1,0)+IF(D75="Post",1,0)+IF(D74="Pre",1,0)=4,Table4428[[#This Row],[Pre Total]],""),"")</f>
        <v>3</v>
      </c>
      <c r="M74" s="5" t="str">
        <f>IF(IF(ISNUMBER(J73),1,0)+IF(ISNUMBER(Table4428[[#This Row],[Post Total]]),1,0)=2,IF(IF(Table4428[[#This Row],[Student Number]]=C73,1,0)+IF(Table4428[[#This Row],[Session]]=B73,1,0)+IF(Table4428[[#This Row],[Pre or Post]]="Post",1,0)+IF(D73="Pre",1,0)=4,Table4428[[#This Row],[Post Total]],""),"")</f>
        <v/>
      </c>
      <c r="N74" s="5" t="str">
        <f>IF(IF(ISNUMBER(J73),1,0)+IF(ISNUMBER(Table4428[[#This Row],[Post Total]]),1,0)=2,IF(IF(Table4428[[#This Row],[Student Number]]=C73,1,0)+IF(Table4428[[#This Row],[Session]]=B73,1,0)+IF(Table4428[[#This Row],[Pre or Post]]="Post",1,0)+IF(D73="Pre",1,0)=4,Table4428[[#This Row],[Post Total]]-J73,""),"")</f>
        <v/>
      </c>
      <c r="O74" s="5" t="b">
        <f>ISNUMBER(Table4428[[#This Row],[Change]])</f>
        <v>0</v>
      </c>
    </row>
    <row r="75" spans="1:15">
      <c r="A75" s="1" t="s">
        <v>12</v>
      </c>
      <c r="B75" s="1" t="s">
        <v>10</v>
      </c>
      <c r="C75" s="1">
        <v>2</v>
      </c>
      <c r="D75" s="1" t="s">
        <v>16</v>
      </c>
      <c r="E75" s="1">
        <v>3</v>
      </c>
      <c r="F75" s="1">
        <v>3</v>
      </c>
      <c r="G75" s="1" t="s">
        <v>8</v>
      </c>
      <c r="H75" s="5" t="str">
        <f>IF(IF(Table4428[[#This Row],[Pre or Post]]="Pre",1,0)+IF(ISNUMBER(Table4428[[#This Row],[Response]])=TRUE,1,0)=2,1,"")</f>
        <v/>
      </c>
      <c r="I75" s="5">
        <f>IF(IF(Table4428[[#This Row],[Pre or Post]]="Post",1,0)+IF(ISNUMBER(Table4428[[#This Row],[Response]])=TRUE,1,0)=2,1,"")</f>
        <v>1</v>
      </c>
      <c r="J75" s="5" t="str">
        <f>IF(IF(Table4428[[#This Row],[Pre or Post]]="Pre",1,0)+IF(ISNUMBER(Table4428[[#This Row],[Response]])=TRUE,1,0)=2,Table4428[[#This Row],[Response]],"")</f>
        <v/>
      </c>
      <c r="K75" s="5">
        <f>IF(IF(Table4428[[#This Row],[Pre or Post]]="Post",1,0)+IF(ISNUMBER(Table4428[[#This Row],[Response]])=TRUE,1,0)=2,Table4428[[#This Row],[Response]],"")</f>
        <v>3</v>
      </c>
      <c r="L75" s="5" t="str">
        <f>IF(IF(ISNUMBER(J75),1,0)+IF(ISNUMBER(K76),1,0)=2,IF(IF(C76=C75,1,0)+IF(B76=B75,1,0)+IF(D76="Post",1,0)+IF(D75="Pre",1,0)=4,Table4428[[#This Row],[Pre Total]],""),"")</f>
        <v/>
      </c>
      <c r="M75" s="5">
        <f>IF(IF(ISNUMBER(J74),1,0)+IF(ISNUMBER(Table4428[[#This Row],[Post Total]]),1,0)=2,IF(IF(Table4428[[#This Row],[Student Number]]=C74,1,0)+IF(Table4428[[#This Row],[Session]]=B74,1,0)+IF(Table4428[[#This Row],[Pre or Post]]="Post",1,0)+IF(D74="Pre",1,0)=4,Table4428[[#This Row],[Post Total]],""),"")</f>
        <v>3</v>
      </c>
      <c r="N75" s="5">
        <f>IF(IF(ISNUMBER(J74),1,0)+IF(ISNUMBER(Table4428[[#This Row],[Post Total]]),1,0)=2,IF(IF(Table4428[[#This Row],[Student Number]]=C74,1,0)+IF(Table4428[[#This Row],[Session]]=B74,1,0)+IF(Table4428[[#This Row],[Pre or Post]]="Post",1,0)+IF(D74="Pre",1,0)=4,Table4428[[#This Row],[Post Total]]-J74,""),"")</f>
        <v>0</v>
      </c>
      <c r="O75" s="5" t="b">
        <f>ISNUMBER(Table4428[[#This Row],[Change]])</f>
        <v>1</v>
      </c>
    </row>
    <row r="76" spans="1:15">
      <c r="A76" s="1" t="s">
        <v>12</v>
      </c>
      <c r="B76" s="1" t="s">
        <v>10</v>
      </c>
      <c r="C76" s="1">
        <v>3</v>
      </c>
      <c r="D76" s="1" t="s">
        <v>6</v>
      </c>
      <c r="E76" s="1">
        <v>10</v>
      </c>
      <c r="F76" s="1">
        <v>5</v>
      </c>
      <c r="G76" s="1" t="s">
        <v>8</v>
      </c>
      <c r="H76" s="5">
        <f>IF(IF(Table4428[[#This Row],[Pre or Post]]="Pre",1,0)+IF(ISNUMBER(Table4428[[#This Row],[Response]])=TRUE,1,0)=2,1,"")</f>
        <v>1</v>
      </c>
      <c r="I76" s="5" t="str">
        <f>IF(IF(Table4428[[#This Row],[Pre or Post]]="Post",1,0)+IF(ISNUMBER(Table4428[[#This Row],[Response]])=TRUE,1,0)=2,1,"")</f>
        <v/>
      </c>
      <c r="J76" s="5">
        <f>IF(IF(Table4428[[#This Row],[Pre or Post]]="Pre",1,0)+IF(ISNUMBER(Table4428[[#This Row],[Response]])=TRUE,1,0)=2,Table4428[[#This Row],[Response]],"")</f>
        <v>5</v>
      </c>
      <c r="K76" s="5" t="str">
        <f>IF(IF(Table4428[[#This Row],[Pre or Post]]="Post",1,0)+IF(ISNUMBER(Table4428[[#This Row],[Response]])=TRUE,1,0)=2,Table4428[[#This Row],[Response]],"")</f>
        <v/>
      </c>
      <c r="L76" s="5">
        <f>IF(IF(ISNUMBER(J76),1,0)+IF(ISNUMBER(K77),1,0)=2,IF(IF(C77=C76,1,0)+IF(B77=B76,1,0)+IF(D77="Post",1,0)+IF(D76="Pre",1,0)=4,Table4428[[#This Row],[Pre Total]],""),"")</f>
        <v>5</v>
      </c>
      <c r="M76" s="5" t="str">
        <f>IF(IF(ISNUMBER(J75),1,0)+IF(ISNUMBER(Table4428[[#This Row],[Post Total]]),1,0)=2,IF(IF(Table4428[[#This Row],[Student Number]]=C75,1,0)+IF(Table4428[[#This Row],[Session]]=B75,1,0)+IF(Table4428[[#This Row],[Pre or Post]]="Post",1,0)+IF(D75="Pre",1,0)=4,Table4428[[#This Row],[Post Total]],""),"")</f>
        <v/>
      </c>
      <c r="N76" s="5" t="str">
        <f>IF(IF(ISNUMBER(J75),1,0)+IF(ISNUMBER(Table4428[[#This Row],[Post Total]]),1,0)=2,IF(IF(Table4428[[#This Row],[Student Number]]=C75,1,0)+IF(Table4428[[#This Row],[Session]]=B75,1,0)+IF(Table4428[[#This Row],[Pre or Post]]="Post",1,0)+IF(D75="Pre",1,0)=4,Table4428[[#This Row],[Post Total]]-J75,""),"")</f>
        <v/>
      </c>
      <c r="O76" s="5" t="b">
        <f>ISNUMBER(Table4428[[#This Row],[Change]])</f>
        <v>0</v>
      </c>
    </row>
    <row r="77" spans="1:15">
      <c r="A77" s="1" t="s">
        <v>12</v>
      </c>
      <c r="B77" s="1" t="s">
        <v>10</v>
      </c>
      <c r="C77" s="1">
        <v>3</v>
      </c>
      <c r="D77" s="1" t="s">
        <v>16</v>
      </c>
      <c r="E77" s="1">
        <v>3</v>
      </c>
      <c r="F77" s="1">
        <v>5</v>
      </c>
      <c r="G77" s="1" t="s">
        <v>8</v>
      </c>
      <c r="H77" s="5" t="str">
        <f>IF(IF(Table4428[[#This Row],[Pre or Post]]="Pre",1,0)+IF(ISNUMBER(Table4428[[#This Row],[Response]])=TRUE,1,0)=2,1,"")</f>
        <v/>
      </c>
      <c r="I77" s="5">
        <f>IF(IF(Table4428[[#This Row],[Pre or Post]]="Post",1,0)+IF(ISNUMBER(Table4428[[#This Row],[Response]])=TRUE,1,0)=2,1,"")</f>
        <v>1</v>
      </c>
      <c r="J77" s="5" t="str">
        <f>IF(IF(Table4428[[#This Row],[Pre or Post]]="Pre",1,0)+IF(ISNUMBER(Table4428[[#This Row],[Response]])=TRUE,1,0)=2,Table4428[[#This Row],[Response]],"")</f>
        <v/>
      </c>
      <c r="K77" s="5">
        <f>IF(IF(Table4428[[#This Row],[Pre or Post]]="Post",1,0)+IF(ISNUMBER(Table4428[[#This Row],[Response]])=TRUE,1,0)=2,Table4428[[#This Row],[Response]],"")</f>
        <v>5</v>
      </c>
      <c r="L77" s="5" t="str">
        <f>IF(IF(ISNUMBER(J77),1,0)+IF(ISNUMBER(K78),1,0)=2,IF(IF(C78=C77,1,0)+IF(B78=B77,1,0)+IF(D78="Post",1,0)+IF(D77="Pre",1,0)=4,Table4428[[#This Row],[Pre Total]],""),"")</f>
        <v/>
      </c>
      <c r="M77" s="5">
        <f>IF(IF(ISNUMBER(J76),1,0)+IF(ISNUMBER(Table4428[[#This Row],[Post Total]]),1,0)=2,IF(IF(Table4428[[#This Row],[Student Number]]=C76,1,0)+IF(Table4428[[#This Row],[Session]]=B76,1,0)+IF(Table4428[[#This Row],[Pre or Post]]="Post",1,0)+IF(D76="Pre",1,0)=4,Table4428[[#This Row],[Post Total]],""),"")</f>
        <v>5</v>
      </c>
      <c r="N77" s="5">
        <f>IF(IF(ISNUMBER(J76),1,0)+IF(ISNUMBER(Table4428[[#This Row],[Post Total]]),1,0)=2,IF(IF(Table4428[[#This Row],[Student Number]]=C76,1,0)+IF(Table4428[[#This Row],[Session]]=B76,1,0)+IF(Table4428[[#This Row],[Pre or Post]]="Post",1,0)+IF(D76="Pre",1,0)=4,Table4428[[#This Row],[Post Total]]-J76,""),"")</f>
        <v>0</v>
      </c>
      <c r="O77" s="5" t="b">
        <f>ISNUMBER(Table4428[[#This Row],[Change]])</f>
        <v>1</v>
      </c>
    </row>
    <row r="78" spans="1:15">
      <c r="A78" s="1" t="s">
        <v>12</v>
      </c>
      <c r="B78" s="1" t="s">
        <v>10</v>
      </c>
      <c r="C78" s="1">
        <v>4</v>
      </c>
      <c r="D78" s="1" t="s">
        <v>6</v>
      </c>
      <c r="E78" s="1">
        <v>10</v>
      </c>
      <c r="F78" s="1">
        <v>4</v>
      </c>
      <c r="G78" s="1" t="s">
        <v>8</v>
      </c>
      <c r="H78" s="5">
        <f>IF(IF(Table4428[[#This Row],[Pre or Post]]="Pre",1,0)+IF(ISNUMBER(Table4428[[#This Row],[Response]])=TRUE,1,0)=2,1,"")</f>
        <v>1</v>
      </c>
      <c r="I78" s="5" t="str">
        <f>IF(IF(Table4428[[#This Row],[Pre or Post]]="Post",1,0)+IF(ISNUMBER(Table4428[[#This Row],[Response]])=TRUE,1,0)=2,1,"")</f>
        <v/>
      </c>
      <c r="J78" s="5">
        <f>IF(IF(Table4428[[#This Row],[Pre or Post]]="Pre",1,0)+IF(ISNUMBER(Table4428[[#This Row],[Response]])=TRUE,1,0)=2,Table4428[[#This Row],[Response]],"")</f>
        <v>4</v>
      </c>
      <c r="K78" s="5" t="str">
        <f>IF(IF(Table4428[[#This Row],[Pre or Post]]="Post",1,0)+IF(ISNUMBER(Table4428[[#This Row],[Response]])=TRUE,1,0)=2,Table4428[[#This Row],[Response]],"")</f>
        <v/>
      </c>
      <c r="L78" s="5">
        <f>IF(IF(ISNUMBER(J78),1,0)+IF(ISNUMBER(K79),1,0)=2,IF(IF(C79=C78,1,0)+IF(B79=B78,1,0)+IF(D79="Post",1,0)+IF(D78="Pre",1,0)=4,Table4428[[#This Row],[Pre Total]],""),"")</f>
        <v>4</v>
      </c>
      <c r="M78" s="5" t="str">
        <f>IF(IF(ISNUMBER(J77),1,0)+IF(ISNUMBER(Table4428[[#This Row],[Post Total]]),1,0)=2,IF(IF(Table4428[[#This Row],[Student Number]]=C77,1,0)+IF(Table4428[[#This Row],[Session]]=B77,1,0)+IF(Table4428[[#This Row],[Pre or Post]]="Post",1,0)+IF(D77="Pre",1,0)=4,Table4428[[#This Row],[Post Total]],""),"")</f>
        <v/>
      </c>
      <c r="N78" s="5" t="str">
        <f>IF(IF(ISNUMBER(J77),1,0)+IF(ISNUMBER(Table4428[[#This Row],[Post Total]]),1,0)=2,IF(IF(Table4428[[#This Row],[Student Number]]=C77,1,0)+IF(Table4428[[#This Row],[Session]]=B77,1,0)+IF(Table4428[[#This Row],[Pre or Post]]="Post",1,0)+IF(D77="Pre",1,0)=4,Table4428[[#This Row],[Post Total]]-J77,""),"")</f>
        <v/>
      </c>
      <c r="O78" s="5" t="b">
        <f>ISNUMBER(Table4428[[#This Row],[Change]])</f>
        <v>0</v>
      </c>
    </row>
    <row r="79" spans="1:15">
      <c r="A79" s="1" t="s">
        <v>12</v>
      </c>
      <c r="B79" s="1" t="s">
        <v>10</v>
      </c>
      <c r="C79" s="1">
        <v>4</v>
      </c>
      <c r="D79" s="1" t="s">
        <v>16</v>
      </c>
      <c r="E79" s="1">
        <v>3</v>
      </c>
      <c r="F79" s="1">
        <v>4</v>
      </c>
      <c r="G79" s="1" t="s">
        <v>8</v>
      </c>
      <c r="H79" s="5" t="str">
        <f>IF(IF(Table4428[[#This Row],[Pre or Post]]="Pre",1,0)+IF(ISNUMBER(Table4428[[#This Row],[Response]])=TRUE,1,0)=2,1,"")</f>
        <v/>
      </c>
      <c r="I79" s="5">
        <f>IF(IF(Table4428[[#This Row],[Pre or Post]]="Post",1,0)+IF(ISNUMBER(Table4428[[#This Row],[Response]])=TRUE,1,0)=2,1,"")</f>
        <v>1</v>
      </c>
      <c r="J79" s="5" t="str">
        <f>IF(IF(Table4428[[#This Row],[Pre or Post]]="Pre",1,0)+IF(ISNUMBER(Table4428[[#This Row],[Response]])=TRUE,1,0)=2,Table4428[[#This Row],[Response]],"")</f>
        <v/>
      </c>
      <c r="K79" s="5">
        <f>IF(IF(Table4428[[#This Row],[Pre or Post]]="Post",1,0)+IF(ISNUMBER(Table4428[[#This Row],[Response]])=TRUE,1,0)=2,Table4428[[#This Row],[Response]],"")</f>
        <v>4</v>
      </c>
      <c r="L79" s="5" t="str">
        <f>IF(IF(ISNUMBER(J79),1,0)+IF(ISNUMBER(K80),1,0)=2,IF(IF(C80=C79,1,0)+IF(B80=B79,1,0)+IF(D80="Post",1,0)+IF(D79="Pre",1,0)=4,Table4428[[#This Row],[Pre Total]],""),"")</f>
        <v/>
      </c>
      <c r="M79" s="5">
        <f>IF(IF(ISNUMBER(J78),1,0)+IF(ISNUMBER(Table4428[[#This Row],[Post Total]]),1,0)=2,IF(IF(Table4428[[#This Row],[Student Number]]=C78,1,0)+IF(Table4428[[#This Row],[Session]]=B78,1,0)+IF(Table4428[[#This Row],[Pre or Post]]="Post",1,0)+IF(D78="Pre",1,0)=4,Table4428[[#This Row],[Post Total]],""),"")</f>
        <v>4</v>
      </c>
      <c r="N79" s="5">
        <f>IF(IF(ISNUMBER(J78),1,0)+IF(ISNUMBER(Table4428[[#This Row],[Post Total]]),1,0)=2,IF(IF(Table4428[[#This Row],[Student Number]]=C78,1,0)+IF(Table4428[[#This Row],[Session]]=B78,1,0)+IF(Table4428[[#This Row],[Pre or Post]]="Post",1,0)+IF(D78="Pre",1,0)=4,Table4428[[#This Row],[Post Total]]-J78,""),"")</f>
        <v>0</v>
      </c>
      <c r="O79" s="5" t="b">
        <f>ISNUMBER(Table4428[[#This Row],[Change]])</f>
        <v>1</v>
      </c>
    </row>
    <row r="80" spans="1:15">
      <c r="A80" s="1" t="s">
        <v>12</v>
      </c>
      <c r="B80" s="1" t="s">
        <v>10</v>
      </c>
      <c r="C80" s="1">
        <v>5</v>
      </c>
      <c r="D80" s="1" t="s">
        <v>6</v>
      </c>
      <c r="E80" s="1">
        <v>10</v>
      </c>
      <c r="F80" s="1">
        <v>4</v>
      </c>
      <c r="G80" s="1" t="s">
        <v>8</v>
      </c>
      <c r="H80" s="5">
        <f>IF(IF(Table4428[[#This Row],[Pre or Post]]="Pre",1,0)+IF(ISNUMBER(Table4428[[#This Row],[Response]])=TRUE,1,0)=2,1,"")</f>
        <v>1</v>
      </c>
      <c r="I80" s="5" t="str">
        <f>IF(IF(Table4428[[#This Row],[Pre or Post]]="Post",1,0)+IF(ISNUMBER(Table4428[[#This Row],[Response]])=TRUE,1,0)=2,1,"")</f>
        <v/>
      </c>
      <c r="J80" s="5">
        <f>IF(IF(Table4428[[#This Row],[Pre or Post]]="Pre",1,0)+IF(ISNUMBER(Table4428[[#This Row],[Response]])=TRUE,1,0)=2,Table4428[[#This Row],[Response]],"")</f>
        <v>4</v>
      </c>
      <c r="K80" s="5" t="str">
        <f>IF(IF(Table4428[[#This Row],[Pre or Post]]="Post",1,0)+IF(ISNUMBER(Table4428[[#This Row],[Response]])=TRUE,1,0)=2,Table4428[[#This Row],[Response]],"")</f>
        <v/>
      </c>
      <c r="L80" s="5">
        <f>IF(IF(ISNUMBER(J80),1,0)+IF(ISNUMBER(K81),1,0)=2,IF(IF(C81=C80,1,0)+IF(B81=B80,1,0)+IF(D81="Post",1,0)+IF(D80="Pre",1,0)=4,Table4428[[#This Row],[Pre Total]],""),"")</f>
        <v>4</v>
      </c>
      <c r="M80" s="5" t="str">
        <f>IF(IF(ISNUMBER(J79),1,0)+IF(ISNUMBER(Table4428[[#This Row],[Post Total]]),1,0)=2,IF(IF(Table4428[[#This Row],[Student Number]]=C79,1,0)+IF(Table4428[[#This Row],[Session]]=B79,1,0)+IF(Table4428[[#This Row],[Pre or Post]]="Post",1,0)+IF(D79="Pre",1,0)=4,Table4428[[#This Row],[Post Total]],""),"")</f>
        <v/>
      </c>
      <c r="N80" s="5" t="str">
        <f>IF(IF(ISNUMBER(J79),1,0)+IF(ISNUMBER(Table4428[[#This Row],[Post Total]]),1,0)=2,IF(IF(Table4428[[#This Row],[Student Number]]=C79,1,0)+IF(Table4428[[#This Row],[Session]]=B79,1,0)+IF(Table4428[[#This Row],[Pre or Post]]="Post",1,0)+IF(D79="Pre",1,0)=4,Table4428[[#This Row],[Post Total]]-J79,""),"")</f>
        <v/>
      </c>
      <c r="O80" s="5" t="b">
        <f>ISNUMBER(Table4428[[#This Row],[Change]])</f>
        <v>0</v>
      </c>
    </row>
    <row r="81" spans="1:15">
      <c r="A81" s="1" t="s">
        <v>12</v>
      </c>
      <c r="B81" s="1" t="s">
        <v>10</v>
      </c>
      <c r="C81" s="1">
        <v>5</v>
      </c>
      <c r="D81" s="1" t="s">
        <v>16</v>
      </c>
      <c r="E81" s="1">
        <v>3</v>
      </c>
      <c r="F81" s="1">
        <v>4</v>
      </c>
      <c r="G81" s="1" t="s">
        <v>8</v>
      </c>
      <c r="H81" s="5" t="str">
        <f>IF(IF(Table4428[[#This Row],[Pre or Post]]="Pre",1,0)+IF(ISNUMBER(Table4428[[#This Row],[Response]])=TRUE,1,0)=2,1,"")</f>
        <v/>
      </c>
      <c r="I81" s="5">
        <f>IF(IF(Table4428[[#This Row],[Pre or Post]]="Post",1,0)+IF(ISNUMBER(Table4428[[#This Row],[Response]])=TRUE,1,0)=2,1,"")</f>
        <v>1</v>
      </c>
      <c r="J81" s="5" t="str">
        <f>IF(IF(Table4428[[#This Row],[Pre or Post]]="Pre",1,0)+IF(ISNUMBER(Table4428[[#This Row],[Response]])=TRUE,1,0)=2,Table4428[[#This Row],[Response]],"")</f>
        <v/>
      </c>
      <c r="K81" s="5">
        <f>IF(IF(Table4428[[#This Row],[Pre or Post]]="Post",1,0)+IF(ISNUMBER(Table4428[[#This Row],[Response]])=TRUE,1,0)=2,Table4428[[#This Row],[Response]],"")</f>
        <v>4</v>
      </c>
      <c r="L81" s="5" t="str">
        <f>IF(IF(ISNUMBER(J81),1,0)+IF(ISNUMBER(K82),1,0)=2,IF(IF(C82=C81,1,0)+IF(B82=B81,1,0)+IF(D82="Post",1,0)+IF(D81="Pre",1,0)=4,Table4428[[#This Row],[Pre Total]],""),"")</f>
        <v/>
      </c>
      <c r="M81" s="5">
        <f>IF(IF(ISNUMBER(J80),1,0)+IF(ISNUMBER(Table4428[[#This Row],[Post Total]]),1,0)=2,IF(IF(Table4428[[#This Row],[Student Number]]=C80,1,0)+IF(Table4428[[#This Row],[Session]]=B80,1,0)+IF(Table4428[[#This Row],[Pre or Post]]="Post",1,0)+IF(D80="Pre",1,0)=4,Table4428[[#This Row],[Post Total]],""),"")</f>
        <v>4</v>
      </c>
      <c r="N81" s="5">
        <f>IF(IF(ISNUMBER(J80),1,0)+IF(ISNUMBER(Table4428[[#This Row],[Post Total]]),1,0)=2,IF(IF(Table4428[[#This Row],[Student Number]]=C80,1,0)+IF(Table4428[[#This Row],[Session]]=B80,1,0)+IF(Table4428[[#This Row],[Pre or Post]]="Post",1,0)+IF(D80="Pre",1,0)=4,Table4428[[#This Row],[Post Total]]-J80,""),"")</f>
        <v>0</v>
      </c>
      <c r="O81" s="5" t="b">
        <f>ISNUMBER(Table4428[[#This Row],[Change]])</f>
        <v>1</v>
      </c>
    </row>
    <row r="82" spans="1:15">
      <c r="A82" s="1" t="s">
        <v>12</v>
      </c>
      <c r="B82" s="1" t="s">
        <v>10</v>
      </c>
      <c r="C82" s="1">
        <v>6</v>
      </c>
      <c r="D82" s="1" t="s">
        <v>6</v>
      </c>
      <c r="E82" s="1">
        <v>10</v>
      </c>
      <c r="F82" s="1">
        <v>4</v>
      </c>
      <c r="G82" s="1" t="s">
        <v>8</v>
      </c>
      <c r="H82" s="5">
        <f>IF(IF(Table4428[[#This Row],[Pre or Post]]="Pre",1,0)+IF(ISNUMBER(Table4428[[#This Row],[Response]])=TRUE,1,0)=2,1,"")</f>
        <v>1</v>
      </c>
      <c r="I82" s="5" t="str">
        <f>IF(IF(Table4428[[#This Row],[Pre or Post]]="Post",1,0)+IF(ISNUMBER(Table4428[[#This Row],[Response]])=TRUE,1,0)=2,1,"")</f>
        <v/>
      </c>
      <c r="J82" s="5">
        <f>IF(IF(Table4428[[#This Row],[Pre or Post]]="Pre",1,0)+IF(ISNUMBER(Table4428[[#This Row],[Response]])=TRUE,1,0)=2,Table4428[[#This Row],[Response]],"")</f>
        <v>4</v>
      </c>
      <c r="K82" s="5" t="str">
        <f>IF(IF(Table4428[[#This Row],[Pre or Post]]="Post",1,0)+IF(ISNUMBER(Table4428[[#This Row],[Response]])=TRUE,1,0)=2,Table4428[[#This Row],[Response]],"")</f>
        <v/>
      </c>
      <c r="L82" s="5">
        <f>IF(IF(ISNUMBER(J82),1,0)+IF(ISNUMBER(K83),1,0)=2,IF(IF(C83=C82,1,0)+IF(B83=B82,1,0)+IF(D83="Post",1,0)+IF(D82="Pre",1,0)=4,Table4428[[#This Row],[Pre Total]],""),"")</f>
        <v>4</v>
      </c>
      <c r="M82" s="5" t="str">
        <f>IF(IF(ISNUMBER(J81),1,0)+IF(ISNUMBER(Table4428[[#This Row],[Post Total]]),1,0)=2,IF(IF(Table4428[[#This Row],[Student Number]]=C81,1,0)+IF(Table4428[[#This Row],[Session]]=B81,1,0)+IF(Table4428[[#This Row],[Pre or Post]]="Post",1,0)+IF(D81="Pre",1,0)=4,Table4428[[#This Row],[Post Total]],""),"")</f>
        <v/>
      </c>
      <c r="N82" s="5" t="str">
        <f>IF(IF(ISNUMBER(J81),1,0)+IF(ISNUMBER(Table4428[[#This Row],[Post Total]]),1,0)=2,IF(IF(Table4428[[#This Row],[Student Number]]=C81,1,0)+IF(Table4428[[#This Row],[Session]]=B81,1,0)+IF(Table4428[[#This Row],[Pre or Post]]="Post",1,0)+IF(D81="Pre",1,0)=4,Table4428[[#This Row],[Post Total]]-J81,""),"")</f>
        <v/>
      </c>
      <c r="O82" s="5" t="b">
        <f>ISNUMBER(Table4428[[#This Row],[Change]])</f>
        <v>0</v>
      </c>
    </row>
    <row r="83" spans="1:15">
      <c r="A83" s="1" t="s">
        <v>12</v>
      </c>
      <c r="B83" s="1" t="s">
        <v>10</v>
      </c>
      <c r="C83" s="1">
        <v>6</v>
      </c>
      <c r="D83" s="1" t="s">
        <v>16</v>
      </c>
      <c r="E83" s="1">
        <v>3</v>
      </c>
      <c r="F83" s="1">
        <v>4</v>
      </c>
      <c r="G83" s="1" t="s">
        <v>8</v>
      </c>
      <c r="H83" s="5" t="str">
        <f>IF(IF(Table4428[[#This Row],[Pre or Post]]="Pre",1,0)+IF(ISNUMBER(Table4428[[#This Row],[Response]])=TRUE,1,0)=2,1,"")</f>
        <v/>
      </c>
      <c r="I83" s="5">
        <f>IF(IF(Table4428[[#This Row],[Pre or Post]]="Post",1,0)+IF(ISNUMBER(Table4428[[#This Row],[Response]])=TRUE,1,0)=2,1,"")</f>
        <v>1</v>
      </c>
      <c r="J83" s="5" t="str">
        <f>IF(IF(Table4428[[#This Row],[Pre or Post]]="Pre",1,0)+IF(ISNUMBER(Table4428[[#This Row],[Response]])=TRUE,1,0)=2,Table4428[[#This Row],[Response]],"")</f>
        <v/>
      </c>
      <c r="K83" s="5">
        <f>IF(IF(Table4428[[#This Row],[Pre or Post]]="Post",1,0)+IF(ISNUMBER(Table4428[[#This Row],[Response]])=TRUE,1,0)=2,Table4428[[#This Row],[Response]],"")</f>
        <v>4</v>
      </c>
      <c r="L83" s="5" t="str">
        <f>IF(IF(ISNUMBER(J83),1,0)+IF(ISNUMBER(K84),1,0)=2,IF(IF(C84=C83,1,0)+IF(B84=B83,1,0)+IF(D84="Post",1,0)+IF(D83="Pre",1,0)=4,Table4428[[#This Row],[Pre Total]],""),"")</f>
        <v/>
      </c>
      <c r="M83" s="5">
        <f>IF(IF(ISNUMBER(J82),1,0)+IF(ISNUMBER(Table4428[[#This Row],[Post Total]]),1,0)=2,IF(IF(Table4428[[#This Row],[Student Number]]=C82,1,0)+IF(Table4428[[#This Row],[Session]]=B82,1,0)+IF(Table4428[[#This Row],[Pre or Post]]="Post",1,0)+IF(D82="Pre",1,0)=4,Table4428[[#This Row],[Post Total]],""),"")</f>
        <v>4</v>
      </c>
      <c r="N83" s="5">
        <f>IF(IF(ISNUMBER(J82),1,0)+IF(ISNUMBER(Table4428[[#This Row],[Post Total]]),1,0)=2,IF(IF(Table4428[[#This Row],[Student Number]]=C82,1,0)+IF(Table4428[[#This Row],[Session]]=B82,1,0)+IF(Table4428[[#This Row],[Pre or Post]]="Post",1,0)+IF(D82="Pre",1,0)=4,Table4428[[#This Row],[Post Total]]-J82,""),"")</f>
        <v>0</v>
      </c>
      <c r="O83" s="5" t="b">
        <f>ISNUMBER(Table4428[[#This Row],[Change]])</f>
        <v>1</v>
      </c>
    </row>
    <row r="84" spans="1:15">
      <c r="A84" s="1" t="s">
        <v>12</v>
      </c>
      <c r="B84" s="1" t="s">
        <v>10</v>
      </c>
      <c r="C84" s="1">
        <v>7</v>
      </c>
      <c r="D84" s="1" t="s">
        <v>6</v>
      </c>
      <c r="E84" s="1">
        <v>10</v>
      </c>
      <c r="F84" s="1">
        <v>4</v>
      </c>
      <c r="G84" s="1" t="s">
        <v>8</v>
      </c>
      <c r="H84" s="5">
        <f>IF(IF(Table4428[[#This Row],[Pre or Post]]="Pre",1,0)+IF(ISNUMBER(Table4428[[#This Row],[Response]])=TRUE,1,0)=2,1,"")</f>
        <v>1</v>
      </c>
      <c r="I84" s="5" t="str">
        <f>IF(IF(Table4428[[#This Row],[Pre or Post]]="Post",1,0)+IF(ISNUMBER(Table4428[[#This Row],[Response]])=TRUE,1,0)=2,1,"")</f>
        <v/>
      </c>
      <c r="J84" s="5">
        <f>IF(IF(Table4428[[#This Row],[Pre or Post]]="Pre",1,0)+IF(ISNUMBER(Table4428[[#This Row],[Response]])=TRUE,1,0)=2,Table4428[[#This Row],[Response]],"")</f>
        <v>4</v>
      </c>
      <c r="K84" s="5" t="str">
        <f>IF(IF(Table4428[[#This Row],[Pre or Post]]="Post",1,0)+IF(ISNUMBER(Table4428[[#This Row],[Response]])=TRUE,1,0)=2,Table4428[[#This Row],[Response]],"")</f>
        <v/>
      </c>
      <c r="L84" s="5">
        <f>IF(IF(ISNUMBER(J84),1,0)+IF(ISNUMBER(K85),1,0)=2,IF(IF(C85=C84,1,0)+IF(B85=B84,1,0)+IF(D85="Post",1,0)+IF(D84="Pre",1,0)=4,Table4428[[#This Row],[Pre Total]],""),"")</f>
        <v>4</v>
      </c>
      <c r="M84" s="5" t="str">
        <f>IF(IF(ISNUMBER(J83),1,0)+IF(ISNUMBER(Table4428[[#This Row],[Post Total]]),1,0)=2,IF(IF(Table4428[[#This Row],[Student Number]]=C83,1,0)+IF(Table4428[[#This Row],[Session]]=B83,1,0)+IF(Table4428[[#This Row],[Pre or Post]]="Post",1,0)+IF(D83="Pre",1,0)=4,Table4428[[#This Row],[Post Total]],""),"")</f>
        <v/>
      </c>
      <c r="N84" s="5" t="str">
        <f>IF(IF(ISNUMBER(J83),1,0)+IF(ISNUMBER(Table4428[[#This Row],[Post Total]]),1,0)=2,IF(IF(Table4428[[#This Row],[Student Number]]=C83,1,0)+IF(Table4428[[#This Row],[Session]]=B83,1,0)+IF(Table4428[[#This Row],[Pre or Post]]="Post",1,0)+IF(D83="Pre",1,0)=4,Table4428[[#This Row],[Post Total]]-J83,""),"")</f>
        <v/>
      </c>
      <c r="O84" s="5" t="b">
        <f>ISNUMBER(Table4428[[#This Row],[Change]])</f>
        <v>0</v>
      </c>
    </row>
    <row r="85" spans="1:15">
      <c r="A85" s="1" t="s">
        <v>12</v>
      </c>
      <c r="B85" s="1" t="s">
        <v>10</v>
      </c>
      <c r="C85" s="1">
        <v>7</v>
      </c>
      <c r="D85" s="1" t="s">
        <v>16</v>
      </c>
      <c r="E85" s="1">
        <v>3</v>
      </c>
      <c r="F85" s="1">
        <v>5</v>
      </c>
      <c r="G85" s="1" t="s">
        <v>8</v>
      </c>
      <c r="H85" s="5" t="str">
        <f>IF(IF(Table4428[[#This Row],[Pre or Post]]="Pre",1,0)+IF(ISNUMBER(Table4428[[#This Row],[Response]])=TRUE,1,0)=2,1,"")</f>
        <v/>
      </c>
      <c r="I85" s="5">
        <f>IF(IF(Table4428[[#This Row],[Pre or Post]]="Post",1,0)+IF(ISNUMBER(Table4428[[#This Row],[Response]])=TRUE,1,0)=2,1,"")</f>
        <v>1</v>
      </c>
      <c r="J85" s="5" t="str">
        <f>IF(IF(Table4428[[#This Row],[Pre or Post]]="Pre",1,0)+IF(ISNUMBER(Table4428[[#This Row],[Response]])=TRUE,1,0)=2,Table4428[[#This Row],[Response]],"")</f>
        <v/>
      </c>
      <c r="K85" s="5">
        <f>IF(IF(Table4428[[#This Row],[Pre or Post]]="Post",1,0)+IF(ISNUMBER(Table4428[[#This Row],[Response]])=TRUE,1,0)=2,Table4428[[#This Row],[Response]],"")</f>
        <v>5</v>
      </c>
      <c r="L85" s="5" t="str">
        <f>IF(IF(ISNUMBER(J85),1,0)+IF(ISNUMBER(K86),1,0)=2,IF(IF(C86=C85,1,0)+IF(B86=B85,1,0)+IF(D86="Post",1,0)+IF(D85="Pre",1,0)=4,Table4428[[#This Row],[Pre Total]],""),"")</f>
        <v/>
      </c>
      <c r="M85" s="5">
        <f>IF(IF(ISNUMBER(J84),1,0)+IF(ISNUMBER(Table4428[[#This Row],[Post Total]]),1,0)=2,IF(IF(Table4428[[#This Row],[Student Number]]=C84,1,0)+IF(Table4428[[#This Row],[Session]]=B84,1,0)+IF(Table4428[[#This Row],[Pre or Post]]="Post",1,0)+IF(D84="Pre",1,0)=4,Table4428[[#This Row],[Post Total]],""),"")</f>
        <v>5</v>
      </c>
      <c r="N85" s="5">
        <f>IF(IF(ISNUMBER(J84),1,0)+IF(ISNUMBER(Table4428[[#This Row],[Post Total]]),1,0)=2,IF(IF(Table4428[[#This Row],[Student Number]]=C84,1,0)+IF(Table4428[[#This Row],[Session]]=B84,1,0)+IF(Table4428[[#This Row],[Pre or Post]]="Post",1,0)+IF(D84="Pre",1,0)=4,Table4428[[#This Row],[Post Total]]-J84,""),"")</f>
        <v>1</v>
      </c>
      <c r="O85" s="5" t="b">
        <f>ISNUMBER(Table4428[[#This Row],[Change]])</f>
        <v>1</v>
      </c>
    </row>
    <row r="86" spans="1:15">
      <c r="A86" s="1" t="s">
        <v>12</v>
      </c>
      <c r="B86" s="1" t="s">
        <v>10</v>
      </c>
      <c r="C86" s="1">
        <v>8</v>
      </c>
      <c r="D86" s="1" t="s">
        <v>6</v>
      </c>
      <c r="E86" s="1">
        <v>10</v>
      </c>
      <c r="F86" s="1">
        <v>4</v>
      </c>
      <c r="G86" s="1" t="s">
        <v>8</v>
      </c>
      <c r="H86" s="5">
        <f>IF(IF(Table4428[[#This Row],[Pre or Post]]="Pre",1,0)+IF(ISNUMBER(Table4428[[#This Row],[Response]])=TRUE,1,0)=2,1,"")</f>
        <v>1</v>
      </c>
      <c r="I86" s="5" t="str">
        <f>IF(IF(Table4428[[#This Row],[Pre or Post]]="Post",1,0)+IF(ISNUMBER(Table4428[[#This Row],[Response]])=TRUE,1,0)=2,1,"")</f>
        <v/>
      </c>
      <c r="J86" s="5">
        <f>IF(IF(Table4428[[#This Row],[Pre or Post]]="Pre",1,0)+IF(ISNUMBER(Table4428[[#This Row],[Response]])=TRUE,1,0)=2,Table4428[[#This Row],[Response]],"")</f>
        <v>4</v>
      </c>
      <c r="K86" s="5" t="str">
        <f>IF(IF(Table4428[[#This Row],[Pre or Post]]="Post",1,0)+IF(ISNUMBER(Table4428[[#This Row],[Response]])=TRUE,1,0)=2,Table4428[[#This Row],[Response]],"")</f>
        <v/>
      </c>
      <c r="L86" s="5">
        <f>IF(IF(ISNUMBER(J86),1,0)+IF(ISNUMBER(K87),1,0)=2,IF(IF(C87=C86,1,0)+IF(B87=B86,1,0)+IF(D87="Post",1,0)+IF(D86="Pre",1,0)=4,Table4428[[#This Row],[Pre Total]],""),"")</f>
        <v>4</v>
      </c>
      <c r="M86" s="5" t="str">
        <f>IF(IF(ISNUMBER(J85),1,0)+IF(ISNUMBER(Table4428[[#This Row],[Post Total]]),1,0)=2,IF(IF(Table4428[[#This Row],[Student Number]]=C85,1,0)+IF(Table4428[[#This Row],[Session]]=B85,1,0)+IF(Table4428[[#This Row],[Pre or Post]]="Post",1,0)+IF(D85="Pre",1,0)=4,Table4428[[#This Row],[Post Total]],""),"")</f>
        <v/>
      </c>
      <c r="N86" s="5" t="str">
        <f>IF(IF(ISNUMBER(J85),1,0)+IF(ISNUMBER(Table4428[[#This Row],[Post Total]]),1,0)=2,IF(IF(Table4428[[#This Row],[Student Number]]=C85,1,0)+IF(Table4428[[#This Row],[Session]]=B85,1,0)+IF(Table4428[[#This Row],[Pre or Post]]="Post",1,0)+IF(D85="Pre",1,0)=4,Table4428[[#This Row],[Post Total]]-J85,""),"")</f>
        <v/>
      </c>
      <c r="O86" s="5" t="b">
        <f>ISNUMBER(Table4428[[#This Row],[Change]])</f>
        <v>0</v>
      </c>
    </row>
    <row r="87" spans="1:15">
      <c r="A87" s="1" t="s">
        <v>12</v>
      </c>
      <c r="B87" s="1" t="s">
        <v>10</v>
      </c>
      <c r="C87" s="1">
        <v>8</v>
      </c>
      <c r="D87" s="1" t="s">
        <v>16</v>
      </c>
      <c r="E87" s="1">
        <v>3</v>
      </c>
      <c r="F87" s="1">
        <v>4</v>
      </c>
      <c r="G87" s="1" t="s">
        <v>8</v>
      </c>
      <c r="H87" s="5" t="str">
        <f>IF(IF(Table4428[[#This Row],[Pre or Post]]="Pre",1,0)+IF(ISNUMBER(Table4428[[#This Row],[Response]])=TRUE,1,0)=2,1,"")</f>
        <v/>
      </c>
      <c r="I87" s="5">
        <f>IF(IF(Table4428[[#This Row],[Pre or Post]]="Post",1,0)+IF(ISNUMBER(Table4428[[#This Row],[Response]])=TRUE,1,0)=2,1,"")</f>
        <v>1</v>
      </c>
      <c r="J87" s="5" t="str">
        <f>IF(IF(Table4428[[#This Row],[Pre or Post]]="Pre",1,0)+IF(ISNUMBER(Table4428[[#This Row],[Response]])=TRUE,1,0)=2,Table4428[[#This Row],[Response]],"")</f>
        <v/>
      </c>
      <c r="K87" s="5">
        <f>IF(IF(Table4428[[#This Row],[Pre or Post]]="Post",1,0)+IF(ISNUMBER(Table4428[[#This Row],[Response]])=TRUE,1,0)=2,Table4428[[#This Row],[Response]],"")</f>
        <v>4</v>
      </c>
      <c r="L87" s="5" t="str">
        <f>IF(IF(ISNUMBER(J87),1,0)+IF(ISNUMBER(K88),1,0)=2,IF(IF(C88=C87,1,0)+IF(B88=B87,1,0)+IF(D88="Post",1,0)+IF(D87="Pre",1,0)=4,Table4428[[#This Row],[Pre Total]],""),"")</f>
        <v/>
      </c>
      <c r="M87" s="5">
        <f>IF(IF(ISNUMBER(J86),1,0)+IF(ISNUMBER(Table4428[[#This Row],[Post Total]]),1,0)=2,IF(IF(Table4428[[#This Row],[Student Number]]=C86,1,0)+IF(Table4428[[#This Row],[Session]]=B86,1,0)+IF(Table4428[[#This Row],[Pre or Post]]="Post",1,0)+IF(D86="Pre",1,0)=4,Table4428[[#This Row],[Post Total]],""),"")</f>
        <v>4</v>
      </c>
      <c r="N87" s="5">
        <f>IF(IF(ISNUMBER(J86),1,0)+IF(ISNUMBER(Table4428[[#This Row],[Post Total]]),1,0)=2,IF(IF(Table4428[[#This Row],[Student Number]]=C86,1,0)+IF(Table4428[[#This Row],[Session]]=B86,1,0)+IF(Table4428[[#This Row],[Pre or Post]]="Post",1,0)+IF(D86="Pre",1,0)=4,Table4428[[#This Row],[Post Total]]-J86,""),"")</f>
        <v>0</v>
      </c>
      <c r="O87" s="5" t="b">
        <f>ISNUMBER(Table4428[[#This Row],[Change]])</f>
        <v>1</v>
      </c>
    </row>
    <row r="88" spans="1:15">
      <c r="A88" s="1" t="s">
        <v>12</v>
      </c>
      <c r="B88" s="1" t="s">
        <v>10</v>
      </c>
      <c r="C88" s="1">
        <v>9</v>
      </c>
      <c r="D88" s="1" t="s">
        <v>6</v>
      </c>
      <c r="E88" s="1">
        <v>10</v>
      </c>
      <c r="F88" s="1">
        <v>3</v>
      </c>
      <c r="G88" s="1" t="s">
        <v>8</v>
      </c>
      <c r="H88" s="5">
        <f>IF(IF(Table4428[[#This Row],[Pre or Post]]="Pre",1,0)+IF(ISNUMBER(Table4428[[#This Row],[Response]])=TRUE,1,0)=2,1,"")</f>
        <v>1</v>
      </c>
      <c r="I88" s="5" t="str">
        <f>IF(IF(Table4428[[#This Row],[Pre or Post]]="Post",1,0)+IF(ISNUMBER(Table4428[[#This Row],[Response]])=TRUE,1,0)=2,1,"")</f>
        <v/>
      </c>
      <c r="J88" s="5">
        <f>IF(IF(Table4428[[#This Row],[Pre or Post]]="Pre",1,0)+IF(ISNUMBER(Table4428[[#This Row],[Response]])=TRUE,1,0)=2,Table4428[[#This Row],[Response]],"")</f>
        <v>3</v>
      </c>
      <c r="K88" s="5" t="str">
        <f>IF(IF(Table4428[[#This Row],[Pre or Post]]="Post",1,0)+IF(ISNUMBER(Table4428[[#This Row],[Response]])=TRUE,1,0)=2,Table4428[[#This Row],[Response]],"")</f>
        <v/>
      </c>
      <c r="L88" s="5">
        <f>IF(IF(ISNUMBER(J88),1,0)+IF(ISNUMBER(K89),1,0)=2,IF(IF(C89=C88,1,0)+IF(B89=B88,1,0)+IF(D89="Post",1,0)+IF(D88="Pre",1,0)=4,Table4428[[#This Row],[Pre Total]],""),"")</f>
        <v>3</v>
      </c>
      <c r="M88" s="5" t="str">
        <f>IF(IF(ISNUMBER(J87),1,0)+IF(ISNUMBER(Table4428[[#This Row],[Post Total]]),1,0)=2,IF(IF(Table4428[[#This Row],[Student Number]]=C87,1,0)+IF(Table4428[[#This Row],[Session]]=B87,1,0)+IF(Table4428[[#This Row],[Pre or Post]]="Post",1,0)+IF(D87="Pre",1,0)=4,Table4428[[#This Row],[Post Total]],""),"")</f>
        <v/>
      </c>
      <c r="N88" s="5" t="str">
        <f>IF(IF(ISNUMBER(J87),1,0)+IF(ISNUMBER(Table4428[[#This Row],[Post Total]]),1,0)=2,IF(IF(Table4428[[#This Row],[Student Number]]=C87,1,0)+IF(Table4428[[#This Row],[Session]]=B87,1,0)+IF(Table4428[[#This Row],[Pre or Post]]="Post",1,0)+IF(D87="Pre",1,0)=4,Table4428[[#This Row],[Post Total]]-J87,""),"")</f>
        <v/>
      </c>
      <c r="O88" s="5" t="b">
        <f>ISNUMBER(Table4428[[#This Row],[Change]])</f>
        <v>0</v>
      </c>
    </row>
    <row r="89" spans="1:15">
      <c r="A89" s="1" t="s">
        <v>12</v>
      </c>
      <c r="B89" s="1" t="s">
        <v>10</v>
      </c>
      <c r="C89" s="1">
        <v>9</v>
      </c>
      <c r="D89" s="1" t="s">
        <v>16</v>
      </c>
      <c r="E89" s="1">
        <v>3</v>
      </c>
      <c r="F89" s="1">
        <v>4</v>
      </c>
      <c r="G89" s="1" t="s">
        <v>8</v>
      </c>
      <c r="H89" s="5" t="str">
        <f>IF(IF(Table4428[[#This Row],[Pre or Post]]="Pre",1,0)+IF(ISNUMBER(Table4428[[#This Row],[Response]])=TRUE,1,0)=2,1,"")</f>
        <v/>
      </c>
      <c r="I89" s="5">
        <f>IF(IF(Table4428[[#This Row],[Pre or Post]]="Post",1,0)+IF(ISNUMBER(Table4428[[#This Row],[Response]])=TRUE,1,0)=2,1,"")</f>
        <v>1</v>
      </c>
      <c r="J89" s="5" t="str">
        <f>IF(IF(Table4428[[#This Row],[Pre or Post]]="Pre",1,0)+IF(ISNUMBER(Table4428[[#This Row],[Response]])=TRUE,1,0)=2,Table4428[[#This Row],[Response]],"")</f>
        <v/>
      </c>
      <c r="K89" s="5">
        <f>IF(IF(Table4428[[#This Row],[Pre or Post]]="Post",1,0)+IF(ISNUMBER(Table4428[[#This Row],[Response]])=TRUE,1,0)=2,Table4428[[#This Row],[Response]],"")</f>
        <v>4</v>
      </c>
      <c r="L89" s="5" t="str">
        <f>IF(IF(ISNUMBER(J89),1,0)+IF(ISNUMBER(K90),1,0)=2,IF(IF(C90=C89,1,0)+IF(B90=B89,1,0)+IF(D90="Post",1,0)+IF(D89="Pre",1,0)=4,Table4428[[#This Row],[Pre Total]],""),"")</f>
        <v/>
      </c>
      <c r="M89" s="5">
        <f>IF(IF(ISNUMBER(J88),1,0)+IF(ISNUMBER(Table4428[[#This Row],[Post Total]]),1,0)=2,IF(IF(Table4428[[#This Row],[Student Number]]=C88,1,0)+IF(Table4428[[#This Row],[Session]]=B88,1,0)+IF(Table4428[[#This Row],[Pre or Post]]="Post",1,0)+IF(D88="Pre",1,0)=4,Table4428[[#This Row],[Post Total]],""),"")</f>
        <v>4</v>
      </c>
      <c r="N89" s="5">
        <f>IF(IF(ISNUMBER(J88),1,0)+IF(ISNUMBER(Table4428[[#This Row],[Post Total]]),1,0)=2,IF(IF(Table4428[[#This Row],[Student Number]]=C88,1,0)+IF(Table4428[[#This Row],[Session]]=B88,1,0)+IF(Table4428[[#This Row],[Pre or Post]]="Post",1,0)+IF(D88="Pre",1,0)=4,Table4428[[#This Row],[Post Total]]-J88,""),"")</f>
        <v>1</v>
      </c>
      <c r="O89" s="5" t="b">
        <f>ISNUMBER(Table4428[[#This Row],[Change]])</f>
        <v>1</v>
      </c>
    </row>
    <row r="90" spans="1:15">
      <c r="A90" s="1" t="s">
        <v>12</v>
      </c>
      <c r="B90" s="1" t="s">
        <v>10</v>
      </c>
      <c r="C90" s="1">
        <v>10</v>
      </c>
      <c r="D90" s="1" t="s">
        <v>6</v>
      </c>
      <c r="E90" s="1">
        <v>10</v>
      </c>
      <c r="F90" s="1">
        <v>4</v>
      </c>
      <c r="G90" s="1" t="s">
        <v>8</v>
      </c>
      <c r="H90" s="5">
        <f>IF(IF(Table4428[[#This Row],[Pre or Post]]="Pre",1,0)+IF(ISNUMBER(Table4428[[#This Row],[Response]])=TRUE,1,0)=2,1,"")</f>
        <v>1</v>
      </c>
      <c r="I90" s="5" t="str">
        <f>IF(IF(Table4428[[#This Row],[Pre or Post]]="Post",1,0)+IF(ISNUMBER(Table4428[[#This Row],[Response]])=TRUE,1,0)=2,1,"")</f>
        <v/>
      </c>
      <c r="J90" s="5">
        <f>IF(IF(Table4428[[#This Row],[Pre or Post]]="Pre",1,0)+IF(ISNUMBER(Table4428[[#This Row],[Response]])=TRUE,1,0)=2,Table4428[[#This Row],[Response]],"")</f>
        <v>4</v>
      </c>
      <c r="K90" s="5" t="str">
        <f>IF(IF(Table4428[[#This Row],[Pre or Post]]="Post",1,0)+IF(ISNUMBER(Table4428[[#This Row],[Response]])=TRUE,1,0)=2,Table4428[[#This Row],[Response]],"")</f>
        <v/>
      </c>
      <c r="L90" s="5">
        <f>IF(IF(ISNUMBER(J90),1,0)+IF(ISNUMBER(K91),1,0)=2,IF(IF(C91=C90,1,0)+IF(B91=B90,1,0)+IF(D91="Post",1,0)+IF(D90="Pre",1,0)=4,Table4428[[#This Row],[Pre Total]],""),"")</f>
        <v>4</v>
      </c>
      <c r="M90" s="5" t="str">
        <f>IF(IF(ISNUMBER(J89),1,0)+IF(ISNUMBER(Table4428[[#This Row],[Post Total]]),1,0)=2,IF(IF(Table4428[[#This Row],[Student Number]]=C89,1,0)+IF(Table4428[[#This Row],[Session]]=B89,1,0)+IF(Table4428[[#This Row],[Pre or Post]]="Post",1,0)+IF(D89="Pre",1,0)=4,Table4428[[#This Row],[Post Total]],""),"")</f>
        <v/>
      </c>
      <c r="N90" s="5" t="str">
        <f>IF(IF(ISNUMBER(J89),1,0)+IF(ISNUMBER(Table4428[[#This Row],[Post Total]]),1,0)=2,IF(IF(Table4428[[#This Row],[Student Number]]=C89,1,0)+IF(Table4428[[#This Row],[Session]]=B89,1,0)+IF(Table4428[[#This Row],[Pre or Post]]="Post",1,0)+IF(D89="Pre",1,0)=4,Table4428[[#This Row],[Post Total]]-J89,""),"")</f>
        <v/>
      </c>
      <c r="O90" s="5" t="b">
        <f>ISNUMBER(Table4428[[#This Row],[Change]])</f>
        <v>0</v>
      </c>
    </row>
    <row r="91" spans="1:15">
      <c r="A91" s="1" t="s">
        <v>12</v>
      </c>
      <c r="B91" s="1" t="s">
        <v>10</v>
      </c>
      <c r="C91" s="1">
        <v>10</v>
      </c>
      <c r="D91" s="1" t="s">
        <v>16</v>
      </c>
      <c r="E91" s="1">
        <v>3</v>
      </c>
      <c r="F91" s="1">
        <v>4</v>
      </c>
      <c r="G91" s="1" t="s">
        <v>8</v>
      </c>
      <c r="H91" s="5" t="str">
        <f>IF(IF(Table4428[[#This Row],[Pre or Post]]="Pre",1,0)+IF(ISNUMBER(Table4428[[#This Row],[Response]])=TRUE,1,0)=2,1,"")</f>
        <v/>
      </c>
      <c r="I91" s="5">
        <f>IF(IF(Table4428[[#This Row],[Pre or Post]]="Post",1,0)+IF(ISNUMBER(Table4428[[#This Row],[Response]])=TRUE,1,0)=2,1,"")</f>
        <v>1</v>
      </c>
      <c r="J91" s="5" t="str">
        <f>IF(IF(Table4428[[#This Row],[Pre or Post]]="Pre",1,0)+IF(ISNUMBER(Table4428[[#This Row],[Response]])=TRUE,1,0)=2,Table4428[[#This Row],[Response]],"")</f>
        <v/>
      </c>
      <c r="K91" s="5">
        <f>IF(IF(Table4428[[#This Row],[Pre or Post]]="Post",1,0)+IF(ISNUMBER(Table4428[[#This Row],[Response]])=TRUE,1,0)=2,Table4428[[#This Row],[Response]],"")</f>
        <v>4</v>
      </c>
      <c r="L91" s="5" t="str">
        <f>IF(IF(ISNUMBER(J91),1,0)+IF(ISNUMBER(K92),1,0)=2,IF(IF(C92=C91,1,0)+IF(B92=B91,1,0)+IF(D92="Post",1,0)+IF(D91="Pre",1,0)=4,Table4428[[#This Row],[Pre Total]],""),"")</f>
        <v/>
      </c>
      <c r="M91" s="5">
        <f>IF(IF(ISNUMBER(J90),1,0)+IF(ISNUMBER(Table4428[[#This Row],[Post Total]]),1,0)=2,IF(IF(Table4428[[#This Row],[Student Number]]=C90,1,0)+IF(Table4428[[#This Row],[Session]]=B90,1,0)+IF(Table4428[[#This Row],[Pre or Post]]="Post",1,0)+IF(D90="Pre",1,0)=4,Table4428[[#This Row],[Post Total]],""),"")</f>
        <v>4</v>
      </c>
      <c r="N91" s="5">
        <f>IF(IF(ISNUMBER(J90),1,0)+IF(ISNUMBER(Table4428[[#This Row],[Post Total]]),1,0)=2,IF(IF(Table4428[[#This Row],[Student Number]]=C90,1,0)+IF(Table4428[[#This Row],[Session]]=B90,1,0)+IF(Table4428[[#This Row],[Pre or Post]]="Post",1,0)+IF(D90="Pre",1,0)=4,Table4428[[#This Row],[Post Total]]-J90,""),"")</f>
        <v>0</v>
      </c>
      <c r="O91" s="5" t="b">
        <f>ISNUMBER(Table4428[[#This Row],[Change]])</f>
        <v>1</v>
      </c>
    </row>
    <row r="92" spans="1:15">
      <c r="A92" s="1" t="s">
        <v>12</v>
      </c>
      <c r="B92" s="1" t="s">
        <v>10</v>
      </c>
      <c r="C92" s="1">
        <v>11</v>
      </c>
      <c r="D92" s="1" t="s">
        <v>6</v>
      </c>
      <c r="E92" s="1">
        <v>10</v>
      </c>
      <c r="F92" s="1">
        <v>3</v>
      </c>
      <c r="G92" s="1" t="s">
        <v>8</v>
      </c>
      <c r="H92" s="5">
        <f>IF(IF(Table4428[[#This Row],[Pre or Post]]="Pre",1,0)+IF(ISNUMBER(Table4428[[#This Row],[Response]])=TRUE,1,0)=2,1,"")</f>
        <v>1</v>
      </c>
      <c r="I92" s="5" t="str">
        <f>IF(IF(Table4428[[#This Row],[Pre or Post]]="Post",1,0)+IF(ISNUMBER(Table4428[[#This Row],[Response]])=TRUE,1,0)=2,1,"")</f>
        <v/>
      </c>
      <c r="J92" s="5">
        <f>IF(IF(Table4428[[#This Row],[Pre or Post]]="Pre",1,0)+IF(ISNUMBER(Table4428[[#This Row],[Response]])=TRUE,1,0)=2,Table4428[[#This Row],[Response]],"")</f>
        <v>3</v>
      </c>
      <c r="K92" s="5" t="str">
        <f>IF(IF(Table4428[[#This Row],[Pre or Post]]="Post",1,0)+IF(ISNUMBER(Table4428[[#This Row],[Response]])=TRUE,1,0)=2,Table4428[[#This Row],[Response]],"")</f>
        <v/>
      </c>
      <c r="L92" s="5">
        <f>IF(IF(ISNUMBER(J92),1,0)+IF(ISNUMBER(K93),1,0)=2,IF(IF(C93=C92,1,0)+IF(B93=B92,1,0)+IF(D93="Post",1,0)+IF(D92="Pre",1,0)=4,Table4428[[#This Row],[Pre Total]],""),"")</f>
        <v>3</v>
      </c>
      <c r="M92" s="5" t="str">
        <f>IF(IF(ISNUMBER(J91),1,0)+IF(ISNUMBER(Table4428[[#This Row],[Post Total]]),1,0)=2,IF(IF(Table4428[[#This Row],[Student Number]]=C91,1,0)+IF(Table4428[[#This Row],[Session]]=B91,1,0)+IF(Table4428[[#This Row],[Pre or Post]]="Post",1,0)+IF(D91="Pre",1,0)=4,Table4428[[#This Row],[Post Total]],""),"")</f>
        <v/>
      </c>
      <c r="N92" s="5" t="str">
        <f>IF(IF(ISNUMBER(J91),1,0)+IF(ISNUMBER(Table4428[[#This Row],[Post Total]]),1,0)=2,IF(IF(Table4428[[#This Row],[Student Number]]=C91,1,0)+IF(Table4428[[#This Row],[Session]]=B91,1,0)+IF(Table4428[[#This Row],[Pre or Post]]="Post",1,0)+IF(D91="Pre",1,0)=4,Table4428[[#This Row],[Post Total]]-J91,""),"")</f>
        <v/>
      </c>
      <c r="O92" s="5" t="b">
        <f>ISNUMBER(Table4428[[#This Row],[Change]])</f>
        <v>0</v>
      </c>
    </row>
    <row r="93" spans="1:15">
      <c r="A93" s="1" t="s">
        <v>12</v>
      </c>
      <c r="B93" s="1" t="s">
        <v>10</v>
      </c>
      <c r="C93" s="1">
        <v>11</v>
      </c>
      <c r="D93" s="1" t="s">
        <v>16</v>
      </c>
      <c r="E93" s="1">
        <v>3</v>
      </c>
      <c r="F93" s="1">
        <v>3</v>
      </c>
      <c r="G93" s="1" t="s">
        <v>8</v>
      </c>
      <c r="H93" s="5" t="str">
        <f>IF(IF(Table4428[[#This Row],[Pre or Post]]="Pre",1,0)+IF(ISNUMBER(Table4428[[#This Row],[Response]])=TRUE,1,0)=2,1,"")</f>
        <v/>
      </c>
      <c r="I93" s="5">
        <f>IF(IF(Table4428[[#This Row],[Pre or Post]]="Post",1,0)+IF(ISNUMBER(Table4428[[#This Row],[Response]])=TRUE,1,0)=2,1,"")</f>
        <v>1</v>
      </c>
      <c r="J93" s="5" t="str">
        <f>IF(IF(Table4428[[#This Row],[Pre or Post]]="Pre",1,0)+IF(ISNUMBER(Table4428[[#This Row],[Response]])=TRUE,1,0)=2,Table4428[[#This Row],[Response]],"")</f>
        <v/>
      </c>
      <c r="K93" s="5">
        <f>IF(IF(Table4428[[#This Row],[Pre or Post]]="Post",1,0)+IF(ISNUMBER(Table4428[[#This Row],[Response]])=TRUE,1,0)=2,Table4428[[#This Row],[Response]],"")</f>
        <v>3</v>
      </c>
      <c r="L93" s="5" t="str">
        <f>IF(IF(ISNUMBER(J93),1,0)+IF(ISNUMBER(K94),1,0)=2,IF(IF(C94=C93,1,0)+IF(B94=B93,1,0)+IF(D94="Post",1,0)+IF(D93="Pre",1,0)=4,Table4428[[#This Row],[Pre Total]],""),"")</f>
        <v/>
      </c>
      <c r="M93" s="5">
        <f>IF(IF(ISNUMBER(J92),1,0)+IF(ISNUMBER(Table4428[[#This Row],[Post Total]]),1,0)=2,IF(IF(Table4428[[#This Row],[Student Number]]=C92,1,0)+IF(Table4428[[#This Row],[Session]]=B92,1,0)+IF(Table4428[[#This Row],[Pre or Post]]="Post",1,0)+IF(D92="Pre",1,0)=4,Table4428[[#This Row],[Post Total]],""),"")</f>
        <v>3</v>
      </c>
      <c r="N93" s="5">
        <f>IF(IF(ISNUMBER(J92),1,0)+IF(ISNUMBER(Table4428[[#This Row],[Post Total]]),1,0)=2,IF(IF(Table4428[[#This Row],[Student Number]]=C92,1,0)+IF(Table4428[[#This Row],[Session]]=B92,1,0)+IF(Table4428[[#This Row],[Pre or Post]]="Post",1,0)+IF(D92="Pre",1,0)=4,Table4428[[#This Row],[Post Total]]-J92,""),"")</f>
        <v>0</v>
      </c>
      <c r="O93" s="5" t="b">
        <f>ISNUMBER(Table4428[[#This Row],[Change]])</f>
        <v>1</v>
      </c>
    </row>
    <row r="94" spans="1:15">
      <c r="A94" s="1" t="s">
        <v>12</v>
      </c>
      <c r="B94" s="1" t="s">
        <v>10</v>
      </c>
      <c r="C94" s="1">
        <v>12</v>
      </c>
      <c r="D94" s="1" t="s">
        <v>6</v>
      </c>
      <c r="E94" s="1">
        <v>10</v>
      </c>
      <c r="F94" s="1">
        <v>5</v>
      </c>
      <c r="G94" s="1" t="s">
        <v>8</v>
      </c>
      <c r="H94" s="5">
        <f>IF(IF(Table4428[[#This Row],[Pre or Post]]="Pre",1,0)+IF(ISNUMBER(Table4428[[#This Row],[Response]])=TRUE,1,0)=2,1,"")</f>
        <v>1</v>
      </c>
      <c r="I94" s="5" t="str">
        <f>IF(IF(Table4428[[#This Row],[Pre or Post]]="Post",1,0)+IF(ISNUMBER(Table4428[[#This Row],[Response]])=TRUE,1,0)=2,1,"")</f>
        <v/>
      </c>
      <c r="J94" s="5">
        <f>IF(IF(Table4428[[#This Row],[Pre or Post]]="Pre",1,0)+IF(ISNUMBER(Table4428[[#This Row],[Response]])=TRUE,1,0)=2,Table4428[[#This Row],[Response]],"")</f>
        <v>5</v>
      </c>
      <c r="K94" s="5" t="str">
        <f>IF(IF(Table4428[[#This Row],[Pre or Post]]="Post",1,0)+IF(ISNUMBER(Table4428[[#This Row],[Response]])=TRUE,1,0)=2,Table4428[[#This Row],[Response]],"")</f>
        <v/>
      </c>
      <c r="L94" s="5">
        <f>IF(IF(ISNUMBER(J94),1,0)+IF(ISNUMBER(K95),1,0)=2,IF(IF(C95=C94,1,0)+IF(B95=B94,1,0)+IF(D95="Post",1,0)+IF(D94="Pre",1,0)=4,Table4428[[#This Row],[Pre Total]],""),"")</f>
        <v>5</v>
      </c>
      <c r="M94" s="5" t="str">
        <f>IF(IF(ISNUMBER(J93),1,0)+IF(ISNUMBER(Table4428[[#This Row],[Post Total]]),1,0)=2,IF(IF(Table4428[[#This Row],[Student Number]]=C93,1,0)+IF(Table4428[[#This Row],[Session]]=B93,1,0)+IF(Table4428[[#This Row],[Pre or Post]]="Post",1,0)+IF(D93="Pre",1,0)=4,Table4428[[#This Row],[Post Total]],""),"")</f>
        <v/>
      </c>
      <c r="N94" s="5" t="str">
        <f>IF(IF(ISNUMBER(J93),1,0)+IF(ISNUMBER(Table4428[[#This Row],[Post Total]]),1,0)=2,IF(IF(Table4428[[#This Row],[Student Number]]=C93,1,0)+IF(Table4428[[#This Row],[Session]]=B93,1,0)+IF(Table4428[[#This Row],[Pre or Post]]="Post",1,0)+IF(D93="Pre",1,0)=4,Table4428[[#This Row],[Post Total]]-J93,""),"")</f>
        <v/>
      </c>
      <c r="O94" s="5" t="b">
        <f>ISNUMBER(Table4428[[#This Row],[Change]])</f>
        <v>0</v>
      </c>
    </row>
    <row r="95" spans="1:15">
      <c r="A95" s="1" t="s">
        <v>12</v>
      </c>
      <c r="B95" s="1" t="s">
        <v>10</v>
      </c>
      <c r="C95" s="1">
        <v>12</v>
      </c>
      <c r="D95" s="1" t="s">
        <v>16</v>
      </c>
      <c r="E95" s="1">
        <v>3</v>
      </c>
      <c r="F95" s="1">
        <v>5</v>
      </c>
      <c r="G95" s="1" t="s">
        <v>8</v>
      </c>
      <c r="H95" s="5" t="str">
        <f>IF(IF(Table4428[[#This Row],[Pre or Post]]="Pre",1,0)+IF(ISNUMBER(Table4428[[#This Row],[Response]])=TRUE,1,0)=2,1,"")</f>
        <v/>
      </c>
      <c r="I95" s="5">
        <f>IF(IF(Table4428[[#This Row],[Pre or Post]]="Post",1,0)+IF(ISNUMBER(Table4428[[#This Row],[Response]])=TRUE,1,0)=2,1,"")</f>
        <v>1</v>
      </c>
      <c r="J95" s="5" t="str">
        <f>IF(IF(Table4428[[#This Row],[Pre or Post]]="Pre",1,0)+IF(ISNUMBER(Table4428[[#This Row],[Response]])=TRUE,1,0)=2,Table4428[[#This Row],[Response]],"")</f>
        <v/>
      </c>
      <c r="K95" s="5">
        <f>IF(IF(Table4428[[#This Row],[Pre or Post]]="Post",1,0)+IF(ISNUMBER(Table4428[[#This Row],[Response]])=TRUE,1,0)=2,Table4428[[#This Row],[Response]],"")</f>
        <v>5</v>
      </c>
      <c r="L95" s="5" t="str">
        <f>IF(IF(ISNUMBER(J95),1,0)+IF(ISNUMBER(K96),1,0)=2,IF(IF(C96=C95,1,0)+IF(B96=B95,1,0)+IF(D96="Post",1,0)+IF(D95="Pre",1,0)=4,Table4428[[#This Row],[Pre Total]],""),"")</f>
        <v/>
      </c>
      <c r="M95" s="5">
        <f>IF(IF(ISNUMBER(J94),1,0)+IF(ISNUMBER(Table4428[[#This Row],[Post Total]]),1,0)=2,IF(IF(Table4428[[#This Row],[Student Number]]=C94,1,0)+IF(Table4428[[#This Row],[Session]]=B94,1,0)+IF(Table4428[[#This Row],[Pre or Post]]="Post",1,0)+IF(D94="Pre",1,0)=4,Table4428[[#This Row],[Post Total]],""),"")</f>
        <v>5</v>
      </c>
      <c r="N95" s="5">
        <f>IF(IF(ISNUMBER(J94),1,0)+IF(ISNUMBER(Table4428[[#This Row],[Post Total]]),1,0)=2,IF(IF(Table4428[[#This Row],[Student Number]]=C94,1,0)+IF(Table4428[[#This Row],[Session]]=B94,1,0)+IF(Table4428[[#This Row],[Pre or Post]]="Post",1,0)+IF(D94="Pre",1,0)=4,Table4428[[#This Row],[Post Total]]-J94,""),"")</f>
        <v>0</v>
      </c>
      <c r="O95" s="5" t="b">
        <f>ISNUMBER(Table4428[[#This Row],[Change]])</f>
        <v>1</v>
      </c>
    </row>
    <row r="96" spans="1:15">
      <c r="A96" s="1" t="s">
        <v>12</v>
      </c>
      <c r="B96" s="1" t="s">
        <v>10</v>
      </c>
      <c r="C96" s="1">
        <v>13</v>
      </c>
      <c r="D96" s="1" t="s">
        <v>6</v>
      </c>
      <c r="E96" s="1">
        <v>10</v>
      </c>
      <c r="F96" s="1">
        <v>4</v>
      </c>
      <c r="G96" s="1" t="s">
        <v>8</v>
      </c>
      <c r="H96" s="5">
        <f>IF(IF(Table4428[[#This Row],[Pre or Post]]="Pre",1,0)+IF(ISNUMBER(Table4428[[#This Row],[Response]])=TRUE,1,0)=2,1,"")</f>
        <v>1</v>
      </c>
      <c r="I96" s="5" t="str">
        <f>IF(IF(Table4428[[#This Row],[Pre or Post]]="Post",1,0)+IF(ISNUMBER(Table4428[[#This Row],[Response]])=TRUE,1,0)=2,1,"")</f>
        <v/>
      </c>
      <c r="J96" s="5">
        <f>IF(IF(Table4428[[#This Row],[Pre or Post]]="Pre",1,0)+IF(ISNUMBER(Table4428[[#This Row],[Response]])=TRUE,1,0)=2,Table4428[[#This Row],[Response]],"")</f>
        <v>4</v>
      </c>
      <c r="K96" s="5" t="str">
        <f>IF(IF(Table4428[[#This Row],[Pre or Post]]="Post",1,0)+IF(ISNUMBER(Table4428[[#This Row],[Response]])=TRUE,1,0)=2,Table4428[[#This Row],[Response]],"")</f>
        <v/>
      </c>
      <c r="L96" s="5">
        <f>IF(IF(ISNUMBER(J96),1,0)+IF(ISNUMBER(K97),1,0)=2,IF(IF(C97=C96,1,0)+IF(B97=B96,1,0)+IF(D97="Post",1,0)+IF(D96="Pre",1,0)=4,Table4428[[#This Row],[Pre Total]],""),"")</f>
        <v>4</v>
      </c>
      <c r="M96" s="5" t="str">
        <f>IF(IF(ISNUMBER(J95),1,0)+IF(ISNUMBER(Table4428[[#This Row],[Post Total]]),1,0)=2,IF(IF(Table4428[[#This Row],[Student Number]]=C95,1,0)+IF(Table4428[[#This Row],[Session]]=B95,1,0)+IF(Table4428[[#This Row],[Pre or Post]]="Post",1,0)+IF(D95="Pre",1,0)=4,Table4428[[#This Row],[Post Total]],""),"")</f>
        <v/>
      </c>
      <c r="N96" s="5" t="str">
        <f>IF(IF(ISNUMBER(J95),1,0)+IF(ISNUMBER(Table4428[[#This Row],[Post Total]]),1,0)=2,IF(IF(Table4428[[#This Row],[Student Number]]=C95,1,0)+IF(Table4428[[#This Row],[Session]]=B95,1,0)+IF(Table4428[[#This Row],[Pre or Post]]="Post",1,0)+IF(D95="Pre",1,0)=4,Table4428[[#This Row],[Post Total]]-J95,""),"")</f>
        <v/>
      </c>
      <c r="O96" s="5" t="b">
        <f>ISNUMBER(Table4428[[#This Row],[Change]])</f>
        <v>0</v>
      </c>
    </row>
    <row r="97" spans="1:15">
      <c r="A97" s="1" t="s">
        <v>12</v>
      </c>
      <c r="B97" s="1" t="s">
        <v>10</v>
      </c>
      <c r="C97" s="1">
        <v>13</v>
      </c>
      <c r="D97" s="1" t="s">
        <v>16</v>
      </c>
      <c r="E97" s="1">
        <v>3</v>
      </c>
      <c r="F97" s="1">
        <v>4</v>
      </c>
      <c r="G97" s="1" t="s">
        <v>8</v>
      </c>
      <c r="H97" s="5" t="str">
        <f>IF(IF(Table4428[[#This Row],[Pre or Post]]="Pre",1,0)+IF(ISNUMBER(Table4428[[#This Row],[Response]])=TRUE,1,0)=2,1,"")</f>
        <v/>
      </c>
      <c r="I97" s="5">
        <f>IF(IF(Table4428[[#This Row],[Pre or Post]]="Post",1,0)+IF(ISNUMBER(Table4428[[#This Row],[Response]])=TRUE,1,0)=2,1,"")</f>
        <v>1</v>
      </c>
      <c r="J97" s="5" t="str">
        <f>IF(IF(Table4428[[#This Row],[Pre or Post]]="Pre",1,0)+IF(ISNUMBER(Table4428[[#This Row],[Response]])=TRUE,1,0)=2,Table4428[[#This Row],[Response]],"")</f>
        <v/>
      </c>
      <c r="K97" s="5">
        <f>IF(IF(Table4428[[#This Row],[Pre or Post]]="Post",1,0)+IF(ISNUMBER(Table4428[[#This Row],[Response]])=TRUE,1,0)=2,Table4428[[#This Row],[Response]],"")</f>
        <v>4</v>
      </c>
      <c r="L97" s="5" t="str">
        <f>IF(IF(ISNUMBER(J97),1,0)+IF(ISNUMBER(K98),1,0)=2,IF(IF(C98=C97,1,0)+IF(B98=B97,1,0)+IF(D98="Post",1,0)+IF(D97="Pre",1,0)=4,Table4428[[#This Row],[Pre Total]],""),"")</f>
        <v/>
      </c>
      <c r="M97" s="5">
        <f>IF(IF(ISNUMBER(J96),1,0)+IF(ISNUMBER(Table4428[[#This Row],[Post Total]]),1,0)=2,IF(IF(Table4428[[#This Row],[Student Number]]=C96,1,0)+IF(Table4428[[#This Row],[Session]]=B96,1,0)+IF(Table4428[[#This Row],[Pre or Post]]="Post",1,0)+IF(D96="Pre",1,0)=4,Table4428[[#This Row],[Post Total]],""),"")</f>
        <v>4</v>
      </c>
      <c r="N97" s="5">
        <f>IF(IF(ISNUMBER(J96),1,0)+IF(ISNUMBER(Table4428[[#This Row],[Post Total]]),1,0)=2,IF(IF(Table4428[[#This Row],[Student Number]]=C96,1,0)+IF(Table4428[[#This Row],[Session]]=B96,1,0)+IF(Table4428[[#This Row],[Pre or Post]]="Post",1,0)+IF(D96="Pre",1,0)=4,Table4428[[#This Row],[Post Total]]-J96,""),"")</f>
        <v>0</v>
      </c>
      <c r="O97" s="5" t="b">
        <f>ISNUMBER(Table4428[[#This Row],[Change]])</f>
        <v>1</v>
      </c>
    </row>
    <row r="98" spans="1:15">
      <c r="A98" s="1" t="s">
        <v>12</v>
      </c>
      <c r="B98" s="1" t="s">
        <v>10</v>
      </c>
      <c r="C98" s="1">
        <v>14</v>
      </c>
      <c r="D98" s="1" t="s">
        <v>6</v>
      </c>
      <c r="E98" s="1">
        <v>10</v>
      </c>
      <c r="F98" s="1">
        <v>3</v>
      </c>
      <c r="G98" s="1" t="s">
        <v>8</v>
      </c>
      <c r="H98" s="5">
        <f>IF(IF(Table4428[[#This Row],[Pre or Post]]="Pre",1,0)+IF(ISNUMBER(Table4428[[#This Row],[Response]])=TRUE,1,0)=2,1,"")</f>
        <v>1</v>
      </c>
      <c r="I98" s="5" t="str">
        <f>IF(IF(Table4428[[#This Row],[Pre or Post]]="Post",1,0)+IF(ISNUMBER(Table4428[[#This Row],[Response]])=TRUE,1,0)=2,1,"")</f>
        <v/>
      </c>
      <c r="J98" s="5">
        <f>IF(IF(Table4428[[#This Row],[Pre or Post]]="Pre",1,0)+IF(ISNUMBER(Table4428[[#This Row],[Response]])=TRUE,1,0)=2,Table4428[[#This Row],[Response]],"")</f>
        <v>3</v>
      </c>
      <c r="K98" s="5" t="str">
        <f>IF(IF(Table4428[[#This Row],[Pre or Post]]="Post",1,0)+IF(ISNUMBER(Table4428[[#This Row],[Response]])=TRUE,1,0)=2,Table4428[[#This Row],[Response]],"")</f>
        <v/>
      </c>
      <c r="L98" s="5">
        <f>IF(IF(ISNUMBER(J98),1,0)+IF(ISNUMBER(K99),1,0)=2,IF(IF(C99=C98,1,0)+IF(B99=B98,1,0)+IF(D99="Post",1,0)+IF(D98="Pre",1,0)=4,Table4428[[#This Row],[Pre Total]],""),"")</f>
        <v>3</v>
      </c>
      <c r="M98" s="5" t="str">
        <f>IF(IF(ISNUMBER(J97),1,0)+IF(ISNUMBER(Table4428[[#This Row],[Post Total]]),1,0)=2,IF(IF(Table4428[[#This Row],[Student Number]]=C97,1,0)+IF(Table4428[[#This Row],[Session]]=B97,1,0)+IF(Table4428[[#This Row],[Pre or Post]]="Post",1,0)+IF(D97="Pre",1,0)=4,Table4428[[#This Row],[Post Total]],""),"")</f>
        <v/>
      </c>
      <c r="N98" s="5" t="str">
        <f>IF(IF(ISNUMBER(J97),1,0)+IF(ISNUMBER(Table4428[[#This Row],[Post Total]]),1,0)=2,IF(IF(Table4428[[#This Row],[Student Number]]=C97,1,0)+IF(Table4428[[#This Row],[Session]]=B97,1,0)+IF(Table4428[[#This Row],[Pre or Post]]="Post",1,0)+IF(D97="Pre",1,0)=4,Table4428[[#This Row],[Post Total]]-J97,""),"")</f>
        <v/>
      </c>
      <c r="O98" s="5" t="b">
        <f>ISNUMBER(Table4428[[#This Row],[Change]])</f>
        <v>0</v>
      </c>
    </row>
    <row r="99" spans="1:15">
      <c r="A99" s="1" t="s">
        <v>12</v>
      </c>
      <c r="B99" s="1" t="s">
        <v>10</v>
      </c>
      <c r="C99" s="1">
        <v>14</v>
      </c>
      <c r="D99" s="1" t="s">
        <v>16</v>
      </c>
      <c r="E99" s="1">
        <v>3</v>
      </c>
      <c r="F99" s="1">
        <v>3</v>
      </c>
      <c r="G99" s="1" t="s">
        <v>8</v>
      </c>
      <c r="H99" s="5" t="str">
        <f>IF(IF(Table4428[[#This Row],[Pre or Post]]="Pre",1,0)+IF(ISNUMBER(Table4428[[#This Row],[Response]])=TRUE,1,0)=2,1,"")</f>
        <v/>
      </c>
      <c r="I99" s="5">
        <f>IF(IF(Table4428[[#This Row],[Pre or Post]]="Post",1,0)+IF(ISNUMBER(Table4428[[#This Row],[Response]])=TRUE,1,0)=2,1,"")</f>
        <v>1</v>
      </c>
      <c r="J99" s="5" t="str">
        <f>IF(IF(Table4428[[#This Row],[Pre or Post]]="Pre",1,0)+IF(ISNUMBER(Table4428[[#This Row],[Response]])=TRUE,1,0)=2,Table4428[[#This Row],[Response]],"")</f>
        <v/>
      </c>
      <c r="K99" s="5">
        <f>IF(IF(Table4428[[#This Row],[Pre or Post]]="Post",1,0)+IF(ISNUMBER(Table4428[[#This Row],[Response]])=TRUE,1,0)=2,Table4428[[#This Row],[Response]],"")</f>
        <v>3</v>
      </c>
      <c r="L99" s="5" t="str">
        <f>IF(IF(ISNUMBER(J99),1,0)+IF(ISNUMBER(K100),1,0)=2,IF(IF(C100=C99,1,0)+IF(B100=B99,1,0)+IF(D100="Post",1,0)+IF(D99="Pre",1,0)=4,Table4428[[#This Row],[Pre Total]],""),"")</f>
        <v/>
      </c>
      <c r="M99" s="5">
        <f>IF(IF(ISNUMBER(J98),1,0)+IF(ISNUMBER(Table4428[[#This Row],[Post Total]]),1,0)=2,IF(IF(Table4428[[#This Row],[Student Number]]=C98,1,0)+IF(Table4428[[#This Row],[Session]]=B98,1,0)+IF(Table4428[[#This Row],[Pre or Post]]="Post",1,0)+IF(D98="Pre",1,0)=4,Table4428[[#This Row],[Post Total]],""),"")</f>
        <v>3</v>
      </c>
      <c r="N99" s="5">
        <f>IF(IF(ISNUMBER(J98),1,0)+IF(ISNUMBER(Table4428[[#This Row],[Post Total]]),1,0)=2,IF(IF(Table4428[[#This Row],[Student Number]]=C98,1,0)+IF(Table4428[[#This Row],[Session]]=B98,1,0)+IF(Table4428[[#This Row],[Pre or Post]]="Post",1,0)+IF(D98="Pre",1,0)=4,Table4428[[#This Row],[Post Total]]-J98,""),"")</f>
        <v>0</v>
      </c>
      <c r="O99" s="5" t="b">
        <f>ISNUMBER(Table4428[[#This Row],[Change]])</f>
        <v>1</v>
      </c>
    </row>
    <row r="100" spans="1:15">
      <c r="A100" s="1" t="s">
        <v>12</v>
      </c>
      <c r="B100" s="1" t="s">
        <v>10</v>
      </c>
      <c r="C100" s="1">
        <v>15</v>
      </c>
      <c r="D100" s="1" t="s">
        <v>6</v>
      </c>
      <c r="E100" s="1">
        <v>10</v>
      </c>
      <c r="F100" s="1">
        <v>4</v>
      </c>
      <c r="G100" s="1" t="s">
        <v>8</v>
      </c>
      <c r="H100" s="5">
        <f>IF(IF(Table4428[[#This Row],[Pre or Post]]="Pre",1,0)+IF(ISNUMBER(Table4428[[#This Row],[Response]])=TRUE,1,0)=2,1,"")</f>
        <v>1</v>
      </c>
      <c r="I100" s="5" t="str">
        <f>IF(IF(Table4428[[#This Row],[Pre or Post]]="Post",1,0)+IF(ISNUMBER(Table4428[[#This Row],[Response]])=TRUE,1,0)=2,1,"")</f>
        <v/>
      </c>
      <c r="J100" s="5">
        <f>IF(IF(Table4428[[#This Row],[Pre or Post]]="Pre",1,0)+IF(ISNUMBER(Table4428[[#This Row],[Response]])=TRUE,1,0)=2,Table4428[[#This Row],[Response]],"")</f>
        <v>4</v>
      </c>
      <c r="K100" s="5" t="str">
        <f>IF(IF(Table4428[[#This Row],[Pre or Post]]="Post",1,0)+IF(ISNUMBER(Table4428[[#This Row],[Response]])=TRUE,1,0)=2,Table4428[[#This Row],[Response]],"")</f>
        <v/>
      </c>
      <c r="L100" s="5">
        <f>IF(IF(ISNUMBER(J100),1,0)+IF(ISNUMBER(K101),1,0)=2,IF(IF(C101=C100,1,0)+IF(B101=B100,1,0)+IF(D101="Post",1,0)+IF(D100="Pre",1,0)=4,Table4428[[#This Row],[Pre Total]],""),"")</f>
        <v>4</v>
      </c>
      <c r="M100" s="5" t="str">
        <f>IF(IF(ISNUMBER(J99),1,0)+IF(ISNUMBER(Table4428[[#This Row],[Post Total]]),1,0)=2,IF(IF(Table4428[[#This Row],[Student Number]]=C99,1,0)+IF(Table4428[[#This Row],[Session]]=B99,1,0)+IF(Table4428[[#This Row],[Pre or Post]]="Post",1,0)+IF(D99="Pre",1,0)=4,Table4428[[#This Row],[Post Total]],""),"")</f>
        <v/>
      </c>
      <c r="N100" s="5" t="str">
        <f>IF(IF(ISNUMBER(J99),1,0)+IF(ISNUMBER(Table4428[[#This Row],[Post Total]]),1,0)=2,IF(IF(Table4428[[#This Row],[Student Number]]=C99,1,0)+IF(Table4428[[#This Row],[Session]]=B99,1,0)+IF(Table4428[[#This Row],[Pre or Post]]="Post",1,0)+IF(D99="Pre",1,0)=4,Table4428[[#This Row],[Post Total]]-J99,""),"")</f>
        <v/>
      </c>
      <c r="O100" s="5" t="b">
        <f>ISNUMBER(Table4428[[#This Row],[Change]])</f>
        <v>0</v>
      </c>
    </row>
    <row r="101" spans="1:15">
      <c r="A101" s="1" t="s">
        <v>12</v>
      </c>
      <c r="B101" s="1" t="s">
        <v>10</v>
      </c>
      <c r="C101" s="1">
        <v>15</v>
      </c>
      <c r="D101" s="1" t="s">
        <v>16</v>
      </c>
      <c r="E101" s="1">
        <v>3</v>
      </c>
      <c r="F101" s="1">
        <v>3</v>
      </c>
      <c r="G101" s="1" t="s">
        <v>8</v>
      </c>
      <c r="H101" s="5" t="str">
        <f>IF(IF(Table4428[[#This Row],[Pre or Post]]="Pre",1,0)+IF(ISNUMBER(Table4428[[#This Row],[Response]])=TRUE,1,0)=2,1,"")</f>
        <v/>
      </c>
      <c r="I101" s="5">
        <f>IF(IF(Table4428[[#This Row],[Pre or Post]]="Post",1,0)+IF(ISNUMBER(Table4428[[#This Row],[Response]])=TRUE,1,0)=2,1,"")</f>
        <v>1</v>
      </c>
      <c r="J101" s="5" t="str">
        <f>IF(IF(Table4428[[#This Row],[Pre or Post]]="Pre",1,0)+IF(ISNUMBER(Table4428[[#This Row],[Response]])=TRUE,1,0)=2,Table4428[[#This Row],[Response]],"")</f>
        <v/>
      </c>
      <c r="K101" s="5">
        <f>IF(IF(Table4428[[#This Row],[Pre or Post]]="Post",1,0)+IF(ISNUMBER(Table4428[[#This Row],[Response]])=TRUE,1,0)=2,Table4428[[#This Row],[Response]],"")</f>
        <v>3</v>
      </c>
      <c r="L101" s="5" t="str">
        <f>IF(IF(ISNUMBER(J101),1,0)+IF(ISNUMBER(K102),1,0)=2,IF(IF(C102=C101,1,0)+IF(B102=B101,1,0)+IF(D102="Post",1,0)+IF(D101="Pre",1,0)=4,Table4428[[#This Row],[Pre Total]],""),"")</f>
        <v/>
      </c>
      <c r="M101" s="5">
        <f>IF(IF(ISNUMBER(J100),1,0)+IF(ISNUMBER(Table4428[[#This Row],[Post Total]]),1,0)=2,IF(IF(Table4428[[#This Row],[Student Number]]=C100,1,0)+IF(Table4428[[#This Row],[Session]]=B100,1,0)+IF(Table4428[[#This Row],[Pre or Post]]="Post",1,0)+IF(D100="Pre",1,0)=4,Table4428[[#This Row],[Post Total]],""),"")</f>
        <v>3</v>
      </c>
      <c r="N101" s="5">
        <f>IF(IF(ISNUMBER(J100),1,0)+IF(ISNUMBER(Table4428[[#This Row],[Post Total]]),1,0)=2,IF(IF(Table4428[[#This Row],[Student Number]]=C100,1,0)+IF(Table4428[[#This Row],[Session]]=B100,1,0)+IF(Table4428[[#This Row],[Pre or Post]]="Post",1,0)+IF(D100="Pre",1,0)=4,Table4428[[#This Row],[Post Total]]-J100,""),"")</f>
        <v>-1</v>
      </c>
      <c r="O101" s="5" t="b">
        <f>ISNUMBER(Table4428[[#This Row],[Change]])</f>
        <v>1</v>
      </c>
    </row>
    <row r="102" spans="1:15">
      <c r="A102" s="1" t="s">
        <v>12</v>
      </c>
      <c r="B102" s="1" t="s">
        <v>10</v>
      </c>
      <c r="C102" s="1">
        <v>16</v>
      </c>
      <c r="D102" s="1" t="s">
        <v>6</v>
      </c>
      <c r="E102" s="1">
        <v>10</v>
      </c>
      <c r="F102" s="1">
        <v>4</v>
      </c>
      <c r="G102" s="1" t="s">
        <v>8</v>
      </c>
      <c r="H102" s="5">
        <f>IF(IF(Table4428[[#This Row],[Pre or Post]]="Pre",1,0)+IF(ISNUMBER(Table4428[[#This Row],[Response]])=TRUE,1,0)=2,1,"")</f>
        <v>1</v>
      </c>
      <c r="I102" s="5" t="str">
        <f>IF(IF(Table4428[[#This Row],[Pre or Post]]="Post",1,0)+IF(ISNUMBER(Table4428[[#This Row],[Response]])=TRUE,1,0)=2,1,"")</f>
        <v/>
      </c>
      <c r="J102" s="5">
        <f>IF(IF(Table4428[[#This Row],[Pre or Post]]="Pre",1,0)+IF(ISNUMBER(Table4428[[#This Row],[Response]])=TRUE,1,0)=2,Table4428[[#This Row],[Response]],"")</f>
        <v>4</v>
      </c>
      <c r="K102" s="5" t="str">
        <f>IF(IF(Table4428[[#This Row],[Pre or Post]]="Post",1,0)+IF(ISNUMBER(Table4428[[#This Row],[Response]])=TRUE,1,0)=2,Table4428[[#This Row],[Response]],"")</f>
        <v/>
      </c>
      <c r="L102" s="5">
        <f>IF(IF(ISNUMBER(J102),1,0)+IF(ISNUMBER(K103),1,0)=2,IF(IF(C103=C102,1,0)+IF(B103=B102,1,0)+IF(D103="Post",1,0)+IF(D102="Pre",1,0)=4,Table4428[[#This Row],[Pre Total]],""),"")</f>
        <v>4</v>
      </c>
      <c r="M102" s="5" t="str">
        <f>IF(IF(ISNUMBER(J101),1,0)+IF(ISNUMBER(Table4428[[#This Row],[Post Total]]),1,0)=2,IF(IF(Table4428[[#This Row],[Student Number]]=C101,1,0)+IF(Table4428[[#This Row],[Session]]=B101,1,0)+IF(Table4428[[#This Row],[Pre or Post]]="Post",1,0)+IF(D101="Pre",1,0)=4,Table4428[[#This Row],[Post Total]],""),"")</f>
        <v/>
      </c>
      <c r="N102" s="5" t="str">
        <f>IF(IF(ISNUMBER(J101),1,0)+IF(ISNUMBER(Table4428[[#This Row],[Post Total]]),1,0)=2,IF(IF(Table4428[[#This Row],[Student Number]]=C101,1,0)+IF(Table4428[[#This Row],[Session]]=B101,1,0)+IF(Table4428[[#This Row],[Pre or Post]]="Post",1,0)+IF(D101="Pre",1,0)=4,Table4428[[#This Row],[Post Total]]-J101,""),"")</f>
        <v/>
      </c>
      <c r="O102" s="5" t="b">
        <f>ISNUMBER(Table4428[[#This Row],[Change]])</f>
        <v>0</v>
      </c>
    </row>
    <row r="103" spans="1:15">
      <c r="A103" s="1" t="s">
        <v>12</v>
      </c>
      <c r="B103" s="1" t="s">
        <v>10</v>
      </c>
      <c r="C103" s="1">
        <v>16</v>
      </c>
      <c r="D103" s="1" t="s">
        <v>16</v>
      </c>
      <c r="E103" s="1">
        <v>3</v>
      </c>
      <c r="F103" s="1">
        <v>4</v>
      </c>
      <c r="G103" s="1" t="s">
        <v>8</v>
      </c>
      <c r="H103" s="5" t="str">
        <f>IF(IF(Table4428[[#This Row],[Pre or Post]]="Pre",1,0)+IF(ISNUMBER(Table4428[[#This Row],[Response]])=TRUE,1,0)=2,1,"")</f>
        <v/>
      </c>
      <c r="I103" s="5">
        <f>IF(IF(Table4428[[#This Row],[Pre or Post]]="Post",1,0)+IF(ISNUMBER(Table4428[[#This Row],[Response]])=TRUE,1,0)=2,1,"")</f>
        <v>1</v>
      </c>
      <c r="J103" s="5" t="str">
        <f>IF(IF(Table4428[[#This Row],[Pre or Post]]="Pre",1,0)+IF(ISNUMBER(Table4428[[#This Row],[Response]])=TRUE,1,0)=2,Table4428[[#This Row],[Response]],"")</f>
        <v/>
      </c>
      <c r="K103" s="5">
        <f>IF(IF(Table4428[[#This Row],[Pre or Post]]="Post",1,0)+IF(ISNUMBER(Table4428[[#This Row],[Response]])=TRUE,1,0)=2,Table4428[[#This Row],[Response]],"")</f>
        <v>4</v>
      </c>
      <c r="L103" s="5" t="str">
        <f>IF(IF(ISNUMBER(J103),1,0)+IF(ISNUMBER(K104),1,0)=2,IF(IF(C104=C103,1,0)+IF(B104=B103,1,0)+IF(D104="Post",1,0)+IF(D103="Pre",1,0)=4,Table4428[[#This Row],[Pre Total]],""),"")</f>
        <v/>
      </c>
      <c r="M103" s="5">
        <f>IF(IF(ISNUMBER(J102),1,0)+IF(ISNUMBER(Table4428[[#This Row],[Post Total]]),1,0)=2,IF(IF(Table4428[[#This Row],[Student Number]]=C102,1,0)+IF(Table4428[[#This Row],[Session]]=B102,1,0)+IF(Table4428[[#This Row],[Pre or Post]]="Post",1,0)+IF(D102="Pre",1,0)=4,Table4428[[#This Row],[Post Total]],""),"")</f>
        <v>4</v>
      </c>
      <c r="N103" s="5">
        <f>IF(IF(ISNUMBER(J102),1,0)+IF(ISNUMBER(Table4428[[#This Row],[Post Total]]),1,0)=2,IF(IF(Table4428[[#This Row],[Student Number]]=C102,1,0)+IF(Table4428[[#This Row],[Session]]=B102,1,0)+IF(Table4428[[#This Row],[Pre or Post]]="Post",1,0)+IF(D102="Pre",1,0)=4,Table4428[[#This Row],[Post Total]]-J102,""),"")</f>
        <v>0</v>
      </c>
      <c r="O103" s="5" t="b">
        <f>ISNUMBER(Table4428[[#This Row],[Change]])</f>
        <v>1</v>
      </c>
    </row>
    <row r="104" spans="1:15">
      <c r="A104" s="1" t="s">
        <v>12</v>
      </c>
      <c r="B104" s="1" t="s">
        <v>10</v>
      </c>
      <c r="C104" s="1">
        <v>17</v>
      </c>
      <c r="D104" s="1" t="s">
        <v>6</v>
      </c>
      <c r="E104" s="1">
        <v>10</v>
      </c>
      <c r="F104" s="1">
        <v>4</v>
      </c>
      <c r="G104" s="1" t="s">
        <v>8</v>
      </c>
      <c r="H104" s="5">
        <f>IF(IF(Table4428[[#This Row],[Pre or Post]]="Pre",1,0)+IF(ISNUMBER(Table4428[[#This Row],[Response]])=TRUE,1,0)=2,1,"")</f>
        <v>1</v>
      </c>
      <c r="I104" s="5" t="str">
        <f>IF(IF(Table4428[[#This Row],[Pre or Post]]="Post",1,0)+IF(ISNUMBER(Table4428[[#This Row],[Response]])=TRUE,1,0)=2,1,"")</f>
        <v/>
      </c>
      <c r="J104" s="5">
        <f>IF(IF(Table4428[[#This Row],[Pre or Post]]="Pre",1,0)+IF(ISNUMBER(Table4428[[#This Row],[Response]])=TRUE,1,0)=2,Table4428[[#This Row],[Response]],"")</f>
        <v>4</v>
      </c>
      <c r="K104" s="5" t="str">
        <f>IF(IF(Table4428[[#This Row],[Pre or Post]]="Post",1,0)+IF(ISNUMBER(Table4428[[#This Row],[Response]])=TRUE,1,0)=2,Table4428[[#This Row],[Response]],"")</f>
        <v/>
      </c>
      <c r="L104" s="5">
        <f>IF(IF(ISNUMBER(J104),1,0)+IF(ISNUMBER(K105),1,0)=2,IF(IF(C105=C104,1,0)+IF(B105=B104,1,0)+IF(D105="Post",1,0)+IF(D104="Pre",1,0)=4,Table4428[[#This Row],[Pre Total]],""),"")</f>
        <v>4</v>
      </c>
      <c r="M104" s="5" t="str">
        <f>IF(IF(ISNUMBER(J103),1,0)+IF(ISNUMBER(Table4428[[#This Row],[Post Total]]),1,0)=2,IF(IF(Table4428[[#This Row],[Student Number]]=C103,1,0)+IF(Table4428[[#This Row],[Session]]=B103,1,0)+IF(Table4428[[#This Row],[Pre or Post]]="Post",1,0)+IF(D103="Pre",1,0)=4,Table4428[[#This Row],[Post Total]],""),"")</f>
        <v/>
      </c>
      <c r="N104" s="5" t="str">
        <f>IF(IF(ISNUMBER(J103),1,0)+IF(ISNUMBER(Table4428[[#This Row],[Post Total]]),1,0)=2,IF(IF(Table4428[[#This Row],[Student Number]]=C103,1,0)+IF(Table4428[[#This Row],[Session]]=B103,1,0)+IF(Table4428[[#This Row],[Pre or Post]]="Post",1,0)+IF(D103="Pre",1,0)=4,Table4428[[#This Row],[Post Total]]-J103,""),"")</f>
        <v/>
      </c>
      <c r="O104" s="5" t="b">
        <f>ISNUMBER(Table4428[[#This Row],[Change]])</f>
        <v>0</v>
      </c>
    </row>
    <row r="105" spans="1:15">
      <c r="A105" s="1" t="s">
        <v>12</v>
      </c>
      <c r="B105" s="1" t="s">
        <v>10</v>
      </c>
      <c r="C105" s="1">
        <v>17</v>
      </c>
      <c r="D105" s="1" t="s">
        <v>16</v>
      </c>
      <c r="E105" s="1">
        <v>3</v>
      </c>
      <c r="F105" s="1">
        <v>5</v>
      </c>
      <c r="G105" s="1" t="s">
        <v>8</v>
      </c>
      <c r="H105" s="5" t="str">
        <f>IF(IF(Table4428[[#This Row],[Pre or Post]]="Pre",1,0)+IF(ISNUMBER(Table4428[[#This Row],[Response]])=TRUE,1,0)=2,1,"")</f>
        <v/>
      </c>
      <c r="I105" s="5">
        <f>IF(IF(Table4428[[#This Row],[Pre or Post]]="Post",1,0)+IF(ISNUMBER(Table4428[[#This Row],[Response]])=TRUE,1,0)=2,1,"")</f>
        <v>1</v>
      </c>
      <c r="J105" s="5" t="str">
        <f>IF(IF(Table4428[[#This Row],[Pre or Post]]="Pre",1,0)+IF(ISNUMBER(Table4428[[#This Row],[Response]])=TRUE,1,0)=2,Table4428[[#This Row],[Response]],"")</f>
        <v/>
      </c>
      <c r="K105" s="5">
        <f>IF(IF(Table4428[[#This Row],[Pre or Post]]="Post",1,0)+IF(ISNUMBER(Table4428[[#This Row],[Response]])=TRUE,1,0)=2,Table4428[[#This Row],[Response]],"")</f>
        <v>5</v>
      </c>
      <c r="L105" s="5" t="str">
        <f>IF(IF(ISNUMBER(J105),1,0)+IF(ISNUMBER(K106),1,0)=2,IF(IF(C106=C105,1,0)+IF(B106=B105,1,0)+IF(D106="Post",1,0)+IF(D105="Pre",1,0)=4,Table4428[[#This Row],[Pre Total]],""),"")</f>
        <v/>
      </c>
      <c r="M105" s="5">
        <f>IF(IF(ISNUMBER(J104),1,0)+IF(ISNUMBER(Table4428[[#This Row],[Post Total]]),1,0)=2,IF(IF(Table4428[[#This Row],[Student Number]]=C104,1,0)+IF(Table4428[[#This Row],[Session]]=B104,1,0)+IF(Table4428[[#This Row],[Pre or Post]]="Post",1,0)+IF(D104="Pre",1,0)=4,Table4428[[#This Row],[Post Total]],""),"")</f>
        <v>5</v>
      </c>
      <c r="N105" s="5">
        <f>IF(IF(ISNUMBER(J104),1,0)+IF(ISNUMBER(Table4428[[#This Row],[Post Total]]),1,0)=2,IF(IF(Table4428[[#This Row],[Student Number]]=C104,1,0)+IF(Table4428[[#This Row],[Session]]=B104,1,0)+IF(Table4428[[#This Row],[Pre or Post]]="Post",1,0)+IF(D104="Pre",1,0)=4,Table4428[[#This Row],[Post Total]]-J104,""),"")</f>
        <v>1</v>
      </c>
      <c r="O105" s="5" t="b">
        <f>ISNUMBER(Table4428[[#This Row],[Change]])</f>
        <v>1</v>
      </c>
    </row>
    <row r="106" spans="1:15">
      <c r="A106" s="1" t="s">
        <v>12</v>
      </c>
      <c r="B106" s="1" t="s">
        <v>10</v>
      </c>
      <c r="C106" s="1">
        <v>18</v>
      </c>
      <c r="D106" s="1" t="s">
        <v>16</v>
      </c>
      <c r="E106" s="1">
        <v>3</v>
      </c>
      <c r="F106" s="1">
        <v>4</v>
      </c>
      <c r="G106" s="1" t="s">
        <v>9</v>
      </c>
      <c r="H106" s="5" t="str">
        <f>IF(IF(Table4428[[#This Row],[Pre or Post]]="Pre",1,0)+IF(ISNUMBER(Table4428[[#This Row],[Response]])=TRUE,1,0)=2,1,"")</f>
        <v/>
      </c>
      <c r="I106" s="5">
        <f>IF(IF(Table4428[[#This Row],[Pre or Post]]="Post",1,0)+IF(ISNUMBER(Table4428[[#This Row],[Response]])=TRUE,1,0)=2,1,"")</f>
        <v>1</v>
      </c>
      <c r="J106" s="5" t="str">
        <f>IF(IF(Table4428[[#This Row],[Pre or Post]]="Pre",1,0)+IF(ISNUMBER(Table4428[[#This Row],[Response]])=TRUE,1,0)=2,Table4428[[#This Row],[Response]],"")</f>
        <v/>
      </c>
      <c r="K106" s="5">
        <f>IF(IF(Table4428[[#This Row],[Pre or Post]]="Post",1,0)+IF(ISNUMBER(Table4428[[#This Row],[Response]])=TRUE,1,0)=2,Table4428[[#This Row],[Response]],"")</f>
        <v>4</v>
      </c>
      <c r="L106" s="5" t="str">
        <f>IF(IF(ISNUMBER(J106),1,0)+IF(ISNUMBER(K107),1,0)=2,IF(IF(C107=C106,1,0)+IF(B107=B106,1,0)+IF(D107="Post",1,0)+IF(D106="Pre",1,0)=4,Table4428[[#This Row],[Pre Total]],""),"")</f>
        <v/>
      </c>
      <c r="M106" s="5" t="str">
        <f>IF(IF(ISNUMBER(J105),1,0)+IF(ISNUMBER(Table4428[[#This Row],[Post Total]]),1,0)=2,IF(IF(Table4428[[#This Row],[Student Number]]=C105,1,0)+IF(Table4428[[#This Row],[Session]]=B105,1,0)+IF(Table4428[[#This Row],[Pre or Post]]="Post",1,0)+IF(D105="Pre",1,0)=4,Table4428[[#This Row],[Post Total]],""),"")</f>
        <v/>
      </c>
      <c r="N106" s="5" t="str">
        <f>IF(IF(ISNUMBER(J105),1,0)+IF(ISNUMBER(Table4428[[#This Row],[Post Total]]),1,0)=2,IF(IF(Table4428[[#This Row],[Student Number]]=C105,1,0)+IF(Table4428[[#This Row],[Session]]=B105,1,0)+IF(Table4428[[#This Row],[Pre or Post]]="Post",1,0)+IF(D105="Pre",1,0)=4,Table4428[[#This Row],[Post Total]]-J105,""),"")</f>
        <v/>
      </c>
      <c r="O106" s="5" t="b">
        <f>ISNUMBER(Table4428[[#This Row],[Change]])</f>
        <v>0</v>
      </c>
    </row>
    <row r="107" spans="1:15">
      <c r="A107" s="2"/>
      <c r="B107" s="2"/>
      <c r="C107" s="2"/>
      <c r="D107" s="2"/>
      <c r="E107" s="2"/>
      <c r="F107" s="2"/>
      <c r="G107" s="2"/>
      <c r="H107" s="6">
        <f>SUM([Pre Answers])</f>
        <v>40</v>
      </c>
      <c r="I107" s="6">
        <f>SUM([Post Answers])</f>
        <v>65</v>
      </c>
      <c r="J107" s="2">
        <f>SUM([Pre Total])</f>
        <v>135</v>
      </c>
      <c r="K107" s="2">
        <f>SUM([Post Total])</f>
        <v>222</v>
      </c>
      <c r="L107" s="2">
        <f>SUM(Table4428[[#Headers],[#Data],[Pre Total (Pooled)]])</f>
        <v>135</v>
      </c>
      <c r="M107" s="2">
        <f>SUM([Post Total (Pooled)])</f>
        <v>137</v>
      </c>
      <c r="N107" s="2">
        <f>SUM([Change])</f>
        <v>2</v>
      </c>
      <c r="O107" s="2">
        <f>COUNTIF([Number 2 Resp],TRUE)</f>
        <v>40</v>
      </c>
    </row>
    <row r="109" spans="1:15" s="15" customFormat="1" ht="45">
      <c r="A109" s="15" t="s">
        <v>4</v>
      </c>
      <c r="B109" s="15" t="s">
        <v>36</v>
      </c>
      <c r="C109" s="15" t="s">
        <v>37</v>
      </c>
      <c r="D109" s="15" t="s">
        <v>68</v>
      </c>
      <c r="E109" s="15" t="s">
        <v>69</v>
      </c>
      <c r="F109" s="15" t="s">
        <v>84</v>
      </c>
    </row>
    <row r="110" spans="1:15">
      <c r="A110" s="1" t="s">
        <v>6</v>
      </c>
      <c r="B110" s="1">
        <f>COUNTIF(Table4428[Pre or Post],"Pre")</f>
        <v>40</v>
      </c>
      <c r="C110" s="1">
        <f>Table4428[[#Totals],[Pre Answers]]</f>
        <v>40</v>
      </c>
      <c r="D110" s="1">
        <f>Table4428[[#Totals],[Pre Total]]/Table51229[[#This Row],[Total Answers]]</f>
        <v>3.375</v>
      </c>
      <c r="E110" s="1">
        <f>STDEV(Table4428[Pre Total])</f>
        <v>1.0545992068930676</v>
      </c>
      <c r="F110" s="5">
        <f>STDEV(Table4428[Change])</f>
        <v>0.63850787598298875</v>
      </c>
    </row>
    <row r="111" spans="1:15">
      <c r="A111" s="1" t="s">
        <v>16</v>
      </c>
      <c r="B111" s="1">
        <f>COUNTIF(Table4428[Pre or Post],"Post")</f>
        <v>65</v>
      </c>
      <c r="C111" s="1">
        <f>Table4428[[#Totals],[Post Answers]]</f>
        <v>65</v>
      </c>
      <c r="D111" s="1">
        <f>Table4428[[#Totals],[Post Total]]/Table51229[[#This Row],[Total Answers]]</f>
        <v>3.4153846153846152</v>
      </c>
      <c r="E111" s="1">
        <f>STDEV(Table4428[Post Total])</f>
        <v>0.93361373992921426</v>
      </c>
      <c r="F111" s="5">
        <f>STDEV(Table4428[Change])</f>
        <v>0.63850787598298875</v>
      </c>
    </row>
    <row r="113" spans="1:13" ht="30">
      <c r="A113" s="15" t="s">
        <v>46</v>
      </c>
      <c r="B113" s="15" t="s">
        <v>82</v>
      </c>
      <c r="C113" s="15" t="s">
        <v>70</v>
      </c>
      <c r="D113" s="15" t="s">
        <v>71</v>
      </c>
      <c r="E113" s="15" t="s">
        <v>73</v>
      </c>
      <c r="F113" s="15" t="s">
        <v>74</v>
      </c>
      <c r="G113" s="15" t="s">
        <v>75</v>
      </c>
      <c r="H113" s="15" t="s">
        <v>76</v>
      </c>
      <c r="I113" s="15" t="s">
        <v>77</v>
      </c>
      <c r="J113" s="15" t="s">
        <v>78</v>
      </c>
      <c r="K113" s="15" t="s">
        <v>79</v>
      </c>
      <c r="L113" s="15" t="s">
        <v>80</v>
      </c>
      <c r="M113" s="15" t="s">
        <v>81</v>
      </c>
    </row>
    <row r="114" spans="1:13">
      <c r="A114" s="1">
        <f>COUNTIF(Table4428[Pre and Post?],"Yes")/2</f>
        <v>40</v>
      </c>
      <c r="B114" s="1">
        <f>COUNTIF(Table4428[Number 2 Resp],TRUE)</f>
        <v>40</v>
      </c>
      <c r="C114" s="1">
        <f>COUNTIF(Table4428[Change],1)</f>
        <v>8</v>
      </c>
      <c r="D114" s="1">
        <f>COUNTIF(Table4428[Change],2)</f>
        <v>0</v>
      </c>
      <c r="E114" s="1">
        <f>COUNTIF(Table4428[Change],3)</f>
        <v>0</v>
      </c>
      <c r="F114" s="1">
        <f>COUNTIF(Table4428[Change],4)</f>
        <v>0</v>
      </c>
      <c r="G114" s="1">
        <f>COUNTIF(Table4428[Change],-1)</f>
        <v>4</v>
      </c>
      <c r="H114" s="1">
        <f>COUNTIF(Table4428[Change],-2)</f>
        <v>1</v>
      </c>
      <c r="I114" s="1">
        <f>COUNTIF(Table4428[Change],-3)</f>
        <v>0</v>
      </c>
      <c r="J114" s="1">
        <f>COUNTIF(Table4428[Change],-4)</f>
        <v>0</v>
      </c>
      <c r="K114" s="1">
        <f>SUM(Table61330[[Increased by 1]:[Increased by 4]])</f>
        <v>8</v>
      </c>
      <c r="L114" s="1">
        <f>SUM(Table61330[[Decreased by 1]:[Decreased by 4]])</f>
        <v>5</v>
      </c>
      <c r="M114" s="1">
        <f>COUNTIF(Table4428[Change],0)</f>
        <v>27</v>
      </c>
    </row>
    <row r="116" spans="1:13">
      <c r="A116" s="1" t="s">
        <v>87</v>
      </c>
    </row>
    <row r="117" spans="1:13" ht="45">
      <c r="A117" t="s">
        <v>4</v>
      </c>
      <c r="B117" s="15" t="s">
        <v>36</v>
      </c>
      <c r="C117" s="15" t="s">
        <v>84</v>
      </c>
      <c r="D117" s="15" t="s">
        <v>68</v>
      </c>
      <c r="E117" s="15" t="s">
        <v>69</v>
      </c>
    </row>
    <row r="118" spans="1:13">
      <c r="A118" t="s">
        <v>6</v>
      </c>
      <c r="B118" s="1">
        <f>Table4428[[#Totals],[Number 2 Resp]]</f>
        <v>40</v>
      </c>
      <c r="C118" s="5">
        <f>STDEV(Table4428[Change])</f>
        <v>0.63850787598298875</v>
      </c>
      <c r="D118" s="5">
        <f>Table4428[[#Totals],[Pre Total (Pooled)]]/B118</f>
        <v>3.375</v>
      </c>
      <c r="E118" s="1">
        <f>STDEV(Table4428[Pre Total (Pooled)])</f>
        <v>1.0545992068930676</v>
      </c>
    </row>
    <row r="119" spans="1:13">
      <c r="A119" t="s">
        <v>16</v>
      </c>
      <c r="B119" s="1">
        <f>Table4428[[#Totals],[Number 2 Resp]]</f>
        <v>40</v>
      </c>
      <c r="C119" s="5">
        <f>STDEV(Table4428[Change])</f>
        <v>0.63850787598298875</v>
      </c>
      <c r="D119" s="5">
        <f>Table4428[[#Totals],[Post Total (Pooled)]]/B119</f>
        <v>3.4249999999999998</v>
      </c>
      <c r="E119" s="1">
        <f>STDEV(Table4428[Post Total (Pooled)])</f>
        <v>1.0833826418758739</v>
      </c>
    </row>
  </sheetData>
  <conditionalFormatting sqref="F2:G106 F109:F111 C117:C119">
    <cfRule type="cellIs" dxfId="1144" priority="1" operator="equal">
      <formula>"No"</formula>
    </cfRule>
    <cfRule type="cellIs" dxfId="1143" priority="2" operator="equal">
      <formula>"Yes"</formula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1"/>
  <sheetViews>
    <sheetView workbookViewId="0">
      <pane ySplit="1" topLeftCell="A133" activePane="bottomLeft" state="frozen"/>
      <selection activeCell="E37" sqref="E37"/>
      <selection pane="bottomLeft" activeCell="E37" sqref="E37"/>
    </sheetView>
  </sheetViews>
  <sheetFormatPr defaultColWidth="16.7109375" defaultRowHeight="15"/>
  <cols>
    <col min="1" max="16384" width="16.7109375" style="1"/>
  </cols>
  <sheetData>
    <row r="1" spans="1:15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20</v>
      </c>
      <c r="H1" s="1" t="s">
        <v>64</v>
      </c>
      <c r="I1" s="1" t="s">
        <v>65</v>
      </c>
      <c r="J1" s="1" t="s">
        <v>66</v>
      </c>
      <c r="K1" s="1" t="s">
        <v>67</v>
      </c>
      <c r="L1" s="1" t="s">
        <v>88</v>
      </c>
      <c r="M1" s="1" t="s">
        <v>89</v>
      </c>
      <c r="N1" s="1" t="s">
        <v>72</v>
      </c>
      <c r="O1" s="1" t="s">
        <v>83</v>
      </c>
    </row>
    <row r="2" spans="1:15">
      <c r="A2" s="2" t="s">
        <v>24</v>
      </c>
      <c r="B2" s="2" t="s">
        <v>30</v>
      </c>
      <c r="C2" s="1">
        <v>1</v>
      </c>
      <c r="D2" s="2" t="s">
        <v>16</v>
      </c>
      <c r="E2" s="1">
        <v>3</v>
      </c>
      <c r="F2" s="1">
        <v>3</v>
      </c>
      <c r="G2" s="2" t="s">
        <v>9</v>
      </c>
      <c r="H2" s="6" t="str">
        <f>IF(IF(Table442431[[#This Row],[Pre or Post]]="Pre",1,0)+IF(ISNUMBER(Table442431[[#This Row],[Response]])=TRUE,1,0)=2,1,"")</f>
        <v/>
      </c>
      <c r="I2" s="6">
        <f>IF(IF(Table442431[[#This Row],[Pre or Post]]="Post",1,0)+IF(ISNUMBER(Table442431[[#This Row],[Response]])=TRUE,1,0)=2,1,"")</f>
        <v>1</v>
      </c>
      <c r="J2" s="6" t="str">
        <f>IF(IF(Table442431[[#This Row],[Pre or Post]]="Pre",1,0)+IF(ISNUMBER(Table442431[[#This Row],[Response]])=TRUE,1,0)=2,Table442431[[#This Row],[Response]],"")</f>
        <v/>
      </c>
      <c r="K2" s="6">
        <f>IF(IF(Table442431[[#This Row],[Pre or Post]]="Post",1,0)+IF(ISNUMBER(Table442431[[#This Row],[Response]])=TRUE,1,0)=2,Table442431[[#This Row],[Response]],"")</f>
        <v>3</v>
      </c>
      <c r="L2" s="6" t="str">
        <f>IF(IF(ISNUMBER(J2),1,0)+IF(ISNUMBER(K3),1,0)=2,IF(IF(C3=C2,1,0)+IF(B3=B2,1,0)+IF(D3="Post",1,0)+IF(D2="Pre",1,0)=4,Table442431[[#This Row],[Pre Total]],""),"")</f>
        <v/>
      </c>
      <c r="M2" s="6" t="str">
        <f>IF(IF(ISNUMBER(J1),1,0)+IF(ISNUMBER(Table442431[[#This Row],[Post Total]]),1,0)=2,IF(IF(Table442431[[#This Row],[Student Number]]=C1,1,0)+IF(Table442431[[#This Row],[Session]]=B1,1,0)+IF(Table442431[[#This Row],[Pre or Post]]="Post",1,0)+IF(D1="Pre",1,0)=4,Table442431[[#This Row],[Post Total]],""),"")</f>
        <v/>
      </c>
      <c r="N2" s="6" t="str">
        <f>IF(IF(ISNUMBER(J1),1,0)+IF(ISNUMBER(Table442431[[#This Row],[Post Total]]),1,0)=2,IF(IF(Table442431[[#This Row],[Student Number]]=C1,1,0)+IF(Table442431[[#This Row],[Session]]=B1,1,0)+IF(Table442431[[#This Row],[Pre or Post]]="Post",1,0)+IF(D1="Pre",1,0)=4,Table442431[[#This Row],[Post Total]]-J1,""),"")</f>
        <v/>
      </c>
      <c r="O2" s="6" t="b">
        <f>ISNUMBER(Table442431[[#This Row],[Change]])</f>
        <v>0</v>
      </c>
    </row>
    <row r="3" spans="1:15">
      <c r="A3" s="2" t="s">
        <v>24</v>
      </c>
      <c r="B3" s="2" t="s">
        <v>30</v>
      </c>
      <c r="C3" s="1">
        <v>2</v>
      </c>
      <c r="D3" s="2" t="s">
        <v>16</v>
      </c>
      <c r="E3" s="1">
        <v>3</v>
      </c>
      <c r="F3" s="1">
        <v>3</v>
      </c>
      <c r="G3" s="2" t="s">
        <v>9</v>
      </c>
      <c r="H3" s="6" t="str">
        <f>IF(IF(Table442431[[#This Row],[Pre or Post]]="Pre",1,0)+IF(ISNUMBER(Table442431[[#This Row],[Response]])=TRUE,1,0)=2,1,"")</f>
        <v/>
      </c>
      <c r="I3" s="6">
        <f>IF(IF(Table442431[[#This Row],[Pre or Post]]="Post",1,0)+IF(ISNUMBER(Table442431[[#This Row],[Response]])=TRUE,1,0)=2,1,"")</f>
        <v>1</v>
      </c>
      <c r="J3" s="6" t="str">
        <f>IF(IF(Table442431[[#This Row],[Pre or Post]]="Pre",1,0)+IF(ISNUMBER(Table442431[[#This Row],[Response]])=TRUE,1,0)=2,Table442431[[#This Row],[Response]],"")</f>
        <v/>
      </c>
      <c r="K3" s="6">
        <f>IF(IF(Table442431[[#This Row],[Pre or Post]]="Post",1,0)+IF(ISNUMBER(Table442431[[#This Row],[Response]])=TRUE,1,0)=2,Table442431[[#This Row],[Response]],"")</f>
        <v>3</v>
      </c>
      <c r="L3" s="6" t="str">
        <f>IF(IF(ISNUMBER(J3),1,0)+IF(ISNUMBER(K4),1,0)=2,IF(IF(C4=C3,1,0)+IF(B4=B3,1,0)+IF(D4="Post",1,0)+IF(D3="Pre",1,0)=4,Table442431[[#This Row],[Pre Total]],""),"")</f>
        <v/>
      </c>
      <c r="M3" s="6" t="str">
        <f>IF(IF(ISNUMBER(J2),1,0)+IF(ISNUMBER(Table442431[[#This Row],[Post Total]]),1,0)=2,IF(IF(Table442431[[#This Row],[Student Number]]=C2,1,0)+IF(Table442431[[#This Row],[Session]]=B2,1,0)+IF(Table442431[[#This Row],[Pre or Post]]="Post",1,0)+IF(D2="Pre",1,0)=4,Table442431[[#This Row],[Post Total]],""),"")</f>
        <v/>
      </c>
      <c r="N3" s="6" t="str">
        <f>IF(IF(ISNUMBER(J2),1,0)+IF(ISNUMBER(Table442431[[#This Row],[Post Total]]),1,0)=2,IF(IF(Table442431[[#This Row],[Student Number]]=C2,1,0)+IF(Table442431[[#This Row],[Session]]=B2,1,0)+IF(Table442431[[#This Row],[Pre or Post]]="Post",1,0)+IF(D2="Pre",1,0)=4,Table442431[[#This Row],[Post Total]]-J2,""),"")</f>
        <v/>
      </c>
      <c r="O3" s="6" t="b">
        <f>ISNUMBER(Table442431[[#This Row],[Change]])</f>
        <v>0</v>
      </c>
    </row>
    <row r="4" spans="1:15">
      <c r="A4" s="2" t="s">
        <v>24</v>
      </c>
      <c r="B4" s="2" t="s">
        <v>30</v>
      </c>
      <c r="C4" s="1">
        <v>3</v>
      </c>
      <c r="D4" s="2" t="s">
        <v>16</v>
      </c>
      <c r="E4" s="1">
        <v>3</v>
      </c>
      <c r="F4" s="1">
        <v>3</v>
      </c>
      <c r="G4" s="2" t="s">
        <v>9</v>
      </c>
      <c r="H4" s="6" t="str">
        <f>IF(IF(Table442431[[#This Row],[Pre or Post]]="Pre",1,0)+IF(ISNUMBER(Table442431[[#This Row],[Response]])=TRUE,1,0)=2,1,"")</f>
        <v/>
      </c>
      <c r="I4" s="6">
        <f>IF(IF(Table442431[[#This Row],[Pre or Post]]="Post",1,0)+IF(ISNUMBER(Table442431[[#This Row],[Response]])=TRUE,1,0)=2,1,"")</f>
        <v>1</v>
      </c>
      <c r="J4" s="6" t="str">
        <f>IF(IF(Table442431[[#This Row],[Pre or Post]]="Pre",1,0)+IF(ISNUMBER(Table442431[[#This Row],[Response]])=TRUE,1,0)=2,Table442431[[#This Row],[Response]],"")</f>
        <v/>
      </c>
      <c r="K4" s="6">
        <f>IF(IF(Table442431[[#This Row],[Pre or Post]]="Post",1,0)+IF(ISNUMBER(Table442431[[#This Row],[Response]])=TRUE,1,0)=2,Table442431[[#This Row],[Response]],"")</f>
        <v>3</v>
      </c>
      <c r="L4" s="6" t="str">
        <f>IF(IF(ISNUMBER(J4),1,0)+IF(ISNUMBER(K5),1,0)=2,IF(IF(C5=C4,1,0)+IF(B5=B4,1,0)+IF(D5="Post",1,0)+IF(D4="Pre",1,0)=4,Table442431[[#This Row],[Pre Total]],""),"")</f>
        <v/>
      </c>
      <c r="M4" s="6" t="str">
        <f>IF(IF(ISNUMBER(J3),1,0)+IF(ISNUMBER(Table442431[[#This Row],[Post Total]]),1,0)=2,IF(IF(Table442431[[#This Row],[Student Number]]=C3,1,0)+IF(Table442431[[#This Row],[Session]]=B3,1,0)+IF(Table442431[[#This Row],[Pre or Post]]="Post",1,0)+IF(D3="Pre",1,0)=4,Table442431[[#This Row],[Post Total]],""),"")</f>
        <v/>
      </c>
      <c r="N4" s="6" t="str">
        <f>IF(IF(ISNUMBER(J3),1,0)+IF(ISNUMBER(Table442431[[#This Row],[Post Total]]),1,0)=2,IF(IF(Table442431[[#This Row],[Student Number]]=C3,1,0)+IF(Table442431[[#This Row],[Session]]=B3,1,0)+IF(Table442431[[#This Row],[Pre or Post]]="Post",1,0)+IF(D3="Pre",1,0)=4,Table442431[[#This Row],[Post Total]]-J3,""),"")</f>
        <v/>
      </c>
      <c r="O4" s="6" t="b">
        <f>ISNUMBER(Table442431[[#This Row],[Change]])</f>
        <v>0</v>
      </c>
    </row>
    <row r="5" spans="1:15">
      <c r="A5" s="2" t="s">
        <v>24</v>
      </c>
      <c r="B5" s="2" t="s">
        <v>30</v>
      </c>
      <c r="C5" s="1">
        <v>4</v>
      </c>
      <c r="D5" s="2" t="s">
        <v>16</v>
      </c>
      <c r="E5" s="1">
        <v>3</v>
      </c>
      <c r="F5" s="1">
        <v>3</v>
      </c>
      <c r="G5" s="2" t="s">
        <v>9</v>
      </c>
      <c r="H5" s="6" t="str">
        <f>IF(IF(Table442431[[#This Row],[Pre or Post]]="Pre",1,0)+IF(ISNUMBER(Table442431[[#This Row],[Response]])=TRUE,1,0)=2,1,"")</f>
        <v/>
      </c>
      <c r="I5" s="6">
        <f>IF(IF(Table442431[[#This Row],[Pre or Post]]="Post",1,0)+IF(ISNUMBER(Table442431[[#This Row],[Response]])=TRUE,1,0)=2,1,"")</f>
        <v>1</v>
      </c>
      <c r="J5" s="6" t="str">
        <f>IF(IF(Table442431[[#This Row],[Pre or Post]]="Pre",1,0)+IF(ISNUMBER(Table442431[[#This Row],[Response]])=TRUE,1,0)=2,Table442431[[#This Row],[Response]],"")</f>
        <v/>
      </c>
      <c r="K5" s="6">
        <f>IF(IF(Table442431[[#This Row],[Pre or Post]]="Post",1,0)+IF(ISNUMBER(Table442431[[#This Row],[Response]])=TRUE,1,0)=2,Table442431[[#This Row],[Response]],"")</f>
        <v>3</v>
      </c>
      <c r="L5" s="6" t="str">
        <f>IF(IF(ISNUMBER(J5),1,0)+IF(ISNUMBER(K6),1,0)=2,IF(IF(C6=C5,1,0)+IF(B6=B5,1,0)+IF(D6="Post",1,0)+IF(D5="Pre",1,0)=4,Table442431[[#This Row],[Pre Total]],""),"")</f>
        <v/>
      </c>
      <c r="M5" s="6" t="str">
        <f>IF(IF(ISNUMBER(J4),1,0)+IF(ISNUMBER(Table442431[[#This Row],[Post Total]]),1,0)=2,IF(IF(Table442431[[#This Row],[Student Number]]=C4,1,0)+IF(Table442431[[#This Row],[Session]]=B4,1,0)+IF(Table442431[[#This Row],[Pre or Post]]="Post",1,0)+IF(D4="Pre",1,0)=4,Table442431[[#This Row],[Post Total]],""),"")</f>
        <v/>
      </c>
      <c r="N5" s="6" t="str">
        <f>IF(IF(ISNUMBER(J4),1,0)+IF(ISNUMBER(Table442431[[#This Row],[Post Total]]),1,0)=2,IF(IF(Table442431[[#This Row],[Student Number]]=C4,1,0)+IF(Table442431[[#This Row],[Session]]=B4,1,0)+IF(Table442431[[#This Row],[Pre or Post]]="Post",1,0)+IF(D4="Pre",1,0)=4,Table442431[[#This Row],[Post Total]]-J4,""),"")</f>
        <v/>
      </c>
      <c r="O5" s="6" t="b">
        <f>ISNUMBER(Table442431[[#This Row],[Change]])</f>
        <v>0</v>
      </c>
    </row>
    <row r="6" spans="1:15">
      <c r="A6" s="2" t="s">
        <v>24</v>
      </c>
      <c r="B6" s="2" t="s">
        <v>30</v>
      </c>
      <c r="C6" s="1">
        <v>5</v>
      </c>
      <c r="D6" s="2" t="s">
        <v>16</v>
      </c>
      <c r="E6" s="1">
        <v>3</v>
      </c>
      <c r="F6" s="1">
        <v>4</v>
      </c>
      <c r="G6" s="2" t="s">
        <v>9</v>
      </c>
      <c r="H6" s="5" t="str">
        <f>IF(IF(Table442431[[#This Row],[Pre or Post]]="Pre",1,0)+IF(ISNUMBER(Table442431[[#This Row],[Response]])=TRUE,1,0)=2,1,"")</f>
        <v/>
      </c>
      <c r="I6" s="5">
        <f>IF(IF(Table442431[[#This Row],[Pre or Post]]="Post",1,0)+IF(ISNUMBER(Table442431[[#This Row],[Response]])=TRUE,1,0)=2,1,"")</f>
        <v>1</v>
      </c>
      <c r="J6" s="5" t="str">
        <f>IF(IF(Table442431[[#This Row],[Pre or Post]]="Pre",1,0)+IF(ISNUMBER(Table442431[[#This Row],[Response]])=TRUE,1,0)=2,Table442431[[#This Row],[Response]],"")</f>
        <v/>
      </c>
      <c r="K6" s="5">
        <f>IF(IF(Table442431[[#This Row],[Pre or Post]]="Post",1,0)+IF(ISNUMBER(Table442431[[#This Row],[Response]])=TRUE,1,0)=2,Table442431[[#This Row],[Response]],"")</f>
        <v>4</v>
      </c>
      <c r="L6" s="5" t="str">
        <f>IF(IF(ISNUMBER(J6),1,0)+IF(ISNUMBER(K7),1,0)=2,IF(IF(C7=C6,1,0)+IF(B7=B6,1,0)+IF(D7="Post",1,0)+IF(D6="Pre",1,0)=4,Table442431[[#This Row],[Pre Total]],""),"")</f>
        <v/>
      </c>
      <c r="M6" s="5" t="str">
        <f>IF(IF(ISNUMBER(J5),1,0)+IF(ISNUMBER(Table442431[[#This Row],[Post Total]]),1,0)=2,IF(IF(Table442431[[#This Row],[Student Number]]=C5,1,0)+IF(Table442431[[#This Row],[Session]]=B5,1,0)+IF(Table442431[[#This Row],[Pre or Post]]="Post",1,0)+IF(D5="Pre",1,0)=4,Table442431[[#This Row],[Post Total]],""),"")</f>
        <v/>
      </c>
      <c r="N6" s="5" t="str">
        <f>IF(IF(ISNUMBER(J5),1,0)+IF(ISNUMBER(Table442431[[#This Row],[Post Total]]),1,0)=2,IF(IF(Table442431[[#This Row],[Student Number]]=C5,1,0)+IF(Table442431[[#This Row],[Session]]=B5,1,0)+IF(Table442431[[#This Row],[Pre or Post]]="Post",1,0)+IF(D5="Pre",1,0)=4,Table442431[[#This Row],[Post Total]]-J5,""),"")</f>
        <v/>
      </c>
      <c r="O6" s="5" t="b">
        <f>ISNUMBER(Table442431[[#This Row],[Change]])</f>
        <v>0</v>
      </c>
    </row>
    <row r="7" spans="1:15">
      <c r="A7" s="2" t="s">
        <v>24</v>
      </c>
      <c r="B7" s="2" t="s">
        <v>30</v>
      </c>
      <c r="C7" s="1">
        <v>6</v>
      </c>
      <c r="D7" s="2" t="s">
        <v>16</v>
      </c>
      <c r="E7" s="1">
        <v>3</v>
      </c>
      <c r="F7" s="1">
        <v>4</v>
      </c>
      <c r="G7" s="2" t="s">
        <v>9</v>
      </c>
      <c r="H7" s="5" t="str">
        <f>IF(IF(Table442431[[#This Row],[Pre or Post]]="Pre",1,0)+IF(ISNUMBER(Table442431[[#This Row],[Response]])=TRUE,1,0)=2,1,"")</f>
        <v/>
      </c>
      <c r="I7" s="5">
        <f>IF(IF(Table442431[[#This Row],[Pre or Post]]="Post",1,0)+IF(ISNUMBER(Table442431[[#This Row],[Response]])=TRUE,1,0)=2,1,"")</f>
        <v>1</v>
      </c>
      <c r="J7" s="5" t="str">
        <f>IF(IF(Table442431[[#This Row],[Pre or Post]]="Pre",1,0)+IF(ISNUMBER(Table442431[[#This Row],[Response]])=TRUE,1,0)=2,Table442431[[#This Row],[Response]],"")</f>
        <v/>
      </c>
      <c r="K7" s="5">
        <f>IF(IF(Table442431[[#This Row],[Pre or Post]]="Post",1,0)+IF(ISNUMBER(Table442431[[#This Row],[Response]])=TRUE,1,0)=2,Table442431[[#This Row],[Response]],"")</f>
        <v>4</v>
      </c>
      <c r="L7" s="5" t="str">
        <f>IF(IF(ISNUMBER(J7),1,0)+IF(ISNUMBER(K8),1,0)=2,IF(IF(C8=C7,1,0)+IF(B8=B7,1,0)+IF(D8="Post",1,0)+IF(D7="Pre",1,0)=4,Table442431[[#This Row],[Pre Total]],""),"")</f>
        <v/>
      </c>
      <c r="M7" s="5" t="str">
        <f>IF(IF(ISNUMBER(J6),1,0)+IF(ISNUMBER(Table442431[[#This Row],[Post Total]]),1,0)=2,IF(IF(Table442431[[#This Row],[Student Number]]=C6,1,0)+IF(Table442431[[#This Row],[Session]]=B6,1,0)+IF(Table442431[[#This Row],[Pre or Post]]="Post",1,0)+IF(D6="Pre",1,0)=4,Table442431[[#This Row],[Post Total]],""),"")</f>
        <v/>
      </c>
      <c r="N7" s="5" t="str">
        <f>IF(IF(ISNUMBER(J6),1,0)+IF(ISNUMBER(Table442431[[#This Row],[Post Total]]),1,0)=2,IF(IF(Table442431[[#This Row],[Student Number]]=C6,1,0)+IF(Table442431[[#This Row],[Session]]=B6,1,0)+IF(Table442431[[#This Row],[Pre or Post]]="Post",1,0)+IF(D6="Pre",1,0)=4,Table442431[[#This Row],[Post Total]]-J6,""),"")</f>
        <v/>
      </c>
      <c r="O7" s="5" t="b">
        <f>ISNUMBER(Table442431[[#This Row],[Change]])</f>
        <v>0</v>
      </c>
    </row>
    <row r="8" spans="1:15">
      <c r="A8" s="2" t="s">
        <v>24</v>
      </c>
      <c r="B8" s="2" t="s">
        <v>30</v>
      </c>
      <c r="C8" s="1">
        <v>7</v>
      </c>
      <c r="D8" s="2" t="s">
        <v>16</v>
      </c>
      <c r="E8" s="1">
        <v>3</v>
      </c>
      <c r="F8" s="1">
        <v>4</v>
      </c>
      <c r="G8" s="2" t="s">
        <v>9</v>
      </c>
      <c r="H8" s="5" t="str">
        <f>IF(IF(Table442431[[#This Row],[Pre or Post]]="Pre",1,0)+IF(ISNUMBER(Table442431[[#This Row],[Response]])=TRUE,1,0)=2,1,"")</f>
        <v/>
      </c>
      <c r="I8" s="5">
        <f>IF(IF(Table442431[[#This Row],[Pre or Post]]="Post",1,0)+IF(ISNUMBER(Table442431[[#This Row],[Response]])=TRUE,1,0)=2,1,"")</f>
        <v>1</v>
      </c>
      <c r="J8" s="5" t="str">
        <f>IF(IF(Table442431[[#This Row],[Pre or Post]]="Pre",1,0)+IF(ISNUMBER(Table442431[[#This Row],[Response]])=TRUE,1,0)=2,Table442431[[#This Row],[Response]],"")</f>
        <v/>
      </c>
      <c r="K8" s="5">
        <f>IF(IF(Table442431[[#This Row],[Pre or Post]]="Post",1,0)+IF(ISNUMBER(Table442431[[#This Row],[Response]])=TRUE,1,0)=2,Table442431[[#This Row],[Response]],"")</f>
        <v>4</v>
      </c>
      <c r="L8" s="5" t="str">
        <f>IF(IF(ISNUMBER(J8),1,0)+IF(ISNUMBER(K9),1,0)=2,IF(IF(C9=C8,1,0)+IF(B9=B8,1,0)+IF(D9="Post",1,0)+IF(D8="Pre",1,0)=4,Table442431[[#This Row],[Pre Total]],""),"")</f>
        <v/>
      </c>
      <c r="M8" s="5" t="str">
        <f>IF(IF(ISNUMBER(J7),1,0)+IF(ISNUMBER(Table442431[[#This Row],[Post Total]]),1,0)=2,IF(IF(Table442431[[#This Row],[Student Number]]=C7,1,0)+IF(Table442431[[#This Row],[Session]]=B7,1,0)+IF(Table442431[[#This Row],[Pre or Post]]="Post",1,0)+IF(D7="Pre",1,0)=4,Table442431[[#This Row],[Post Total]],""),"")</f>
        <v/>
      </c>
      <c r="N8" s="5" t="str">
        <f>IF(IF(ISNUMBER(J7),1,0)+IF(ISNUMBER(Table442431[[#This Row],[Post Total]]),1,0)=2,IF(IF(Table442431[[#This Row],[Student Number]]=C7,1,0)+IF(Table442431[[#This Row],[Session]]=B7,1,0)+IF(Table442431[[#This Row],[Pre or Post]]="Post",1,0)+IF(D7="Pre",1,0)=4,Table442431[[#This Row],[Post Total]]-J7,""),"")</f>
        <v/>
      </c>
      <c r="O8" s="5" t="b">
        <f>ISNUMBER(Table442431[[#This Row],[Change]])</f>
        <v>0</v>
      </c>
    </row>
    <row r="9" spans="1:15">
      <c r="A9" s="2" t="s">
        <v>24</v>
      </c>
      <c r="B9" s="2" t="s">
        <v>30</v>
      </c>
      <c r="C9" s="1">
        <v>8</v>
      </c>
      <c r="D9" s="2" t="s">
        <v>16</v>
      </c>
      <c r="E9" s="1">
        <v>3</v>
      </c>
      <c r="F9" s="1">
        <v>3</v>
      </c>
      <c r="G9" s="2" t="s">
        <v>9</v>
      </c>
      <c r="H9" s="5" t="str">
        <f>IF(IF(Table442431[[#This Row],[Pre or Post]]="Pre",1,0)+IF(ISNUMBER(Table442431[[#This Row],[Response]])=TRUE,1,0)=2,1,"")</f>
        <v/>
      </c>
      <c r="I9" s="5">
        <f>IF(IF(Table442431[[#This Row],[Pre or Post]]="Post",1,0)+IF(ISNUMBER(Table442431[[#This Row],[Response]])=TRUE,1,0)=2,1,"")</f>
        <v>1</v>
      </c>
      <c r="J9" s="5" t="str">
        <f>IF(IF(Table442431[[#This Row],[Pre or Post]]="Pre",1,0)+IF(ISNUMBER(Table442431[[#This Row],[Response]])=TRUE,1,0)=2,Table442431[[#This Row],[Response]],"")</f>
        <v/>
      </c>
      <c r="K9" s="5">
        <f>IF(IF(Table442431[[#This Row],[Pre or Post]]="Post",1,0)+IF(ISNUMBER(Table442431[[#This Row],[Response]])=TRUE,1,0)=2,Table442431[[#This Row],[Response]],"")</f>
        <v>3</v>
      </c>
      <c r="L9" s="5" t="str">
        <f>IF(IF(ISNUMBER(J9),1,0)+IF(ISNUMBER(K10),1,0)=2,IF(IF(C10=C9,1,0)+IF(B10=B9,1,0)+IF(D10="Post",1,0)+IF(D9="Pre",1,0)=4,Table442431[[#This Row],[Pre Total]],""),"")</f>
        <v/>
      </c>
      <c r="M9" s="5" t="str">
        <f>IF(IF(ISNUMBER(J8),1,0)+IF(ISNUMBER(Table442431[[#This Row],[Post Total]]),1,0)=2,IF(IF(Table442431[[#This Row],[Student Number]]=C8,1,0)+IF(Table442431[[#This Row],[Session]]=B8,1,0)+IF(Table442431[[#This Row],[Pre or Post]]="Post",1,0)+IF(D8="Pre",1,0)=4,Table442431[[#This Row],[Post Total]],""),"")</f>
        <v/>
      </c>
      <c r="N9" s="5" t="str">
        <f>IF(IF(ISNUMBER(J8),1,0)+IF(ISNUMBER(Table442431[[#This Row],[Post Total]]),1,0)=2,IF(IF(Table442431[[#This Row],[Student Number]]=C8,1,0)+IF(Table442431[[#This Row],[Session]]=B8,1,0)+IF(Table442431[[#This Row],[Pre or Post]]="Post",1,0)+IF(D8="Pre",1,0)=4,Table442431[[#This Row],[Post Total]]-J8,""),"")</f>
        <v/>
      </c>
      <c r="O9" s="5" t="b">
        <f>ISNUMBER(Table442431[[#This Row],[Change]])</f>
        <v>0</v>
      </c>
    </row>
    <row r="10" spans="1:15">
      <c r="A10" s="2" t="s">
        <v>24</v>
      </c>
      <c r="B10" s="2" t="s">
        <v>30</v>
      </c>
      <c r="C10" s="1">
        <v>9</v>
      </c>
      <c r="D10" s="2" t="s">
        <v>16</v>
      </c>
      <c r="E10" s="1">
        <v>3</v>
      </c>
      <c r="F10" s="1">
        <v>3</v>
      </c>
      <c r="G10" s="2" t="s">
        <v>9</v>
      </c>
      <c r="H10" s="5" t="str">
        <f>IF(IF(Table442431[[#This Row],[Pre or Post]]="Pre",1,0)+IF(ISNUMBER(Table442431[[#This Row],[Response]])=TRUE,1,0)=2,1,"")</f>
        <v/>
      </c>
      <c r="I10" s="5">
        <f>IF(IF(Table442431[[#This Row],[Pre or Post]]="Post",1,0)+IF(ISNUMBER(Table442431[[#This Row],[Response]])=TRUE,1,0)=2,1,"")</f>
        <v>1</v>
      </c>
      <c r="J10" s="5" t="str">
        <f>IF(IF(Table442431[[#This Row],[Pre or Post]]="Pre",1,0)+IF(ISNUMBER(Table442431[[#This Row],[Response]])=TRUE,1,0)=2,Table442431[[#This Row],[Response]],"")</f>
        <v/>
      </c>
      <c r="K10" s="5">
        <f>IF(IF(Table442431[[#This Row],[Pre or Post]]="Post",1,0)+IF(ISNUMBER(Table442431[[#This Row],[Response]])=TRUE,1,0)=2,Table442431[[#This Row],[Response]],"")</f>
        <v>3</v>
      </c>
      <c r="L10" s="5" t="str">
        <f>IF(IF(ISNUMBER(J10),1,0)+IF(ISNUMBER(K11),1,0)=2,IF(IF(C11=C10,1,0)+IF(B11=B10,1,0)+IF(D11="Post",1,0)+IF(D10="Pre",1,0)=4,Table442431[[#This Row],[Pre Total]],""),"")</f>
        <v/>
      </c>
      <c r="M10" s="5" t="str">
        <f>IF(IF(ISNUMBER(J9),1,0)+IF(ISNUMBER(Table442431[[#This Row],[Post Total]]),1,0)=2,IF(IF(Table442431[[#This Row],[Student Number]]=C9,1,0)+IF(Table442431[[#This Row],[Session]]=B9,1,0)+IF(Table442431[[#This Row],[Pre or Post]]="Post",1,0)+IF(D9="Pre",1,0)=4,Table442431[[#This Row],[Post Total]],""),"")</f>
        <v/>
      </c>
      <c r="N10" s="5" t="str">
        <f>IF(IF(ISNUMBER(J9),1,0)+IF(ISNUMBER(Table442431[[#This Row],[Post Total]]),1,0)=2,IF(IF(Table442431[[#This Row],[Student Number]]=C9,1,0)+IF(Table442431[[#This Row],[Session]]=B9,1,0)+IF(Table442431[[#This Row],[Pre or Post]]="Post",1,0)+IF(D9="Pre",1,0)=4,Table442431[[#This Row],[Post Total]]-J9,""),"")</f>
        <v/>
      </c>
      <c r="O10" s="5" t="b">
        <f>ISNUMBER(Table442431[[#This Row],[Change]])</f>
        <v>0</v>
      </c>
    </row>
    <row r="11" spans="1:15">
      <c r="A11" s="2" t="s">
        <v>24</v>
      </c>
      <c r="B11" s="2" t="s">
        <v>30</v>
      </c>
      <c r="C11" s="1">
        <v>10</v>
      </c>
      <c r="D11" s="2" t="s">
        <v>16</v>
      </c>
      <c r="E11" s="1">
        <v>3</v>
      </c>
      <c r="F11" s="1">
        <v>3</v>
      </c>
      <c r="G11" s="2" t="s">
        <v>9</v>
      </c>
      <c r="H11" s="5" t="str">
        <f>IF(IF(Table442431[[#This Row],[Pre or Post]]="Pre",1,0)+IF(ISNUMBER(Table442431[[#This Row],[Response]])=TRUE,1,0)=2,1,"")</f>
        <v/>
      </c>
      <c r="I11" s="5">
        <f>IF(IF(Table442431[[#This Row],[Pre or Post]]="Post",1,0)+IF(ISNUMBER(Table442431[[#This Row],[Response]])=TRUE,1,0)=2,1,"")</f>
        <v>1</v>
      </c>
      <c r="J11" s="5" t="str">
        <f>IF(IF(Table442431[[#This Row],[Pre or Post]]="Pre",1,0)+IF(ISNUMBER(Table442431[[#This Row],[Response]])=TRUE,1,0)=2,Table442431[[#This Row],[Response]],"")</f>
        <v/>
      </c>
      <c r="K11" s="5">
        <f>IF(IF(Table442431[[#This Row],[Pre or Post]]="Post",1,0)+IF(ISNUMBER(Table442431[[#This Row],[Response]])=TRUE,1,0)=2,Table442431[[#This Row],[Response]],"")</f>
        <v>3</v>
      </c>
      <c r="L11" s="5" t="str">
        <f>IF(IF(ISNUMBER(J11),1,0)+IF(ISNUMBER(K12),1,0)=2,IF(IF(C12=C11,1,0)+IF(B12=B11,1,0)+IF(D12="Post",1,0)+IF(D11="Pre",1,0)=4,Table442431[[#This Row],[Pre Total]],""),"")</f>
        <v/>
      </c>
      <c r="M11" s="5" t="str">
        <f>IF(IF(ISNUMBER(J10),1,0)+IF(ISNUMBER(Table442431[[#This Row],[Post Total]]),1,0)=2,IF(IF(Table442431[[#This Row],[Student Number]]=C10,1,0)+IF(Table442431[[#This Row],[Session]]=B10,1,0)+IF(Table442431[[#This Row],[Pre or Post]]="Post",1,0)+IF(D10="Pre",1,0)=4,Table442431[[#This Row],[Post Total]],""),"")</f>
        <v/>
      </c>
      <c r="N11" s="5" t="str">
        <f>IF(IF(ISNUMBER(J10),1,0)+IF(ISNUMBER(Table442431[[#This Row],[Post Total]]),1,0)=2,IF(IF(Table442431[[#This Row],[Student Number]]=C10,1,0)+IF(Table442431[[#This Row],[Session]]=B10,1,0)+IF(Table442431[[#This Row],[Pre or Post]]="Post",1,0)+IF(D10="Pre",1,0)=4,Table442431[[#This Row],[Post Total]]-J10,""),"")</f>
        <v/>
      </c>
      <c r="O11" s="5" t="b">
        <f>ISNUMBER(Table442431[[#This Row],[Change]])</f>
        <v>0</v>
      </c>
    </row>
    <row r="12" spans="1:15">
      <c r="A12" s="2" t="s">
        <v>24</v>
      </c>
      <c r="B12" s="2" t="s">
        <v>30</v>
      </c>
      <c r="C12" s="1">
        <v>11</v>
      </c>
      <c r="D12" s="2" t="s">
        <v>16</v>
      </c>
      <c r="E12" s="1">
        <v>3</v>
      </c>
      <c r="F12" s="1">
        <v>3</v>
      </c>
      <c r="G12" s="2" t="s">
        <v>9</v>
      </c>
      <c r="H12" s="5" t="str">
        <f>IF(IF(Table442431[[#This Row],[Pre or Post]]="Pre",1,0)+IF(ISNUMBER(Table442431[[#This Row],[Response]])=TRUE,1,0)=2,1,"")</f>
        <v/>
      </c>
      <c r="I12" s="5">
        <f>IF(IF(Table442431[[#This Row],[Pre or Post]]="Post",1,0)+IF(ISNUMBER(Table442431[[#This Row],[Response]])=TRUE,1,0)=2,1,"")</f>
        <v>1</v>
      </c>
      <c r="J12" s="5" t="str">
        <f>IF(IF(Table442431[[#This Row],[Pre or Post]]="Pre",1,0)+IF(ISNUMBER(Table442431[[#This Row],[Response]])=TRUE,1,0)=2,Table442431[[#This Row],[Response]],"")</f>
        <v/>
      </c>
      <c r="K12" s="5">
        <f>IF(IF(Table442431[[#This Row],[Pre or Post]]="Post",1,0)+IF(ISNUMBER(Table442431[[#This Row],[Response]])=TRUE,1,0)=2,Table442431[[#This Row],[Response]],"")</f>
        <v>3</v>
      </c>
      <c r="L12" s="5" t="str">
        <f>IF(IF(ISNUMBER(J12),1,0)+IF(ISNUMBER(K13),1,0)=2,IF(IF(C13=C12,1,0)+IF(B13=B12,1,0)+IF(D13="Post",1,0)+IF(D12="Pre",1,0)=4,Table442431[[#This Row],[Pre Total]],""),"")</f>
        <v/>
      </c>
      <c r="M12" s="5" t="str">
        <f>IF(IF(ISNUMBER(J11),1,0)+IF(ISNUMBER(Table442431[[#This Row],[Post Total]]),1,0)=2,IF(IF(Table442431[[#This Row],[Student Number]]=C11,1,0)+IF(Table442431[[#This Row],[Session]]=B11,1,0)+IF(Table442431[[#This Row],[Pre or Post]]="Post",1,0)+IF(D11="Pre",1,0)=4,Table442431[[#This Row],[Post Total]],""),"")</f>
        <v/>
      </c>
      <c r="N12" s="5" t="str">
        <f>IF(IF(ISNUMBER(J11),1,0)+IF(ISNUMBER(Table442431[[#This Row],[Post Total]]),1,0)=2,IF(IF(Table442431[[#This Row],[Student Number]]=C11,1,0)+IF(Table442431[[#This Row],[Session]]=B11,1,0)+IF(Table442431[[#This Row],[Pre or Post]]="Post",1,0)+IF(D11="Pre",1,0)=4,Table442431[[#This Row],[Post Total]]-J11,""),"")</f>
        <v/>
      </c>
      <c r="O12" s="5" t="b">
        <f>ISNUMBER(Table442431[[#This Row],[Change]])</f>
        <v>0</v>
      </c>
    </row>
    <row r="13" spans="1:15">
      <c r="A13" s="2" t="s">
        <v>24</v>
      </c>
      <c r="B13" s="2" t="s">
        <v>30</v>
      </c>
      <c r="C13" s="1">
        <v>12</v>
      </c>
      <c r="D13" s="2" t="s">
        <v>16</v>
      </c>
      <c r="E13" s="1">
        <v>3</v>
      </c>
      <c r="F13" s="1">
        <v>4</v>
      </c>
      <c r="G13" s="2" t="s">
        <v>9</v>
      </c>
      <c r="H13" s="5" t="str">
        <f>IF(IF(Table442431[[#This Row],[Pre or Post]]="Pre",1,0)+IF(ISNUMBER(Table442431[[#This Row],[Response]])=TRUE,1,0)=2,1,"")</f>
        <v/>
      </c>
      <c r="I13" s="5">
        <f>IF(IF(Table442431[[#This Row],[Pre or Post]]="Post",1,0)+IF(ISNUMBER(Table442431[[#This Row],[Response]])=TRUE,1,0)=2,1,"")</f>
        <v>1</v>
      </c>
      <c r="J13" s="5" t="str">
        <f>IF(IF(Table442431[[#This Row],[Pre or Post]]="Pre",1,0)+IF(ISNUMBER(Table442431[[#This Row],[Response]])=TRUE,1,0)=2,Table442431[[#This Row],[Response]],"")</f>
        <v/>
      </c>
      <c r="K13" s="5">
        <f>IF(IF(Table442431[[#This Row],[Pre or Post]]="Post",1,0)+IF(ISNUMBER(Table442431[[#This Row],[Response]])=TRUE,1,0)=2,Table442431[[#This Row],[Response]],"")</f>
        <v>4</v>
      </c>
      <c r="L13" s="5" t="str">
        <f>IF(IF(ISNUMBER(J13),1,0)+IF(ISNUMBER(K14),1,0)=2,IF(IF(C14=C13,1,0)+IF(B14=B13,1,0)+IF(D14="Post",1,0)+IF(D13="Pre",1,0)=4,Table442431[[#This Row],[Pre Total]],""),"")</f>
        <v/>
      </c>
      <c r="M13" s="5" t="str">
        <f>IF(IF(ISNUMBER(J12),1,0)+IF(ISNUMBER(Table442431[[#This Row],[Post Total]]),1,0)=2,IF(IF(Table442431[[#This Row],[Student Number]]=C12,1,0)+IF(Table442431[[#This Row],[Session]]=B12,1,0)+IF(Table442431[[#This Row],[Pre or Post]]="Post",1,0)+IF(D12="Pre",1,0)=4,Table442431[[#This Row],[Post Total]],""),"")</f>
        <v/>
      </c>
      <c r="N13" s="5" t="str">
        <f>IF(IF(ISNUMBER(J12),1,0)+IF(ISNUMBER(Table442431[[#This Row],[Post Total]]),1,0)=2,IF(IF(Table442431[[#This Row],[Student Number]]=C12,1,0)+IF(Table442431[[#This Row],[Session]]=B12,1,0)+IF(Table442431[[#This Row],[Pre or Post]]="Post",1,0)+IF(D12="Pre",1,0)=4,Table442431[[#This Row],[Post Total]]-J12,""),"")</f>
        <v/>
      </c>
      <c r="O13" s="5" t="b">
        <f>ISNUMBER(Table442431[[#This Row],[Change]])</f>
        <v>0</v>
      </c>
    </row>
    <row r="14" spans="1:15">
      <c r="A14" s="2" t="s">
        <v>24</v>
      </c>
      <c r="B14" s="2" t="s">
        <v>30</v>
      </c>
      <c r="C14" s="1">
        <v>13</v>
      </c>
      <c r="D14" s="2" t="s">
        <v>16</v>
      </c>
      <c r="E14" s="1">
        <v>3</v>
      </c>
      <c r="F14" s="1">
        <v>3</v>
      </c>
      <c r="G14" s="2" t="s">
        <v>9</v>
      </c>
      <c r="H14" s="5" t="str">
        <f>IF(IF(Table442431[[#This Row],[Pre or Post]]="Pre",1,0)+IF(ISNUMBER(Table442431[[#This Row],[Response]])=TRUE,1,0)=2,1,"")</f>
        <v/>
      </c>
      <c r="I14" s="5">
        <f>IF(IF(Table442431[[#This Row],[Pre or Post]]="Post",1,0)+IF(ISNUMBER(Table442431[[#This Row],[Response]])=TRUE,1,0)=2,1,"")</f>
        <v>1</v>
      </c>
      <c r="J14" s="5" t="str">
        <f>IF(IF(Table442431[[#This Row],[Pre or Post]]="Pre",1,0)+IF(ISNUMBER(Table442431[[#This Row],[Response]])=TRUE,1,0)=2,Table442431[[#This Row],[Response]],"")</f>
        <v/>
      </c>
      <c r="K14" s="5">
        <f>IF(IF(Table442431[[#This Row],[Pre or Post]]="Post",1,0)+IF(ISNUMBER(Table442431[[#This Row],[Response]])=TRUE,1,0)=2,Table442431[[#This Row],[Response]],"")</f>
        <v>3</v>
      </c>
      <c r="L14" s="5" t="str">
        <f>IF(IF(ISNUMBER(J14),1,0)+IF(ISNUMBER(K15),1,0)=2,IF(IF(C15=C14,1,0)+IF(B15=B14,1,0)+IF(D15="Post",1,0)+IF(D14="Pre",1,0)=4,Table442431[[#This Row],[Pre Total]],""),"")</f>
        <v/>
      </c>
      <c r="M14" s="5" t="str">
        <f>IF(IF(ISNUMBER(J13),1,0)+IF(ISNUMBER(Table442431[[#This Row],[Post Total]]),1,0)=2,IF(IF(Table442431[[#This Row],[Student Number]]=C13,1,0)+IF(Table442431[[#This Row],[Session]]=B13,1,0)+IF(Table442431[[#This Row],[Pre or Post]]="Post",1,0)+IF(D13="Pre",1,0)=4,Table442431[[#This Row],[Post Total]],""),"")</f>
        <v/>
      </c>
      <c r="N14" s="5" t="str">
        <f>IF(IF(ISNUMBER(J13),1,0)+IF(ISNUMBER(Table442431[[#This Row],[Post Total]]),1,0)=2,IF(IF(Table442431[[#This Row],[Student Number]]=C13,1,0)+IF(Table442431[[#This Row],[Session]]=B13,1,0)+IF(Table442431[[#This Row],[Pre or Post]]="Post",1,0)+IF(D13="Pre",1,0)=4,Table442431[[#This Row],[Post Total]]-J13,""),"")</f>
        <v/>
      </c>
      <c r="O14" s="5" t="b">
        <f>ISNUMBER(Table442431[[#This Row],[Change]])</f>
        <v>0</v>
      </c>
    </row>
    <row r="15" spans="1:15">
      <c r="A15" s="2" t="s">
        <v>24</v>
      </c>
      <c r="B15" s="2" t="s">
        <v>30</v>
      </c>
      <c r="C15" s="1">
        <v>14</v>
      </c>
      <c r="D15" s="2" t="s">
        <v>16</v>
      </c>
      <c r="E15" s="1">
        <v>3</v>
      </c>
      <c r="F15" s="1">
        <v>4</v>
      </c>
      <c r="G15" s="2" t="s">
        <v>9</v>
      </c>
      <c r="H15" s="5" t="str">
        <f>IF(IF(Table442431[[#This Row],[Pre or Post]]="Pre",1,0)+IF(ISNUMBER(Table442431[[#This Row],[Response]])=TRUE,1,0)=2,1,"")</f>
        <v/>
      </c>
      <c r="I15" s="5">
        <f>IF(IF(Table442431[[#This Row],[Pre or Post]]="Post",1,0)+IF(ISNUMBER(Table442431[[#This Row],[Response]])=TRUE,1,0)=2,1,"")</f>
        <v>1</v>
      </c>
      <c r="J15" s="5" t="str">
        <f>IF(IF(Table442431[[#This Row],[Pre or Post]]="Pre",1,0)+IF(ISNUMBER(Table442431[[#This Row],[Response]])=TRUE,1,0)=2,Table442431[[#This Row],[Response]],"")</f>
        <v/>
      </c>
      <c r="K15" s="5">
        <f>IF(IF(Table442431[[#This Row],[Pre or Post]]="Post",1,0)+IF(ISNUMBER(Table442431[[#This Row],[Response]])=TRUE,1,0)=2,Table442431[[#This Row],[Response]],"")</f>
        <v>4</v>
      </c>
      <c r="L15" s="5" t="str">
        <f>IF(IF(ISNUMBER(J15),1,0)+IF(ISNUMBER(K16),1,0)=2,IF(IF(C16=C15,1,0)+IF(B16=B15,1,0)+IF(D16="Post",1,0)+IF(D15="Pre",1,0)=4,Table442431[[#This Row],[Pre Total]],""),"")</f>
        <v/>
      </c>
      <c r="M15" s="5" t="str">
        <f>IF(IF(ISNUMBER(J14),1,0)+IF(ISNUMBER(Table442431[[#This Row],[Post Total]]),1,0)=2,IF(IF(Table442431[[#This Row],[Student Number]]=C14,1,0)+IF(Table442431[[#This Row],[Session]]=B14,1,0)+IF(Table442431[[#This Row],[Pre or Post]]="Post",1,0)+IF(D14="Pre",1,0)=4,Table442431[[#This Row],[Post Total]],""),"")</f>
        <v/>
      </c>
      <c r="N15" s="5" t="str">
        <f>IF(IF(ISNUMBER(J14),1,0)+IF(ISNUMBER(Table442431[[#This Row],[Post Total]]),1,0)=2,IF(IF(Table442431[[#This Row],[Student Number]]=C14,1,0)+IF(Table442431[[#This Row],[Session]]=B14,1,0)+IF(Table442431[[#This Row],[Pre or Post]]="Post",1,0)+IF(D14="Pre",1,0)=4,Table442431[[#This Row],[Post Total]]-J14,""),"")</f>
        <v/>
      </c>
      <c r="O15" s="5" t="b">
        <f>ISNUMBER(Table442431[[#This Row],[Change]])</f>
        <v>0</v>
      </c>
    </row>
    <row r="16" spans="1:15">
      <c r="A16" s="2" t="s">
        <v>24</v>
      </c>
      <c r="B16" s="2" t="s">
        <v>30</v>
      </c>
      <c r="C16" s="1">
        <v>15</v>
      </c>
      <c r="D16" s="2" t="s">
        <v>16</v>
      </c>
      <c r="E16" s="1">
        <v>3</v>
      </c>
      <c r="F16" s="1">
        <v>3</v>
      </c>
      <c r="G16" s="2" t="s">
        <v>9</v>
      </c>
      <c r="H16" s="5" t="str">
        <f>IF(IF(Table442431[[#This Row],[Pre or Post]]="Pre",1,0)+IF(ISNUMBER(Table442431[[#This Row],[Response]])=TRUE,1,0)=2,1,"")</f>
        <v/>
      </c>
      <c r="I16" s="5">
        <f>IF(IF(Table442431[[#This Row],[Pre or Post]]="Post",1,0)+IF(ISNUMBER(Table442431[[#This Row],[Response]])=TRUE,1,0)=2,1,"")</f>
        <v>1</v>
      </c>
      <c r="J16" s="5" t="str">
        <f>IF(IF(Table442431[[#This Row],[Pre or Post]]="Pre",1,0)+IF(ISNUMBER(Table442431[[#This Row],[Response]])=TRUE,1,0)=2,Table442431[[#This Row],[Response]],"")</f>
        <v/>
      </c>
      <c r="K16" s="5">
        <f>IF(IF(Table442431[[#This Row],[Pre or Post]]="Post",1,0)+IF(ISNUMBER(Table442431[[#This Row],[Response]])=TRUE,1,0)=2,Table442431[[#This Row],[Response]],"")</f>
        <v>3</v>
      </c>
      <c r="L16" s="5" t="str">
        <f>IF(IF(ISNUMBER(J16),1,0)+IF(ISNUMBER(K17),1,0)=2,IF(IF(C17=C16,1,0)+IF(B17=B16,1,0)+IF(D17="Post",1,0)+IF(D16="Pre",1,0)=4,Table442431[[#This Row],[Pre Total]],""),"")</f>
        <v/>
      </c>
      <c r="M16" s="5" t="str">
        <f>IF(IF(ISNUMBER(J15),1,0)+IF(ISNUMBER(Table442431[[#This Row],[Post Total]]),1,0)=2,IF(IF(Table442431[[#This Row],[Student Number]]=C15,1,0)+IF(Table442431[[#This Row],[Session]]=B15,1,0)+IF(Table442431[[#This Row],[Pre or Post]]="Post",1,0)+IF(D15="Pre",1,0)=4,Table442431[[#This Row],[Post Total]],""),"")</f>
        <v/>
      </c>
      <c r="N16" s="5" t="str">
        <f>IF(IF(ISNUMBER(J15),1,0)+IF(ISNUMBER(Table442431[[#This Row],[Post Total]]),1,0)=2,IF(IF(Table442431[[#This Row],[Student Number]]=C15,1,0)+IF(Table442431[[#This Row],[Session]]=B15,1,0)+IF(Table442431[[#This Row],[Pre or Post]]="Post",1,0)+IF(D15="Pre",1,0)=4,Table442431[[#This Row],[Post Total]]-J15,""),"")</f>
        <v/>
      </c>
      <c r="O16" s="5" t="b">
        <f>ISNUMBER(Table442431[[#This Row],[Change]])</f>
        <v>0</v>
      </c>
    </row>
    <row r="17" spans="1:15">
      <c r="A17" s="2" t="s">
        <v>24</v>
      </c>
      <c r="B17" s="2" t="s">
        <v>30</v>
      </c>
      <c r="C17" s="1">
        <v>16</v>
      </c>
      <c r="D17" s="2" t="s">
        <v>16</v>
      </c>
      <c r="E17" s="1">
        <v>3</v>
      </c>
      <c r="F17" s="1">
        <v>3</v>
      </c>
      <c r="G17" s="2" t="s">
        <v>9</v>
      </c>
      <c r="H17" s="5" t="str">
        <f>IF(IF(Table442431[[#This Row],[Pre or Post]]="Pre",1,0)+IF(ISNUMBER(Table442431[[#This Row],[Response]])=TRUE,1,0)=2,1,"")</f>
        <v/>
      </c>
      <c r="I17" s="5">
        <f>IF(IF(Table442431[[#This Row],[Pre or Post]]="Post",1,0)+IF(ISNUMBER(Table442431[[#This Row],[Response]])=TRUE,1,0)=2,1,"")</f>
        <v>1</v>
      </c>
      <c r="J17" s="5" t="str">
        <f>IF(IF(Table442431[[#This Row],[Pre or Post]]="Pre",1,0)+IF(ISNUMBER(Table442431[[#This Row],[Response]])=TRUE,1,0)=2,Table442431[[#This Row],[Response]],"")</f>
        <v/>
      </c>
      <c r="K17" s="5">
        <f>IF(IF(Table442431[[#This Row],[Pre or Post]]="Post",1,0)+IF(ISNUMBER(Table442431[[#This Row],[Response]])=TRUE,1,0)=2,Table442431[[#This Row],[Response]],"")</f>
        <v>3</v>
      </c>
      <c r="L17" s="5" t="str">
        <f>IF(IF(ISNUMBER(J17),1,0)+IF(ISNUMBER(K18),1,0)=2,IF(IF(C18=C17,1,0)+IF(B18=B17,1,0)+IF(D18="Post",1,0)+IF(D17="Pre",1,0)=4,Table442431[[#This Row],[Pre Total]],""),"")</f>
        <v/>
      </c>
      <c r="M17" s="5" t="str">
        <f>IF(IF(ISNUMBER(J16),1,0)+IF(ISNUMBER(Table442431[[#This Row],[Post Total]]),1,0)=2,IF(IF(Table442431[[#This Row],[Student Number]]=C16,1,0)+IF(Table442431[[#This Row],[Session]]=B16,1,0)+IF(Table442431[[#This Row],[Pre or Post]]="Post",1,0)+IF(D16="Pre",1,0)=4,Table442431[[#This Row],[Post Total]],""),"")</f>
        <v/>
      </c>
      <c r="N17" s="5" t="str">
        <f>IF(IF(ISNUMBER(J16),1,0)+IF(ISNUMBER(Table442431[[#This Row],[Post Total]]),1,0)=2,IF(IF(Table442431[[#This Row],[Student Number]]=C16,1,0)+IF(Table442431[[#This Row],[Session]]=B16,1,0)+IF(Table442431[[#This Row],[Pre or Post]]="Post",1,0)+IF(D16="Pre",1,0)=4,Table442431[[#This Row],[Post Total]]-J16,""),"")</f>
        <v/>
      </c>
      <c r="O17" s="5" t="b">
        <f>ISNUMBER(Table442431[[#This Row],[Change]])</f>
        <v>0</v>
      </c>
    </row>
    <row r="18" spans="1:15">
      <c r="A18" s="2" t="s">
        <v>24</v>
      </c>
      <c r="B18" s="2" t="s">
        <v>30</v>
      </c>
      <c r="C18" s="1">
        <v>17</v>
      </c>
      <c r="D18" s="2" t="s">
        <v>16</v>
      </c>
      <c r="E18" s="1">
        <v>3</v>
      </c>
      <c r="F18" s="1">
        <v>4</v>
      </c>
      <c r="G18" s="2" t="s">
        <v>9</v>
      </c>
      <c r="H18" s="5" t="str">
        <f>IF(IF(Table442431[[#This Row],[Pre or Post]]="Pre",1,0)+IF(ISNUMBER(Table442431[[#This Row],[Response]])=TRUE,1,0)=2,1,"")</f>
        <v/>
      </c>
      <c r="I18" s="5">
        <f>IF(IF(Table442431[[#This Row],[Pre or Post]]="Post",1,0)+IF(ISNUMBER(Table442431[[#This Row],[Response]])=TRUE,1,0)=2,1,"")</f>
        <v>1</v>
      </c>
      <c r="J18" s="5" t="str">
        <f>IF(IF(Table442431[[#This Row],[Pre or Post]]="Pre",1,0)+IF(ISNUMBER(Table442431[[#This Row],[Response]])=TRUE,1,0)=2,Table442431[[#This Row],[Response]],"")</f>
        <v/>
      </c>
      <c r="K18" s="5">
        <f>IF(IF(Table442431[[#This Row],[Pre or Post]]="Post",1,0)+IF(ISNUMBER(Table442431[[#This Row],[Response]])=TRUE,1,0)=2,Table442431[[#This Row],[Response]],"")</f>
        <v>4</v>
      </c>
      <c r="L18" s="5" t="str">
        <f>IF(IF(ISNUMBER(J18),1,0)+IF(ISNUMBER(K19),1,0)=2,IF(IF(C19=C18,1,0)+IF(B19=B18,1,0)+IF(D19="Post",1,0)+IF(D18="Pre",1,0)=4,Table442431[[#This Row],[Pre Total]],""),"")</f>
        <v/>
      </c>
      <c r="M18" s="5" t="str">
        <f>IF(IF(ISNUMBER(J17),1,0)+IF(ISNUMBER(Table442431[[#This Row],[Post Total]]),1,0)=2,IF(IF(Table442431[[#This Row],[Student Number]]=C17,1,0)+IF(Table442431[[#This Row],[Session]]=B17,1,0)+IF(Table442431[[#This Row],[Pre or Post]]="Post",1,0)+IF(D17="Pre",1,0)=4,Table442431[[#This Row],[Post Total]],""),"")</f>
        <v/>
      </c>
      <c r="N18" s="5" t="str">
        <f>IF(IF(ISNUMBER(J17),1,0)+IF(ISNUMBER(Table442431[[#This Row],[Post Total]]),1,0)=2,IF(IF(Table442431[[#This Row],[Student Number]]=C17,1,0)+IF(Table442431[[#This Row],[Session]]=B17,1,0)+IF(Table442431[[#This Row],[Pre or Post]]="Post",1,0)+IF(D17="Pre",1,0)=4,Table442431[[#This Row],[Post Total]]-J17,""),"")</f>
        <v/>
      </c>
      <c r="O18" s="5" t="b">
        <f>ISNUMBER(Table442431[[#This Row],[Change]])</f>
        <v>0</v>
      </c>
    </row>
    <row r="19" spans="1:15">
      <c r="A19" s="2" t="s">
        <v>24</v>
      </c>
      <c r="B19" s="2" t="s">
        <v>30</v>
      </c>
      <c r="C19" s="1">
        <v>18</v>
      </c>
      <c r="D19" s="2" t="s">
        <v>16</v>
      </c>
      <c r="E19" s="1">
        <v>3</v>
      </c>
      <c r="F19" s="1">
        <v>3</v>
      </c>
      <c r="G19" s="2" t="s">
        <v>9</v>
      </c>
      <c r="H19" s="5" t="str">
        <f>IF(IF(Table442431[[#This Row],[Pre or Post]]="Pre",1,0)+IF(ISNUMBER(Table442431[[#This Row],[Response]])=TRUE,1,0)=2,1,"")</f>
        <v/>
      </c>
      <c r="I19" s="5">
        <f>IF(IF(Table442431[[#This Row],[Pre or Post]]="Post",1,0)+IF(ISNUMBER(Table442431[[#This Row],[Response]])=TRUE,1,0)=2,1,"")</f>
        <v>1</v>
      </c>
      <c r="J19" s="5" t="str">
        <f>IF(IF(Table442431[[#This Row],[Pre or Post]]="Pre",1,0)+IF(ISNUMBER(Table442431[[#This Row],[Response]])=TRUE,1,0)=2,Table442431[[#This Row],[Response]],"")</f>
        <v/>
      </c>
      <c r="K19" s="5">
        <f>IF(IF(Table442431[[#This Row],[Pre or Post]]="Post",1,0)+IF(ISNUMBER(Table442431[[#This Row],[Response]])=TRUE,1,0)=2,Table442431[[#This Row],[Response]],"")</f>
        <v>3</v>
      </c>
      <c r="L19" s="5" t="str">
        <f>IF(IF(ISNUMBER(J19),1,0)+IF(ISNUMBER(K20),1,0)=2,IF(IF(C20=C19,1,0)+IF(B20=B19,1,0)+IF(D20="Post",1,0)+IF(D19="Pre",1,0)=4,Table442431[[#This Row],[Pre Total]],""),"")</f>
        <v/>
      </c>
      <c r="M19" s="5" t="str">
        <f>IF(IF(ISNUMBER(J18),1,0)+IF(ISNUMBER(Table442431[[#This Row],[Post Total]]),1,0)=2,IF(IF(Table442431[[#This Row],[Student Number]]=C18,1,0)+IF(Table442431[[#This Row],[Session]]=B18,1,0)+IF(Table442431[[#This Row],[Pre or Post]]="Post",1,0)+IF(D18="Pre",1,0)=4,Table442431[[#This Row],[Post Total]],""),"")</f>
        <v/>
      </c>
      <c r="N19" s="5" t="str">
        <f>IF(IF(ISNUMBER(J18),1,0)+IF(ISNUMBER(Table442431[[#This Row],[Post Total]]),1,0)=2,IF(IF(Table442431[[#This Row],[Student Number]]=C18,1,0)+IF(Table442431[[#This Row],[Session]]=B18,1,0)+IF(Table442431[[#This Row],[Pre or Post]]="Post",1,0)+IF(D18="Pre",1,0)=4,Table442431[[#This Row],[Post Total]]-J18,""),"")</f>
        <v/>
      </c>
      <c r="O19" s="5" t="b">
        <f>ISNUMBER(Table442431[[#This Row],[Change]])</f>
        <v>0</v>
      </c>
    </row>
    <row r="20" spans="1:15">
      <c r="A20" s="2" t="s">
        <v>24</v>
      </c>
      <c r="B20" s="2" t="s">
        <v>30</v>
      </c>
      <c r="C20" s="2">
        <v>19</v>
      </c>
      <c r="D20" s="2" t="s">
        <v>16</v>
      </c>
      <c r="E20" s="1">
        <v>3</v>
      </c>
      <c r="F20" s="1">
        <v>3</v>
      </c>
      <c r="G20" s="2" t="s">
        <v>9</v>
      </c>
      <c r="H20" s="5" t="str">
        <f>IF(IF(Table442431[[#This Row],[Pre or Post]]="Pre",1,0)+IF(ISNUMBER(Table442431[[#This Row],[Response]])=TRUE,1,0)=2,1,"")</f>
        <v/>
      </c>
      <c r="I20" s="5">
        <f>IF(IF(Table442431[[#This Row],[Pre or Post]]="Post",1,0)+IF(ISNUMBER(Table442431[[#This Row],[Response]])=TRUE,1,0)=2,1,"")</f>
        <v>1</v>
      </c>
      <c r="J20" s="5" t="str">
        <f>IF(IF(Table442431[[#This Row],[Pre or Post]]="Pre",1,0)+IF(ISNUMBER(Table442431[[#This Row],[Response]])=TRUE,1,0)=2,Table442431[[#This Row],[Response]],"")</f>
        <v/>
      </c>
      <c r="K20" s="5">
        <f>IF(IF(Table442431[[#This Row],[Pre or Post]]="Post",1,0)+IF(ISNUMBER(Table442431[[#This Row],[Response]])=TRUE,1,0)=2,Table442431[[#This Row],[Response]],"")</f>
        <v>3</v>
      </c>
      <c r="L20" s="5" t="str">
        <f>IF(IF(ISNUMBER(J20),1,0)+IF(ISNUMBER(K21),1,0)=2,IF(IF(C21=C20,1,0)+IF(B21=B20,1,0)+IF(D21="Post",1,0)+IF(D20="Pre",1,0)=4,Table442431[[#This Row],[Pre Total]],""),"")</f>
        <v/>
      </c>
      <c r="M20" s="5" t="str">
        <f>IF(IF(ISNUMBER(J19),1,0)+IF(ISNUMBER(Table442431[[#This Row],[Post Total]]),1,0)=2,IF(IF(Table442431[[#This Row],[Student Number]]=C19,1,0)+IF(Table442431[[#This Row],[Session]]=B19,1,0)+IF(Table442431[[#This Row],[Pre or Post]]="Post",1,0)+IF(D19="Pre",1,0)=4,Table442431[[#This Row],[Post Total]],""),"")</f>
        <v/>
      </c>
      <c r="N20" s="5" t="str">
        <f>IF(IF(ISNUMBER(J19),1,0)+IF(ISNUMBER(Table442431[[#This Row],[Post Total]]),1,0)=2,IF(IF(Table442431[[#This Row],[Student Number]]=C19,1,0)+IF(Table442431[[#This Row],[Session]]=B19,1,0)+IF(Table442431[[#This Row],[Pre or Post]]="Post",1,0)+IF(D19="Pre",1,0)=4,Table442431[[#This Row],[Post Total]]-J19,""),"")</f>
        <v/>
      </c>
      <c r="O20" s="5" t="b">
        <f>ISNUMBER(Table442431[[#This Row],[Change]])</f>
        <v>0</v>
      </c>
    </row>
    <row r="21" spans="1:15">
      <c r="A21" s="1" t="s">
        <v>24</v>
      </c>
      <c r="B21" s="1" t="s">
        <v>23</v>
      </c>
      <c r="C21" s="1">
        <v>1</v>
      </c>
      <c r="D21" s="1" t="s">
        <v>6</v>
      </c>
      <c r="E21" s="1">
        <v>10</v>
      </c>
      <c r="F21" s="1">
        <v>4</v>
      </c>
      <c r="G21" s="1" t="s">
        <v>8</v>
      </c>
      <c r="H21" s="6">
        <f>IF(IF(Table442431[[#This Row],[Pre or Post]]="Pre",1,0)+IF(ISNUMBER(Table442431[[#This Row],[Response]])=TRUE,1,0)=2,1,"")</f>
        <v>1</v>
      </c>
      <c r="I21" s="6" t="str">
        <f>IF(IF(Table442431[[#This Row],[Pre or Post]]="Post",1,0)+IF(ISNUMBER(Table442431[[#This Row],[Response]])=TRUE,1,0)=2,1,"")</f>
        <v/>
      </c>
      <c r="J21" s="6">
        <f>IF(IF(Table442431[[#This Row],[Pre or Post]]="Pre",1,0)+IF(ISNUMBER(Table442431[[#This Row],[Response]])=TRUE,1,0)=2,Table442431[[#This Row],[Response]],"")</f>
        <v>4</v>
      </c>
      <c r="K21" s="6" t="str">
        <f>IF(IF(Table442431[[#This Row],[Pre or Post]]="Post",1,0)+IF(ISNUMBER(Table442431[[#This Row],[Response]])=TRUE,1,0)=2,Table442431[[#This Row],[Response]],"")</f>
        <v/>
      </c>
      <c r="L21" s="5">
        <f>IF(IF(ISNUMBER(J21),1,0)+IF(ISNUMBER(K22),1,0)=2,IF(IF(C22=C21,1,0)+IF(B22=B21,1,0)+IF(D22="Post",1,0)+IF(D21="Pre",1,0)=4,Table442431[[#This Row],[Pre Total]],""),"")</f>
        <v>4</v>
      </c>
      <c r="M21" s="5" t="str">
        <f>IF(IF(ISNUMBER(J20),1,0)+IF(ISNUMBER(Table442431[[#This Row],[Post Total]]),1,0)=2,IF(IF(Table442431[[#This Row],[Student Number]]=C20,1,0)+IF(Table442431[[#This Row],[Session]]=B20,1,0)+IF(Table442431[[#This Row],[Pre or Post]]="Post",1,0)+IF(D20="Pre",1,0)=4,Table442431[[#This Row],[Post Total]],""),"")</f>
        <v/>
      </c>
      <c r="N21" s="6" t="str">
        <f>IF(IF(ISNUMBER(J20),1,0)+IF(ISNUMBER(Table442431[[#This Row],[Post Total]]),1,0)=2,IF(IF(Table442431[[#This Row],[Student Number]]=C20,1,0)+IF(Table442431[[#This Row],[Session]]=B20,1,0)+IF(Table442431[[#This Row],[Pre or Post]]="Post",1,0)+IF(D20="Pre",1,0)=4,Table442431[[#This Row],[Post Total]]-J20,""),"")</f>
        <v/>
      </c>
      <c r="O21" s="6" t="b">
        <f>ISNUMBER(Table442431[[#This Row],[Change]])</f>
        <v>0</v>
      </c>
    </row>
    <row r="22" spans="1:15">
      <c r="A22" s="1" t="s">
        <v>24</v>
      </c>
      <c r="B22" s="1" t="s">
        <v>23</v>
      </c>
      <c r="C22" s="1">
        <v>1</v>
      </c>
      <c r="D22" s="1" t="s">
        <v>16</v>
      </c>
      <c r="E22" s="1">
        <v>3</v>
      </c>
      <c r="F22" s="1">
        <v>4</v>
      </c>
      <c r="G22" s="1" t="s">
        <v>8</v>
      </c>
      <c r="H22" s="5" t="str">
        <f>IF(IF(Table442431[[#This Row],[Pre or Post]]="Pre",1,0)+IF(ISNUMBER(Table442431[[#This Row],[Response]])=TRUE,1,0)=2,1,"")</f>
        <v/>
      </c>
      <c r="I22" s="5">
        <f>IF(IF(Table442431[[#This Row],[Pre or Post]]="Post",1,0)+IF(ISNUMBER(Table442431[[#This Row],[Response]])=TRUE,1,0)=2,1,"")</f>
        <v>1</v>
      </c>
      <c r="J22" s="5" t="str">
        <f>IF(IF(Table442431[[#This Row],[Pre or Post]]="Pre",1,0)+IF(ISNUMBER(Table442431[[#This Row],[Response]])=TRUE,1,0)=2,Table442431[[#This Row],[Response]],"")</f>
        <v/>
      </c>
      <c r="K22" s="5">
        <f>IF(IF(Table442431[[#This Row],[Pre or Post]]="Post",1,0)+IF(ISNUMBER(Table442431[[#This Row],[Response]])=TRUE,1,0)=2,Table442431[[#This Row],[Response]],"")</f>
        <v>4</v>
      </c>
      <c r="L22" s="5" t="str">
        <f>IF(IF(ISNUMBER(J22),1,0)+IF(ISNUMBER(K23),1,0)=2,IF(IF(C23=C22,1,0)+IF(B23=B22,1,0)+IF(D23="Post",1,0)+IF(D22="Pre",1,0)=4,Table442431[[#This Row],[Pre Total]],""),"")</f>
        <v/>
      </c>
      <c r="M22" s="5">
        <f>IF(IF(ISNUMBER(J21),1,0)+IF(ISNUMBER(Table442431[[#This Row],[Post Total]]),1,0)=2,IF(IF(Table442431[[#This Row],[Student Number]]=C21,1,0)+IF(Table442431[[#This Row],[Session]]=B21,1,0)+IF(Table442431[[#This Row],[Pre or Post]]="Post",1,0)+IF(D21="Pre",1,0)=4,Table442431[[#This Row],[Post Total]],""),"")</f>
        <v>4</v>
      </c>
      <c r="N22" s="5">
        <f>IF(IF(ISNUMBER(J21),1,0)+IF(ISNUMBER(Table442431[[#This Row],[Post Total]]),1,0)=2,IF(IF(Table442431[[#This Row],[Student Number]]=C21,1,0)+IF(Table442431[[#This Row],[Session]]=B21,1,0)+IF(Table442431[[#This Row],[Pre or Post]]="Post",1,0)+IF(D21="Pre",1,0)=4,Table442431[[#This Row],[Post Total]]-J21,""),"")</f>
        <v>0</v>
      </c>
      <c r="O22" s="5" t="b">
        <f>ISNUMBER(Table442431[[#This Row],[Change]])</f>
        <v>1</v>
      </c>
    </row>
    <row r="23" spans="1:15">
      <c r="A23" s="1" t="s">
        <v>24</v>
      </c>
      <c r="B23" s="1" t="s">
        <v>23</v>
      </c>
      <c r="C23" s="1">
        <v>2</v>
      </c>
      <c r="D23" s="1" t="s">
        <v>6</v>
      </c>
      <c r="E23" s="1">
        <v>10</v>
      </c>
      <c r="F23" s="1">
        <v>1</v>
      </c>
      <c r="G23" s="1" t="s">
        <v>8</v>
      </c>
      <c r="H23" s="6">
        <f>IF(IF(Table442431[[#This Row],[Pre or Post]]="Pre",1,0)+IF(ISNUMBER(Table442431[[#This Row],[Response]])=TRUE,1,0)=2,1,"")</f>
        <v>1</v>
      </c>
      <c r="I23" s="6" t="str">
        <f>IF(IF(Table442431[[#This Row],[Pre or Post]]="Post",1,0)+IF(ISNUMBER(Table442431[[#This Row],[Response]])=TRUE,1,0)=2,1,"")</f>
        <v/>
      </c>
      <c r="J23" s="6">
        <f>IF(IF(Table442431[[#This Row],[Pre or Post]]="Pre",1,0)+IF(ISNUMBER(Table442431[[#This Row],[Response]])=TRUE,1,0)=2,Table442431[[#This Row],[Response]],"")</f>
        <v>1</v>
      </c>
      <c r="K23" s="6" t="str">
        <f>IF(IF(Table442431[[#This Row],[Pre or Post]]="Post",1,0)+IF(ISNUMBER(Table442431[[#This Row],[Response]])=TRUE,1,0)=2,Table442431[[#This Row],[Response]],"")</f>
        <v/>
      </c>
      <c r="L23" s="6">
        <f>IF(IF(ISNUMBER(J23),1,0)+IF(ISNUMBER(K24),1,0)=2,IF(IF(C24=C23,1,0)+IF(B24=B23,1,0)+IF(D24="Post",1,0)+IF(D23="Pre",1,0)=4,Table442431[[#This Row],[Pre Total]],""),"")</f>
        <v>1</v>
      </c>
      <c r="M23" s="6" t="str">
        <f>IF(IF(ISNUMBER(J22),1,0)+IF(ISNUMBER(Table442431[[#This Row],[Post Total]]),1,0)=2,IF(IF(Table442431[[#This Row],[Student Number]]=C22,1,0)+IF(Table442431[[#This Row],[Session]]=B22,1,0)+IF(Table442431[[#This Row],[Pre or Post]]="Post",1,0)+IF(D22="Pre",1,0)=4,Table442431[[#This Row],[Post Total]],""),"")</f>
        <v/>
      </c>
      <c r="N23" s="6" t="str">
        <f>IF(IF(ISNUMBER(J22),1,0)+IF(ISNUMBER(Table442431[[#This Row],[Post Total]]),1,0)=2,IF(IF(Table442431[[#This Row],[Student Number]]=C22,1,0)+IF(Table442431[[#This Row],[Session]]=B22,1,0)+IF(Table442431[[#This Row],[Pre or Post]]="Post",1,0)+IF(D22="Pre",1,0)=4,Table442431[[#This Row],[Post Total]]-J22,""),"")</f>
        <v/>
      </c>
      <c r="O23" s="6" t="b">
        <f>ISNUMBER(Table442431[[#This Row],[Change]])</f>
        <v>0</v>
      </c>
    </row>
    <row r="24" spans="1:15">
      <c r="A24" s="1" t="s">
        <v>24</v>
      </c>
      <c r="B24" s="1" t="s">
        <v>23</v>
      </c>
      <c r="C24" s="1">
        <v>2</v>
      </c>
      <c r="D24" s="1" t="s">
        <v>16</v>
      </c>
      <c r="E24" s="1">
        <v>3</v>
      </c>
      <c r="F24" s="1">
        <v>1</v>
      </c>
      <c r="G24" s="1" t="s">
        <v>8</v>
      </c>
      <c r="H24" s="5" t="str">
        <f>IF(IF(Table442431[[#This Row],[Pre or Post]]="Pre",1,0)+IF(ISNUMBER(Table442431[[#This Row],[Response]])=TRUE,1,0)=2,1,"")</f>
        <v/>
      </c>
      <c r="I24" s="5">
        <f>IF(IF(Table442431[[#This Row],[Pre or Post]]="Post",1,0)+IF(ISNUMBER(Table442431[[#This Row],[Response]])=TRUE,1,0)=2,1,"")</f>
        <v>1</v>
      </c>
      <c r="J24" s="5" t="str">
        <f>IF(IF(Table442431[[#This Row],[Pre or Post]]="Pre",1,0)+IF(ISNUMBER(Table442431[[#This Row],[Response]])=TRUE,1,0)=2,Table442431[[#This Row],[Response]],"")</f>
        <v/>
      </c>
      <c r="K24" s="5">
        <f>IF(IF(Table442431[[#This Row],[Pre or Post]]="Post",1,0)+IF(ISNUMBER(Table442431[[#This Row],[Response]])=TRUE,1,0)=2,Table442431[[#This Row],[Response]],"")</f>
        <v>1</v>
      </c>
      <c r="L24" s="5" t="str">
        <f>IF(IF(ISNUMBER(J24),1,0)+IF(ISNUMBER(K25),1,0)=2,IF(IF(C25=C24,1,0)+IF(B25=B24,1,0)+IF(D25="Post",1,0)+IF(D24="Pre",1,0)=4,Table442431[[#This Row],[Pre Total]],""),"")</f>
        <v/>
      </c>
      <c r="M24" s="5">
        <f>IF(IF(ISNUMBER(J23),1,0)+IF(ISNUMBER(Table442431[[#This Row],[Post Total]]),1,0)=2,IF(IF(Table442431[[#This Row],[Student Number]]=C23,1,0)+IF(Table442431[[#This Row],[Session]]=B23,1,0)+IF(Table442431[[#This Row],[Pre or Post]]="Post",1,0)+IF(D23="Pre",1,0)=4,Table442431[[#This Row],[Post Total]],""),"")</f>
        <v>1</v>
      </c>
      <c r="N24" s="5">
        <f>IF(IF(ISNUMBER(J23),1,0)+IF(ISNUMBER(Table442431[[#This Row],[Post Total]]),1,0)=2,IF(IF(Table442431[[#This Row],[Student Number]]=C23,1,0)+IF(Table442431[[#This Row],[Session]]=B23,1,0)+IF(Table442431[[#This Row],[Pre or Post]]="Post",1,0)+IF(D23="Pre",1,0)=4,Table442431[[#This Row],[Post Total]]-J23,""),"")</f>
        <v>0</v>
      </c>
      <c r="O24" s="5" t="b">
        <f>ISNUMBER(Table442431[[#This Row],[Change]])</f>
        <v>1</v>
      </c>
    </row>
    <row r="25" spans="1:15">
      <c r="A25" s="1" t="s">
        <v>24</v>
      </c>
      <c r="B25" s="1" t="s">
        <v>23</v>
      </c>
      <c r="C25" s="1">
        <v>3</v>
      </c>
      <c r="D25" s="1" t="s">
        <v>6</v>
      </c>
      <c r="E25" s="1">
        <v>10</v>
      </c>
      <c r="F25" s="1">
        <v>3</v>
      </c>
      <c r="G25" s="1" t="s">
        <v>8</v>
      </c>
      <c r="H25" s="6">
        <f>IF(IF(Table442431[[#This Row],[Pre or Post]]="Pre",1,0)+IF(ISNUMBER(Table442431[[#This Row],[Response]])=TRUE,1,0)=2,1,"")</f>
        <v>1</v>
      </c>
      <c r="I25" s="6" t="str">
        <f>IF(IF(Table442431[[#This Row],[Pre or Post]]="Post",1,0)+IF(ISNUMBER(Table442431[[#This Row],[Response]])=TRUE,1,0)=2,1,"")</f>
        <v/>
      </c>
      <c r="J25" s="6">
        <f>IF(IF(Table442431[[#This Row],[Pre or Post]]="Pre",1,0)+IF(ISNUMBER(Table442431[[#This Row],[Response]])=TRUE,1,0)=2,Table442431[[#This Row],[Response]],"")</f>
        <v>3</v>
      </c>
      <c r="K25" s="6" t="str">
        <f>IF(IF(Table442431[[#This Row],[Pre or Post]]="Post",1,0)+IF(ISNUMBER(Table442431[[#This Row],[Response]])=TRUE,1,0)=2,Table442431[[#This Row],[Response]],"")</f>
        <v/>
      </c>
      <c r="L25" s="6">
        <f>IF(IF(ISNUMBER(J25),1,0)+IF(ISNUMBER(K26),1,0)=2,IF(IF(C26=C25,1,0)+IF(B26=B25,1,0)+IF(D26="Post",1,0)+IF(D25="Pre",1,0)=4,Table442431[[#This Row],[Pre Total]],""),"")</f>
        <v>3</v>
      </c>
      <c r="M25" s="6" t="str">
        <f>IF(IF(ISNUMBER(J24),1,0)+IF(ISNUMBER(Table442431[[#This Row],[Post Total]]),1,0)=2,IF(IF(Table442431[[#This Row],[Student Number]]=C24,1,0)+IF(Table442431[[#This Row],[Session]]=B24,1,0)+IF(Table442431[[#This Row],[Pre or Post]]="Post",1,0)+IF(D24="Pre",1,0)=4,Table442431[[#This Row],[Post Total]],""),"")</f>
        <v/>
      </c>
      <c r="N25" s="6" t="str">
        <f>IF(IF(ISNUMBER(J24),1,0)+IF(ISNUMBER(Table442431[[#This Row],[Post Total]]),1,0)=2,IF(IF(Table442431[[#This Row],[Student Number]]=C24,1,0)+IF(Table442431[[#This Row],[Session]]=B24,1,0)+IF(Table442431[[#This Row],[Pre or Post]]="Post",1,0)+IF(D24="Pre",1,0)=4,Table442431[[#This Row],[Post Total]]-J24,""),"")</f>
        <v/>
      </c>
      <c r="O25" s="6" t="b">
        <f>ISNUMBER(Table442431[[#This Row],[Change]])</f>
        <v>0</v>
      </c>
    </row>
    <row r="26" spans="1:15">
      <c r="A26" s="1" t="s">
        <v>24</v>
      </c>
      <c r="B26" s="1" t="s">
        <v>23</v>
      </c>
      <c r="C26" s="1">
        <v>3</v>
      </c>
      <c r="D26" s="1" t="s">
        <v>16</v>
      </c>
      <c r="E26" s="1">
        <v>3</v>
      </c>
      <c r="F26" s="1">
        <v>3</v>
      </c>
      <c r="G26" s="1" t="s">
        <v>8</v>
      </c>
      <c r="H26" s="5" t="str">
        <f>IF(IF(Table442431[[#This Row],[Pre or Post]]="Pre",1,0)+IF(ISNUMBER(Table442431[[#This Row],[Response]])=TRUE,1,0)=2,1,"")</f>
        <v/>
      </c>
      <c r="I26" s="5">
        <f>IF(IF(Table442431[[#This Row],[Pre or Post]]="Post",1,0)+IF(ISNUMBER(Table442431[[#This Row],[Response]])=TRUE,1,0)=2,1,"")</f>
        <v>1</v>
      </c>
      <c r="J26" s="5" t="str">
        <f>IF(IF(Table442431[[#This Row],[Pre or Post]]="Pre",1,0)+IF(ISNUMBER(Table442431[[#This Row],[Response]])=TRUE,1,0)=2,Table442431[[#This Row],[Response]],"")</f>
        <v/>
      </c>
      <c r="K26" s="5">
        <f>IF(IF(Table442431[[#This Row],[Pre or Post]]="Post",1,0)+IF(ISNUMBER(Table442431[[#This Row],[Response]])=TRUE,1,0)=2,Table442431[[#This Row],[Response]],"")</f>
        <v>3</v>
      </c>
      <c r="L26" s="5" t="str">
        <f>IF(IF(ISNUMBER(J26),1,0)+IF(ISNUMBER(K27),1,0)=2,IF(IF(C27=C26,1,0)+IF(B27=B26,1,0)+IF(D27="Post",1,0)+IF(D26="Pre",1,0)=4,Table442431[[#This Row],[Pre Total]],""),"")</f>
        <v/>
      </c>
      <c r="M26" s="5">
        <f>IF(IF(ISNUMBER(J25),1,0)+IF(ISNUMBER(Table442431[[#This Row],[Post Total]]),1,0)=2,IF(IF(Table442431[[#This Row],[Student Number]]=C25,1,0)+IF(Table442431[[#This Row],[Session]]=B25,1,0)+IF(Table442431[[#This Row],[Pre or Post]]="Post",1,0)+IF(D25="Pre",1,0)=4,Table442431[[#This Row],[Post Total]],""),"")</f>
        <v>3</v>
      </c>
      <c r="N26" s="5">
        <f>IF(IF(ISNUMBER(J25),1,0)+IF(ISNUMBER(Table442431[[#This Row],[Post Total]]),1,0)=2,IF(IF(Table442431[[#This Row],[Student Number]]=C25,1,0)+IF(Table442431[[#This Row],[Session]]=B25,1,0)+IF(Table442431[[#This Row],[Pre or Post]]="Post",1,0)+IF(D25="Pre",1,0)=4,Table442431[[#This Row],[Post Total]]-J25,""),"")</f>
        <v>0</v>
      </c>
      <c r="O26" s="5" t="b">
        <f>ISNUMBER(Table442431[[#This Row],[Change]])</f>
        <v>1</v>
      </c>
    </row>
    <row r="27" spans="1:15">
      <c r="A27" s="1" t="s">
        <v>24</v>
      </c>
      <c r="B27" s="1" t="s">
        <v>23</v>
      </c>
      <c r="C27" s="1">
        <v>4</v>
      </c>
      <c r="D27" s="1" t="s">
        <v>6</v>
      </c>
      <c r="E27" s="1">
        <v>10</v>
      </c>
      <c r="F27" s="1">
        <v>2</v>
      </c>
      <c r="G27" s="1" t="s">
        <v>8</v>
      </c>
      <c r="H27" s="6">
        <f>IF(IF(Table442431[[#This Row],[Pre or Post]]="Pre",1,0)+IF(ISNUMBER(Table442431[[#This Row],[Response]])=TRUE,1,0)=2,1,"")</f>
        <v>1</v>
      </c>
      <c r="I27" s="6" t="str">
        <f>IF(IF(Table442431[[#This Row],[Pre or Post]]="Post",1,0)+IF(ISNUMBER(Table442431[[#This Row],[Response]])=TRUE,1,0)=2,1,"")</f>
        <v/>
      </c>
      <c r="J27" s="6">
        <f>IF(IF(Table442431[[#This Row],[Pre or Post]]="Pre",1,0)+IF(ISNUMBER(Table442431[[#This Row],[Response]])=TRUE,1,0)=2,Table442431[[#This Row],[Response]],"")</f>
        <v>2</v>
      </c>
      <c r="K27" s="6" t="str">
        <f>IF(IF(Table442431[[#This Row],[Pre or Post]]="Post",1,0)+IF(ISNUMBER(Table442431[[#This Row],[Response]])=TRUE,1,0)=2,Table442431[[#This Row],[Response]],"")</f>
        <v/>
      </c>
      <c r="L27" s="6">
        <f>IF(IF(ISNUMBER(J27),1,0)+IF(ISNUMBER(K28),1,0)=2,IF(IF(C28=C27,1,0)+IF(B28=B27,1,0)+IF(D28="Post",1,0)+IF(D27="Pre",1,0)=4,Table442431[[#This Row],[Pre Total]],""),"")</f>
        <v>2</v>
      </c>
      <c r="M27" s="6" t="str">
        <f>IF(IF(ISNUMBER(J26),1,0)+IF(ISNUMBER(Table442431[[#This Row],[Post Total]]),1,0)=2,IF(IF(Table442431[[#This Row],[Student Number]]=C26,1,0)+IF(Table442431[[#This Row],[Session]]=B26,1,0)+IF(Table442431[[#This Row],[Pre or Post]]="Post",1,0)+IF(D26="Pre",1,0)=4,Table442431[[#This Row],[Post Total]],""),"")</f>
        <v/>
      </c>
      <c r="N27" s="6" t="str">
        <f>IF(IF(ISNUMBER(J26),1,0)+IF(ISNUMBER(Table442431[[#This Row],[Post Total]]),1,0)=2,IF(IF(Table442431[[#This Row],[Student Number]]=C26,1,0)+IF(Table442431[[#This Row],[Session]]=B26,1,0)+IF(Table442431[[#This Row],[Pre or Post]]="Post",1,0)+IF(D26="Pre",1,0)=4,Table442431[[#This Row],[Post Total]]-J26,""),"")</f>
        <v/>
      </c>
      <c r="O27" s="6" t="b">
        <f>ISNUMBER(Table442431[[#This Row],[Change]])</f>
        <v>0</v>
      </c>
    </row>
    <row r="28" spans="1:15">
      <c r="A28" s="1" t="s">
        <v>24</v>
      </c>
      <c r="B28" s="1" t="s">
        <v>23</v>
      </c>
      <c r="C28" s="1">
        <v>4</v>
      </c>
      <c r="D28" s="1" t="s">
        <v>16</v>
      </c>
      <c r="E28" s="1">
        <v>3</v>
      </c>
      <c r="F28" s="1">
        <v>4</v>
      </c>
      <c r="G28" s="1" t="s">
        <v>8</v>
      </c>
      <c r="H28" s="5" t="str">
        <f>IF(IF(Table442431[[#This Row],[Pre or Post]]="Pre",1,0)+IF(ISNUMBER(Table442431[[#This Row],[Response]])=TRUE,1,0)=2,1,"")</f>
        <v/>
      </c>
      <c r="I28" s="5">
        <f>IF(IF(Table442431[[#This Row],[Pre or Post]]="Post",1,0)+IF(ISNUMBER(Table442431[[#This Row],[Response]])=TRUE,1,0)=2,1,"")</f>
        <v>1</v>
      </c>
      <c r="J28" s="5" t="str">
        <f>IF(IF(Table442431[[#This Row],[Pre or Post]]="Pre",1,0)+IF(ISNUMBER(Table442431[[#This Row],[Response]])=TRUE,1,0)=2,Table442431[[#This Row],[Response]],"")</f>
        <v/>
      </c>
      <c r="K28" s="5">
        <f>IF(IF(Table442431[[#This Row],[Pre or Post]]="Post",1,0)+IF(ISNUMBER(Table442431[[#This Row],[Response]])=TRUE,1,0)=2,Table442431[[#This Row],[Response]],"")</f>
        <v>4</v>
      </c>
      <c r="L28" s="5" t="str">
        <f>IF(IF(ISNUMBER(J28),1,0)+IF(ISNUMBER(K29),1,0)=2,IF(IF(C29=C28,1,0)+IF(B29=B28,1,0)+IF(D29="Post",1,0)+IF(D28="Pre",1,0)=4,Table442431[[#This Row],[Pre Total]],""),"")</f>
        <v/>
      </c>
      <c r="M28" s="5">
        <f>IF(IF(ISNUMBER(J27),1,0)+IF(ISNUMBER(Table442431[[#This Row],[Post Total]]),1,0)=2,IF(IF(Table442431[[#This Row],[Student Number]]=C27,1,0)+IF(Table442431[[#This Row],[Session]]=B27,1,0)+IF(Table442431[[#This Row],[Pre or Post]]="Post",1,0)+IF(D27="Pre",1,0)=4,Table442431[[#This Row],[Post Total]],""),"")</f>
        <v>4</v>
      </c>
      <c r="N28" s="5">
        <f>IF(IF(ISNUMBER(J27),1,0)+IF(ISNUMBER(Table442431[[#This Row],[Post Total]]),1,0)=2,IF(IF(Table442431[[#This Row],[Student Number]]=C27,1,0)+IF(Table442431[[#This Row],[Session]]=B27,1,0)+IF(Table442431[[#This Row],[Pre or Post]]="Post",1,0)+IF(D27="Pre",1,0)=4,Table442431[[#This Row],[Post Total]]-J27,""),"")</f>
        <v>2</v>
      </c>
      <c r="O28" s="5" t="b">
        <f>ISNUMBER(Table442431[[#This Row],[Change]])</f>
        <v>1</v>
      </c>
    </row>
    <row r="29" spans="1:15">
      <c r="A29" s="1" t="s">
        <v>24</v>
      </c>
      <c r="B29" s="1" t="s">
        <v>23</v>
      </c>
      <c r="C29" s="1">
        <v>5</v>
      </c>
      <c r="D29" s="1" t="s">
        <v>6</v>
      </c>
      <c r="E29" s="1">
        <v>10</v>
      </c>
      <c r="F29" s="1">
        <v>1</v>
      </c>
      <c r="G29" s="1" t="s">
        <v>8</v>
      </c>
      <c r="H29" s="6">
        <f>IF(IF(Table442431[[#This Row],[Pre or Post]]="Pre",1,0)+IF(ISNUMBER(Table442431[[#This Row],[Response]])=TRUE,1,0)=2,1,"")</f>
        <v>1</v>
      </c>
      <c r="I29" s="6" t="str">
        <f>IF(IF(Table442431[[#This Row],[Pre or Post]]="Post",1,0)+IF(ISNUMBER(Table442431[[#This Row],[Response]])=TRUE,1,0)=2,1,"")</f>
        <v/>
      </c>
      <c r="J29" s="6">
        <f>IF(IF(Table442431[[#This Row],[Pre or Post]]="Pre",1,0)+IF(ISNUMBER(Table442431[[#This Row],[Response]])=TRUE,1,0)=2,Table442431[[#This Row],[Response]],"")</f>
        <v>1</v>
      </c>
      <c r="K29" s="6" t="str">
        <f>IF(IF(Table442431[[#This Row],[Pre or Post]]="Post",1,0)+IF(ISNUMBER(Table442431[[#This Row],[Response]])=TRUE,1,0)=2,Table442431[[#This Row],[Response]],"")</f>
        <v/>
      </c>
      <c r="L29" s="6">
        <f>IF(IF(ISNUMBER(J29),1,0)+IF(ISNUMBER(K30),1,0)=2,IF(IF(C30=C29,1,0)+IF(B30=B29,1,0)+IF(D30="Post",1,0)+IF(D29="Pre",1,0)=4,Table442431[[#This Row],[Pre Total]],""),"")</f>
        <v>1</v>
      </c>
      <c r="M29" s="6" t="str">
        <f>IF(IF(ISNUMBER(J28),1,0)+IF(ISNUMBER(Table442431[[#This Row],[Post Total]]),1,0)=2,IF(IF(Table442431[[#This Row],[Student Number]]=C28,1,0)+IF(Table442431[[#This Row],[Session]]=B28,1,0)+IF(Table442431[[#This Row],[Pre or Post]]="Post",1,0)+IF(D28="Pre",1,0)=4,Table442431[[#This Row],[Post Total]],""),"")</f>
        <v/>
      </c>
      <c r="N29" s="6" t="str">
        <f>IF(IF(ISNUMBER(J28),1,0)+IF(ISNUMBER(Table442431[[#This Row],[Post Total]]),1,0)=2,IF(IF(Table442431[[#This Row],[Student Number]]=C28,1,0)+IF(Table442431[[#This Row],[Session]]=B28,1,0)+IF(Table442431[[#This Row],[Pre or Post]]="Post",1,0)+IF(D28="Pre",1,0)=4,Table442431[[#This Row],[Post Total]]-J28,""),"")</f>
        <v/>
      </c>
      <c r="O29" s="6" t="b">
        <f>ISNUMBER(Table442431[[#This Row],[Change]])</f>
        <v>0</v>
      </c>
    </row>
    <row r="30" spans="1:15">
      <c r="A30" s="1" t="s">
        <v>24</v>
      </c>
      <c r="B30" s="1" t="s">
        <v>23</v>
      </c>
      <c r="C30" s="1">
        <v>5</v>
      </c>
      <c r="D30" s="1" t="s">
        <v>16</v>
      </c>
      <c r="E30" s="1">
        <v>3</v>
      </c>
      <c r="F30" s="1">
        <v>3</v>
      </c>
      <c r="G30" s="1" t="s">
        <v>8</v>
      </c>
      <c r="H30" s="5" t="str">
        <f>IF(IF(Table442431[[#This Row],[Pre or Post]]="Pre",1,0)+IF(ISNUMBER(Table442431[[#This Row],[Response]])=TRUE,1,0)=2,1,"")</f>
        <v/>
      </c>
      <c r="I30" s="5">
        <f>IF(IF(Table442431[[#This Row],[Pre or Post]]="Post",1,0)+IF(ISNUMBER(Table442431[[#This Row],[Response]])=TRUE,1,0)=2,1,"")</f>
        <v>1</v>
      </c>
      <c r="J30" s="5" t="str">
        <f>IF(IF(Table442431[[#This Row],[Pre or Post]]="Pre",1,0)+IF(ISNUMBER(Table442431[[#This Row],[Response]])=TRUE,1,0)=2,Table442431[[#This Row],[Response]],"")</f>
        <v/>
      </c>
      <c r="K30" s="5">
        <f>IF(IF(Table442431[[#This Row],[Pre or Post]]="Post",1,0)+IF(ISNUMBER(Table442431[[#This Row],[Response]])=TRUE,1,0)=2,Table442431[[#This Row],[Response]],"")</f>
        <v>3</v>
      </c>
      <c r="L30" s="5" t="str">
        <f>IF(IF(ISNUMBER(J30),1,0)+IF(ISNUMBER(K31),1,0)=2,IF(IF(C31=C30,1,0)+IF(B31=B30,1,0)+IF(D31="Post",1,0)+IF(D30="Pre",1,0)=4,Table442431[[#This Row],[Pre Total]],""),"")</f>
        <v/>
      </c>
      <c r="M30" s="5">
        <f>IF(IF(ISNUMBER(J29),1,0)+IF(ISNUMBER(Table442431[[#This Row],[Post Total]]),1,0)=2,IF(IF(Table442431[[#This Row],[Student Number]]=C29,1,0)+IF(Table442431[[#This Row],[Session]]=B29,1,0)+IF(Table442431[[#This Row],[Pre or Post]]="Post",1,0)+IF(D29="Pre",1,0)=4,Table442431[[#This Row],[Post Total]],""),"")</f>
        <v>3</v>
      </c>
      <c r="N30" s="5">
        <f>IF(IF(ISNUMBER(J29),1,0)+IF(ISNUMBER(Table442431[[#This Row],[Post Total]]),1,0)=2,IF(IF(Table442431[[#This Row],[Student Number]]=C29,1,0)+IF(Table442431[[#This Row],[Session]]=B29,1,0)+IF(Table442431[[#This Row],[Pre or Post]]="Post",1,0)+IF(D29="Pre",1,0)=4,Table442431[[#This Row],[Post Total]]-J29,""),"")</f>
        <v>2</v>
      </c>
      <c r="O30" s="5" t="b">
        <f>ISNUMBER(Table442431[[#This Row],[Change]])</f>
        <v>1</v>
      </c>
    </row>
    <row r="31" spans="1:15">
      <c r="A31" s="1" t="s">
        <v>24</v>
      </c>
      <c r="B31" s="1" t="s">
        <v>23</v>
      </c>
      <c r="C31" s="1">
        <v>6</v>
      </c>
      <c r="D31" s="1" t="s">
        <v>6</v>
      </c>
      <c r="E31" s="1">
        <v>10</v>
      </c>
      <c r="F31" s="1">
        <v>3</v>
      </c>
      <c r="G31" s="1" t="s">
        <v>8</v>
      </c>
      <c r="H31" s="6">
        <f>IF(IF(Table442431[[#This Row],[Pre or Post]]="Pre",1,0)+IF(ISNUMBER(Table442431[[#This Row],[Response]])=TRUE,1,0)=2,1,"")</f>
        <v>1</v>
      </c>
      <c r="I31" s="6" t="str">
        <f>IF(IF(Table442431[[#This Row],[Pre or Post]]="Post",1,0)+IF(ISNUMBER(Table442431[[#This Row],[Response]])=TRUE,1,0)=2,1,"")</f>
        <v/>
      </c>
      <c r="J31" s="6">
        <f>IF(IF(Table442431[[#This Row],[Pre or Post]]="Pre",1,0)+IF(ISNUMBER(Table442431[[#This Row],[Response]])=TRUE,1,0)=2,Table442431[[#This Row],[Response]],"")</f>
        <v>3</v>
      </c>
      <c r="K31" s="6" t="str">
        <f>IF(IF(Table442431[[#This Row],[Pre or Post]]="Post",1,0)+IF(ISNUMBER(Table442431[[#This Row],[Response]])=TRUE,1,0)=2,Table442431[[#This Row],[Response]],"")</f>
        <v/>
      </c>
      <c r="L31" s="6">
        <f>IF(IF(ISNUMBER(J31),1,0)+IF(ISNUMBER(K32),1,0)=2,IF(IF(C32=C31,1,0)+IF(B32=B31,1,0)+IF(D32="Post",1,0)+IF(D31="Pre",1,0)=4,Table442431[[#This Row],[Pre Total]],""),"")</f>
        <v>3</v>
      </c>
      <c r="M31" s="6" t="str">
        <f>IF(IF(ISNUMBER(J30),1,0)+IF(ISNUMBER(Table442431[[#This Row],[Post Total]]),1,0)=2,IF(IF(Table442431[[#This Row],[Student Number]]=C30,1,0)+IF(Table442431[[#This Row],[Session]]=B30,1,0)+IF(Table442431[[#This Row],[Pre or Post]]="Post",1,0)+IF(D30="Pre",1,0)=4,Table442431[[#This Row],[Post Total]],""),"")</f>
        <v/>
      </c>
      <c r="N31" s="6" t="str">
        <f>IF(IF(ISNUMBER(J30),1,0)+IF(ISNUMBER(Table442431[[#This Row],[Post Total]]),1,0)=2,IF(IF(Table442431[[#This Row],[Student Number]]=C30,1,0)+IF(Table442431[[#This Row],[Session]]=B30,1,0)+IF(Table442431[[#This Row],[Pre or Post]]="Post",1,0)+IF(D30="Pre",1,0)=4,Table442431[[#This Row],[Post Total]]-J30,""),"")</f>
        <v/>
      </c>
      <c r="O31" s="6" t="b">
        <f>ISNUMBER(Table442431[[#This Row],[Change]])</f>
        <v>0</v>
      </c>
    </row>
    <row r="32" spans="1:15">
      <c r="A32" s="1" t="s">
        <v>24</v>
      </c>
      <c r="B32" s="1" t="s">
        <v>23</v>
      </c>
      <c r="C32" s="1">
        <v>6</v>
      </c>
      <c r="D32" s="1" t="s">
        <v>16</v>
      </c>
      <c r="E32" s="1">
        <v>3</v>
      </c>
      <c r="F32" s="1">
        <v>3</v>
      </c>
      <c r="G32" s="1" t="s">
        <v>8</v>
      </c>
      <c r="H32" s="5" t="str">
        <f>IF(IF(Table442431[[#This Row],[Pre or Post]]="Pre",1,0)+IF(ISNUMBER(Table442431[[#This Row],[Response]])=TRUE,1,0)=2,1,"")</f>
        <v/>
      </c>
      <c r="I32" s="5">
        <f>IF(IF(Table442431[[#This Row],[Pre or Post]]="Post",1,0)+IF(ISNUMBER(Table442431[[#This Row],[Response]])=TRUE,1,0)=2,1,"")</f>
        <v>1</v>
      </c>
      <c r="J32" s="5" t="str">
        <f>IF(IF(Table442431[[#This Row],[Pre or Post]]="Pre",1,0)+IF(ISNUMBER(Table442431[[#This Row],[Response]])=TRUE,1,0)=2,Table442431[[#This Row],[Response]],"")</f>
        <v/>
      </c>
      <c r="K32" s="5">
        <f>IF(IF(Table442431[[#This Row],[Pre or Post]]="Post",1,0)+IF(ISNUMBER(Table442431[[#This Row],[Response]])=TRUE,1,0)=2,Table442431[[#This Row],[Response]],"")</f>
        <v>3</v>
      </c>
      <c r="L32" s="5" t="str">
        <f>IF(IF(ISNUMBER(J32),1,0)+IF(ISNUMBER(K33),1,0)=2,IF(IF(C33=C32,1,0)+IF(B33=B32,1,0)+IF(D33="Post",1,0)+IF(D32="Pre",1,0)=4,Table442431[[#This Row],[Pre Total]],""),"")</f>
        <v/>
      </c>
      <c r="M32" s="5">
        <f>IF(IF(ISNUMBER(J31),1,0)+IF(ISNUMBER(Table442431[[#This Row],[Post Total]]),1,0)=2,IF(IF(Table442431[[#This Row],[Student Number]]=C31,1,0)+IF(Table442431[[#This Row],[Session]]=B31,1,0)+IF(Table442431[[#This Row],[Pre or Post]]="Post",1,0)+IF(D31="Pre",1,0)=4,Table442431[[#This Row],[Post Total]],""),"")</f>
        <v>3</v>
      </c>
      <c r="N32" s="5">
        <f>IF(IF(ISNUMBER(J31),1,0)+IF(ISNUMBER(Table442431[[#This Row],[Post Total]]),1,0)=2,IF(IF(Table442431[[#This Row],[Student Number]]=C31,1,0)+IF(Table442431[[#This Row],[Session]]=B31,1,0)+IF(Table442431[[#This Row],[Pre or Post]]="Post",1,0)+IF(D31="Pre",1,0)=4,Table442431[[#This Row],[Post Total]]-J31,""),"")</f>
        <v>0</v>
      </c>
      <c r="O32" s="5" t="b">
        <f>ISNUMBER(Table442431[[#This Row],[Change]])</f>
        <v>1</v>
      </c>
    </row>
    <row r="33" spans="1:15">
      <c r="A33" s="1" t="s">
        <v>24</v>
      </c>
      <c r="B33" s="1" t="s">
        <v>23</v>
      </c>
      <c r="C33" s="1">
        <v>7</v>
      </c>
      <c r="D33" s="1" t="s">
        <v>6</v>
      </c>
      <c r="E33" s="1">
        <v>10</v>
      </c>
      <c r="F33" s="1">
        <v>1</v>
      </c>
      <c r="G33" s="1" t="s">
        <v>8</v>
      </c>
      <c r="H33" s="6">
        <f>IF(IF(Table442431[[#This Row],[Pre or Post]]="Pre",1,0)+IF(ISNUMBER(Table442431[[#This Row],[Response]])=TRUE,1,0)=2,1,"")</f>
        <v>1</v>
      </c>
      <c r="I33" s="6" t="str">
        <f>IF(IF(Table442431[[#This Row],[Pre or Post]]="Post",1,0)+IF(ISNUMBER(Table442431[[#This Row],[Response]])=TRUE,1,0)=2,1,"")</f>
        <v/>
      </c>
      <c r="J33" s="6">
        <f>IF(IF(Table442431[[#This Row],[Pre or Post]]="Pre",1,0)+IF(ISNUMBER(Table442431[[#This Row],[Response]])=TRUE,1,0)=2,Table442431[[#This Row],[Response]],"")</f>
        <v>1</v>
      </c>
      <c r="K33" s="6" t="str">
        <f>IF(IF(Table442431[[#This Row],[Pre or Post]]="Post",1,0)+IF(ISNUMBER(Table442431[[#This Row],[Response]])=TRUE,1,0)=2,Table442431[[#This Row],[Response]],"")</f>
        <v/>
      </c>
      <c r="L33" s="6">
        <f>IF(IF(ISNUMBER(J33),1,0)+IF(ISNUMBER(K34),1,0)=2,IF(IF(C34=C33,1,0)+IF(B34=B33,1,0)+IF(D34="Post",1,0)+IF(D33="Pre",1,0)=4,Table442431[[#This Row],[Pre Total]],""),"")</f>
        <v>1</v>
      </c>
      <c r="M33" s="6" t="str">
        <f>IF(IF(ISNUMBER(J32),1,0)+IF(ISNUMBER(Table442431[[#This Row],[Post Total]]),1,0)=2,IF(IF(Table442431[[#This Row],[Student Number]]=C32,1,0)+IF(Table442431[[#This Row],[Session]]=B32,1,0)+IF(Table442431[[#This Row],[Pre or Post]]="Post",1,0)+IF(D32="Pre",1,0)=4,Table442431[[#This Row],[Post Total]],""),"")</f>
        <v/>
      </c>
      <c r="N33" s="6" t="str">
        <f>IF(IF(ISNUMBER(J32),1,0)+IF(ISNUMBER(Table442431[[#This Row],[Post Total]]),1,0)=2,IF(IF(Table442431[[#This Row],[Student Number]]=C32,1,0)+IF(Table442431[[#This Row],[Session]]=B32,1,0)+IF(Table442431[[#This Row],[Pre or Post]]="Post",1,0)+IF(D32="Pre",1,0)=4,Table442431[[#This Row],[Post Total]]-J32,""),"")</f>
        <v/>
      </c>
      <c r="O33" s="6" t="b">
        <f>ISNUMBER(Table442431[[#This Row],[Change]])</f>
        <v>0</v>
      </c>
    </row>
    <row r="34" spans="1:15">
      <c r="A34" s="1" t="s">
        <v>24</v>
      </c>
      <c r="B34" s="1" t="s">
        <v>23</v>
      </c>
      <c r="C34" s="1">
        <v>7</v>
      </c>
      <c r="D34" s="1" t="s">
        <v>16</v>
      </c>
      <c r="E34" s="1">
        <v>3</v>
      </c>
      <c r="F34" s="1">
        <v>1</v>
      </c>
      <c r="G34" s="1" t="s">
        <v>8</v>
      </c>
      <c r="H34" s="5" t="str">
        <f>IF(IF(Table442431[[#This Row],[Pre or Post]]="Pre",1,0)+IF(ISNUMBER(Table442431[[#This Row],[Response]])=TRUE,1,0)=2,1,"")</f>
        <v/>
      </c>
      <c r="I34" s="5">
        <f>IF(IF(Table442431[[#This Row],[Pre or Post]]="Post",1,0)+IF(ISNUMBER(Table442431[[#This Row],[Response]])=TRUE,1,0)=2,1,"")</f>
        <v>1</v>
      </c>
      <c r="J34" s="5" t="str">
        <f>IF(IF(Table442431[[#This Row],[Pre or Post]]="Pre",1,0)+IF(ISNUMBER(Table442431[[#This Row],[Response]])=TRUE,1,0)=2,Table442431[[#This Row],[Response]],"")</f>
        <v/>
      </c>
      <c r="K34" s="5">
        <f>IF(IF(Table442431[[#This Row],[Pre or Post]]="Post",1,0)+IF(ISNUMBER(Table442431[[#This Row],[Response]])=TRUE,1,0)=2,Table442431[[#This Row],[Response]],"")</f>
        <v>1</v>
      </c>
      <c r="L34" s="5" t="str">
        <f>IF(IF(ISNUMBER(J34),1,0)+IF(ISNUMBER(K35),1,0)=2,IF(IF(C35=C34,1,0)+IF(B35=B34,1,0)+IF(D35="Post",1,0)+IF(D34="Pre",1,0)=4,Table442431[[#This Row],[Pre Total]],""),"")</f>
        <v/>
      </c>
      <c r="M34" s="5">
        <f>IF(IF(ISNUMBER(J33),1,0)+IF(ISNUMBER(Table442431[[#This Row],[Post Total]]),1,0)=2,IF(IF(Table442431[[#This Row],[Student Number]]=C33,1,0)+IF(Table442431[[#This Row],[Session]]=B33,1,0)+IF(Table442431[[#This Row],[Pre or Post]]="Post",1,0)+IF(D33="Pre",1,0)=4,Table442431[[#This Row],[Post Total]],""),"")</f>
        <v>1</v>
      </c>
      <c r="N34" s="5">
        <f>IF(IF(ISNUMBER(J33),1,0)+IF(ISNUMBER(Table442431[[#This Row],[Post Total]]),1,0)=2,IF(IF(Table442431[[#This Row],[Student Number]]=C33,1,0)+IF(Table442431[[#This Row],[Session]]=B33,1,0)+IF(Table442431[[#This Row],[Pre or Post]]="Post",1,0)+IF(D33="Pre",1,0)=4,Table442431[[#This Row],[Post Total]]-J33,""),"")</f>
        <v>0</v>
      </c>
      <c r="O34" s="5" t="b">
        <f>ISNUMBER(Table442431[[#This Row],[Change]])</f>
        <v>1</v>
      </c>
    </row>
    <row r="35" spans="1:15">
      <c r="A35" s="1" t="s">
        <v>24</v>
      </c>
      <c r="B35" s="1" t="s">
        <v>23</v>
      </c>
      <c r="C35" s="1">
        <v>8</v>
      </c>
      <c r="D35" s="1" t="s">
        <v>6</v>
      </c>
      <c r="E35" s="1">
        <v>10</v>
      </c>
      <c r="F35" s="1">
        <v>3</v>
      </c>
      <c r="G35" s="1" t="s">
        <v>8</v>
      </c>
      <c r="H35" s="6">
        <f>IF(IF(Table442431[[#This Row],[Pre or Post]]="Pre",1,0)+IF(ISNUMBER(Table442431[[#This Row],[Response]])=TRUE,1,0)=2,1,"")</f>
        <v>1</v>
      </c>
      <c r="I35" s="6" t="str">
        <f>IF(IF(Table442431[[#This Row],[Pre or Post]]="Post",1,0)+IF(ISNUMBER(Table442431[[#This Row],[Response]])=TRUE,1,0)=2,1,"")</f>
        <v/>
      </c>
      <c r="J35" s="6">
        <f>IF(IF(Table442431[[#This Row],[Pre or Post]]="Pre",1,0)+IF(ISNUMBER(Table442431[[#This Row],[Response]])=TRUE,1,0)=2,Table442431[[#This Row],[Response]],"")</f>
        <v>3</v>
      </c>
      <c r="K35" s="6" t="str">
        <f>IF(IF(Table442431[[#This Row],[Pre or Post]]="Post",1,0)+IF(ISNUMBER(Table442431[[#This Row],[Response]])=TRUE,1,0)=2,Table442431[[#This Row],[Response]],"")</f>
        <v/>
      </c>
      <c r="L35" s="6">
        <f>IF(IF(ISNUMBER(J35),1,0)+IF(ISNUMBER(K36),1,0)=2,IF(IF(C36=C35,1,0)+IF(B36=B35,1,0)+IF(D36="Post",1,0)+IF(D35="Pre",1,0)=4,Table442431[[#This Row],[Pre Total]],""),"")</f>
        <v>3</v>
      </c>
      <c r="M35" s="6" t="str">
        <f>IF(IF(ISNUMBER(J34),1,0)+IF(ISNUMBER(Table442431[[#This Row],[Post Total]]),1,0)=2,IF(IF(Table442431[[#This Row],[Student Number]]=C34,1,0)+IF(Table442431[[#This Row],[Session]]=B34,1,0)+IF(Table442431[[#This Row],[Pre or Post]]="Post",1,0)+IF(D34="Pre",1,0)=4,Table442431[[#This Row],[Post Total]],""),"")</f>
        <v/>
      </c>
      <c r="N35" s="6" t="str">
        <f>IF(IF(ISNUMBER(J34),1,0)+IF(ISNUMBER(Table442431[[#This Row],[Post Total]]),1,0)=2,IF(IF(Table442431[[#This Row],[Student Number]]=C34,1,0)+IF(Table442431[[#This Row],[Session]]=B34,1,0)+IF(Table442431[[#This Row],[Pre or Post]]="Post",1,0)+IF(D34="Pre",1,0)=4,Table442431[[#This Row],[Post Total]]-J34,""),"")</f>
        <v/>
      </c>
      <c r="O35" s="6" t="b">
        <f>ISNUMBER(Table442431[[#This Row],[Change]])</f>
        <v>0</v>
      </c>
    </row>
    <row r="36" spans="1:15">
      <c r="A36" s="1" t="s">
        <v>24</v>
      </c>
      <c r="B36" s="1" t="s">
        <v>23</v>
      </c>
      <c r="C36" s="1">
        <v>8</v>
      </c>
      <c r="D36" s="1" t="s">
        <v>16</v>
      </c>
      <c r="E36" s="1">
        <v>3</v>
      </c>
      <c r="F36" s="1">
        <v>3</v>
      </c>
      <c r="G36" s="1" t="s">
        <v>8</v>
      </c>
      <c r="H36" s="5" t="str">
        <f>IF(IF(Table442431[[#This Row],[Pre or Post]]="Pre",1,0)+IF(ISNUMBER(Table442431[[#This Row],[Response]])=TRUE,1,0)=2,1,"")</f>
        <v/>
      </c>
      <c r="I36" s="5">
        <f>IF(IF(Table442431[[#This Row],[Pre or Post]]="Post",1,0)+IF(ISNUMBER(Table442431[[#This Row],[Response]])=TRUE,1,0)=2,1,"")</f>
        <v>1</v>
      </c>
      <c r="J36" s="5" t="str">
        <f>IF(IF(Table442431[[#This Row],[Pre or Post]]="Pre",1,0)+IF(ISNUMBER(Table442431[[#This Row],[Response]])=TRUE,1,0)=2,Table442431[[#This Row],[Response]],"")</f>
        <v/>
      </c>
      <c r="K36" s="5">
        <f>IF(IF(Table442431[[#This Row],[Pre or Post]]="Post",1,0)+IF(ISNUMBER(Table442431[[#This Row],[Response]])=TRUE,1,0)=2,Table442431[[#This Row],[Response]],"")</f>
        <v>3</v>
      </c>
      <c r="L36" s="5" t="str">
        <f>IF(IF(ISNUMBER(J36),1,0)+IF(ISNUMBER(K37),1,0)=2,IF(IF(C37=C36,1,0)+IF(B37=B36,1,0)+IF(D37="Post",1,0)+IF(D36="Pre",1,0)=4,Table442431[[#This Row],[Pre Total]],""),"")</f>
        <v/>
      </c>
      <c r="M36" s="5">
        <f>IF(IF(ISNUMBER(J35),1,0)+IF(ISNUMBER(Table442431[[#This Row],[Post Total]]),1,0)=2,IF(IF(Table442431[[#This Row],[Student Number]]=C35,1,0)+IF(Table442431[[#This Row],[Session]]=B35,1,0)+IF(Table442431[[#This Row],[Pre or Post]]="Post",1,0)+IF(D35="Pre",1,0)=4,Table442431[[#This Row],[Post Total]],""),"")</f>
        <v>3</v>
      </c>
      <c r="N36" s="5">
        <f>IF(IF(ISNUMBER(J35),1,0)+IF(ISNUMBER(Table442431[[#This Row],[Post Total]]),1,0)=2,IF(IF(Table442431[[#This Row],[Student Number]]=C35,1,0)+IF(Table442431[[#This Row],[Session]]=B35,1,0)+IF(Table442431[[#This Row],[Pre or Post]]="Post",1,0)+IF(D35="Pre",1,0)=4,Table442431[[#This Row],[Post Total]]-J35,""),"")</f>
        <v>0</v>
      </c>
      <c r="O36" s="5" t="b">
        <f>ISNUMBER(Table442431[[#This Row],[Change]])</f>
        <v>1</v>
      </c>
    </row>
    <row r="37" spans="1:15">
      <c r="A37" s="1" t="s">
        <v>24</v>
      </c>
      <c r="B37" s="1" t="s">
        <v>23</v>
      </c>
      <c r="C37" s="1">
        <v>9</v>
      </c>
      <c r="D37" s="1" t="s">
        <v>6</v>
      </c>
      <c r="E37" s="1">
        <v>10</v>
      </c>
      <c r="F37" s="1">
        <v>3</v>
      </c>
      <c r="G37" s="1" t="s">
        <v>8</v>
      </c>
      <c r="H37" s="6">
        <f>IF(IF(Table442431[[#This Row],[Pre or Post]]="Pre",1,0)+IF(ISNUMBER(Table442431[[#This Row],[Response]])=TRUE,1,0)=2,1,"")</f>
        <v>1</v>
      </c>
      <c r="I37" s="6" t="str">
        <f>IF(IF(Table442431[[#This Row],[Pre or Post]]="Post",1,0)+IF(ISNUMBER(Table442431[[#This Row],[Response]])=TRUE,1,0)=2,1,"")</f>
        <v/>
      </c>
      <c r="J37" s="6">
        <f>IF(IF(Table442431[[#This Row],[Pre or Post]]="Pre",1,0)+IF(ISNUMBER(Table442431[[#This Row],[Response]])=TRUE,1,0)=2,Table442431[[#This Row],[Response]],"")</f>
        <v>3</v>
      </c>
      <c r="K37" s="6" t="str">
        <f>IF(IF(Table442431[[#This Row],[Pre or Post]]="Post",1,0)+IF(ISNUMBER(Table442431[[#This Row],[Response]])=TRUE,1,0)=2,Table442431[[#This Row],[Response]],"")</f>
        <v/>
      </c>
      <c r="L37" s="6">
        <f>IF(IF(ISNUMBER(J37),1,0)+IF(ISNUMBER(K38),1,0)=2,IF(IF(C38=C37,1,0)+IF(B38=B37,1,0)+IF(D38="Post",1,0)+IF(D37="Pre",1,0)=4,Table442431[[#This Row],[Pre Total]],""),"")</f>
        <v>3</v>
      </c>
      <c r="M37" s="6" t="str">
        <f>IF(IF(ISNUMBER(J36),1,0)+IF(ISNUMBER(Table442431[[#This Row],[Post Total]]),1,0)=2,IF(IF(Table442431[[#This Row],[Student Number]]=C36,1,0)+IF(Table442431[[#This Row],[Session]]=B36,1,0)+IF(Table442431[[#This Row],[Pre or Post]]="Post",1,0)+IF(D36="Pre",1,0)=4,Table442431[[#This Row],[Post Total]],""),"")</f>
        <v/>
      </c>
      <c r="N37" s="6" t="str">
        <f>IF(IF(ISNUMBER(J36),1,0)+IF(ISNUMBER(Table442431[[#This Row],[Post Total]]),1,0)=2,IF(IF(Table442431[[#This Row],[Student Number]]=C36,1,0)+IF(Table442431[[#This Row],[Session]]=B36,1,0)+IF(Table442431[[#This Row],[Pre or Post]]="Post",1,0)+IF(D36="Pre",1,0)=4,Table442431[[#This Row],[Post Total]]-J36,""),"")</f>
        <v/>
      </c>
      <c r="O37" s="6" t="b">
        <f>ISNUMBER(Table442431[[#This Row],[Change]])</f>
        <v>0</v>
      </c>
    </row>
    <row r="38" spans="1:15">
      <c r="A38" s="1" t="s">
        <v>24</v>
      </c>
      <c r="B38" s="1" t="s">
        <v>23</v>
      </c>
      <c r="C38" s="1">
        <v>9</v>
      </c>
      <c r="D38" s="1" t="s">
        <v>16</v>
      </c>
      <c r="E38" s="1">
        <v>3</v>
      </c>
      <c r="F38" s="1">
        <v>3</v>
      </c>
      <c r="G38" s="1" t="s">
        <v>8</v>
      </c>
      <c r="H38" s="5" t="str">
        <f>IF(IF(Table442431[[#This Row],[Pre or Post]]="Pre",1,0)+IF(ISNUMBER(Table442431[[#This Row],[Response]])=TRUE,1,0)=2,1,"")</f>
        <v/>
      </c>
      <c r="I38" s="5">
        <f>IF(IF(Table442431[[#This Row],[Pre or Post]]="Post",1,0)+IF(ISNUMBER(Table442431[[#This Row],[Response]])=TRUE,1,0)=2,1,"")</f>
        <v>1</v>
      </c>
      <c r="J38" s="5" t="str">
        <f>IF(IF(Table442431[[#This Row],[Pre or Post]]="Pre",1,0)+IF(ISNUMBER(Table442431[[#This Row],[Response]])=TRUE,1,0)=2,Table442431[[#This Row],[Response]],"")</f>
        <v/>
      </c>
      <c r="K38" s="5">
        <f>IF(IF(Table442431[[#This Row],[Pre or Post]]="Post",1,0)+IF(ISNUMBER(Table442431[[#This Row],[Response]])=TRUE,1,0)=2,Table442431[[#This Row],[Response]],"")</f>
        <v>3</v>
      </c>
      <c r="L38" s="5" t="str">
        <f>IF(IF(ISNUMBER(J38),1,0)+IF(ISNUMBER(K39),1,0)=2,IF(IF(C39=C38,1,0)+IF(B39=B38,1,0)+IF(D39="Post",1,0)+IF(D38="Pre",1,0)=4,Table442431[[#This Row],[Pre Total]],""),"")</f>
        <v/>
      </c>
      <c r="M38" s="5">
        <f>IF(IF(ISNUMBER(J37),1,0)+IF(ISNUMBER(Table442431[[#This Row],[Post Total]]),1,0)=2,IF(IF(Table442431[[#This Row],[Student Number]]=C37,1,0)+IF(Table442431[[#This Row],[Session]]=B37,1,0)+IF(Table442431[[#This Row],[Pre or Post]]="Post",1,0)+IF(D37="Pre",1,0)=4,Table442431[[#This Row],[Post Total]],""),"")</f>
        <v>3</v>
      </c>
      <c r="N38" s="5">
        <f>IF(IF(ISNUMBER(J37),1,0)+IF(ISNUMBER(Table442431[[#This Row],[Post Total]]),1,0)=2,IF(IF(Table442431[[#This Row],[Student Number]]=C37,1,0)+IF(Table442431[[#This Row],[Session]]=B37,1,0)+IF(Table442431[[#This Row],[Pre or Post]]="Post",1,0)+IF(D37="Pre",1,0)=4,Table442431[[#This Row],[Post Total]]-J37,""),"")</f>
        <v>0</v>
      </c>
      <c r="O38" s="5" t="b">
        <f>ISNUMBER(Table442431[[#This Row],[Change]])</f>
        <v>1</v>
      </c>
    </row>
    <row r="39" spans="1:15">
      <c r="A39" s="1" t="s">
        <v>24</v>
      </c>
      <c r="B39" s="1" t="s">
        <v>23</v>
      </c>
      <c r="C39" s="1">
        <v>10</v>
      </c>
      <c r="D39" s="1" t="s">
        <v>6</v>
      </c>
      <c r="E39" s="1">
        <v>10</v>
      </c>
      <c r="F39" s="1">
        <v>2</v>
      </c>
      <c r="G39" s="1" t="s">
        <v>8</v>
      </c>
      <c r="H39" s="6">
        <f>IF(IF(Table442431[[#This Row],[Pre or Post]]="Pre",1,0)+IF(ISNUMBER(Table442431[[#This Row],[Response]])=TRUE,1,0)=2,1,"")</f>
        <v>1</v>
      </c>
      <c r="I39" s="6" t="str">
        <f>IF(IF(Table442431[[#This Row],[Pre or Post]]="Post",1,0)+IF(ISNUMBER(Table442431[[#This Row],[Response]])=TRUE,1,0)=2,1,"")</f>
        <v/>
      </c>
      <c r="J39" s="6">
        <f>IF(IF(Table442431[[#This Row],[Pre or Post]]="Pre",1,0)+IF(ISNUMBER(Table442431[[#This Row],[Response]])=TRUE,1,0)=2,Table442431[[#This Row],[Response]],"")</f>
        <v>2</v>
      </c>
      <c r="K39" s="6" t="str">
        <f>IF(IF(Table442431[[#This Row],[Pre or Post]]="Post",1,0)+IF(ISNUMBER(Table442431[[#This Row],[Response]])=TRUE,1,0)=2,Table442431[[#This Row],[Response]],"")</f>
        <v/>
      </c>
      <c r="L39" s="6">
        <f>IF(IF(ISNUMBER(J39),1,0)+IF(ISNUMBER(K40),1,0)=2,IF(IF(C40=C39,1,0)+IF(B40=B39,1,0)+IF(D40="Post",1,0)+IF(D39="Pre",1,0)=4,Table442431[[#This Row],[Pre Total]],""),"")</f>
        <v>2</v>
      </c>
      <c r="M39" s="6" t="str">
        <f>IF(IF(ISNUMBER(J38),1,0)+IF(ISNUMBER(Table442431[[#This Row],[Post Total]]),1,0)=2,IF(IF(Table442431[[#This Row],[Student Number]]=C38,1,0)+IF(Table442431[[#This Row],[Session]]=B38,1,0)+IF(Table442431[[#This Row],[Pre or Post]]="Post",1,0)+IF(D38="Pre",1,0)=4,Table442431[[#This Row],[Post Total]],""),"")</f>
        <v/>
      </c>
      <c r="N39" s="6" t="str">
        <f>IF(IF(ISNUMBER(J38),1,0)+IF(ISNUMBER(Table442431[[#This Row],[Post Total]]),1,0)=2,IF(IF(Table442431[[#This Row],[Student Number]]=C38,1,0)+IF(Table442431[[#This Row],[Session]]=B38,1,0)+IF(Table442431[[#This Row],[Pre or Post]]="Post",1,0)+IF(D38="Pre",1,0)=4,Table442431[[#This Row],[Post Total]]-J38,""),"")</f>
        <v/>
      </c>
      <c r="O39" s="6" t="b">
        <f>ISNUMBER(Table442431[[#This Row],[Change]])</f>
        <v>0</v>
      </c>
    </row>
    <row r="40" spans="1:15">
      <c r="A40" s="1" t="s">
        <v>24</v>
      </c>
      <c r="B40" s="1" t="s">
        <v>23</v>
      </c>
      <c r="C40" s="1">
        <v>10</v>
      </c>
      <c r="D40" s="1" t="s">
        <v>16</v>
      </c>
      <c r="E40" s="1">
        <v>3</v>
      </c>
      <c r="F40" s="1">
        <v>3</v>
      </c>
      <c r="G40" s="1" t="s">
        <v>8</v>
      </c>
      <c r="H40" s="5" t="str">
        <f>IF(IF(Table442431[[#This Row],[Pre or Post]]="Pre",1,0)+IF(ISNUMBER(Table442431[[#This Row],[Response]])=TRUE,1,0)=2,1,"")</f>
        <v/>
      </c>
      <c r="I40" s="5">
        <f>IF(IF(Table442431[[#This Row],[Pre or Post]]="Post",1,0)+IF(ISNUMBER(Table442431[[#This Row],[Response]])=TRUE,1,0)=2,1,"")</f>
        <v>1</v>
      </c>
      <c r="J40" s="5" t="str">
        <f>IF(IF(Table442431[[#This Row],[Pre or Post]]="Pre",1,0)+IF(ISNUMBER(Table442431[[#This Row],[Response]])=TRUE,1,0)=2,Table442431[[#This Row],[Response]],"")</f>
        <v/>
      </c>
      <c r="K40" s="5">
        <f>IF(IF(Table442431[[#This Row],[Pre or Post]]="Post",1,0)+IF(ISNUMBER(Table442431[[#This Row],[Response]])=TRUE,1,0)=2,Table442431[[#This Row],[Response]],"")</f>
        <v>3</v>
      </c>
      <c r="L40" s="5" t="str">
        <f>IF(IF(ISNUMBER(J40),1,0)+IF(ISNUMBER(K41),1,0)=2,IF(IF(C41=C40,1,0)+IF(B41=B40,1,0)+IF(D41="Post",1,0)+IF(D40="Pre",1,0)=4,Table442431[[#This Row],[Pre Total]],""),"")</f>
        <v/>
      </c>
      <c r="M40" s="5">
        <f>IF(IF(ISNUMBER(J39),1,0)+IF(ISNUMBER(Table442431[[#This Row],[Post Total]]),1,0)=2,IF(IF(Table442431[[#This Row],[Student Number]]=C39,1,0)+IF(Table442431[[#This Row],[Session]]=B39,1,0)+IF(Table442431[[#This Row],[Pre or Post]]="Post",1,0)+IF(D39="Pre",1,0)=4,Table442431[[#This Row],[Post Total]],""),"")</f>
        <v>3</v>
      </c>
      <c r="N40" s="5">
        <f>IF(IF(ISNUMBER(J39),1,0)+IF(ISNUMBER(Table442431[[#This Row],[Post Total]]),1,0)=2,IF(IF(Table442431[[#This Row],[Student Number]]=C39,1,0)+IF(Table442431[[#This Row],[Session]]=B39,1,0)+IF(Table442431[[#This Row],[Pre or Post]]="Post",1,0)+IF(D39="Pre",1,0)=4,Table442431[[#This Row],[Post Total]]-J39,""),"")</f>
        <v>1</v>
      </c>
      <c r="O40" s="5" t="b">
        <f>ISNUMBER(Table442431[[#This Row],[Change]])</f>
        <v>1</v>
      </c>
    </row>
    <row r="41" spans="1:15">
      <c r="A41" s="1" t="s">
        <v>24</v>
      </c>
      <c r="B41" s="1" t="s">
        <v>23</v>
      </c>
      <c r="C41" s="1">
        <v>11</v>
      </c>
      <c r="D41" s="1" t="s">
        <v>6</v>
      </c>
      <c r="E41" s="1">
        <v>10</v>
      </c>
      <c r="F41" s="1">
        <v>2</v>
      </c>
      <c r="G41" s="1" t="s">
        <v>8</v>
      </c>
      <c r="H41" s="6">
        <f>IF(IF(Table442431[[#This Row],[Pre or Post]]="Pre",1,0)+IF(ISNUMBER(Table442431[[#This Row],[Response]])=TRUE,1,0)=2,1,"")</f>
        <v>1</v>
      </c>
      <c r="I41" s="6" t="str">
        <f>IF(IF(Table442431[[#This Row],[Pre or Post]]="Post",1,0)+IF(ISNUMBER(Table442431[[#This Row],[Response]])=TRUE,1,0)=2,1,"")</f>
        <v/>
      </c>
      <c r="J41" s="6">
        <f>IF(IF(Table442431[[#This Row],[Pre or Post]]="Pre",1,0)+IF(ISNUMBER(Table442431[[#This Row],[Response]])=TRUE,1,0)=2,Table442431[[#This Row],[Response]],"")</f>
        <v>2</v>
      </c>
      <c r="K41" s="6" t="str">
        <f>IF(IF(Table442431[[#This Row],[Pre or Post]]="Post",1,0)+IF(ISNUMBER(Table442431[[#This Row],[Response]])=TRUE,1,0)=2,Table442431[[#This Row],[Response]],"")</f>
        <v/>
      </c>
      <c r="L41" s="6">
        <f>IF(IF(ISNUMBER(J41),1,0)+IF(ISNUMBER(K42),1,0)=2,IF(IF(C42=C41,1,0)+IF(B42=B41,1,0)+IF(D42="Post",1,0)+IF(D41="Pre",1,0)=4,Table442431[[#This Row],[Pre Total]],""),"")</f>
        <v>2</v>
      </c>
      <c r="M41" s="6" t="str">
        <f>IF(IF(ISNUMBER(J40),1,0)+IF(ISNUMBER(Table442431[[#This Row],[Post Total]]),1,0)=2,IF(IF(Table442431[[#This Row],[Student Number]]=C40,1,0)+IF(Table442431[[#This Row],[Session]]=B40,1,0)+IF(Table442431[[#This Row],[Pre or Post]]="Post",1,0)+IF(D40="Pre",1,0)=4,Table442431[[#This Row],[Post Total]],""),"")</f>
        <v/>
      </c>
      <c r="N41" s="6" t="str">
        <f>IF(IF(ISNUMBER(J40),1,0)+IF(ISNUMBER(Table442431[[#This Row],[Post Total]]),1,0)=2,IF(IF(Table442431[[#This Row],[Student Number]]=C40,1,0)+IF(Table442431[[#This Row],[Session]]=B40,1,0)+IF(Table442431[[#This Row],[Pre or Post]]="Post",1,0)+IF(D40="Pre",1,0)=4,Table442431[[#This Row],[Post Total]]-J40,""),"")</f>
        <v/>
      </c>
      <c r="O41" s="6" t="b">
        <f>ISNUMBER(Table442431[[#This Row],[Change]])</f>
        <v>0</v>
      </c>
    </row>
    <row r="42" spans="1:15">
      <c r="A42" s="1" t="s">
        <v>24</v>
      </c>
      <c r="B42" s="1" t="s">
        <v>23</v>
      </c>
      <c r="C42" s="1">
        <v>11</v>
      </c>
      <c r="D42" s="1" t="s">
        <v>16</v>
      </c>
      <c r="E42" s="1">
        <v>3</v>
      </c>
      <c r="F42" s="1">
        <v>3</v>
      </c>
      <c r="G42" s="1" t="s">
        <v>8</v>
      </c>
      <c r="H42" s="5" t="str">
        <f>IF(IF(Table442431[[#This Row],[Pre or Post]]="Pre",1,0)+IF(ISNUMBER(Table442431[[#This Row],[Response]])=TRUE,1,0)=2,1,"")</f>
        <v/>
      </c>
      <c r="I42" s="5">
        <f>IF(IF(Table442431[[#This Row],[Pre or Post]]="Post",1,0)+IF(ISNUMBER(Table442431[[#This Row],[Response]])=TRUE,1,0)=2,1,"")</f>
        <v>1</v>
      </c>
      <c r="J42" s="5" t="str">
        <f>IF(IF(Table442431[[#This Row],[Pre or Post]]="Pre",1,0)+IF(ISNUMBER(Table442431[[#This Row],[Response]])=TRUE,1,0)=2,Table442431[[#This Row],[Response]],"")</f>
        <v/>
      </c>
      <c r="K42" s="5">
        <f>IF(IF(Table442431[[#This Row],[Pre or Post]]="Post",1,0)+IF(ISNUMBER(Table442431[[#This Row],[Response]])=TRUE,1,0)=2,Table442431[[#This Row],[Response]],"")</f>
        <v>3</v>
      </c>
      <c r="L42" s="5" t="str">
        <f>IF(IF(ISNUMBER(J42),1,0)+IF(ISNUMBER(K43),1,0)=2,IF(IF(C43=C42,1,0)+IF(B43=B42,1,0)+IF(D43="Post",1,0)+IF(D42="Pre",1,0)=4,Table442431[[#This Row],[Pre Total]],""),"")</f>
        <v/>
      </c>
      <c r="M42" s="5">
        <f>IF(IF(ISNUMBER(J41),1,0)+IF(ISNUMBER(Table442431[[#This Row],[Post Total]]),1,0)=2,IF(IF(Table442431[[#This Row],[Student Number]]=C41,1,0)+IF(Table442431[[#This Row],[Session]]=B41,1,0)+IF(Table442431[[#This Row],[Pre or Post]]="Post",1,0)+IF(D41="Pre",1,0)=4,Table442431[[#This Row],[Post Total]],""),"")</f>
        <v>3</v>
      </c>
      <c r="N42" s="5">
        <f>IF(IF(ISNUMBER(J41),1,0)+IF(ISNUMBER(Table442431[[#This Row],[Post Total]]),1,0)=2,IF(IF(Table442431[[#This Row],[Student Number]]=C41,1,0)+IF(Table442431[[#This Row],[Session]]=B41,1,0)+IF(Table442431[[#This Row],[Pre or Post]]="Post",1,0)+IF(D41="Pre",1,0)=4,Table442431[[#This Row],[Post Total]]-J41,""),"")</f>
        <v>1</v>
      </c>
      <c r="O42" s="5" t="b">
        <f>ISNUMBER(Table442431[[#This Row],[Change]])</f>
        <v>1</v>
      </c>
    </row>
    <row r="43" spans="1:15">
      <c r="A43" s="1" t="s">
        <v>24</v>
      </c>
      <c r="B43" s="1" t="s">
        <v>23</v>
      </c>
      <c r="C43" s="1">
        <v>12</v>
      </c>
      <c r="D43" s="1" t="s">
        <v>6</v>
      </c>
      <c r="E43" s="1">
        <v>10</v>
      </c>
      <c r="F43" s="1">
        <v>2</v>
      </c>
      <c r="G43" s="1" t="s">
        <v>8</v>
      </c>
      <c r="H43" s="6">
        <f>IF(IF(Table442431[[#This Row],[Pre or Post]]="Pre",1,0)+IF(ISNUMBER(Table442431[[#This Row],[Response]])=TRUE,1,0)=2,1,"")</f>
        <v>1</v>
      </c>
      <c r="I43" s="6" t="str">
        <f>IF(IF(Table442431[[#This Row],[Pre or Post]]="Post",1,0)+IF(ISNUMBER(Table442431[[#This Row],[Response]])=TRUE,1,0)=2,1,"")</f>
        <v/>
      </c>
      <c r="J43" s="6">
        <f>IF(IF(Table442431[[#This Row],[Pre or Post]]="Pre",1,0)+IF(ISNUMBER(Table442431[[#This Row],[Response]])=TRUE,1,0)=2,Table442431[[#This Row],[Response]],"")</f>
        <v>2</v>
      </c>
      <c r="K43" s="6" t="str">
        <f>IF(IF(Table442431[[#This Row],[Pre or Post]]="Post",1,0)+IF(ISNUMBER(Table442431[[#This Row],[Response]])=TRUE,1,0)=2,Table442431[[#This Row],[Response]],"")</f>
        <v/>
      </c>
      <c r="L43" s="6">
        <f>IF(IF(ISNUMBER(J43),1,0)+IF(ISNUMBER(K44),1,0)=2,IF(IF(C44=C43,1,0)+IF(B44=B43,1,0)+IF(D44="Post",1,0)+IF(D43="Pre",1,0)=4,Table442431[[#This Row],[Pre Total]],""),"")</f>
        <v>2</v>
      </c>
      <c r="M43" s="6" t="str">
        <f>IF(IF(ISNUMBER(J42),1,0)+IF(ISNUMBER(Table442431[[#This Row],[Post Total]]),1,0)=2,IF(IF(Table442431[[#This Row],[Student Number]]=C42,1,0)+IF(Table442431[[#This Row],[Session]]=B42,1,0)+IF(Table442431[[#This Row],[Pre or Post]]="Post",1,0)+IF(D42="Pre",1,0)=4,Table442431[[#This Row],[Post Total]],""),"")</f>
        <v/>
      </c>
      <c r="N43" s="6" t="str">
        <f>IF(IF(ISNUMBER(J42),1,0)+IF(ISNUMBER(Table442431[[#This Row],[Post Total]]),1,0)=2,IF(IF(Table442431[[#This Row],[Student Number]]=C42,1,0)+IF(Table442431[[#This Row],[Session]]=B42,1,0)+IF(Table442431[[#This Row],[Pre or Post]]="Post",1,0)+IF(D42="Pre",1,0)=4,Table442431[[#This Row],[Post Total]]-J42,""),"")</f>
        <v/>
      </c>
      <c r="O43" s="6" t="b">
        <f>ISNUMBER(Table442431[[#This Row],[Change]])</f>
        <v>0</v>
      </c>
    </row>
    <row r="44" spans="1:15">
      <c r="A44" s="1" t="s">
        <v>24</v>
      </c>
      <c r="B44" s="1" t="s">
        <v>23</v>
      </c>
      <c r="C44" s="1">
        <v>12</v>
      </c>
      <c r="D44" s="1" t="s">
        <v>16</v>
      </c>
      <c r="E44" s="1">
        <v>3</v>
      </c>
      <c r="F44" s="1">
        <v>3</v>
      </c>
      <c r="G44" s="1" t="s">
        <v>8</v>
      </c>
      <c r="H44" s="5" t="str">
        <f>IF(IF(Table442431[[#This Row],[Pre or Post]]="Pre",1,0)+IF(ISNUMBER(Table442431[[#This Row],[Response]])=TRUE,1,0)=2,1,"")</f>
        <v/>
      </c>
      <c r="I44" s="5">
        <f>IF(IF(Table442431[[#This Row],[Pre or Post]]="Post",1,0)+IF(ISNUMBER(Table442431[[#This Row],[Response]])=TRUE,1,0)=2,1,"")</f>
        <v>1</v>
      </c>
      <c r="J44" s="5" t="str">
        <f>IF(IF(Table442431[[#This Row],[Pre or Post]]="Pre",1,0)+IF(ISNUMBER(Table442431[[#This Row],[Response]])=TRUE,1,0)=2,Table442431[[#This Row],[Response]],"")</f>
        <v/>
      </c>
      <c r="K44" s="5">
        <f>IF(IF(Table442431[[#This Row],[Pre or Post]]="Post",1,0)+IF(ISNUMBER(Table442431[[#This Row],[Response]])=TRUE,1,0)=2,Table442431[[#This Row],[Response]],"")</f>
        <v>3</v>
      </c>
      <c r="L44" s="5" t="str">
        <f>IF(IF(ISNUMBER(J44),1,0)+IF(ISNUMBER(K45),1,0)=2,IF(IF(C45=C44,1,0)+IF(B45=B44,1,0)+IF(D45="Post",1,0)+IF(D44="Pre",1,0)=4,Table442431[[#This Row],[Pre Total]],""),"")</f>
        <v/>
      </c>
      <c r="M44" s="5">
        <f>IF(IF(ISNUMBER(J43),1,0)+IF(ISNUMBER(Table442431[[#This Row],[Post Total]]),1,0)=2,IF(IF(Table442431[[#This Row],[Student Number]]=C43,1,0)+IF(Table442431[[#This Row],[Session]]=B43,1,0)+IF(Table442431[[#This Row],[Pre or Post]]="Post",1,0)+IF(D43="Pre",1,0)=4,Table442431[[#This Row],[Post Total]],""),"")</f>
        <v>3</v>
      </c>
      <c r="N44" s="5">
        <f>IF(IF(ISNUMBER(J43),1,0)+IF(ISNUMBER(Table442431[[#This Row],[Post Total]]),1,0)=2,IF(IF(Table442431[[#This Row],[Student Number]]=C43,1,0)+IF(Table442431[[#This Row],[Session]]=B43,1,0)+IF(Table442431[[#This Row],[Pre or Post]]="Post",1,0)+IF(D43="Pre",1,0)=4,Table442431[[#This Row],[Post Total]]-J43,""),"")</f>
        <v>1</v>
      </c>
      <c r="O44" s="5" t="b">
        <f>ISNUMBER(Table442431[[#This Row],[Change]])</f>
        <v>1</v>
      </c>
    </row>
    <row r="45" spans="1:15">
      <c r="A45" s="1" t="s">
        <v>24</v>
      </c>
      <c r="B45" s="1" t="s">
        <v>23</v>
      </c>
      <c r="C45" s="1">
        <v>13</v>
      </c>
      <c r="D45" s="1" t="s">
        <v>6</v>
      </c>
      <c r="E45" s="1">
        <v>10</v>
      </c>
      <c r="F45" s="1">
        <v>2</v>
      </c>
      <c r="G45" s="1" t="s">
        <v>8</v>
      </c>
      <c r="H45" s="6">
        <f>IF(IF(Table442431[[#This Row],[Pre or Post]]="Pre",1,0)+IF(ISNUMBER(Table442431[[#This Row],[Response]])=TRUE,1,0)=2,1,"")</f>
        <v>1</v>
      </c>
      <c r="I45" s="6" t="str">
        <f>IF(IF(Table442431[[#This Row],[Pre or Post]]="Post",1,0)+IF(ISNUMBER(Table442431[[#This Row],[Response]])=TRUE,1,0)=2,1,"")</f>
        <v/>
      </c>
      <c r="J45" s="6">
        <f>IF(IF(Table442431[[#This Row],[Pre or Post]]="Pre",1,0)+IF(ISNUMBER(Table442431[[#This Row],[Response]])=TRUE,1,0)=2,Table442431[[#This Row],[Response]],"")</f>
        <v>2</v>
      </c>
      <c r="K45" s="6" t="str">
        <f>IF(IF(Table442431[[#This Row],[Pre or Post]]="Post",1,0)+IF(ISNUMBER(Table442431[[#This Row],[Response]])=TRUE,1,0)=2,Table442431[[#This Row],[Response]],"")</f>
        <v/>
      </c>
      <c r="L45" s="6">
        <f>IF(IF(ISNUMBER(J45),1,0)+IF(ISNUMBER(K46),1,0)=2,IF(IF(C46=C45,1,0)+IF(B46=B45,1,0)+IF(D46="Post",1,0)+IF(D45="Pre",1,0)=4,Table442431[[#This Row],[Pre Total]],""),"")</f>
        <v>2</v>
      </c>
      <c r="M45" s="6" t="str">
        <f>IF(IF(ISNUMBER(J44),1,0)+IF(ISNUMBER(Table442431[[#This Row],[Post Total]]),1,0)=2,IF(IF(Table442431[[#This Row],[Student Number]]=C44,1,0)+IF(Table442431[[#This Row],[Session]]=B44,1,0)+IF(Table442431[[#This Row],[Pre or Post]]="Post",1,0)+IF(D44="Pre",1,0)=4,Table442431[[#This Row],[Post Total]],""),"")</f>
        <v/>
      </c>
      <c r="N45" s="6" t="str">
        <f>IF(IF(ISNUMBER(J44),1,0)+IF(ISNUMBER(Table442431[[#This Row],[Post Total]]),1,0)=2,IF(IF(Table442431[[#This Row],[Student Number]]=C44,1,0)+IF(Table442431[[#This Row],[Session]]=B44,1,0)+IF(Table442431[[#This Row],[Pre or Post]]="Post",1,0)+IF(D44="Pre",1,0)=4,Table442431[[#This Row],[Post Total]]-J44,""),"")</f>
        <v/>
      </c>
      <c r="O45" s="6" t="b">
        <f>ISNUMBER(Table442431[[#This Row],[Change]])</f>
        <v>0</v>
      </c>
    </row>
    <row r="46" spans="1:15">
      <c r="A46" s="1" t="s">
        <v>24</v>
      </c>
      <c r="B46" s="1" t="s">
        <v>23</v>
      </c>
      <c r="C46" s="1">
        <v>13</v>
      </c>
      <c r="D46" s="1" t="s">
        <v>16</v>
      </c>
      <c r="E46" s="1">
        <v>3</v>
      </c>
      <c r="F46" s="1">
        <v>2</v>
      </c>
      <c r="G46" s="1" t="s">
        <v>8</v>
      </c>
      <c r="H46" s="5" t="str">
        <f>IF(IF(Table442431[[#This Row],[Pre or Post]]="Pre",1,0)+IF(ISNUMBER(Table442431[[#This Row],[Response]])=TRUE,1,0)=2,1,"")</f>
        <v/>
      </c>
      <c r="I46" s="5">
        <f>IF(IF(Table442431[[#This Row],[Pre or Post]]="Post",1,0)+IF(ISNUMBER(Table442431[[#This Row],[Response]])=TRUE,1,0)=2,1,"")</f>
        <v>1</v>
      </c>
      <c r="J46" s="5" t="str">
        <f>IF(IF(Table442431[[#This Row],[Pre or Post]]="Pre",1,0)+IF(ISNUMBER(Table442431[[#This Row],[Response]])=TRUE,1,0)=2,Table442431[[#This Row],[Response]],"")</f>
        <v/>
      </c>
      <c r="K46" s="5">
        <f>IF(IF(Table442431[[#This Row],[Pre or Post]]="Post",1,0)+IF(ISNUMBER(Table442431[[#This Row],[Response]])=TRUE,1,0)=2,Table442431[[#This Row],[Response]],"")</f>
        <v>2</v>
      </c>
      <c r="L46" s="5" t="str">
        <f>IF(IF(ISNUMBER(J46),1,0)+IF(ISNUMBER(K47),1,0)=2,IF(IF(C47=C46,1,0)+IF(B47=B46,1,0)+IF(D47="Post",1,0)+IF(D46="Pre",1,0)=4,Table442431[[#This Row],[Pre Total]],""),"")</f>
        <v/>
      </c>
      <c r="M46" s="5">
        <f>IF(IF(ISNUMBER(J45),1,0)+IF(ISNUMBER(Table442431[[#This Row],[Post Total]]),1,0)=2,IF(IF(Table442431[[#This Row],[Student Number]]=C45,1,0)+IF(Table442431[[#This Row],[Session]]=B45,1,0)+IF(Table442431[[#This Row],[Pre or Post]]="Post",1,0)+IF(D45="Pre",1,0)=4,Table442431[[#This Row],[Post Total]],""),"")</f>
        <v>2</v>
      </c>
      <c r="N46" s="5">
        <f>IF(IF(ISNUMBER(J45),1,0)+IF(ISNUMBER(Table442431[[#This Row],[Post Total]]),1,0)=2,IF(IF(Table442431[[#This Row],[Student Number]]=C45,1,0)+IF(Table442431[[#This Row],[Session]]=B45,1,0)+IF(Table442431[[#This Row],[Pre or Post]]="Post",1,0)+IF(D45="Pre",1,0)=4,Table442431[[#This Row],[Post Total]]-J45,""),"")</f>
        <v>0</v>
      </c>
      <c r="O46" s="5" t="b">
        <f>ISNUMBER(Table442431[[#This Row],[Change]])</f>
        <v>1</v>
      </c>
    </row>
    <row r="47" spans="1:15">
      <c r="A47" s="1" t="s">
        <v>24</v>
      </c>
      <c r="B47" s="1" t="s">
        <v>23</v>
      </c>
      <c r="C47" s="1">
        <v>14</v>
      </c>
      <c r="D47" s="1" t="s">
        <v>6</v>
      </c>
      <c r="E47" s="1">
        <v>10</v>
      </c>
      <c r="F47" s="1">
        <v>1</v>
      </c>
      <c r="G47" s="1" t="s">
        <v>8</v>
      </c>
      <c r="H47" s="6">
        <f>IF(IF(Table442431[[#This Row],[Pre or Post]]="Pre",1,0)+IF(ISNUMBER(Table442431[[#This Row],[Response]])=TRUE,1,0)=2,1,"")</f>
        <v>1</v>
      </c>
      <c r="I47" s="6" t="str">
        <f>IF(IF(Table442431[[#This Row],[Pre or Post]]="Post",1,0)+IF(ISNUMBER(Table442431[[#This Row],[Response]])=TRUE,1,0)=2,1,"")</f>
        <v/>
      </c>
      <c r="J47" s="6">
        <f>IF(IF(Table442431[[#This Row],[Pre or Post]]="Pre",1,0)+IF(ISNUMBER(Table442431[[#This Row],[Response]])=TRUE,1,0)=2,Table442431[[#This Row],[Response]],"")</f>
        <v>1</v>
      </c>
      <c r="K47" s="6" t="str">
        <f>IF(IF(Table442431[[#This Row],[Pre or Post]]="Post",1,0)+IF(ISNUMBER(Table442431[[#This Row],[Response]])=TRUE,1,0)=2,Table442431[[#This Row],[Response]],"")</f>
        <v/>
      </c>
      <c r="L47" s="6">
        <f>IF(IF(ISNUMBER(J47),1,0)+IF(ISNUMBER(K48),1,0)=2,IF(IF(C48=C47,1,0)+IF(B48=B47,1,0)+IF(D48="Post",1,0)+IF(D47="Pre",1,0)=4,Table442431[[#This Row],[Pre Total]],""),"")</f>
        <v>1</v>
      </c>
      <c r="M47" s="6" t="str">
        <f>IF(IF(ISNUMBER(J46),1,0)+IF(ISNUMBER(Table442431[[#This Row],[Post Total]]),1,0)=2,IF(IF(Table442431[[#This Row],[Student Number]]=C46,1,0)+IF(Table442431[[#This Row],[Session]]=B46,1,0)+IF(Table442431[[#This Row],[Pre or Post]]="Post",1,0)+IF(D46="Pre",1,0)=4,Table442431[[#This Row],[Post Total]],""),"")</f>
        <v/>
      </c>
      <c r="N47" s="6" t="str">
        <f>IF(IF(ISNUMBER(J46),1,0)+IF(ISNUMBER(Table442431[[#This Row],[Post Total]]),1,0)=2,IF(IF(Table442431[[#This Row],[Student Number]]=C46,1,0)+IF(Table442431[[#This Row],[Session]]=B46,1,0)+IF(Table442431[[#This Row],[Pre or Post]]="Post",1,0)+IF(D46="Pre",1,0)=4,Table442431[[#This Row],[Post Total]]-J46,""),"")</f>
        <v/>
      </c>
      <c r="O47" s="6" t="b">
        <f>ISNUMBER(Table442431[[#This Row],[Change]])</f>
        <v>0</v>
      </c>
    </row>
    <row r="48" spans="1:15">
      <c r="A48" s="1" t="s">
        <v>24</v>
      </c>
      <c r="B48" s="1" t="s">
        <v>23</v>
      </c>
      <c r="C48" s="1">
        <v>14</v>
      </c>
      <c r="D48" s="1" t="s">
        <v>16</v>
      </c>
      <c r="E48" s="1">
        <v>3</v>
      </c>
      <c r="F48" s="1">
        <v>4</v>
      </c>
      <c r="G48" s="1" t="s">
        <v>8</v>
      </c>
      <c r="H48" s="5" t="str">
        <f>IF(IF(Table442431[[#This Row],[Pre or Post]]="Pre",1,0)+IF(ISNUMBER(Table442431[[#This Row],[Response]])=TRUE,1,0)=2,1,"")</f>
        <v/>
      </c>
      <c r="I48" s="5">
        <f>IF(IF(Table442431[[#This Row],[Pre or Post]]="Post",1,0)+IF(ISNUMBER(Table442431[[#This Row],[Response]])=TRUE,1,0)=2,1,"")</f>
        <v>1</v>
      </c>
      <c r="J48" s="5" t="str">
        <f>IF(IF(Table442431[[#This Row],[Pre or Post]]="Pre",1,0)+IF(ISNUMBER(Table442431[[#This Row],[Response]])=TRUE,1,0)=2,Table442431[[#This Row],[Response]],"")</f>
        <v/>
      </c>
      <c r="K48" s="5">
        <f>IF(IF(Table442431[[#This Row],[Pre or Post]]="Post",1,0)+IF(ISNUMBER(Table442431[[#This Row],[Response]])=TRUE,1,0)=2,Table442431[[#This Row],[Response]],"")</f>
        <v>4</v>
      </c>
      <c r="L48" s="5" t="str">
        <f>IF(IF(ISNUMBER(J48),1,0)+IF(ISNUMBER(K49),1,0)=2,IF(IF(C49=C48,1,0)+IF(B49=B48,1,0)+IF(D49="Post",1,0)+IF(D48="Pre",1,0)=4,Table442431[[#This Row],[Pre Total]],""),"")</f>
        <v/>
      </c>
      <c r="M48" s="5">
        <f>IF(IF(ISNUMBER(J47),1,0)+IF(ISNUMBER(Table442431[[#This Row],[Post Total]]),1,0)=2,IF(IF(Table442431[[#This Row],[Student Number]]=C47,1,0)+IF(Table442431[[#This Row],[Session]]=B47,1,0)+IF(Table442431[[#This Row],[Pre or Post]]="Post",1,0)+IF(D47="Pre",1,0)=4,Table442431[[#This Row],[Post Total]],""),"")</f>
        <v>4</v>
      </c>
      <c r="N48" s="5">
        <f>IF(IF(ISNUMBER(J47),1,0)+IF(ISNUMBER(Table442431[[#This Row],[Post Total]]),1,0)=2,IF(IF(Table442431[[#This Row],[Student Number]]=C47,1,0)+IF(Table442431[[#This Row],[Session]]=B47,1,0)+IF(Table442431[[#This Row],[Pre or Post]]="Post",1,0)+IF(D47="Pre",1,0)=4,Table442431[[#This Row],[Post Total]]-J47,""),"")</f>
        <v>3</v>
      </c>
      <c r="O48" s="5" t="b">
        <f>ISNUMBER(Table442431[[#This Row],[Change]])</f>
        <v>1</v>
      </c>
    </row>
    <row r="49" spans="1:15">
      <c r="A49" s="1" t="s">
        <v>24</v>
      </c>
      <c r="B49" s="1" t="s">
        <v>23</v>
      </c>
      <c r="C49" s="1">
        <v>15</v>
      </c>
      <c r="D49" s="1" t="s">
        <v>6</v>
      </c>
      <c r="E49" s="1">
        <v>10</v>
      </c>
      <c r="F49" s="1">
        <v>2</v>
      </c>
      <c r="G49" s="1" t="s">
        <v>8</v>
      </c>
      <c r="H49" s="6">
        <f>IF(IF(Table442431[[#This Row],[Pre or Post]]="Pre",1,0)+IF(ISNUMBER(Table442431[[#This Row],[Response]])=TRUE,1,0)=2,1,"")</f>
        <v>1</v>
      </c>
      <c r="I49" s="6" t="str">
        <f>IF(IF(Table442431[[#This Row],[Pre or Post]]="Post",1,0)+IF(ISNUMBER(Table442431[[#This Row],[Response]])=TRUE,1,0)=2,1,"")</f>
        <v/>
      </c>
      <c r="J49" s="6">
        <f>IF(IF(Table442431[[#This Row],[Pre or Post]]="Pre",1,0)+IF(ISNUMBER(Table442431[[#This Row],[Response]])=TRUE,1,0)=2,Table442431[[#This Row],[Response]],"")</f>
        <v>2</v>
      </c>
      <c r="K49" s="6" t="str">
        <f>IF(IF(Table442431[[#This Row],[Pre or Post]]="Post",1,0)+IF(ISNUMBER(Table442431[[#This Row],[Response]])=TRUE,1,0)=2,Table442431[[#This Row],[Response]],"")</f>
        <v/>
      </c>
      <c r="L49" s="6">
        <f>IF(IF(ISNUMBER(J49),1,0)+IF(ISNUMBER(K50),1,0)=2,IF(IF(C50=C49,1,0)+IF(B50=B49,1,0)+IF(D50="Post",1,0)+IF(D49="Pre",1,0)=4,Table442431[[#This Row],[Pre Total]],""),"")</f>
        <v>2</v>
      </c>
      <c r="M49" s="6" t="str">
        <f>IF(IF(ISNUMBER(J48),1,0)+IF(ISNUMBER(Table442431[[#This Row],[Post Total]]),1,0)=2,IF(IF(Table442431[[#This Row],[Student Number]]=C48,1,0)+IF(Table442431[[#This Row],[Session]]=B48,1,0)+IF(Table442431[[#This Row],[Pre or Post]]="Post",1,0)+IF(D48="Pre",1,0)=4,Table442431[[#This Row],[Post Total]],""),"")</f>
        <v/>
      </c>
      <c r="N49" s="6" t="str">
        <f>IF(IF(ISNUMBER(J48),1,0)+IF(ISNUMBER(Table442431[[#This Row],[Post Total]]),1,0)=2,IF(IF(Table442431[[#This Row],[Student Number]]=C48,1,0)+IF(Table442431[[#This Row],[Session]]=B48,1,0)+IF(Table442431[[#This Row],[Pre or Post]]="Post",1,0)+IF(D48="Pre",1,0)=4,Table442431[[#This Row],[Post Total]]-J48,""),"")</f>
        <v/>
      </c>
      <c r="O49" s="6" t="b">
        <f>ISNUMBER(Table442431[[#This Row],[Change]])</f>
        <v>0</v>
      </c>
    </row>
    <row r="50" spans="1:15">
      <c r="A50" s="1" t="s">
        <v>24</v>
      </c>
      <c r="B50" s="1" t="s">
        <v>23</v>
      </c>
      <c r="C50" s="1">
        <v>15</v>
      </c>
      <c r="D50" s="1" t="s">
        <v>16</v>
      </c>
      <c r="E50" s="1">
        <v>3</v>
      </c>
      <c r="F50" s="1">
        <v>3</v>
      </c>
      <c r="G50" s="1" t="s">
        <v>8</v>
      </c>
      <c r="H50" s="5" t="str">
        <f>IF(IF(Table442431[[#This Row],[Pre or Post]]="Pre",1,0)+IF(ISNUMBER(Table442431[[#This Row],[Response]])=TRUE,1,0)=2,1,"")</f>
        <v/>
      </c>
      <c r="I50" s="5">
        <f>IF(IF(Table442431[[#This Row],[Pre or Post]]="Post",1,0)+IF(ISNUMBER(Table442431[[#This Row],[Response]])=TRUE,1,0)=2,1,"")</f>
        <v>1</v>
      </c>
      <c r="J50" s="5" t="str">
        <f>IF(IF(Table442431[[#This Row],[Pre or Post]]="Pre",1,0)+IF(ISNUMBER(Table442431[[#This Row],[Response]])=TRUE,1,0)=2,Table442431[[#This Row],[Response]],"")</f>
        <v/>
      </c>
      <c r="K50" s="5">
        <f>IF(IF(Table442431[[#This Row],[Pre or Post]]="Post",1,0)+IF(ISNUMBER(Table442431[[#This Row],[Response]])=TRUE,1,0)=2,Table442431[[#This Row],[Response]],"")</f>
        <v>3</v>
      </c>
      <c r="L50" s="5" t="str">
        <f>IF(IF(ISNUMBER(J50),1,0)+IF(ISNUMBER(K51),1,0)=2,IF(IF(C51=C50,1,0)+IF(B51=B50,1,0)+IF(D51="Post",1,0)+IF(D50="Pre",1,0)=4,Table442431[[#This Row],[Pre Total]],""),"")</f>
        <v/>
      </c>
      <c r="M50" s="5">
        <f>IF(IF(ISNUMBER(J49),1,0)+IF(ISNUMBER(Table442431[[#This Row],[Post Total]]),1,0)=2,IF(IF(Table442431[[#This Row],[Student Number]]=C49,1,0)+IF(Table442431[[#This Row],[Session]]=B49,1,0)+IF(Table442431[[#This Row],[Pre or Post]]="Post",1,0)+IF(D49="Pre",1,0)=4,Table442431[[#This Row],[Post Total]],""),"")</f>
        <v>3</v>
      </c>
      <c r="N50" s="5">
        <f>IF(IF(ISNUMBER(J49),1,0)+IF(ISNUMBER(Table442431[[#This Row],[Post Total]]),1,0)=2,IF(IF(Table442431[[#This Row],[Student Number]]=C49,1,0)+IF(Table442431[[#This Row],[Session]]=B49,1,0)+IF(Table442431[[#This Row],[Pre or Post]]="Post",1,0)+IF(D49="Pre",1,0)=4,Table442431[[#This Row],[Post Total]]-J49,""),"")</f>
        <v>1</v>
      </c>
      <c r="O50" s="5" t="b">
        <f>ISNUMBER(Table442431[[#This Row],[Change]])</f>
        <v>1</v>
      </c>
    </row>
    <row r="51" spans="1:15">
      <c r="A51" s="1" t="s">
        <v>24</v>
      </c>
      <c r="B51" s="1" t="s">
        <v>23</v>
      </c>
      <c r="C51" s="1">
        <v>16</v>
      </c>
      <c r="D51" s="1" t="s">
        <v>6</v>
      </c>
      <c r="E51" s="1">
        <v>10</v>
      </c>
      <c r="F51" s="1">
        <v>2</v>
      </c>
      <c r="G51" s="1" t="s">
        <v>8</v>
      </c>
      <c r="H51" s="6">
        <f>IF(IF(Table442431[[#This Row],[Pre or Post]]="Pre",1,0)+IF(ISNUMBER(Table442431[[#This Row],[Response]])=TRUE,1,0)=2,1,"")</f>
        <v>1</v>
      </c>
      <c r="I51" s="6" t="str">
        <f>IF(IF(Table442431[[#This Row],[Pre or Post]]="Post",1,0)+IF(ISNUMBER(Table442431[[#This Row],[Response]])=TRUE,1,0)=2,1,"")</f>
        <v/>
      </c>
      <c r="J51" s="6">
        <f>IF(IF(Table442431[[#This Row],[Pre or Post]]="Pre",1,0)+IF(ISNUMBER(Table442431[[#This Row],[Response]])=TRUE,1,0)=2,Table442431[[#This Row],[Response]],"")</f>
        <v>2</v>
      </c>
      <c r="K51" s="6" t="str">
        <f>IF(IF(Table442431[[#This Row],[Pre or Post]]="Post",1,0)+IF(ISNUMBER(Table442431[[#This Row],[Response]])=TRUE,1,0)=2,Table442431[[#This Row],[Response]],"")</f>
        <v/>
      </c>
      <c r="L51" s="6">
        <f>IF(IF(ISNUMBER(J51),1,0)+IF(ISNUMBER(K52),1,0)=2,IF(IF(C52=C51,1,0)+IF(B52=B51,1,0)+IF(D52="Post",1,0)+IF(D51="Pre",1,0)=4,Table442431[[#This Row],[Pre Total]],""),"")</f>
        <v>2</v>
      </c>
      <c r="M51" s="6" t="str">
        <f>IF(IF(ISNUMBER(J50),1,0)+IF(ISNUMBER(Table442431[[#This Row],[Post Total]]),1,0)=2,IF(IF(Table442431[[#This Row],[Student Number]]=C50,1,0)+IF(Table442431[[#This Row],[Session]]=B50,1,0)+IF(Table442431[[#This Row],[Pre or Post]]="Post",1,0)+IF(D50="Pre",1,0)=4,Table442431[[#This Row],[Post Total]],""),"")</f>
        <v/>
      </c>
      <c r="N51" s="6" t="str">
        <f>IF(IF(ISNUMBER(J50),1,0)+IF(ISNUMBER(Table442431[[#This Row],[Post Total]]),1,0)=2,IF(IF(Table442431[[#This Row],[Student Number]]=C50,1,0)+IF(Table442431[[#This Row],[Session]]=B50,1,0)+IF(Table442431[[#This Row],[Pre or Post]]="Post",1,0)+IF(D50="Pre",1,0)=4,Table442431[[#This Row],[Post Total]]-J50,""),"")</f>
        <v/>
      </c>
      <c r="O51" s="6" t="b">
        <f>ISNUMBER(Table442431[[#This Row],[Change]])</f>
        <v>0</v>
      </c>
    </row>
    <row r="52" spans="1:15">
      <c r="A52" s="1" t="s">
        <v>24</v>
      </c>
      <c r="B52" s="1" t="s">
        <v>23</v>
      </c>
      <c r="C52" s="1">
        <v>16</v>
      </c>
      <c r="D52" s="1" t="s">
        <v>16</v>
      </c>
      <c r="E52" s="1">
        <v>3</v>
      </c>
      <c r="F52" s="1">
        <v>3</v>
      </c>
      <c r="G52" s="1" t="s">
        <v>8</v>
      </c>
      <c r="H52" s="5" t="str">
        <f>IF(IF(Table442431[[#This Row],[Pre or Post]]="Pre",1,0)+IF(ISNUMBER(Table442431[[#This Row],[Response]])=TRUE,1,0)=2,1,"")</f>
        <v/>
      </c>
      <c r="I52" s="5">
        <f>IF(IF(Table442431[[#This Row],[Pre or Post]]="Post",1,0)+IF(ISNUMBER(Table442431[[#This Row],[Response]])=TRUE,1,0)=2,1,"")</f>
        <v>1</v>
      </c>
      <c r="J52" s="5" t="str">
        <f>IF(IF(Table442431[[#This Row],[Pre or Post]]="Pre",1,0)+IF(ISNUMBER(Table442431[[#This Row],[Response]])=TRUE,1,0)=2,Table442431[[#This Row],[Response]],"")</f>
        <v/>
      </c>
      <c r="K52" s="5">
        <f>IF(IF(Table442431[[#This Row],[Pre or Post]]="Post",1,0)+IF(ISNUMBER(Table442431[[#This Row],[Response]])=TRUE,1,0)=2,Table442431[[#This Row],[Response]],"")</f>
        <v>3</v>
      </c>
      <c r="L52" s="5" t="str">
        <f>IF(IF(ISNUMBER(J52),1,0)+IF(ISNUMBER(K53),1,0)=2,IF(IF(C53=C52,1,0)+IF(B53=B52,1,0)+IF(D53="Post",1,0)+IF(D52="Pre",1,0)=4,Table442431[[#This Row],[Pre Total]],""),"")</f>
        <v/>
      </c>
      <c r="M52" s="5">
        <f>IF(IF(ISNUMBER(J51),1,0)+IF(ISNUMBER(Table442431[[#This Row],[Post Total]]),1,0)=2,IF(IF(Table442431[[#This Row],[Student Number]]=C51,1,0)+IF(Table442431[[#This Row],[Session]]=B51,1,0)+IF(Table442431[[#This Row],[Pre or Post]]="Post",1,0)+IF(D51="Pre",1,0)=4,Table442431[[#This Row],[Post Total]],""),"")</f>
        <v>3</v>
      </c>
      <c r="N52" s="5">
        <f>IF(IF(ISNUMBER(J51),1,0)+IF(ISNUMBER(Table442431[[#This Row],[Post Total]]),1,0)=2,IF(IF(Table442431[[#This Row],[Student Number]]=C51,1,0)+IF(Table442431[[#This Row],[Session]]=B51,1,0)+IF(Table442431[[#This Row],[Pre or Post]]="Post",1,0)+IF(D51="Pre",1,0)=4,Table442431[[#This Row],[Post Total]]-J51,""),"")</f>
        <v>1</v>
      </c>
      <c r="O52" s="5" t="b">
        <f>ISNUMBER(Table442431[[#This Row],[Change]])</f>
        <v>1</v>
      </c>
    </row>
    <row r="53" spans="1:15">
      <c r="A53" s="1" t="s">
        <v>24</v>
      </c>
      <c r="B53" s="1" t="s">
        <v>25</v>
      </c>
      <c r="C53" s="1">
        <v>1</v>
      </c>
      <c r="D53" s="1" t="s">
        <v>6</v>
      </c>
      <c r="E53" s="1">
        <v>10</v>
      </c>
      <c r="F53" s="1">
        <v>4</v>
      </c>
      <c r="G53" s="1" t="s">
        <v>8</v>
      </c>
      <c r="H53" s="6">
        <f>IF(IF(Table442431[[#This Row],[Pre or Post]]="Pre",1,0)+IF(ISNUMBER(Table442431[[#This Row],[Response]])=TRUE,1,0)=2,1,"")</f>
        <v>1</v>
      </c>
      <c r="I53" s="6" t="str">
        <f>IF(IF(Table442431[[#This Row],[Pre or Post]]="Post",1,0)+IF(ISNUMBER(Table442431[[#This Row],[Response]])=TRUE,1,0)=2,1,"")</f>
        <v/>
      </c>
      <c r="J53" s="6">
        <f>IF(IF(Table442431[[#This Row],[Pre or Post]]="Pre",1,0)+IF(ISNUMBER(Table442431[[#This Row],[Response]])=TRUE,1,0)=2,Table442431[[#This Row],[Response]],"")</f>
        <v>4</v>
      </c>
      <c r="K53" s="6" t="str">
        <f>IF(IF(Table442431[[#This Row],[Pre or Post]]="Post",1,0)+IF(ISNUMBER(Table442431[[#This Row],[Response]])=TRUE,1,0)=2,Table442431[[#This Row],[Response]],"")</f>
        <v/>
      </c>
      <c r="L53" s="6">
        <f>IF(IF(ISNUMBER(J53),1,0)+IF(ISNUMBER(K54),1,0)=2,IF(IF(C54=C53,1,0)+IF(B54=B53,1,0)+IF(D54="Post",1,0)+IF(D53="Pre",1,0)=4,Table442431[[#This Row],[Pre Total]],""),"")</f>
        <v>4</v>
      </c>
      <c r="M53" s="6" t="str">
        <f>IF(IF(ISNUMBER(J52),1,0)+IF(ISNUMBER(Table442431[[#This Row],[Post Total]]),1,0)=2,IF(IF(Table442431[[#This Row],[Student Number]]=C52,1,0)+IF(Table442431[[#This Row],[Session]]=B52,1,0)+IF(Table442431[[#This Row],[Pre or Post]]="Post",1,0)+IF(D52="Pre",1,0)=4,Table442431[[#This Row],[Post Total]],""),"")</f>
        <v/>
      </c>
      <c r="N53" s="6" t="str">
        <f>IF(IF(ISNUMBER(J52),1,0)+IF(ISNUMBER(Table442431[[#This Row],[Post Total]]),1,0)=2,IF(IF(Table442431[[#This Row],[Student Number]]=C52,1,0)+IF(Table442431[[#This Row],[Session]]=B52,1,0)+IF(Table442431[[#This Row],[Pre or Post]]="Post",1,0)+IF(D52="Pre",1,0)=4,Table442431[[#This Row],[Post Total]]-J52,""),"")</f>
        <v/>
      </c>
      <c r="O53" s="6" t="b">
        <f>ISNUMBER(Table442431[[#This Row],[Change]])</f>
        <v>0</v>
      </c>
    </row>
    <row r="54" spans="1:15">
      <c r="A54" s="1" t="s">
        <v>24</v>
      </c>
      <c r="B54" s="1" t="s">
        <v>25</v>
      </c>
      <c r="C54" s="1">
        <v>1</v>
      </c>
      <c r="D54" s="1" t="s">
        <v>16</v>
      </c>
      <c r="E54" s="1">
        <v>3</v>
      </c>
      <c r="F54" s="1">
        <v>4</v>
      </c>
      <c r="G54" s="2" t="s">
        <v>8</v>
      </c>
      <c r="H54" s="5" t="str">
        <f>IF(IF(Table442431[[#This Row],[Pre or Post]]="Pre",1,0)+IF(ISNUMBER(Table442431[[#This Row],[Response]])=TRUE,1,0)=2,1,"")</f>
        <v/>
      </c>
      <c r="I54" s="5">
        <f>IF(IF(Table442431[[#This Row],[Pre or Post]]="Post",1,0)+IF(ISNUMBER(Table442431[[#This Row],[Response]])=TRUE,1,0)=2,1,"")</f>
        <v>1</v>
      </c>
      <c r="J54" s="5" t="str">
        <f>IF(IF(Table442431[[#This Row],[Pre or Post]]="Pre",1,0)+IF(ISNUMBER(Table442431[[#This Row],[Response]])=TRUE,1,0)=2,Table442431[[#This Row],[Response]],"")</f>
        <v/>
      </c>
      <c r="K54" s="5">
        <f>IF(IF(Table442431[[#This Row],[Pre or Post]]="Post",1,0)+IF(ISNUMBER(Table442431[[#This Row],[Response]])=TRUE,1,0)=2,Table442431[[#This Row],[Response]],"")</f>
        <v>4</v>
      </c>
      <c r="L54" s="5" t="str">
        <f>IF(IF(ISNUMBER(J54),1,0)+IF(ISNUMBER(K55),1,0)=2,IF(IF(C55=C54,1,0)+IF(B55=B54,1,0)+IF(D55="Post",1,0)+IF(D54="Pre",1,0)=4,Table442431[[#This Row],[Pre Total]],""),"")</f>
        <v/>
      </c>
      <c r="M54" s="5">
        <f>IF(IF(ISNUMBER(J53),1,0)+IF(ISNUMBER(Table442431[[#This Row],[Post Total]]),1,0)=2,IF(IF(Table442431[[#This Row],[Student Number]]=C53,1,0)+IF(Table442431[[#This Row],[Session]]=B53,1,0)+IF(Table442431[[#This Row],[Pre or Post]]="Post",1,0)+IF(D53="Pre",1,0)=4,Table442431[[#This Row],[Post Total]],""),"")</f>
        <v>4</v>
      </c>
      <c r="N54" s="5">
        <f>IF(IF(ISNUMBER(J53),1,0)+IF(ISNUMBER(Table442431[[#This Row],[Post Total]]),1,0)=2,IF(IF(Table442431[[#This Row],[Student Number]]=C53,1,0)+IF(Table442431[[#This Row],[Session]]=B53,1,0)+IF(Table442431[[#This Row],[Pre or Post]]="Post",1,0)+IF(D53="Pre",1,0)=4,Table442431[[#This Row],[Post Total]]-J53,""),"")</f>
        <v>0</v>
      </c>
      <c r="O54" s="5" t="b">
        <f>ISNUMBER(Table442431[[#This Row],[Change]])</f>
        <v>1</v>
      </c>
    </row>
    <row r="55" spans="1:15">
      <c r="A55" s="1" t="s">
        <v>24</v>
      </c>
      <c r="B55" s="1" t="s">
        <v>25</v>
      </c>
      <c r="C55" s="1">
        <v>2</v>
      </c>
      <c r="D55" s="1" t="s">
        <v>6</v>
      </c>
      <c r="E55" s="1">
        <v>10</v>
      </c>
      <c r="F55" s="1">
        <v>2</v>
      </c>
      <c r="G55" s="1" t="s">
        <v>8</v>
      </c>
      <c r="H55" s="6">
        <f>IF(IF(Table442431[[#This Row],[Pre or Post]]="Pre",1,0)+IF(ISNUMBER(Table442431[[#This Row],[Response]])=TRUE,1,0)=2,1,"")</f>
        <v>1</v>
      </c>
      <c r="I55" s="6" t="str">
        <f>IF(IF(Table442431[[#This Row],[Pre or Post]]="Post",1,0)+IF(ISNUMBER(Table442431[[#This Row],[Response]])=TRUE,1,0)=2,1,"")</f>
        <v/>
      </c>
      <c r="J55" s="6">
        <f>IF(IF(Table442431[[#This Row],[Pre or Post]]="Pre",1,0)+IF(ISNUMBER(Table442431[[#This Row],[Response]])=TRUE,1,0)=2,Table442431[[#This Row],[Response]],"")</f>
        <v>2</v>
      </c>
      <c r="K55" s="6" t="str">
        <f>IF(IF(Table442431[[#This Row],[Pre or Post]]="Post",1,0)+IF(ISNUMBER(Table442431[[#This Row],[Response]])=TRUE,1,0)=2,Table442431[[#This Row],[Response]],"")</f>
        <v/>
      </c>
      <c r="L55" s="6">
        <f>IF(IF(ISNUMBER(J55),1,0)+IF(ISNUMBER(K56),1,0)=2,IF(IF(C56=C55,1,0)+IF(B56=B55,1,0)+IF(D56="Post",1,0)+IF(D55="Pre",1,0)=4,Table442431[[#This Row],[Pre Total]],""),"")</f>
        <v>2</v>
      </c>
      <c r="M55" s="6" t="str">
        <f>IF(IF(ISNUMBER(J54),1,0)+IF(ISNUMBER(Table442431[[#This Row],[Post Total]]),1,0)=2,IF(IF(Table442431[[#This Row],[Student Number]]=C54,1,0)+IF(Table442431[[#This Row],[Session]]=B54,1,0)+IF(Table442431[[#This Row],[Pre or Post]]="Post",1,0)+IF(D54="Pre",1,0)=4,Table442431[[#This Row],[Post Total]],""),"")</f>
        <v/>
      </c>
      <c r="N55" s="6" t="str">
        <f>IF(IF(ISNUMBER(J54),1,0)+IF(ISNUMBER(Table442431[[#This Row],[Post Total]]),1,0)=2,IF(IF(Table442431[[#This Row],[Student Number]]=C54,1,0)+IF(Table442431[[#This Row],[Session]]=B54,1,0)+IF(Table442431[[#This Row],[Pre or Post]]="Post",1,0)+IF(D54="Pre",1,0)=4,Table442431[[#This Row],[Post Total]]-J54,""),"")</f>
        <v/>
      </c>
      <c r="O55" s="6" t="b">
        <f>ISNUMBER(Table442431[[#This Row],[Change]])</f>
        <v>0</v>
      </c>
    </row>
    <row r="56" spans="1:15">
      <c r="A56" s="1" t="s">
        <v>24</v>
      </c>
      <c r="B56" s="1" t="s">
        <v>25</v>
      </c>
      <c r="C56" s="1">
        <v>2</v>
      </c>
      <c r="D56" s="1" t="s">
        <v>16</v>
      </c>
      <c r="E56" s="1">
        <v>3</v>
      </c>
      <c r="F56" s="1">
        <v>4</v>
      </c>
      <c r="G56" s="2" t="s">
        <v>8</v>
      </c>
      <c r="H56" s="5" t="str">
        <f>IF(IF(Table442431[[#This Row],[Pre or Post]]="Pre",1,0)+IF(ISNUMBER(Table442431[[#This Row],[Response]])=TRUE,1,0)=2,1,"")</f>
        <v/>
      </c>
      <c r="I56" s="5">
        <f>IF(IF(Table442431[[#This Row],[Pre or Post]]="Post",1,0)+IF(ISNUMBER(Table442431[[#This Row],[Response]])=TRUE,1,0)=2,1,"")</f>
        <v>1</v>
      </c>
      <c r="J56" s="5" t="str">
        <f>IF(IF(Table442431[[#This Row],[Pre or Post]]="Pre",1,0)+IF(ISNUMBER(Table442431[[#This Row],[Response]])=TRUE,1,0)=2,Table442431[[#This Row],[Response]],"")</f>
        <v/>
      </c>
      <c r="K56" s="5">
        <f>IF(IF(Table442431[[#This Row],[Pre or Post]]="Post",1,0)+IF(ISNUMBER(Table442431[[#This Row],[Response]])=TRUE,1,0)=2,Table442431[[#This Row],[Response]],"")</f>
        <v>4</v>
      </c>
      <c r="L56" s="5" t="str">
        <f>IF(IF(ISNUMBER(J56),1,0)+IF(ISNUMBER(K57),1,0)=2,IF(IF(C57=C56,1,0)+IF(B57=B56,1,0)+IF(D57="Post",1,0)+IF(D56="Pre",1,0)=4,Table442431[[#This Row],[Pre Total]],""),"")</f>
        <v/>
      </c>
      <c r="M56" s="5">
        <f>IF(IF(ISNUMBER(J55),1,0)+IF(ISNUMBER(Table442431[[#This Row],[Post Total]]),1,0)=2,IF(IF(Table442431[[#This Row],[Student Number]]=C55,1,0)+IF(Table442431[[#This Row],[Session]]=B55,1,0)+IF(Table442431[[#This Row],[Pre or Post]]="Post",1,0)+IF(D55="Pre",1,0)=4,Table442431[[#This Row],[Post Total]],""),"")</f>
        <v>4</v>
      </c>
      <c r="N56" s="5">
        <f>IF(IF(ISNUMBER(J55),1,0)+IF(ISNUMBER(Table442431[[#This Row],[Post Total]]),1,0)=2,IF(IF(Table442431[[#This Row],[Student Number]]=C55,1,0)+IF(Table442431[[#This Row],[Session]]=B55,1,0)+IF(Table442431[[#This Row],[Pre or Post]]="Post",1,0)+IF(D55="Pre",1,0)=4,Table442431[[#This Row],[Post Total]]-J55,""),"")</f>
        <v>2</v>
      </c>
      <c r="O56" s="5" t="b">
        <f>ISNUMBER(Table442431[[#This Row],[Change]])</f>
        <v>1</v>
      </c>
    </row>
    <row r="57" spans="1:15">
      <c r="A57" s="1" t="s">
        <v>24</v>
      </c>
      <c r="B57" s="1" t="s">
        <v>25</v>
      </c>
      <c r="C57" s="1">
        <v>3</v>
      </c>
      <c r="D57" s="1" t="s">
        <v>6</v>
      </c>
      <c r="E57" s="1">
        <v>10</v>
      </c>
      <c r="F57" s="1">
        <v>3</v>
      </c>
      <c r="G57" s="1" t="s">
        <v>8</v>
      </c>
      <c r="H57" s="6">
        <f>IF(IF(Table442431[[#This Row],[Pre or Post]]="Pre",1,0)+IF(ISNUMBER(Table442431[[#This Row],[Response]])=TRUE,1,0)=2,1,"")</f>
        <v>1</v>
      </c>
      <c r="I57" s="6" t="str">
        <f>IF(IF(Table442431[[#This Row],[Pre or Post]]="Post",1,0)+IF(ISNUMBER(Table442431[[#This Row],[Response]])=TRUE,1,0)=2,1,"")</f>
        <v/>
      </c>
      <c r="J57" s="6">
        <f>IF(IF(Table442431[[#This Row],[Pre or Post]]="Pre",1,0)+IF(ISNUMBER(Table442431[[#This Row],[Response]])=TRUE,1,0)=2,Table442431[[#This Row],[Response]],"")</f>
        <v>3</v>
      </c>
      <c r="K57" s="6" t="str">
        <f>IF(IF(Table442431[[#This Row],[Pre or Post]]="Post",1,0)+IF(ISNUMBER(Table442431[[#This Row],[Response]])=TRUE,1,0)=2,Table442431[[#This Row],[Response]],"")</f>
        <v/>
      </c>
      <c r="L57" s="6">
        <f>IF(IF(ISNUMBER(J57),1,0)+IF(ISNUMBER(K58),1,0)=2,IF(IF(C58=C57,1,0)+IF(B58=B57,1,0)+IF(D58="Post",1,0)+IF(D57="Pre",1,0)=4,Table442431[[#This Row],[Pre Total]],""),"")</f>
        <v>3</v>
      </c>
      <c r="M57" s="6" t="str">
        <f>IF(IF(ISNUMBER(J56),1,0)+IF(ISNUMBER(Table442431[[#This Row],[Post Total]]),1,0)=2,IF(IF(Table442431[[#This Row],[Student Number]]=C56,1,0)+IF(Table442431[[#This Row],[Session]]=B56,1,0)+IF(Table442431[[#This Row],[Pre or Post]]="Post",1,0)+IF(D56="Pre",1,0)=4,Table442431[[#This Row],[Post Total]],""),"")</f>
        <v/>
      </c>
      <c r="N57" s="6" t="str">
        <f>IF(IF(ISNUMBER(J56),1,0)+IF(ISNUMBER(Table442431[[#This Row],[Post Total]]),1,0)=2,IF(IF(Table442431[[#This Row],[Student Number]]=C56,1,0)+IF(Table442431[[#This Row],[Session]]=B56,1,0)+IF(Table442431[[#This Row],[Pre or Post]]="Post",1,0)+IF(D56="Pre",1,0)=4,Table442431[[#This Row],[Post Total]]-J56,""),"")</f>
        <v/>
      </c>
      <c r="O57" s="6" t="b">
        <f>ISNUMBER(Table442431[[#This Row],[Change]])</f>
        <v>0</v>
      </c>
    </row>
    <row r="58" spans="1:15">
      <c r="A58" s="1" t="s">
        <v>24</v>
      </c>
      <c r="B58" s="1" t="s">
        <v>25</v>
      </c>
      <c r="C58" s="1">
        <v>3</v>
      </c>
      <c r="D58" s="1" t="s">
        <v>16</v>
      </c>
      <c r="E58" s="1">
        <v>3</v>
      </c>
      <c r="F58" s="1">
        <v>3</v>
      </c>
      <c r="G58" s="2" t="s">
        <v>8</v>
      </c>
      <c r="H58" s="5" t="str">
        <f>IF(IF(Table442431[[#This Row],[Pre or Post]]="Pre",1,0)+IF(ISNUMBER(Table442431[[#This Row],[Response]])=TRUE,1,0)=2,1,"")</f>
        <v/>
      </c>
      <c r="I58" s="5">
        <f>IF(IF(Table442431[[#This Row],[Pre or Post]]="Post",1,0)+IF(ISNUMBER(Table442431[[#This Row],[Response]])=TRUE,1,0)=2,1,"")</f>
        <v>1</v>
      </c>
      <c r="J58" s="5" t="str">
        <f>IF(IF(Table442431[[#This Row],[Pre or Post]]="Pre",1,0)+IF(ISNUMBER(Table442431[[#This Row],[Response]])=TRUE,1,0)=2,Table442431[[#This Row],[Response]],"")</f>
        <v/>
      </c>
      <c r="K58" s="5">
        <f>IF(IF(Table442431[[#This Row],[Pre or Post]]="Post",1,0)+IF(ISNUMBER(Table442431[[#This Row],[Response]])=TRUE,1,0)=2,Table442431[[#This Row],[Response]],"")</f>
        <v>3</v>
      </c>
      <c r="L58" s="5" t="str">
        <f>IF(IF(ISNUMBER(J58),1,0)+IF(ISNUMBER(K59),1,0)=2,IF(IF(C59=C58,1,0)+IF(B59=B58,1,0)+IF(D59="Post",1,0)+IF(D58="Pre",1,0)=4,Table442431[[#This Row],[Pre Total]],""),"")</f>
        <v/>
      </c>
      <c r="M58" s="5">
        <f>IF(IF(ISNUMBER(J57),1,0)+IF(ISNUMBER(Table442431[[#This Row],[Post Total]]),1,0)=2,IF(IF(Table442431[[#This Row],[Student Number]]=C57,1,0)+IF(Table442431[[#This Row],[Session]]=B57,1,0)+IF(Table442431[[#This Row],[Pre or Post]]="Post",1,0)+IF(D57="Pre",1,0)=4,Table442431[[#This Row],[Post Total]],""),"")</f>
        <v>3</v>
      </c>
      <c r="N58" s="5">
        <f>IF(IF(ISNUMBER(J57),1,0)+IF(ISNUMBER(Table442431[[#This Row],[Post Total]]),1,0)=2,IF(IF(Table442431[[#This Row],[Student Number]]=C57,1,0)+IF(Table442431[[#This Row],[Session]]=B57,1,0)+IF(Table442431[[#This Row],[Pre or Post]]="Post",1,0)+IF(D57="Pre",1,0)=4,Table442431[[#This Row],[Post Total]]-J57,""),"")</f>
        <v>0</v>
      </c>
      <c r="O58" s="5" t="b">
        <f>ISNUMBER(Table442431[[#This Row],[Change]])</f>
        <v>1</v>
      </c>
    </row>
    <row r="59" spans="1:15">
      <c r="A59" s="1" t="s">
        <v>24</v>
      </c>
      <c r="B59" s="1" t="s">
        <v>25</v>
      </c>
      <c r="C59" s="1">
        <v>4</v>
      </c>
      <c r="D59" s="1" t="s">
        <v>6</v>
      </c>
      <c r="E59" s="1">
        <v>10</v>
      </c>
      <c r="F59" s="1">
        <v>2</v>
      </c>
      <c r="G59" s="1" t="s">
        <v>8</v>
      </c>
      <c r="H59" s="5">
        <f>IF(IF(Table442431[[#This Row],[Pre or Post]]="Pre",1,0)+IF(ISNUMBER(Table442431[[#This Row],[Response]])=TRUE,1,0)=2,1,"")</f>
        <v>1</v>
      </c>
      <c r="I59" s="5" t="str">
        <f>IF(IF(Table442431[[#This Row],[Pre or Post]]="Post",1,0)+IF(ISNUMBER(Table442431[[#This Row],[Response]])=TRUE,1,0)=2,1,"")</f>
        <v/>
      </c>
      <c r="J59" s="5">
        <f>IF(IF(Table442431[[#This Row],[Pre or Post]]="Pre",1,0)+IF(ISNUMBER(Table442431[[#This Row],[Response]])=TRUE,1,0)=2,Table442431[[#This Row],[Response]],"")</f>
        <v>2</v>
      </c>
      <c r="K59" s="5" t="str">
        <f>IF(IF(Table442431[[#This Row],[Pre or Post]]="Post",1,0)+IF(ISNUMBER(Table442431[[#This Row],[Response]])=TRUE,1,0)=2,Table442431[[#This Row],[Response]],"")</f>
        <v/>
      </c>
      <c r="L59" s="5">
        <f>IF(IF(ISNUMBER(J59),1,0)+IF(ISNUMBER(K60),1,0)=2,IF(IF(C60=C59,1,0)+IF(B60=B59,1,0)+IF(D60="Post",1,0)+IF(D59="Pre",1,0)=4,Table442431[[#This Row],[Pre Total]],""),"")</f>
        <v>2</v>
      </c>
      <c r="M59" s="5" t="str">
        <f>IF(IF(ISNUMBER(J58),1,0)+IF(ISNUMBER(Table442431[[#This Row],[Post Total]]),1,0)=2,IF(IF(Table442431[[#This Row],[Student Number]]=C58,1,0)+IF(Table442431[[#This Row],[Session]]=B58,1,0)+IF(Table442431[[#This Row],[Pre or Post]]="Post",1,0)+IF(D58="Pre",1,0)=4,Table442431[[#This Row],[Post Total]],""),"")</f>
        <v/>
      </c>
      <c r="N59" s="5" t="str">
        <f>IF(IF(ISNUMBER(J58),1,0)+IF(ISNUMBER(Table442431[[#This Row],[Post Total]]),1,0)=2,IF(IF(Table442431[[#This Row],[Student Number]]=C58,1,0)+IF(Table442431[[#This Row],[Session]]=B58,1,0)+IF(Table442431[[#This Row],[Pre or Post]]="Post",1,0)+IF(D58="Pre",1,0)=4,Table442431[[#This Row],[Post Total]]-J58,""),"")</f>
        <v/>
      </c>
      <c r="O59" s="5" t="b">
        <f>ISNUMBER(Table442431[[#This Row],[Change]])</f>
        <v>0</v>
      </c>
    </row>
    <row r="60" spans="1:15">
      <c r="A60" s="1" t="s">
        <v>24</v>
      </c>
      <c r="B60" s="1" t="s">
        <v>25</v>
      </c>
      <c r="C60" s="1">
        <v>4</v>
      </c>
      <c r="D60" s="1" t="s">
        <v>16</v>
      </c>
      <c r="E60" s="1">
        <v>3</v>
      </c>
      <c r="F60" s="1">
        <v>3</v>
      </c>
      <c r="G60" s="2" t="s">
        <v>8</v>
      </c>
      <c r="H60" s="5" t="str">
        <f>IF(IF(Table442431[[#This Row],[Pre or Post]]="Pre",1,0)+IF(ISNUMBER(Table442431[[#This Row],[Response]])=TRUE,1,0)=2,1,"")</f>
        <v/>
      </c>
      <c r="I60" s="5">
        <f>IF(IF(Table442431[[#This Row],[Pre or Post]]="Post",1,0)+IF(ISNUMBER(Table442431[[#This Row],[Response]])=TRUE,1,0)=2,1,"")</f>
        <v>1</v>
      </c>
      <c r="J60" s="5" t="str">
        <f>IF(IF(Table442431[[#This Row],[Pre or Post]]="Pre",1,0)+IF(ISNUMBER(Table442431[[#This Row],[Response]])=TRUE,1,0)=2,Table442431[[#This Row],[Response]],"")</f>
        <v/>
      </c>
      <c r="K60" s="5">
        <f>IF(IF(Table442431[[#This Row],[Pre or Post]]="Post",1,0)+IF(ISNUMBER(Table442431[[#This Row],[Response]])=TRUE,1,0)=2,Table442431[[#This Row],[Response]],"")</f>
        <v>3</v>
      </c>
      <c r="L60" s="5" t="str">
        <f>IF(IF(ISNUMBER(J60),1,0)+IF(ISNUMBER(K61),1,0)=2,IF(IF(C61=C60,1,0)+IF(B61=B60,1,0)+IF(D61="Post",1,0)+IF(D60="Pre",1,0)=4,Table442431[[#This Row],[Pre Total]],""),"")</f>
        <v/>
      </c>
      <c r="M60" s="5">
        <f>IF(IF(ISNUMBER(J59),1,0)+IF(ISNUMBER(Table442431[[#This Row],[Post Total]]),1,0)=2,IF(IF(Table442431[[#This Row],[Student Number]]=C59,1,0)+IF(Table442431[[#This Row],[Session]]=B59,1,0)+IF(Table442431[[#This Row],[Pre or Post]]="Post",1,0)+IF(D59="Pre",1,0)=4,Table442431[[#This Row],[Post Total]],""),"")</f>
        <v>3</v>
      </c>
      <c r="N60" s="5">
        <f>IF(IF(ISNUMBER(J59),1,0)+IF(ISNUMBER(Table442431[[#This Row],[Post Total]]),1,0)=2,IF(IF(Table442431[[#This Row],[Student Number]]=C59,1,0)+IF(Table442431[[#This Row],[Session]]=B59,1,0)+IF(Table442431[[#This Row],[Pre or Post]]="Post",1,0)+IF(D59="Pre",1,0)=4,Table442431[[#This Row],[Post Total]]-J59,""),"")</f>
        <v>1</v>
      </c>
      <c r="O60" s="5" t="b">
        <f>ISNUMBER(Table442431[[#This Row],[Change]])</f>
        <v>1</v>
      </c>
    </row>
    <row r="61" spans="1:15">
      <c r="A61" s="1" t="s">
        <v>24</v>
      </c>
      <c r="B61" s="1" t="s">
        <v>25</v>
      </c>
      <c r="C61" s="1">
        <v>5</v>
      </c>
      <c r="D61" s="1" t="s">
        <v>6</v>
      </c>
      <c r="E61" s="1">
        <v>10</v>
      </c>
      <c r="F61" s="1">
        <v>2</v>
      </c>
      <c r="G61" s="1" t="s">
        <v>8</v>
      </c>
      <c r="H61" s="5">
        <f>IF(IF(Table442431[[#This Row],[Pre or Post]]="Pre",1,0)+IF(ISNUMBER(Table442431[[#This Row],[Response]])=TRUE,1,0)=2,1,"")</f>
        <v>1</v>
      </c>
      <c r="I61" s="5" t="str">
        <f>IF(IF(Table442431[[#This Row],[Pre or Post]]="Post",1,0)+IF(ISNUMBER(Table442431[[#This Row],[Response]])=TRUE,1,0)=2,1,"")</f>
        <v/>
      </c>
      <c r="J61" s="5">
        <f>IF(IF(Table442431[[#This Row],[Pre or Post]]="Pre",1,0)+IF(ISNUMBER(Table442431[[#This Row],[Response]])=TRUE,1,0)=2,Table442431[[#This Row],[Response]],"")</f>
        <v>2</v>
      </c>
      <c r="K61" s="5" t="str">
        <f>IF(IF(Table442431[[#This Row],[Pre or Post]]="Post",1,0)+IF(ISNUMBER(Table442431[[#This Row],[Response]])=TRUE,1,0)=2,Table442431[[#This Row],[Response]],"")</f>
        <v/>
      </c>
      <c r="L61" s="5">
        <f>IF(IF(ISNUMBER(J61),1,0)+IF(ISNUMBER(K62),1,0)=2,IF(IF(C62=C61,1,0)+IF(B62=B61,1,0)+IF(D62="Post",1,0)+IF(D61="Pre",1,0)=4,Table442431[[#This Row],[Pre Total]],""),"")</f>
        <v>2</v>
      </c>
      <c r="M61" s="5" t="str">
        <f>IF(IF(ISNUMBER(J60),1,0)+IF(ISNUMBER(Table442431[[#This Row],[Post Total]]),1,0)=2,IF(IF(Table442431[[#This Row],[Student Number]]=C60,1,0)+IF(Table442431[[#This Row],[Session]]=B60,1,0)+IF(Table442431[[#This Row],[Pre or Post]]="Post",1,0)+IF(D60="Pre",1,0)=4,Table442431[[#This Row],[Post Total]],""),"")</f>
        <v/>
      </c>
      <c r="N61" s="5" t="str">
        <f>IF(IF(ISNUMBER(J60),1,0)+IF(ISNUMBER(Table442431[[#This Row],[Post Total]]),1,0)=2,IF(IF(Table442431[[#This Row],[Student Number]]=C60,1,0)+IF(Table442431[[#This Row],[Session]]=B60,1,0)+IF(Table442431[[#This Row],[Pre or Post]]="Post",1,0)+IF(D60="Pre",1,0)=4,Table442431[[#This Row],[Post Total]]-J60,""),"")</f>
        <v/>
      </c>
      <c r="O61" s="5" t="b">
        <f>ISNUMBER(Table442431[[#This Row],[Change]])</f>
        <v>0</v>
      </c>
    </row>
    <row r="62" spans="1:15">
      <c r="A62" s="1" t="s">
        <v>24</v>
      </c>
      <c r="B62" s="1" t="s">
        <v>25</v>
      </c>
      <c r="C62" s="1">
        <v>5</v>
      </c>
      <c r="D62" s="1" t="s">
        <v>16</v>
      </c>
      <c r="E62" s="1">
        <v>3</v>
      </c>
      <c r="F62" s="1">
        <v>4</v>
      </c>
      <c r="G62" s="2" t="s">
        <v>8</v>
      </c>
      <c r="H62" s="5" t="str">
        <f>IF(IF(Table442431[[#This Row],[Pre or Post]]="Pre",1,0)+IF(ISNUMBER(Table442431[[#This Row],[Response]])=TRUE,1,0)=2,1,"")</f>
        <v/>
      </c>
      <c r="I62" s="5">
        <f>IF(IF(Table442431[[#This Row],[Pre or Post]]="Post",1,0)+IF(ISNUMBER(Table442431[[#This Row],[Response]])=TRUE,1,0)=2,1,"")</f>
        <v>1</v>
      </c>
      <c r="J62" s="5" t="str">
        <f>IF(IF(Table442431[[#This Row],[Pre or Post]]="Pre",1,0)+IF(ISNUMBER(Table442431[[#This Row],[Response]])=TRUE,1,0)=2,Table442431[[#This Row],[Response]],"")</f>
        <v/>
      </c>
      <c r="K62" s="5">
        <f>IF(IF(Table442431[[#This Row],[Pre or Post]]="Post",1,0)+IF(ISNUMBER(Table442431[[#This Row],[Response]])=TRUE,1,0)=2,Table442431[[#This Row],[Response]],"")</f>
        <v>4</v>
      </c>
      <c r="L62" s="5" t="str">
        <f>IF(IF(ISNUMBER(J62),1,0)+IF(ISNUMBER(K63),1,0)=2,IF(IF(C63=C62,1,0)+IF(B63=B62,1,0)+IF(D63="Post",1,0)+IF(D62="Pre",1,0)=4,Table442431[[#This Row],[Pre Total]],""),"")</f>
        <v/>
      </c>
      <c r="M62" s="5">
        <f>IF(IF(ISNUMBER(J61),1,0)+IF(ISNUMBER(Table442431[[#This Row],[Post Total]]),1,0)=2,IF(IF(Table442431[[#This Row],[Student Number]]=C61,1,0)+IF(Table442431[[#This Row],[Session]]=B61,1,0)+IF(Table442431[[#This Row],[Pre or Post]]="Post",1,0)+IF(D61="Pre",1,0)=4,Table442431[[#This Row],[Post Total]],""),"")</f>
        <v>4</v>
      </c>
      <c r="N62" s="5">
        <f>IF(IF(ISNUMBER(J61),1,0)+IF(ISNUMBER(Table442431[[#This Row],[Post Total]]),1,0)=2,IF(IF(Table442431[[#This Row],[Student Number]]=C61,1,0)+IF(Table442431[[#This Row],[Session]]=B61,1,0)+IF(Table442431[[#This Row],[Pre or Post]]="Post",1,0)+IF(D61="Pre",1,0)=4,Table442431[[#This Row],[Post Total]]-J61,""),"")</f>
        <v>2</v>
      </c>
      <c r="O62" s="5" t="b">
        <f>ISNUMBER(Table442431[[#This Row],[Change]])</f>
        <v>1</v>
      </c>
    </row>
    <row r="63" spans="1:15">
      <c r="A63" s="1" t="s">
        <v>24</v>
      </c>
      <c r="B63" s="1" t="s">
        <v>25</v>
      </c>
      <c r="C63" s="1">
        <v>6</v>
      </c>
      <c r="D63" s="1" t="s">
        <v>6</v>
      </c>
      <c r="E63" s="1">
        <v>10</v>
      </c>
      <c r="F63" s="1">
        <v>4</v>
      </c>
      <c r="G63" s="1" t="s">
        <v>8</v>
      </c>
      <c r="H63" s="5">
        <f>IF(IF(Table442431[[#This Row],[Pre or Post]]="Pre",1,0)+IF(ISNUMBER(Table442431[[#This Row],[Response]])=TRUE,1,0)=2,1,"")</f>
        <v>1</v>
      </c>
      <c r="I63" s="5" t="str">
        <f>IF(IF(Table442431[[#This Row],[Pre or Post]]="Post",1,0)+IF(ISNUMBER(Table442431[[#This Row],[Response]])=TRUE,1,0)=2,1,"")</f>
        <v/>
      </c>
      <c r="J63" s="5">
        <f>IF(IF(Table442431[[#This Row],[Pre or Post]]="Pre",1,0)+IF(ISNUMBER(Table442431[[#This Row],[Response]])=TRUE,1,0)=2,Table442431[[#This Row],[Response]],"")</f>
        <v>4</v>
      </c>
      <c r="K63" s="5" t="str">
        <f>IF(IF(Table442431[[#This Row],[Pre or Post]]="Post",1,0)+IF(ISNUMBER(Table442431[[#This Row],[Response]])=TRUE,1,0)=2,Table442431[[#This Row],[Response]],"")</f>
        <v/>
      </c>
      <c r="L63" s="5">
        <f>IF(IF(ISNUMBER(J63),1,0)+IF(ISNUMBER(K64),1,0)=2,IF(IF(C64=C63,1,0)+IF(B64=B63,1,0)+IF(D64="Post",1,0)+IF(D63="Pre",1,0)=4,Table442431[[#This Row],[Pre Total]],""),"")</f>
        <v>4</v>
      </c>
      <c r="M63" s="5" t="str">
        <f>IF(IF(ISNUMBER(J62),1,0)+IF(ISNUMBER(Table442431[[#This Row],[Post Total]]),1,0)=2,IF(IF(Table442431[[#This Row],[Student Number]]=C62,1,0)+IF(Table442431[[#This Row],[Session]]=B62,1,0)+IF(Table442431[[#This Row],[Pre or Post]]="Post",1,0)+IF(D62="Pre",1,0)=4,Table442431[[#This Row],[Post Total]],""),"")</f>
        <v/>
      </c>
      <c r="N63" s="5" t="str">
        <f>IF(IF(ISNUMBER(J62),1,0)+IF(ISNUMBER(Table442431[[#This Row],[Post Total]]),1,0)=2,IF(IF(Table442431[[#This Row],[Student Number]]=C62,1,0)+IF(Table442431[[#This Row],[Session]]=B62,1,0)+IF(Table442431[[#This Row],[Pre or Post]]="Post",1,0)+IF(D62="Pre",1,0)=4,Table442431[[#This Row],[Post Total]]-J62,""),"")</f>
        <v/>
      </c>
      <c r="O63" s="5" t="b">
        <f>ISNUMBER(Table442431[[#This Row],[Change]])</f>
        <v>0</v>
      </c>
    </row>
    <row r="64" spans="1:15">
      <c r="A64" s="1" t="s">
        <v>24</v>
      </c>
      <c r="B64" s="1" t="s">
        <v>25</v>
      </c>
      <c r="C64" s="1">
        <v>6</v>
      </c>
      <c r="D64" s="1" t="s">
        <v>16</v>
      </c>
      <c r="E64" s="1">
        <v>3</v>
      </c>
      <c r="F64" s="1">
        <v>4</v>
      </c>
      <c r="G64" s="2" t="s">
        <v>8</v>
      </c>
      <c r="H64" s="5" t="str">
        <f>IF(IF(Table442431[[#This Row],[Pre or Post]]="Pre",1,0)+IF(ISNUMBER(Table442431[[#This Row],[Response]])=TRUE,1,0)=2,1,"")</f>
        <v/>
      </c>
      <c r="I64" s="5">
        <f>IF(IF(Table442431[[#This Row],[Pre or Post]]="Post",1,0)+IF(ISNUMBER(Table442431[[#This Row],[Response]])=TRUE,1,0)=2,1,"")</f>
        <v>1</v>
      </c>
      <c r="J64" s="5" t="str">
        <f>IF(IF(Table442431[[#This Row],[Pre or Post]]="Pre",1,0)+IF(ISNUMBER(Table442431[[#This Row],[Response]])=TRUE,1,0)=2,Table442431[[#This Row],[Response]],"")</f>
        <v/>
      </c>
      <c r="K64" s="5">
        <f>IF(IF(Table442431[[#This Row],[Pre or Post]]="Post",1,0)+IF(ISNUMBER(Table442431[[#This Row],[Response]])=TRUE,1,0)=2,Table442431[[#This Row],[Response]],"")</f>
        <v>4</v>
      </c>
      <c r="L64" s="5" t="str">
        <f>IF(IF(ISNUMBER(J64),1,0)+IF(ISNUMBER(K65),1,0)=2,IF(IF(C65=C64,1,0)+IF(B65=B64,1,0)+IF(D65="Post",1,0)+IF(D64="Pre",1,0)=4,Table442431[[#This Row],[Pre Total]],""),"")</f>
        <v/>
      </c>
      <c r="M64" s="5">
        <f>IF(IF(ISNUMBER(J63),1,0)+IF(ISNUMBER(Table442431[[#This Row],[Post Total]]),1,0)=2,IF(IF(Table442431[[#This Row],[Student Number]]=C63,1,0)+IF(Table442431[[#This Row],[Session]]=B63,1,0)+IF(Table442431[[#This Row],[Pre or Post]]="Post",1,0)+IF(D63="Pre",1,0)=4,Table442431[[#This Row],[Post Total]],""),"")</f>
        <v>4</v>
      </c>
      <c r="N64" s="5">
        <f>IF(IF(ISNUMBER(J63),1,0)+IF(ISNUMBER(Table442431[[#This Row],[Post Total]]),1,0)=2,IF(IF(Table442431[[#This Row],[Student Number]]=C63,1,0)+IF(Table442431[[#This Row],[Session]]=B63,1,0)+IF(Table442431[[#This Row],[Pre or Post]]="Post",1,0)+IF(D63="Pre",1,0)=4,Table442431[[#This Row],[Post Total]]-J63,""),"")</f>
        <v>0</v>
      </c>
      <c r="O64" s="5" t="b">
        <f>ISNUMBER(Table442431[[#This Row],[Change]])</f>
        <v>1</v>
      </c>
    </row>
    <row r="65" spans="1:15">
      <c r="A65" s="1" t="s">
        <v>24</v>
      </c>
      <c r="B65" s="1" t="s">
        <v>25</v>
      </c>
      <c r="C65" s="1">
        <v>7</v>
      </c>
      <c r="D65" s="1" t="s">
        <v>6</v>
      </c>
      <c r="E65" s="1">
        <v>10</v>
      </c>
      <c r="F65" s="1">
        <v>3</v>
      </c>
      <c r="G65" s="1" t="s">
        <v>8</v>
      </c>
      <c r="H65" s="5">
        <f>IF(IF(Table442431[[#This Row],[Pre or Post]]="Pre",1,0)+IF(ISNUMBER(Table442431[[#This Row],[Response]])=TRUE,1,0)=2,1,"")</f>
        <v>1</v>
      </c>
      <c r="I65" s="5" t="str">
        <f>IF(IF(Table442431[[#This Row],[Pre or Post]]="Post",1,0)+IF(ISNUMBER(Table442431[[#This Row],[Response]])=TRUE,1,0)=2,1,"")</f>
        <v/>
      </c>
      <c r="J65" s="5">
        <f>IF(IF(Table442431[[#This Row],[Pre or Post]]="Pre",1,0)+IF(ISNUMBER(Table442431[[#This Row],[Response]])=TRUE,1,0)=2,Table442431[[#This Row],[Response]],"")</f>
        <v>3</v>
      </c>
      <c r="K65" s="5" t="str">
        <f>IF(IF(Table442431[[#This Row],[Pre or Post]]="Post",1,0)+IF(ISNUMBER(Table442431[[#This Row],[Response]])=TRUE,1,0)=2,Table442431[[#This Row],[Response]],"")</f>
        <v/>
      </c>
      <c r="L65" s="5">
        <f>IF(IF(ISNUMBER(J65),1,0)+IF(ISNUMBER(K66),1,0)=2,IF(IF(C66=C65,1,0)+IF(B66=B65,1,0)+IF(D66="Post",1,0)+IF(D65="Pre",1,0)=4,Table442431[[#This Row],[Pre Total]],""),"")</f>
        <v>3</v>
      </c>
      <c r="M65" s="5" t="str">
        <f>IF(IF(ISNUMBER(J64),1,0)+IF(ISNUMBER(Table442431[[#This Row],[Post Total]]),1,0)=2,IF(IF(Table442431[[#This Row],[Student Number]]=C64,1,0)+IF(Table442431[[#This Row],[Session]]=B64,1,0)+IF(Table442431[[#This Row],[Pre or Post]]="Post",1,0)+IF(D64="Pre",1,0)=4,Table442431[[#This Row],[Post Total]],""),"")</f>
        <v/>
      </c>
      <c r="N65" s="5" t="str">
        <f>IF(IF(ISNUMBER(J64),1,0)+IF(ISNUMBER(Table442431[[#This Row],[Post Total]]),1,0)=2,IF(IF(Table442431[[#This Row],[Student Number]]=C64,1,0)+IF(Table442431[[#This Row],[Session]]=B64,1,0)+IF(Table442431[[#This Row],[Pre or Post]]="Post",1,0)+IF(D64="Pre",1,0)=4,Table442431[[#This Row],[Post Total]]-J64,""),"")</f>
        <v/>
      </c>
      <c r="O65" s="5" t="b">
        <f>ISNUMBER(Table442431[[#This Row],[Change]])</f>
        <v>0</v>
      </c>
    </row>
    <row r="66" spans="1:15">
      <c r="A66" s="1" t="s">
        <v>24</v>
      </c>
      <c r="B66" s="1" t="s">
        <v>25</v>
      </c>
      <c r="C66" s="1">
        <v>7</v>
      </c>
      <c r="D66" s="1" t="s">
        <v>16</v>
      </c>
      <c r="E66" s="1">
        <v>3</v>
      </c>
      <c r="F66" s="1">
        <v>4</v>
      </c>
      <c r="G66" s="2" t="s">
        <v>8</v>
      </c>
      <c r="H66" s="5" t="str">
        <f>IF(IF(Table442431[[#This Row],[Pre or Post]]="Pre",1,0)+IF(ISNUMBER(Table442431[[#This Row],[Response]])=TRUE,1,0)=2,1,"")</f>
        <v/>
      </c>
      <c r="I66" s="5">
        <f>IF(IF(Table442431[[#This Row],[Pre or Post]]="Post",1,0)+IF(ISNUMBER(Table442431[[#This Row],[Response]])=TRUE,1,0)=2,1,"")</f>
        <v>1</v>
      </c>
      <c r="J66" s="5" t="str">
        <f>IF(IF(Table442431[[#This Row],[Pre or Post]]="Pre",1,0)+IF(ISNUMBER(Table442431[[#This Row],[Response]])=TRUE,1,0)=2,Table442431[[#This Row],[Response]],"")</f>
        <v/>
      </c>
      <c r="K66" s="5">
        <f>IF(IF(Table442431[[#This Row],[Pre or Post]]="Post",1,0)+IF(ISNUMBER(Table442431[[#This Row],[Response]])=TRUE,1,0)=2,Table442431[[#This Row],[Response]],"")</f>
        <v>4</v>
      </c>
      <c r="L66" s="5" t="str">
        <f>IF(IF(ISNUMBER(J66),1,0)+IF(ISNUMBER(K67),1,0)=2,IF(IF(C67=C66,1,0)+IF(B67=B66,1,0)+IF(D67="Post",1,0)+IF(D66="Pre",1,0)=4,Table442431[[#This Row],[Pre Total]],""),"")</f>
        <v/>
      </c>
      <c r="M66" s="5">
        <f>IF(IF(ISNUMBER(J65),1,0)+IF(ISNUMBER(Table442431[[#This Row],[Post Total]]),1,0)=2,IF(IF(Table442431[[#This Row],[Student Number]]=C65,1,0)+IF(Table442431[[#This Row],[Session]]=B65,1,0)+IF(Table442431[[#This Row],[Pre or Post]]="Post",1,0)+IF(D65="Pre",1,0)=4,Table442431[[#This Row],[Post Total]],""),"")</f>
        <v>4</v>
      </c>
      <c r="N66" s="5">
        <f>IF(IF(ISNUMBER(J65),1,0)+IF(ISNUMBER(Table442431[[#This Row],[Post Total]]),1,0)=2,IF(IF(Table442431[[#This Row],[Student Number]]=C65,1,0)+IF(Table442431[[#This Row],[Session]]=B65,1,0)+IF(Table442431[[#This Row],[Pre or Post]]="Post",1,0)+IF(D65="Pre",1,0)=4,Table442431[[#This Row],[Post Total]]-J65,""),"")</f>
        <v>1</v>
      </c>
      <c r="O66" s="5" t="b">
        <f>ISNUMBER(Table442431[[#This Row],[Change]])</f>
        <v>1</v>
      </c>
    </row>
    <row r="67" spans="1:15">
      <c r="A67" s="1" t="s">
        <v>24</v>
      </c>
      <c r="B67" s="1" t="s">
        <v>25</v>
      </c>
      <c r="C67" s="1">
        <v>8</v>
      </c>
      <c r="D67" s="1" t="s">
        <v>6</v>
      </c>
      <c r="E67" s="1">
        <v>10</v>
      </c>
      <c r="F67" s="1">
        <v>2</v>
      </c>
      <c r="G67" s="1" t="s">
        <v>8</v>
      </c>
      <c r="H67" s="5">
        <f>IF(IF(Table442431[[#This Row],[Pre or Post]]="Pre",1,0)+IF(ISNUMBER(Table442431[[#This Row],[Response]])=TRUE,1,0)=2,1,"")</f>
        <v>1</v>
      </c>
      <c r="I67" s="5" t="str">
        <f>IF(IF(Table442431[[#This Row],[Pre or Post]]="Post",1,0)+IF(ISNUMBER(Table442431[[#This Row],[Response]])=TRUE,1,0)=2,1,"")</f>
        <v/>
      </c>
      <c r="J67" s="5">
        <f>IF(IF(Table442431[[#This Row],[Pre or Post]]="Pre",1,0)+IF(ISNUMBER(Table442431[[#This Row],[Response]])=TRUE,1,0)=2,Table442431[[#This Row],[Response]],"")</f>
        <v>2</v>
      </c>
      <c r="K67" s="5" t="str">
        <f>IF(IF(Table442431[[#This Row],[Pre or Post]]="Post",1,0)+IF(ISNUMBER(Table442431[[#This Row],[Response]])=TRUE,1,0)=2,Table442431[[#This Row],[Response]],"")</f>
        <v/>
      </c>
      <c r="L67" s="5">
        <f>IF(IF(ISNUMBER(J67),1,0)+IF(ISNUMBER(K68),1,0)=2,IF(IF(C68=C67,1,0)+IF(B68=B67,1,0)+IF(D68="Post",1,0)+IF(D67="Pre",1,0)=4,Table442431[[#This Row],[Pre Total]],""),"")</f>
        <v>2</v>
      </c>
      <c r="M67" s="5" t="str">
        <f>IF(IF(ISNUMBER(J66),1,0)+IF(ISNUMBER(Table442431[[#This Row],[Post Total]]),1,0)=2,IF(IF(Table442431[[#This Row],[Student Number]]=C66,1,0)+IF(Table442431[[#This Row],[Session]]=B66,1,0)+IF(Table442431[[#This Row],[Pre or Post]]="Post",1,0)+IF(D66="Pre",1,0)=4,Table442431[[#This Row],[Post Total]],""),"")</f>
        <v/>
      </c>
      <c r="N67" s="5" t="str">
        <f>IF(IF(ISNUMBER(J66),1,0)+IF(ISNUMBER(Table442431[[#This Row],[Post Total]]),1,0)=2,IF(IF(Table442431[[#This Row],[Student Number]]=C66,1,0)+IF(Table442431[[#This Row],[Session]]=B66,1,0)+IF(Table442431[[#This Row],[Pre or Post]]="Post",1,0)+IF(D66="Pre",1,0)=4,Table442431[[#This Row],[Post Total]]-J66,""),"")</f>
        <v/>
      </c>
      <c r="O67" s="5" t="b">
        <f>ISNUMBER(Table442431[[#This Row],[Change]])</f>
        <v>0</v>
      </c>
    </row>
    <row r="68" spans="1:15">
      <c r="A68" s="1" t="s">
        <v>24</v>
      </c>
      <c r="B68" s="1" t="s">
        <v>25</v>
      </c>
      <c r="C68" s="1">
        <v>8</v>
      </c>
      <c r="D68" s="1" t="s">
        <v>16</v>
      </c>
      <c r="E68" s="1">
        <v>3</v>
      </c>
      <c r="F68" s="1">
        <v>3</v>
      </c>
      <c r="G68" s="2" t="s">
        <v>8</v>
      </c>
      <c r="H68" s="5" t="str">
        <f>IF(IF(Table442431[[#This Row],[Pre or Post]]="Pre",1,0)+IF(ISNUMBER(Table442431[[#This Row],[Response]])=TRUE,1,0)=2,1,"")</f>
        <v/>
      </c>
      <c r="I68" s="5">
        <f>IF(IF(Table442431[[#This Row],[Pre or Post]]="Post",1,0)+IF(ISNUMBER(Table442431[[#This Row],[Response]])=TRUE,1,0)=2,1,"")</f>
        <v>1</v>
      </c>
      <c r="J68" s="5" t="str">
        <f>IF(IF(Table442431[[#This Row],[Pre or Post]]="Pre",1,0)+IF(ISNUMBER(Table442431[[#This Row],[Response]])=TRUE,1,0)=2,Table442431[[#This Row],[Response]],"")</f>
        <v/>
      </c>
      <c r="K68" s="5">
        <f>IF(IF(Table442431[[#This Row],[Pre or Post]]="Post",1,0)+IF(ISNUMBER(Table442431[[#This Row],[Response]])=TRUE,1,0)=2,Table442431[[#This Row],[Response]],"")</f>
        <v>3</v>
      </c>
      <c r="L68" s="5" t="str">
        <f>IF(IF(ISNUMBER(J68),1,0)+IF(ISNUMBER(K69),1,0)=2,IF(IF(C69=C68,1,0)+IF(B69=B68,1,0)+IF(D69="Post",1,0)+IF(D68="Pre",1,0)=4,Table442431[[#This Row],[Pre Total]],""),"")</f>
        <v/>
      </c>
      <c r="M68" s="5">
        <f>IF(IF(ISNUMBER(J67),1,0)+IF(ISNUMBER(Table442431[[#This Row],[Post Total]]),1,0)=2,IF(IF(Table442431[[#This Row],[Student Number]]=C67,1,0)+IF(Table442431[[#This Row],[Session]]=B67,1,0)+IF(Table442431[[#This Row],[Pre or Post]]="Post",1,0)+IF(D67="Pre",1,0)=4,Table442431[[#This Row],[Post Total]],""),"")</f>
        <v>3</v>
      </c>
      <c r="N68" s="5">
        <f>IF(IF(ISNUMBER(J67),1,0)+IF(ISNUMBER(Table442431[[#This Row],[Post Total]]),1,0)=2,IF(IF(Table442431[[#This Row],[Student Number]]=C67,1,0)+IF(Table442431[[#This Row],[Session]]=B67,1,0)+IF(Table442431[[#This Row],[Pre or Post]]="Post",1,0)+IF(D67="Pre",1,0)=4,Table442431[[#This Row],[Post Total]]-J67,""),"")</f>
        <v>1</v>
      </c>
      <c r="O68" s="5" t="b">
        <f>ISNUMBER(Table442431[[#This Row],[Change]])</f>
        <v>1</v>
      </c>
    </row>
    <row r="69" spans="1:15">
      <c r="A69" s="1" t="s">
        <v>24</v>
      </c>
      <c r="B69" s="1" t="s">
        <v>25</v>
      </c>
      <c r="C69" s="1">
        <v>9</v>
      </c>
      <c r="D69" s="1" t="s">
        <v>6</v>
      </c>
      <c r="E69" s="1">
        <v>10</v>
      </c>
      <c r="F69" s="1">
        <v>1</v>
      </c>
      <c r="G69" s="1" t="s">
        <v>8</v>
      </c>
      <c r="H69" s="5">
        <f>IF(IF(Table442431[[#This Row],[Pre or Post]]="Pre",1,0)+IF(ISNUMBER(Table442431[[#This Row],[Response]])=TRUE,1,0)=2,1,"")</f>
        <v>1</v>
      </c>
      <c r="I69" s="5" t="str">
        <f>IF(IF(Table442431[[#This Row],[Pre or Post]]="Post",1,0)+IF(ISNUMBER(Table442431[[#This Row],[Response]])=TRUE,1,0)=2,1,"")</f>
        <v/>
      </c>
      <c r="J69" s="5">
        <f>IF(IF(Table442431[[#This Row],[Pre or Post]]="Pre",1,0)+IF(ISNUMBER(Table442431[[#This Row],[Response]])=TRUE,1,0)=2,Table442431[[#This Row],[Response]],"")</f>
        <v>1</v>
      </c>
      <c r="K69" s="5" t="str">
        <f>IF(IF(Table442431[[#This Row],[Pre or Post]]="Post",1,0)+IF(ISNUMBER(Table442431[[#This Row],[Response]])=TRUE,1,0)=2,Table442431[[#This Row],[Response]],"")</f>
        <v/>
      </c>
      <c r="L69" s="5">
        <f>IF(IF(ISNUMBER(J69),1,0)+IF(ISNUMBER(K70),1,0)=2,IF(IF(C70=C69,1,0)+IF(B70=B69,1,0)+IF(D70="Post",1,0)+IF(D69="Pre",1,0)=4,Table442431[[#This Row],[Pre Total]],""),"")</f>
        <v>1</v>
      </c>
      <c r="M69" s="5" t="str">
        <f>IF(IF(ISNUMBER(J68),1,0)+IF(ISNUMBER(Table442431[[#This Row],[Post Total]]),1,0)=2,IF(IF(Table442431[[#This Row],[Student Number]]=C68,1,0)+IF(Table442431[[#This Row],[Session]]=B68,1,0)+IF(Table442431[[#This Row],[Pre or Post]]="Post",1,0)+IF(D68="Pre",1,0)=4,Table442431[[#This Row],[Post Total]],""),"")</f>
        <v/>
      </c>
      <c r="N69" s="5" t="str">
        <f>IF(IF(ISNUMBER(J68),1,0)+IF(ISNUMBER(Table442431[[#This Row],[Post Total]]),1,0)=2,IF(IF(Table442431[[#This Row],[Student Number]]=C68,1,0)+IF(Table442431[[#This Row],[Session]]=B68,1,0)+IF(Table442431[[#This Row],[Pre or Post]]="Post",1,0)+IF(D68="Pre",1,0)=4,Table442431[[#This Row],[Post Total]]-J68,""),"")</f>
        <v/>
      </c>
      <c r="O69" s="5" t="b">
        <f>ISNUMBER(Table442431[[#This Row],[Change]])</f>
        <v>0</v>
      </c>
    </row>
    <row r="70" spans="1:15">
      <c r="A70" s="1" t="s">
        <v>24</v>
      </c>
      <c r="B70" s="1" t="s">
        <v>25</v>
      </c>
      <c r="C70" s="1">
        <v>9</v>
      </c>
      <c r="D70" s="1" t="s">
        <v>16</v>
      </c>
      <c r="E70" s="1">
        <v>3</v>
      </c>
      <c r="F70" s="1">
        <v>3</v>
      </c>
      <c r="G70" s="2" t="s">
        <v>8</v>
      </c>
      <c r="H70" s="5" t="str">
        <f>IF(IF(Table442431[[#This Row],[Pre or Post]]="Pre",1,0)+IF(ISNUMBER(Table442431[[#This Row],[Response]])=TRUE,1,0)=2,1,"")</f>
        <v/>
      </c>
      <c r="I70" s="5">
        <f>IF(IF(Table442431[[#This Row],[Pre or Post]]="Post",1,0)+IF(ISNUMBER(Table442431[[#This Row],[Response]])=TRUE,1,0)=2,1,"")</f>
        <v>1</v>
      </c>
      <c r="J70" s="5" t="str">
        <f>IF(IF(Table442431[[#This Row],[Pre or Post]]="Pre",1,0)+IF(ISNUMBER(Table442431[[#This Row],[Response]])=TRUE,1,0)=2,Table442431[[#This Row],[Response]],"")</f>
        <v/>
      </c>
      <c r="K70" s="5">
        <f>IF(IF(Table442431[[#This Row],[Pre or Post]]="Post",1,0)+IF(ISNUMBER(Table442431[[#This Row],[Response]])=TRUE,1,0)=2,Table442431[[#This Row],[Response]],"")</f>
        <v>3</v>
      </c>
      <c r="L70" s="5" t="str">
        <f>IF(IF(ISNUMBER(J70),1,0)+IF(ISNUMBER(K71),1,0)=2,IF(IF(C71=C70,1,0)+IF(B71=B70,1,0)+IF(D71="Post",1,0)+IF(D70="Pre",1,0)=4,Table442431[[#This Row],[Pre Total]],""),"")</f>
        <v/>
      </c>
      <c r="M70" s="5">
        <f>IF(IF(ISNUMBER(J69),1,0)+IF(ISNUMBER(Table442431[[#This Row],[Post Total]]),1,0)=2,IF(IF(Table442431[[#This Row],[Student Number]]=C69,1,0)+IF(Table442431[[#This Row],[Session]]=B69,1,0)+IF(Table442431[[#This Row],[Pre or Post]]="Post",1,0)+IF(D69="Pre",1,0)=4,Table442431[[#This Row],[Post Total]],""),"")</f>
        <v>3</v>
      </c>
      <c r="N70" s="5">
        <f>IF(IF(ISNUMBER(J69),1,0)+IF(ISNUMBER(Table442431[[#This Row],[Post Total]]),1,0)=2,IF(IF(Table442431[[#This Row],[Student Number]]=C69,1,0)+IF(Table442431[[#This Row],[Session]]=B69,1,0)+IF(Table442431[[#This Row],[Pre or Post]]="Post",1,0)+IF(D69="Pre",1,0)=4,Table442431[[#This Row],[Post Total]]-J69,""),"")</f>
        <v>2</v>
      </c>
      <c r="O70" s="5" t="b">
        <f>ISNUMBER(Table442431[[#This Row],[Change]])</f>
        <v>1</v>
      </c>
    </row>
    <row r="71" spans="1:15">
      <c r="A71" s="1" t="s">
        <v>24</v>
      </c>
      <c r="B71" s="1" t="s">
        <v>25</v>
      </c>
      <c r="C71" s="1">
        <v>10</v>
      </c>
      <c r="D71" s="1" t="s">
        <v>6</v>
      </c>
      <c r="E71" s="1">
        <v>10</v>
      </c>
      <c r="F71" s="1">
        <v>1</v>
      </c>
      <c r="G71" s="1" t="s">
        <v>8</v>
      </c>
      <c r="H71" s="5">
        <f>IF(IF(Table442431[[#This Row],[Pre or Post]]="Pre",1,0)+IF(ISNUMBER(Table442431[[#This Row],[Response]])=TRUE,1,0)=2,1,"")</f>
        <v>1</v>
      </c>
      <c r="I71" s="5" t="str">
        <f>IF(IF(Table442431[[#This Row],[Pre or Post]]="Post",1,0)+IF(ISNUMBER(Table442431[[#This Row],[Response]])=TRUE,1,0)=2,1,"")</f>
        <v/>
      </c>
      <c r="J71" s="5">
        <f>IF(IF(Table442431[[#This Row],[Pre or Post]]="Pre",1,0)+IF(ISNUMBER(Table442431[[#This Row],[Response]])=TRUE,1,0)=2,Table442431[[#This Row],[Response]],"")</f>
        <v>1</v>
      </c>
      <c r="K71" s="5" t="str">
        <f>IF(IF(Table442431[[#This Row],[Pre or Post]]="Post",1,0)+IF(ISNUMBER(Table442431[[#This Row],[Response]])=TRUE,1,0)=2,Table442431[[#This Row],[Response]],"")</f>
        <v/>
      </c>
      <c r="L71" s="5">
        <f>IF(IF(ISNUMBER(J71),1,0)+IF(ISNUMBER(K72),1,0)=2,IF(IF(C72=C71,1,0)+IF(B72=B71,1,0)+IF(D72="Post",1,0)+IF(D71="Pre",1,0)=4,Table442431[[#This Row],[Pre Total]],""),"")</f>
        <v>1</v>
      </c>
      <c r="M71" s="5" t="str">
        <f>IF(IF(ISNUMBER(J70),1,0)+IF(ISNUMBER(Table442431[[#This Row],[Post Total]]),1,0)=2,IF(IF(Table442431[[#This Row],[Student Number]]=C70,1,0)+IF(Table442431[[#This Row],[Session]]=B70,1,0)+IF(Table442431[[#This Row],[Pre or Post]]="Post",1,0)+IF(D70="Pre",1,0)=4,Table442431[[#This Row],[Post Total]],""),"")</f>
        <v/>
      </c>
      <c r="N71" s="5" t="str">
        <f>IF(IF(ISNUMBER(J70),1,0)+IF(ISNUMBER(Table442431[[#This Row],[Post Total]]),1,0)=2,IF(IF(Table442431[[#This Row],[Student Number]]=C70,1,0)+IF(Table442431[[#This Row],[Session]]=B70,1,0)+IF(Table442431[[#This Row],[Pre or Post]]="Post",1,0)+IF(D70="Pre",1,0)=4,Table442431[[#This Row],[Post Total]]-J70,""),"")</f>
        <v/>
      </c>
      <c r="O71" s="5" t="b">
        <f>ISNUMBER(Table442431[[#This Row],[Change]])</f>
        <v>0</v>
      </c>
    </row>
    <row r="72" spans="1:15">
      <c r="A72" s="1" t="s">
        <v>24</v>
      </c>
      <c r="B72" s="1" t="s">
        <v>25</v>
      </c>
      <c r="C72" s="1">
        <v>10</v>
      </c>
      <c r="D72" s="1" t="s">
        <v>16</v>
      </c>
      <c r="E72" s="1">
        <v>3</v>
      </c>
      <c r="F72" s="1">
        <v>3</v>
      </c>
      <c r="G72" s="2" t="s">
        <v>8</v>
      </c>
      <c r="H72" s="5" t="str">
        <f>IF(IF(Table442431[[#This Row],[Pre or Post]]="Pre",1,0)+IF(ISNUMBER(Table442431[[#This Row],[Response]])=TRUE,1,0)=2,1,"")</f>
        <v/>
      </c>
      <c r="I72" s="5">
        <f>IF(IF(Table442431[[#This Row],[Pre or Post]]="Post",1,0)+IF(ISNUMBER(Table442431[[#This Row],[Response]])=TRUE,1,0)=2,1,"")</f>
        <v>1</v>
      </c>
      <c r="J72" s="5" t="str">
        <f>IF(IF(Table442431[[#This Row],[Pre or Post]]="Pre",1,0)+IF(ISNUMBER(Table442431[[#This Row],[Response]])=TRUE,1,0)=2,Table442431[[#This Row],[Response]],"")</f>
        <v/>
      </c>
      <c r="K72" s="5">
        <f>IF(IF(Table442431[[#This Row],[Pre or Post]]="Post",1,0)+IF(ISNUMBER(Table442431[[#This Row],[Response]])=TRUE,1,0)=2,Table442431[[#This Row],[Response]],"")</f>
        <v>3</v>
      </c>
      <c r="L72" s="5" t="str">
        <f>IF(IF(ISNUMBER(J72),1,0)+IF(ISNUMBER(K73),1,0)=2,IF(IF(C73=C72,1,0)+IF(B73=B72,1,0)+IF(D73="Post",1,0)+IF(D72="Pre",1,0)=4,Table442431[[#This Row],[Pre Total]],""),"")</f>
        <v/>
      </c>
      <c r="M72" s="5">
        <f>IF(IF(ISNUMBER(J71),1,0)+IF(ISNUMBER(Table442431[[#This Row],[Post Total]]),1,0)=2,IF(IF(Table442431[[#This Row],[Student Number]]=C71,1,0)+IF(Table442431[[#This Row],[Session]]=B71,1,0)+IF(Table442431[[#This Row],[Pre or Post]]="Post",1,0)+IF(D71="Pre",1,0)=4,Table442431[[#This Row],[Post Total]],""),"")</f>
        <v>3</v>
      </c>
      <c r="N72" s="5">
        <f>IF(IF(ISNUMBER(J71),1,0)+IF(ISNUMBER(Table442431[[#This Row],[Post Total]]),1,0)=2,IF(IF(Table442431[[#This Row],[Student Number]]=C71,1,0)+IF(Table442431[[#This Row],[Session]]=B71,1,0)+IF(Table442431[[#This Row],[Pre or Post]]="Post",1,0)+IF(D71="Pre",1,0)=4,Table442431[[#This Row],[Post Total]]-J71,""),"")</f>
        <v>2</v>
      </c>
      <c r="O72" s="5" t="b">
        <f>ISNUMBER(Table442431[[#This Row],[Change]])</f>
        <v>1</v>
      </c>
    </row>
    <row r="73" spans="1:15">
      <c r="A73" s="1" t="s">
        <v>24</v>
      </c>
      <c r="B73" s="1" t="s">
        <v>25</v>
      </c>
      <c r="C73" s="1">
        <v>11</v>
      </c>
      <c r="D73" s="1" t="s">
        <v>6</v>
      </c>
      <c r="E73" s="1">
        <v>10</v>
      </c>
      <c r="F73" s="1">
        <v>3</v>
      </c>
      <c r="G73" s="1" t="s">
        <v>8</v>
      </c>
      <c r="H73" s="5">
        <f>IF(IF(Table442431[[#This Row],[Pre or Post]]="Pre",1,0)+IF(ISNUMBER(Table442431[[#This Row],[Response]])=TRUE,1,0)=2,1,"")</f>
        <v>1</v>
      </c>
      <c r="I73" s="5" t="str">
        <f>IF(IF(Table442431[[#This Row],[Pre or Post]]="Post",1,0)+IF(ISNUMBER(Table442431[[#This Row],[Response]])=TRUE,1,0)=2,1,"")</f>
        <v/>
      </c>
      <c r="J73" s="5">
        <f>IF(IF(Table442431[[#This Row],[Pre or Post]]="Pre",1,0)+IF(ISNUMBER(Table442431[[#This Row],[Response]])=TRUE,1,0)=2,Table442431[[#This Row],[Response]],"")</f>
        <v>3</v>
      </c>
      <c r="K73" s="5" t="str">
        <f>IF(IF(Table442431[[#This Row],[Pre or Post]]="Post",1,0)+IF(ISNUMBER(Table442431[[#This Row],[Response]])=TRUE,1,0)=2,Table442431[[#This Row],[Response]],"")</f>
        <v/>
      </c>
      <c r="L73" s="5">
        <f>IF(IF(ISNUMBER(J73),1,0)+IF(ISNUMBER(K74),1,0)=2,IF(IF(C74=C73,1,0)+IF(B74=B73,1,0)+IF(D74="Post",1,0)+IF(D73="Pre",1,0)=4,Table442431[[#This Row],[Pre Total]],""),"")</f>
        <v>3</v>
      </c>
      <c r="M73" s="5" t="str">
        <f>IF(IF(ISNUMBER(J72),1,0)+IF(ISNUMBER(Table442431[[#This Row],[Post Total]]),1,0)=2,IF(IF(Table442431[[#This Row],[Student Number]]=C72,1,0)+IF(Table442431[[#This Row],[Session]]=B72,1,0)+IF(Table442431[[#This Row],[Pre or Post]]="Post",1,0)+IF(D72="Pre",1,0)=4,Table442431[[#This Row],[Post Total]],""),"")</f>
        <v/>
      </c>
      <c r="N73" s="5" t="str">
        <f>IF(IF(ISNUMBER(J72),1,0)+IF(ISNUMBER(Table442431[[#This Row],[Post Total]]),1,0)=2,IF(IF(Table442431[[#This Row],[Student Number]]=C72,1,0)+IF(Table442431[[#This Row],[Session]]=B72,1,0)+IF(Table442431[[#This Row],[Pre or Post]]="Post",1,0)+IF(D72="Pre",1,0)=4,Table442431[[#This Row],[Post Total]]-J72,""),"")</f>
        <v/>
      </c>
      <c r="O73" s="5" t="b">
        <f>ISNUMBER(Table442431[[#This Row],[Change]])</f>
        <v>0</v>
      </c>
    </row>
    <row r="74" spans="1:15">
      <c r="A74" s="1" t="s">
        <v>24</v>
      </c>
      <c r="B74" s="1" t="s">
        <v>25</v>
      </c>
      <c r="C74" s="1">
        <v>11</v>
      </c>
      <c r="D74" s="1" t="s">
        <v>16</v>
      </c>
      <c r="E74" s="1">
        <v>3</v>
      </c>
      <c r="F74" s="1">
        <v>4</v>
      </c>
      <c r="G74" s="2" t="s">
        <v>8</v>
      </c>
      <c r="H74" s="6" t="str">
        <f>IF(IF(Table442431[[#This Row],[Pre or Post]]="Pre",1,0)+IF(ISNUMBER(Table442431[[#This Row],[Response]])=TRUE,1,0)=2,1,"")</f>
        <v/>
      </c>
      <c r="I74" s="6">
        <f>IF(IF(Table442431[[#This Row],[Pre or Post]]="Post",1,0)+IF(ISNUMBER(Table442431[[#This Row],[Response]])=TRUE,1,0)=2,1,"")</f>
        <v>1</v>
      </c>
      <c r="J74" s="6" t="str">
        <f>IF(IF(Table442431[[#This Row],[Pre or Post]]="Pre",1,0)+IF(ISNUMBER(Table442431[[#This Row],[Response]])=TRUE,1,0)=2,Table442431[[#This Row],[Response]],"")</f>
        <v/>
      </c>
      <c r="K74" s="6">
        <f>IF(IF(Table442431[[#This Row],[Pre or Post]]="Post",1,0)+IF(ISNUMBER(Table442431[[#This Row],[Response]])=TRUE,1,0)=2,Table442431[[#This Row],[Response]],"")</f>
        <v>4</v>
      </c>
      <c r="L74" s="6" t="str">
        <f>IF(IF(ISNUMBER(J74),1,0)+IF(ISNUMBER(K75),1,0)=2,IF(IF(C75=C74,1,0)+IF(B75=B74,1,0)+IF(D75="Post",1,0)+IF(D74="Pre",1,0)=4,Table442431[[#This Row],[Pre Total]],""),"")</f>
        <v/>
      </c>
      <c r="M74" s="6">
        <f>IF(IF(ISNUMBER(J73),1,0)+IF(ISNUMBER(Table442431[[#This Row],[Post Total]]),1,0)=2,IF(IF(Table442431[[#This Row],[Student Number]]=C73,1,0)+IF(Table442431[[#This Row],[Session]]=B73,1,0)+IF(Table442431[[#This Row],[Pre or Post]]="Post",1,0)+IF(D73="Pre",1,0)=4,Table442431[[#This Row],[Post Total]],""),"")</f>
        <v>4</v>
      </c>
      <c r="N74" s="6">
        <f>IF(IF(ISNUMBER(J73),1,0)+IF(ISNUMBER(Table442431[[#This Row],[Post Total]]),1,0)=2,IF(IF(Table442431[[#This Row],[Student Number]]=C73,1,0)+IF(Table442431[[#This Row],[Session]]=B73,1,0)+IF(Table442431[[#This Row],[Pre or Post]]="Post",1,0)+IF(D73="Pre",1,0)=4,Table442431[[#This Row],[Post Total]]-J73,""),"")</f>
        <v>1</v>
      </c>
      <c r="O74" s="6" t="b">
        <f>ISNUMBER(Table442431[[#This Row],[Change]])</f>
        <v>1</v>
      </c>
    </row>
    <row r="75" spans="1:15">
      <c r="A75" s="1" t="s">
        <v>24</v>
      </c>
      <c r="B75" s="1" t="s">
        <v>25</v>
      </c>
      <c r="C75" s="1">
        <v>12</v>
      </c>
      <c r="D75" s="1" t="s">
        <v>6</v>
      </c>
      <c r="E75" s="1">
        <v>10</v>
      </c>
      <c r="F75" s="1">
        <v>4</v>
      </c>
      <c r="G75" s="1" t="s">
        <v>8</v>
      </c>
      <c r="H75" s="5">
        <f>IF(IF(Table442431[[#This Row],[Pre or Post]]="Pre",1,0)+IF(ISNUMBER(Table442431[[#This Row],[Response]])=TRUE,1,0)=2,1,"")</f>
        <v>1</v>
      </c>
      <c r="I75" s="5" t="str">
        <f>IF(IF(Table442431[[#This Row],[Pre or Post]]="Post",1,0)+IF(ISNUMBER(Table442431[[#This Row],[Response]])=TRUE,1,0)=2,1,"")</f>
        <v/>
      </c>
      <c r="J75" s="5">
        <f>IF(IF(Table442431[[#This Row],[Pre or Post]]="Pre",1,0)+IF(ISNUMBER(Table442431[[#This Row],[Response]])=TRUE,1,0)=2,Table442431[[#This Row],[Response]],"")</f>
        <v>4</v>
      </c>
      <c r="K75" s="5" t="str">
        <f>IF(IF(Table442431[[#This Row],[Pre or Post]]="Post",1,0)+IF(ISNUMBER(Table442431[[#This Row],[Response]])=TRUE,1,0)=2,Table442431[[#This Row],[Response]],"")</f>
        <v/>
      </c>
      <c r="L75" s="5">
        <f>IF(IF(ISNUMBER(J75),1,0)+IF(ISNUMBER(K76),1,0)=2,IF(IF(C76=C75,1,0)+IF(B76=B75,1,0)+IF(D76="Post",1,0)+IF(D75="Pre",1,0)=4,Table442431[[#This Row],[Pre Total]],""),"")</f>
        <v>4</v>
      </c>
      <c r="M75" s="5" t="str">
        <f>IF(IF(ISNUMBER(J74),1,0)+IF(ISNUMBER(Table442431[[#This Row],[Post Total]]),1,0)=2,IF(IF(Table442431[[#This Row],[Student Number]]=C74,1,0)+IF(Table442431[[#This Row],[Session]]=B74,1,0)+IF(Table442431[[#This Row],[Pre or Post]]="Post",1,0)+IF(D74="Pre",1,0)=4,Table442431[[#This Row],[Post Total]],""),"")</f>
        <v/>
      </c>
      <c r="N75" s="5" t="str">
        <f>IF(IF(ISNUMBER(J74),1,0)+IF(ISNUMBER(Table442431[[#This Row],[Post Total]]),1,0)=2,IF(IF(Table442431[[#This Row],[Student Number]]=C74,1,0)+IF(Table442431[[#This Row],[Session]]=B74,1,0)+IF(Table442431[[#This Row],[Pre or Post]]="Post",1,0)+IF(D74="Pre",1,0)=4,Table442431[[#This Row],[Post Total]]-J74,""),"")</f>
        <v/>
      </c>
      <c r="O75" s="5" t="b">
        <f>ISNUMBER(Table442431[[#This Row],[Change]])</f>
        <v>0</v>
      </c>
    </row>
    <row r="76" spans="1:15">
      <c r="A76" s="1" t="s">
        <v>24</v>
      </c>
      <c r="B76" s="1" t="s">
        <v>25</v>
      </c>
      <c r="C76" s="1">
        <v>12</v>
      </c>
      <c r="D76" s="1" t="s">
        <v>16</v>
      </c>
      <c r="E76" s="1">
        <v>3</v>
      </c>
      <c r="F76" s="1">
        <v>5</v>
      </c>
      <c r="G76" s="2" t="s">
        <v>8</v>
      </c>
      <c r="H76" s="5" t="str">
        <f>IF(IF(Table442431[[#This Row],[Pre or Post]]="Pre",1,0)+IF(ISNUMBER(Table442431[[#This Row],[Response]])=TRUE,1,0)=2,1,"")</f>
        <v/>
      </c>
      <c r="I76" s="5">
        <f>IF(IF(Table442431[[#This Row],[Pre or Post]]="Post",1,0)+IF(ISNUMBER(Table442431[[#This Row],[Response]])=TRUE,1,0)=2,1,"")</f>
        <v>1</v>
      </c>
      <c r="J76" s="5" t="str">
        <f>IF(IF(Table442431[[#This Row],[Pre or Post]]="Pre",1,0)+IF(ISNUMBER(Table442431[[#This Row],[Response]])=TRUE,1,0)=2,Table442431[[#This Row],[Response]],"")</f>
        <v/>
      </c>
      <c r="K76" s="5">
        <f>IF(IF(Table442431[[#This Row],[Pre or Post]]="Post",1,0)+IF(ISNUMBER(Table442431[[#This Row],[Response]])=TRUE,1,0)=2,Table442431[[#This Row],[Response]],"")</f>
        <v>5</v>
      </c>
      <c r="L76" s="5" t="str">
        <f>IF(IF(ISNUMBER(J76),1,0)+IF(ISNUMBER(K77),1,0)=2,IF(IF(C77=C76,1,0)+IF(B77=B76,1,0)+IF(D77="Post",1,0)+IF(D76="Pre",1,0)=4,Table442431[[#This Row],[Pre Total]],""),"")</f>
        <v/>
      </c>
      <c r="M76" s="5">
        <f>IF(IF(ISNUMBER(J75),1,0)+IF(ISNUMBER(Table442431[[#This Row],[Post Total]]),1,0)=2,IF(IF(Table442431[[#This Row],[Student Number]]=C75,1,0)+IF(Table442431[[#This Row],[Session]]=B75,1,0)+IF(Table442431[[#This Row],[Pre or Post]]="Post",1,0)+IF(D75="Pre",1,0)=4,Table442431[[#This Row],[Post Total]],""),"")</f>
        <v>5</v>
      </c>
      <c r="N76" s="5">
        <f>IF(IF(ISNUMBER(J75),1,0)+IF(ISNUMBER(Table442431[[#This Row],[Post Total]]),1,0)=2,IF(IF(Table442431[[#This Row],[Student Number]]=C75,1,0)+IF(Table442431[[#This Row],[Session]]=B75,1,0)+IF(Table442431[[#This Row],[Pre or Post]]="Post",1,0)+IF(D75="Pre",1,0)=4,Table442431[[#This Row],[Post Total]]-J75,""),"")</f>
        <v>1</v>
      </c>
      <c r="O76" s="5" t="b">
        <f>ISNUMBER(Table442431[[#This Row],[Change]])</f>
        <v>1</v>
      </c>
    </row>
    <row r="77" spans="1:15">
      <c r="A77" s="1" t="s">
        <v>24</v>
      </c>
      <c r="B77" s="1" t="s">
        <v>25</v>
      </c>
      <c r="C77" s="1">
        <v>13</v>
      </c>
      <c r="D77" s="1" t="s">
        <v>6</v>
      </c>
      <c r="E77" s="1">
        <v>10</v>
      </c>
      <c r="F77" s="1">
        <v>2</v>
      </c>
      <c r="G77" s="1" t="s">
        <v>8</v>
      </c>
      <c r="H77" s="5">
        <f>IF(IF(Table442431[[#This Row],[Pre or Post]]="Pre",1,0)+IF(ISNUMBER(Table442431[[#This Row],[Response]])=TRUE,1,0)=2,1,"")</f>
        <v>1</v>
      </c>
      <c r="I77" s="5" t="str">
        <f>IF(IF(Table442431[[#This Row],[Pre or Post]]="Post",1,0)+IF(ISNUMBER(Table442431[[#This Row],[Response]])=TRUE,1,0)=2,1,"")</f>
        <v/>
      </c>
      <c r="J77" s="5">
        <f>IF(IF(Table442431[[#This Row],[Pre or Post]]="Pre",1,0)+IF(ISNUMBER(Table442431[[#This Row],[Response]])=TRUE,1,0)=2,Table442431[[#This Row],[Response]],"")</f>
        <v>2</v>
      </c>
      <c r="K77" s="5" t="str">
        <f>IF(IF(Table442431[[#This Row],[Pre or Post]]="Post",1,0)+IF(ISNUMBER(Table442431[[#This Row],[Response]])=TRUE,1,0)=2,Table442431[[#This Row],[Response]],"")</f>
        <v/>
      </c>
      <c r="L77" s="5">
        <f>IF(IF(ISNUMBER(J77),1,0)+IF(ISNUMBER(K78),1,0)=2,IF(IF(C78=C77,1,0)+IF(B78=B77,1,0)+IF(D78="Post",1,0)+IF(D77="Pre",1,0)=4,Table442431[[#This Row],[Pre Total]],""),"")</f>
        <v>2</v>
      </c>
      <c r="M77" s="5" t="str">
        <f>IF(IF(ISNUMBER(J76),1,0)+IF(ISNUMBER(Table442431[[#This Row],[Post Total]]),1,0)=2,IF(IF(Table442431[[#This Row],[Student Number]]=C76,1,0)+IF(Table442431[[#This Row],[Session]]=B76,1,0)+IF(Table442431[[#This Row],[Pre or Post]]="Post",1,0)+IF(D76="Pre",1,0)=4,Table442431[[#This Row],[Post Total]],""),"")</f>
        <v/>
      </c>
      <c r="N77" s="5" t="str">
        <f>IF(IF(ISNUMBER(J76),1,0)+IF(ISNUMBER(Table442431[[#This Row],[Post Total]]),1,0)=2,IF(IF(Table442431[[#This Row],[Student Number]]=C76,1,0)+IF(Table442431[[#This Row],[Session]]=B76,1,0)+IF(Table442431[[#This Row],[Pre or Post]]="Post",1,0)+IF(D76="Pre",1,0)=4,Table442431[[#This Row],[Post Total]]-J76,""),"")</f>
        <v/>
      </c>
      <c r="O77" s="5" t="b">
        <f>ISNUMBER(Table442431[[#This Row],[Change]])</f>
        <v>0</v>
      </c>
    </row>
    <row r="78" spans="1:15">
      <c r="A78" s="1" t="s">
        <v>24</v>
      </c>
      <c r="B78" s="1" t="s">
        <v>25</v>
      </c>
      <c r="C78" s="1">
        <v>13</v>
      </c>
      <c r="D78" s="1" t="s">
        <v>16</v>
      </c>
      <c r="E78" s="1">
        <v>3</v>
      </c>
      <c r="F78" s="1">
        <v>4</v>
      </c>
      <c r="G78" s="2" t="s">
        <v>8</v>
      </c>
      <c r="H78" s="6" t="str">
        <f>IF(IF(Table442431[[#This Row],[Pre or Post]]="Pre",1,0)+IF(ISNUMBER(Table442431[[#This Row],[Response]])=TRUE,1,0)=2,1,"")</f>
        <v/>
      </c>
      <c r="I78" s="6">
        <f>IF(IF(Table442431[[#This Row],[Pre or Post]]="Post",1,0)+IF(ISNUMBER(Table442431[[#This Row],[Response]])=TRUE,1,0)=2,1,"")</f>
        <v>1</v>
      </c>
      <c r="J78" s="6" t="str">
        <f>IF(IF(Table442431[[#This Row],[Pre or Post]]="Pre",1,0)+IF(ISNUMBER(Table442431[[#This Row],[Response]])=TRUE,1,0)=2,Table442431[[#This Row],[Response]],"")</f>
        <v/>
      </c>
      <c r="K78" s="6">
        <f>IF(IF(Table442431[[#This Row],[Pre or Post]]="Post",1,0)+IF(ISNUMBER(Table442431[[#This Row],[Response]])=TRUE,1,0)=2,Table442431[[#This Row],[Response]],"")</f>
        <v>4</v>
      </c>
      <c r="L78" s="6" t="str">
        <f>IF(IF(ISNUMBER(J78),1,0)+IF(ISNUMBER(K79),1,0)=2,IF(IF(C79=C78,1,0)+IF(B79=B78,1,0)+IF(D79="Post",1,0)+IF(D78="Pre",1,0)=4,Table442431[[#This Row],[Pre Total]],""),"")</f>
        <v/>
      </c>
      <c r="M78" s="6">
        <f>IF(IF(ISNUMBER(J77),1,0)+IF(ISNUMBER(Table442431[[#This Row],[Post Total]]),1,0)=2,IF(IF(Table442431[[#This Row],[Student Number]]=C77,1,0)+IF(Table442431[[#This Row],[Session]]=B77,1,0)+IF(Table442431[[#This Row],[Pre or Post]]="Post",1,0)+IF(D77="Pre",1,0)=4,Table442431[[#This Row],[Post Total]],""),"")</f>
        <v>4</v>
      </c>
      <c r="N78" s="6">
        <f>IF(IF(ISNUMBER(J77),1,0)+IF(ISNUMBER(Table442431[[#This Row],[Post Total]]),1,0)=2,IF(IF(Table442431[[#This Row],[Student Number]]=C77,1,0)+IF(Table442431[[#This Row],[Session]]=B77,1,0)+IF(Table442431[[#This Row],[Pre or Post]]="Post",1,0)+IF(D77="Pre",1,0)=4,Table442431[[#This Row],[Post Total]]-J77,""),"")</f>
        <v>2</v>
      </c>
      <c r="O78" s="6" t="b">
        <f>ISNUMBER(Table442431[[#This Row],[Change]])</f>
        <v>1</v>
      </c>
    </row>
    <row r="79" spans="1:15">
      <c r="A79" s="1" t="s">
        <v>24</v>
      </c>
      <c r="B79" s="1" t="s">
        <v>25</v>
      </c>
      <c r="C79" s="1">
        <v>14</v>
      </c>
      <c r="D79" s="1" t="s">
        <v>6</v>
      </c>
      <c r="E79" s="1">
        <v>10</v>
      </c>
      <c r="F79" s="1">
        <v>3</v>
      </c>
      <c r="G79" s="1" t="s">
        <v>8</v>
      </c>
      <c r="H79" s="5">
        <f>IF(IF(Table442431[[#This Row],[Pre or Post]]="Pre",1,0)+IF(ISNUMBER(Table442431[[#This Row],[Response]])=TRUE,1,0)=2,1,"")</f>
        <v>1</v>
      </c>
      <c r="I79" s="5" t="str">
        <f>IF(IF(Table442431[[#This Row],[Pre or Post]]="Post",1,0)+IF(ISNUMBER(Table442431[[#This Row],[Response]])=TRUE,1,0)=2,1,"")</f>
        <v/>
      </c>
      <c r="J79" s="5"/>
      <c r="K79" s="5" t="str">
        <f>IF(IF(Table442431[[#This Row],[Pre or Post]]="Post",1,0)+IF(ISNUMBER(Table442431[[#This Row],[Response]])=TRUE,1,0)=2,Table442431[[#This Row],[Response]],"")</f>
        <v/>
      </c>
      <c r="L79" s="5" t="str">
        <f>IF(IF(ISNUMBER(J79),1,0)+IF(ISNUMBER(K80),1,0)=2,IF(IF(C80=C79,1,0)+IF(B80=B79,1,0)+IF(D80="Post",1,0)+IF(D79="Pre",1,0)=4,Table442431[[#This Row],[Pre Total]],""),"")</f>
        <v/>
      </c>
      <c r="M79" s="5" t="str">
        <f>IF(IF(ISNUMBER(J78),1,0)+IF(ISNUMBER(Table442431[[#This Row],[Post Total]]),1,0)=2,IF(IF(Table442431[[#This Row],[Student Number]]=C78,1,0)+IF(Table442431[[#This Row],[Session]]=B78,1,0)+IF(Table442431[[#This Row],[Pre or Post]]="Post",1,0)+IF(D78="Pre",1,0)=4,Table442431[[#This Row],[Post Total]],""),"")</f>
        <v/>
      </c>
      <c r="N79" s="5" t="str">
        <f>IF(IF(ISNUMBER(J78),1,0)+IF(ISNUMBER(Table442431[[#This Row],[Post Total]]),1,0)=2,IF(IF(Table442431[[#This Row],[Student Number]]=C78,1,0)+IF(Table442431[[#This Row],[Session]]=B78,1,0)+IF(Table442431[[#This Row],[Pre or Post]]="Post",1,0)+IF(D78="Pre",1,0)=4,Table442431[[#This Row],[Post Total]]-J78,""),"")</f>
        <v/>
      </c>
      <c r="O79" s="5" t="b">
        <f>ISNUMBER(Table442431[[#This Row],[Change]])</f>
        <v>0</v>
      </c>
    </row>
    <row r="80" spans="1:15">
      <c r="A80" s="1" t="s">
        <v>24</v>
      </c>
      <c r="B80" s="1" t="s">
        <v>25</v>
      </c>
      <c r="C80" s="1">
        <v>14</v>
      </c>
      <c r="D80" s="1" t="s">
        <v>16</v>
      </c>
      <c r="E80" s="1">
        <v>3</v>
      </c>
      <c r="F80" s="1">
        <v>4</v>
      </c>
      <c r="G80" s="2" t="s">
        <v>8</v>
      </c>
      <c r="H80" s="5" t="str">
        <f>IF(IF(Table442431[[#This Row],[Pre or Post]]="Pre",1,0)+IF(ISNUMBER(Table442431[[#This Row],[Response]])=TRUE,1,0)=2,1,"")</f>
        <v/>
      </c>
      <c r="I80" s="5">
        <f>IF(IF(Table442431[[#This Row],[Pre or Post]]="Post",1,0)+IF(ISNUMBER(Table442431[[#This Row],[Response]])=TRUE,1,0)=2,1,"")</f>
        <v>1</v>
      </c>
      <c r="J80" s="5" t="str">
        <f>IF(IF(Table442431[[#This Row],[Pre or Post]]="Pre",1,0)+IF(ISNUMBER(Table442431[[#This Row],[Response]])=TRUE,1,0)=2,Table442431[[#This Row],[Response]],"")</f>
        <v/>
      </c>
      <c r="K80" s="5">
        <f>IF(IF(Table442431[[#This Row],[Pre or Post]]="Post",1,0)+IF(ISNUMBER(Table442431[[#This Row],[Response]])=TRUE,1,0)=2,Table442431[[#This Row],[Response]],"")</f>
        <v>4</v>
      </c>
      <c r="L80" s="5" t="str">
        <f>IF(IF(ISNUMBER(J80),1,0)+IF(ISNUMBER(K81),1,0)=2,IF(IF(C81=C80,1,0)+IF(B81=B80,1,0)+IF(D81="Post",1,0)+IF(D80="Pre",1,0)=4,Table442431[[#This Row],[Pre Total]],""),"")</f>
        <v/>
      </c>
      <c r="M80" s="5" t="str">
        <f>IF(IF(ISNUMBER(J79),1,0)+IF(ISNUMBER(Table442431[[#This Row],[Post Total]]),1,0)=2,IF(IF(Table442431[[#This Row],[Student Number]]=C79,1,0)+IF(Table442431[[#This Row],[Session]]=B79,1,0)+IF(Table442431[[#This Row],[Pre or Post]]="Post",1,0)+IF(D79="Pre",1,0)=4,Table442431[[#This Row],[Post Total]],""),"")</f>
        <v/>
      </c>
      <c r="N80" s="5" t="str">
        <f>IF(IF(ISNUMBER(J79),1,0)+IF(ISNUMBER(Table442431[[#This Row],[Post Total]]),1,0)=2,IF(IF(Table442431[[#This Row],[Student Number]]=C79,1,0)+IF(Table442431[[#This Row],[Session]]=B79,1,0)+IF(Table442431[[#This Row],[Pre or Post]]="Post",1,0)+IF(D79="Pre",1,0)=4,Table442431[[#This Row],[Post Total]]-J79,""),"")</f>
        <v/>
      </c>
      <c r="O80" s="5" t="b">
        <f>ISNUMBER(Table442431[[#This Row],[Change]])</f>
        <v>0</v>
      </c>
    </row>
    <row r="81" spans="1:15">
      <c r="A81" s="1" t="s">
        <v>24</v>
      </c>
      <c r="B81" s="1" t="s">
        <v>25</v>
      </c>
      <c r="C81" s="1">
        <v>15</v>
      </c>
      <c r="D81" s="1" t="s">
        <v>6</v>
      </c>
      <c r="E81" s="1">
        <v>10</v>
      </c>
      <c r="F81" s="1">
        <v>2</v>
      </c>
      <c r="G81" s="2" t="s">
        <v>9</v>
      </c>
      <c r="H81" s="5">
        <f>IF(IF(Table442431[[#This Row],[Pre or Post]]="Pre",1,0)+IF(ISNUMBER(Table442431[[#This Row],[Response]])=TRUE,1,0)=2,1,"")</f>
        <v>1</v>
      </c>
      <c r="I81" s="5" t="str">
        <f>IF(IF(Table442431[[#This Row],[Pre or Post]]="Post",1,0)+IF(ISNUMBER(Table442431[[#This Row],[Response]])=TRUE,1,0)=2,1,"")</f>
        <v/>
      </c>
      <c r="J81" s="5">
        <f>IF(IF(Table442431[[#This Row],[Pre or Post]]="Pre",1,0)+IF(ISNUMBER(Table442431[[#This Row],[Response]])=TRUE,1,0)=2,Table442431[[#This Row],[Response]],"")</f>
        <v>2</v>
      </c>
      <c r="K81" s="5" t="str">
        <f>IF(IF(Table442431[[#This Row],[Pre or Post]]="Post",1,0)+IF(ISNUMBER(Table442431[[#This Row],[Response]])=TRUE,1,0)=2,Table442431[[#This Row],[Response]],"")</f>
        <v/>
      </c>
      <c r="L81" s="5" t="str">
        <f>IF(IF(ISNUMBER(J81),1,0)+IF(ISNUMBER(K82),1,0)=2,IF(IF(C82=C81,1,0)+IF(B82=B81,1,0)+IF(D82="Post",1,0)+IF(D81="Pre",1,0)=4,Table442431[[#This Row],[Pre Total]],""),"")</f>
        <v/>
      </c>
      <c r="M81" s="5" t="str">
        <f>IF(IF(ISNUMBER(J80),1,0)+IF(ISNUMBER(Table442431[[#This Row],[Post Total]]),1,0)=2,IF(IF(Table442431[[#This Row],[Student Number]]=C80,1,0)+IF(Table442431[[#This Row],[Session]]=B80,1,0)+IF(Table442431[[#This Row],[Pre or Post]]="Post",1,0)+IF(D80="Pre",1,0)=4,Table442431[[#This Row],[Post Total]],""),"")</f>
        <v/>
      </c>
      <c r="N81" s="5" t="str">
        <f>IF(IF(ISNUMBER(J80),1,0)+IF(ISNUMBER(Table442431[[#This Row],[Post Total]]),1,0)=2,IF(IF(Table442431[[#This Row],[Student Number]]=C80,1,0)+IF(Table442431[[#This Row],[Session]]=B80,1,0)+IF(Table442431[[#This Row],[Pre or Post]]="Post",1,0)+IF(D80="Pre",1,0)=4,Table442431[[#This Row],[Post Total]]-J80,""),"")</f>
        <v/>
      </c>
      <c r="O81" s="5" t="b">
        <f>ISNUMBER(Table442431[[#This Row],[Change]])</f>
        <v>0</v>
      </c>
    </row>
    <row r="82" spans="1:15">
      <c r="A82" s="1" t="s">
        <v>24</v>
      </c>
      <c r="B82" s="1" t="s">
        <v>25</v>
      </c>
      <c r="C82" s="1">
        <v>16</v>
      </c>
      <c r="D82" s="1" t="s">
        <v>6</v>
      </c>
      <c r="E82" s="1">
        <v>10</v>
      </c>
      <c r="F82" s="1">
        <v>4</v>
      </c>
      <c r="G82" s="2" t="s">
        <v>9</v>
      </c>
      <c r="H82" s="5">
        <f>IF(IF(Table442431[[#This Row],[Pre or Post]]="Pre",1,0)+IF(ISNUMBER(Table442431[[#This Row],[Response]])=TRUE,1,0)=2,1,"")</f>
        <v>1</v>
      </c>
      <c r="I82" s="5" t="str">
        <f>IF(IF(Table442431[[#This Row],[Pre or Post]]="Post",1,0)+IF(ISNUMBER(Table442431[[#This Row],[Response]])=TRUE,1,0)=2,1,"")</f>
        <v/>
      </c>
      <c r="J82" s="5"/>
      <c r="K82" s="5" t="str">
        <f>IF(IF(Table442431[[#This Row],[Pre or Post]]="Post",1,0)+IF(ISNUMBER(Table442431[[#This Row],[Response]])=TRUE,1,0)=2,Table442431[[#This Row],[Response]],"")</f>
        <v/>
      </c>
      <c r="L82" s="5" t="str">
        <f>IF(IF(ISNUMBER(J82),1,0)+IF(ISNUMBER(K83),1,0)=2,IF(IF(C83=C82,1,0)+IF(B83=B82,1,0)+IF(D83="Post",1,0)+IF(D82="Pre",1,0)=4,Table442431[[#This Row],[Pre Total]],""),"")</f>
        <v/>
      </c>
      <c r="M82" s="5" t="str">
        <f>IF(IF(ISNUMBER(J81),1,0)+IF(ISNUMBER(Table442431[[#This Row],[Post Total]]),1,0)=2,IF(IF(Table442431[[#This Row],[Student Number]]=C81,1,0)+IF(Table442431[[#This Row],[Session]]=B81,1,0)+IF(Table442431[[#This Row],[Pre or Post]]="Post",1,0)+IF(D81="Pre",1,0)=4,Table442431[[#This Row],[Post Total]],""),"")</f>
        <v/>
      </c>
      <c r="N82" s="5" t="str">
        <f>IF(IF(ISNUMBER(J81),1,0)+IF(ISNUMBER(Table442431[[#This Row],[Post Total]]),1,0)=2,IF(IF(Table442431[[#This Row],[Student Number]]=C81,1,0)+IF(Table442431[[#This Row],[Session]]=B81,1,0)+IF(Table442431[[#This Row],[Pre or Post]]="Post",1,0)+IF(D81="Pre",1,0)=4,Table442431[[#This Row],[Post Total]]-J81,""),"")</f>
        <v/>
      </c>
      <c r="O82" s="5" t="b">
        <f>ISNUMBER(Table442431[[#This Row],[Change]])</f>
        <v>0</v>
      </c>
    </row>
    <row r="83" spans="1:15">
      <c r="A83" s="1" t="s">
        <v>24</v>
      </c>
      <c r="B83" s="1" t="s">
        <v>25</v>
      </c>
      <c r="C83" s="1">
        <v>17</v>
      </c>
      <c r="D83" s="1" t="s">
        <v>6</v>
      </c>
      <c r="E83" s="1">
        <v>10</v>
      </c>
      <c r="F83" s="1">
        <v>3</v>
      </c>
      <c r="G83" s="2" t="s">
        <v>9</v>
      </c>
      <c r="H83" s="5">
        <f>IF(IF(Table442431[[#This Row],[Pre or Post]]="Pre",1,0)+IF(ISNUMBER(Table442431[[#This Row],[Response]])=TRUE,1,0)=2,1,"")</f>
        <v>1</v>
      </c>
      <c r="I83" s="5" t="str">
        <f>IF(IF(Table442431[[#This Row],[Pre or Post]]="Post",1,0)+IF(ISNUMBER(Table442431[[#This Row],[Response]])=TRUE,1,0)=2,1,"")</f>
        <v/>
      </c>
      <c r="J83" s="5">
        <f>IF(IF(Table442431[[#This Row],[Pre or Post]]="Pre",1,0)+IF(ISNUMBER(Table442431[[#This Row],[Response]])=TRUE,1,0)=2,Table442431[[#This Row],[Response]],"")</f>
        <v>3</v>
      </c>
      <c r="K83" s="5" t="str">
        <f>IF(IF(Table442431[[#This Row],[Pre or Post]]="Post",1,0)+IF(ISNUMBER(Table442431[[#This Row],[Response]])=TRUE,1,0)=2,Table442431[[#This Row],[Response]],"")</f>
        <v/>
      </c>
      <c r="L83" s="5" t="str">
        <f>IF(IF(ISNUMBER(J83),1,0)+IF(ISNUMBER(K84),1,0)=2,IF(IF(C84=C83,1,0)+IF(B84=B83,1,0)+IF(D84="Post",1,0)+IF(D83="Pre",1,0)=4,Table442431[[#This Row],[Pre Total]],""),"")</f>
        <v/>
      </c>
      <c r="M83" s="5" t="str">
        <f>IF(IF(ISNUMBER(J82),1,0)+IF(ISNUMBER(Table442431[[#This Row],[Post Total]]),1,0)=2,IF(IF(Table442431[[#This Row],[Student Number]]=C82,1,0)+IF(Table442431[[#This Row],[Session]]=B82,1,0)+IF(Table442431[[#This Row],[Pre or Post]]="Post",1,0)+IF(D82="Pre",1,0)=4,Table442431[[#This Row],[Post Total]],""),"")</f>
        <v/>
      </c>
      <c r="N83" s="5" t="str">
        <f>IF(IF(ISNUMBER(J82),1,0)+IF(ISNUMBER(Table442431[[#This Row],[Post Total]]),1,0)=2,IF(IF(Table442431[[#This Row],[Student Number]]=C82,1,0)+IF(Table442431[[#This Row],[Session]]=B82,1,0)+IF(Table442431[[#This Row],[Pre or Post]]="Post",1,0)+IF(D82="Pre",1,0)=4,Table442431[[#This Row],[Post Total]]-J82,""),"")</f>
        <v/>
      </c>
      <c r="O83" s="5" t="b">
        <f>ISNUMBER(Table442431[[#This Row],[Change]])</f>
        <v>0</v>
      </c>
    </row>
    <row r="84" spans="1:15">
      <c r="A84" s="1" t="s">
        <v>24</v>
      </c>
      <c r="B84" s="1" t="s">
        <v>25</v>
      </c>
      <c r="C84" s="1">
        <v>18</v>
      </c>
      <c r="D84" s="1" t="s">
        <v>16</v>
      </c>
      <c r="E84" s="1">
        <v>3</v>
      </c>
      <c r="F84" s="1">
        <v>3</v>
      </c>
      <c r="G84" s="2" t="s">
        <v>9</v>
      </c>
      <c r="H84" s="6" t="str">
        <f>IF(IF(Table442431[[#This Row],[Pre or Post]]="Pre",1,0)+IF(ISNUMBER(Table442431[[#This Row],[Response]])=TRUE,1,0)=2,1,"")</f>
        <v/>
      </c>
      <c r="I84" s="6">
        <f>IF(IF(Table442431[[#This Row],[Pre or Post]]="Post",1,0)+IF(ISNUMBER(Table442431[[#This Row],[Response]])=TRUE,1,0)=2,1,"")</f>
        <v>1</v>
      </c>
      <c r="J84" s="6" t="str">
        <f>IF(IF(Table442431[[#This Row],[Pre or Post]]="Pre",1,0)+IF(ISNUMBER(Table442431[[#This Row],[Response]])=TRUE,1,0)=2,Table442431[[#This Row],[Response]],"")</f>
        <v/>
      </c>
      <c r="K84" s="6">
        <f>IF(IF(Table442431[[#This Row],[Pre or Post]]="Post",1,0)+IF(ISNUMBER(Table442431[[#This Row],[Response]])=TRUE,1,0)=2,Table442431[[#This Row],[Response]],"")</f>
        <v>3</v>
      </c>
      <c r="L84" s="6" t="str">
        <f>IF(IF(ISNUMBER(J84),1,0)+IF(ISNUMBER(K85),1,0)=2,IF(IF(C85=C84,1,0)+IF(B85=B84,1,0)+IF(D85="Post",1,0)+IF(D84="Pre",1,0)=4,Table442431[[#This Row],[Pre Total]],""),"")</f>
        <v/>
      </c>
      <c r="M84" s="6" t="str">
        <f>IF(IF(ISNUMBER(J83),1,0)+IF(ISNUMBER(Table442431[[#This Row],[Post Total]]),1,0)=2,IF(IF(Table442431[[#This Row],[Student Number]]=C83,1,0)+IF(Table442431[[#This Row],[Session]]=B83,1,0)+IF(Table442431[[#This Row],[Pre or Post]]="Post",1,0)+IF(D83="Pre",1,0)=4,Table442431[[#This Row],[Post Total]],""),"")</f>
        <v/>
      </c>
      <c r="N84" s="6" t="str">
        <f>IF(IF(ISNUMBER(J83),1,0)+IF(ISNUMBER(Table442431[[#This Row],[Post Total]]),1,0)=2,IF(IF(Table442431[[#This Row],[Student Number]]=C83,1,0)+IF(Table442431[[#This Row],[Session]]=B83,1,0)+IF(Table442431[[#This Row],[Pre or Post]]="Post",1,0)+IF(D83="Pre",1,0)=4,Table442431[[#This Row],[Post Total]]-J83,""),"")</f>
        <v/>
      </c>
      <c r="O84" s="6" t="b">
        <f>ISNUMBER(Table442431[[#This Row],[Change]])</f>
        <v>0</v>
      </c>
    </row>
    <row r="85" spans="1:15">
      <c r="A85" s="1" t="s">
        <v>24</v>
      </c>
      <c r="B85" s="1" t="s">
        <v>25</v>
      </c>
      <c r="C85" s="1">
        <v>19</v>
      </c>
      <c r="D85" s="1" t="s">
        <v>16</v>
      </c>
      <c r="E85" s="1">
        <v>3</v>
      </c>
      <c r="F85" s="1">
        <v>3</v>
      </c>
      <c r="G85" s="2" t="s">
        <v>9</v>
      </c>
      <c r="H85" s="5" t="str">
        <f>IF(IF(Table442431[[#This Row],[Pre or Post]]="Pre",1,0)+IF(ISNUMBER(Table442431[[#This Row],[Response]])=TRUE,1,0)=2,1,"")</f>
        <v/>
      </c>
      <c r="I85" s="5">
        <f>IF(IF(Table442431[[#This Row],[Pre or Post]]="Post",1,0)+IF(ISNUMBER(Table442431[[#This Row],[Response]])=TRUE,1,0)=2,1,"")</f>
        <v>1</v>
      </c>
      <c r="J85" s="5" t="str">
        <f>IF(IF(Table442431[[#This Row],[Pre or Post]]="Pre",1,0)+IF(ISNUMBER(Table442431[[#This Row],[Response]])=TRUE,1,0)=2,Table442431[[#This Row],[Response]],"")</f>
        <v/>
      </c>
      <c r="K85" s="5">
        <f>IF(IF(Table442431[[#This Row],[Pre or Post]]="Post",1,0)+IF(ISNUMBER(Table442431[[#This Row],[Response]])=TRUE,1,0)=2,Table442431[[#This Row],[Response]],"")</f>
        <v>3</v>
      </c>
      <c r="L85" s="5" t="str">
        <f>IF(IF(ISNUMBER(J85),1,0)+IF(ISNUMBER(K86),1,0)=2,IF(IF(C86=C85,1,0)+IF(B86=B85,1,0)+IF(D86="Post",1,0)+IF(D85="Pre",1,0)=4,Table442431[[#This Row],[Pre Total]],""),"")</f>
        <v/>
      </c>
      <c r="M85" s="5" t="str">
        <f>IF(IF(ISNUMBER(J84),1,0)+IF(ISNUMBER(Table442431[[#This Row],[Post Total]]),1,0)=2,IF(IF(Table442431[[#This Row],[Student Number]]=C84,1,0)+IF(Table442431[[#This Row],[Session]]=B84,1,0)+IF(Table442431[[#This Row],[Pre or Post]]="Post",1,0)+IF(D84="Pre",1,0)=4,Table442431[[#This Row],[Post Total]],""),"")</f>
        <v/>
      </c>
      <c r="N85" s="5" t="str">
        <f>IF(IF(ISNUMBER(J84),1,0)+IF(ISNUMBER(Table442431[[#This Row],[Post Total]]),1,0)=2,IF(IF(Table442431[[#This Row],[Student Number]]=C84,1,0)+IF(Table442431[[#This Row],[Session]]=B84,1,0)+IF(Table442431[[#This Row],[Pre or Post]]="Post",1,0)+IF(D84="Pre",1,0)=4,Table442431[[#This Row],[Post Total]]-J84,""),"")</f>
        <v/>
      </c>
      <c r="O85" s="5" t="b">
        <f>ISNUMBER(Table442431[[#This Row],[Change]])</f>
        <v>0</v>
      </c>
    </row>
    <row r="86" spans="1:15">
      <c r="A86" s="1" t="s">
        <v>24</v>
      </c>
      <c r="B86" s="1" t="s">
        <v>25</v>
      </c>
      <c r="C86" s="1">
        <v>20</v>
      </c>
      <c r="D86" s="1" t="s">
        <v>16</v>
      </c>
      <c r="E86" s="1">
        <v>3</v>
      </c>
      <c r="F86" s="1">
        <v>4</v>
      </c>
      <c r="G86" s="2" t="s">
        <v>9</v>
      </c>
      <c r="H86" s="6" t="str">
        <f>IF(IF(Table442431[[#This Row],[Pre or Post]]="Pre",1,0)+IF(ISNUMBER(Table442431[[#This Row],[Response]])=TRUE,1,0)=2,1,"")</f>
        <v/>
      </c>
      <c r="I86" s="6">
        <f>IF(IF(Table442431[[#This Row],[Pre or Post]]="Post",1,0)+IF(ISNUMBER(Table442431[[#This Row],[Response]])=TRUE,1,0)=2,1,"")</f>
        <v>1</v>
      </c>
      <c r="J86" s="6" t="str">
        <f>IF(IF(Table442431[[#This Row],[Pre or Post]]="Pre",1,0)+IF(ISNUMBER(Table442431[[#This Row],[Response]])=TRUE,1,0)=2,Table442431[[#This Row],[Response]],"")</f>
        <v/>
      </c>
      <c r="K86" s="6">
        <f>IF(IF(Table442431[[#This Row],[Pre or Post]]="Post",1,0)+IF(ISNUMBER(Table442431[[#This Row],[Response]])=TRUE,1,0)=2,Table442431[[#This Row],[Response]],"")</f>
        <v>4</v>
      </c>
      <c r="L86" s="6" t="str">
        <f>IF(IF(ISNUMBER(J86),1,0)+IF(ISNUMBER(K87),1,0)=2,IF(IF(C87=C86,1,0)+IF(B87=B86,1,0)+IF(D87="Post",1,0)+IF(D86="Pre",1,0)=4,Table442431[[#This Row],[Pre Total]],""),"")</f>
        <v/>
      </c>
      <c r="M86" s="6" t="str">
        <f>IF(IF(ISNUMBER(J85),1,0)+IF(ISNUMBER(Table442431[[#This Row],[Post Total]]),1,0)=2,IF(IF(Table442431[[#This Row],[Student Number]]=C85,1,0)+IF(Table442431[[#This Row],[Session]]=B85,1,0)+IF(Table442431[[#This Row],[Pre or Post]]="Post",1,0)+IF(D85="Pre",1,0)=4,Table442431[[#This Row],[Post Total]],""),"")</f>
        <v/>
      </c>
      <c r="N86" s="6" t="str">
        <f>IF(IF(ISNUMBER(J85),1,0)+IF(ISNUMBER(Table442431[[#This Row],[Post Total]]),1,0)=2,IF(IF(Table442431[[#This Row],[Student Number]]=C85,1,0)+IF(Table442431[[#This Row],[Session]]=B85,1,0)+IF(Table442431[[#This Row],[Pre or Post]]="Post",1,0)+IF(D85="Pre",1,0)=4,Table442431[[#This Row],[Post Total]]-J85,""),"")</f>
        <v/>
      </c>
      <c r="O86" s="6" t="b">
        <f>ISNUMBER(Table442431[[#This Row],[Change]])</f>
        <v>0</v>
      </c>
    </row>
    <row r="87" spans="1:15">
      <c r="A87" s="1" t="s">
        <v>24</v>
      </c>
      <c r="B87" s="1" t="s">
        <v>25</v>
      </c>
      <c r="C87" s="1">
        <v>21</v>
      </c>
      <c r="D87" s="1" t="s">
        <v>16</v>
      </c>
      <c r="E87" s="1">
        <v>3</v>
      </c>
      <c r="F87" s="1">
        <v>2</v>
      </c>
      <c r="G87" s="2" t="s">
        <v>9</v>
      </c>
      <c r="H87" s="5" t="str">
        <f>IF(IF(Table442431[[#This Row],[Pre or Post]]="Pre",1,0)+IF(ISNUMBER(Table442431[[#This Row],[Response]])=TRUE,1,0)=2,1,"")</f>
        <v/>
      </c>
      <c r="I87" s="5">
        <f>IF(IF(Table442431[[#This Row],[Pre or Post]]="Post",1,0)+IF(ISNUMBER(Table442431[[#This Row],[Response]])=TRUE,1,0)=2,1,"")</f>
        <v>1</v>
      </c>
      <c r="J87" s="5" t="str">
        <f>IF(IF(Table442431[[#This Row],[Pre or Post]]="Pre",1,0)+IF(ISNUMBER(Table442431[[#This Row],[Response]])=TRUE,1,0)=2,Table442431[[#This Row],[Response]],"")</f>
        <v/>
      </c>
      <c r="K87" s="5">
        <f>IF(IF(Table442431[[#This Row],[Pre or Post]]="Post",1,0)+IF(ISNUMBER(Table442431[[#This Row],[Response]])=TRUE,1,0)=2,Table442431[[#This Row],[Response]],"")</f>
        <v>2</v>
      </c>
      <c r="L87" s="5" t="str">
        <f>IF(IF(ISNUMBER(J87),1,0)+IF(ISNUMBER(K88),1,0)=2,IF(IF(C88=C87,1,0)+IF(B88=B87,1,0)+IF(D88="Post",1,0)+IF(D87="Pre",1,0)=4,Table442431[[#This Row],[Pre Total]],""),"")</f>
        <v/>
      </c>
      <c r="M87" s="5" t="str">
        <f>IF(IF(ISNUMBER(J86),1,0)+IF(ISNUMBER(Table442431[[#This Row],[Post Total]]),1,0)=2,IF(IF(Table442431[[#This Row],[Student Number]]=C86,1,0)+IF(Table442431[[#This Row],[Session]]=B86,1,0)+IF(Table442431[[#This Row],[Pre or Post]]="Post",1,0)+IF(D86="Pre",1,0)=4,Table442431[[#This Row],[Post Total]],""),"")</f>
        <v/>
      </c>
      <c r="N87" s="5" t="str">
        <f>IF(IF(ISNUMBER(J86),1,0)+IF(ISNUMBER(Table442431[[#This Row],[Post Total]]),1,0)=2,IF(IF(Table442431[[#This Row],[Student Number]]=C86,1,0)+IF(Table442431[[#This Row],[Session]]=B86,1,0)+IF(Table442431[[#This Row],[Pre or Post]]="Post",1,0)+IF(D86="Pre",1,0)=4,Table442431[[#This Row],[Post Total]]-J86,""),"")</f>
        <v/>
      </c>
      <c r="O87" s="5" t="b">
        <f>ISNUMBER(Table442431[[#This Row],[Change]])</f>
        <v>0</v>
      </c>
    </row>
    <row r="88" spans="1:15">
      <c r="A88" s="2" t="s">
        <v>24</v>
      </c>
      <c r="B88" s="2" t="s">
        <v>28</v>
      </c>
      <c r="C88" s="1">
        <v>1</v>
      </c>
      <c r="D88" s="1" t="s">
        <v>6</v>
      </c>
      <c r="E88" s="1">
        <v>10</v>
      </c>
      <c r="F88" s="1">
        <v>1</v>
      </c>
      <c r="G88" s="2" t="s">
        <v>8</v>
      </c>
      <c r="H88" s="5">
        <f>IF(IF(Table442431[[#This Row],[Pre or Post]]="Pre",1,0)+IF(ISNUMBER(Table442431[[#This Row],[Response]])=TRUE,1,0)=2,1,"")</f>
        <v>1</v>
      </c>
      <c r="I88" s="5" t="str">
        <f>IF(IF(Table442431[[#This Row],[Pre or Post]]="Post",1,0)+IF(ISNUMBER(Table442431[[#This Row],[Response]])=TRUE,1,0)=2,1,"")</f>
        <v/>
      </c>
      <c r="J88" s="5">
        <f>IF(IF(Table442431[[#This Row],[Pre or Post]]="Pre",1,0)+IF(ISNUMBER(Table442431[[#This Row],[Response]])=TRUE,1,0)=2,Table442431[[#This Row],[Response]],"")</f>
        <v>1</v>
      </c>
      <c r="K88" s="5">
        <v>4</v>
      </c>
      <c r="L88" s="5">
        <f>IF(IF(ISNUMBER(J88),1,0)+IF(ISNUMBER(K89),1,0)=2,IF(IF(C89=C88,1,0)+IF(B89=B88,1,0)+IF(D89="Post",1,0)+IF(D88="Pre",1,0)=4,Table442431[[#This Row],[Pre Total]],""),"")</f>
        <v>1</v>
      </c>
      <c r="M88" s="5" t="str">
        <f>IF(IF(ISNUMBER(J87),1,0)+IF(ISNUMBER(Table442431[[#This Row],[Post Total]]),1,0)=2,IF(IF(Table442431[[#This Row],[Student Number]]=C87,1,0)+IF(Table442431[[#This Row],[Session]]=B87,1,0)+IF(Table442431[[#This Row],[Pre or Post]]="Post",1,0)+IF(D87="Pre",1,0)=4,Table442431[[#This Row],[Post Total]],""),"")</f>
        <v/>
      </c>
      <c r="N88" s="5" t="str">
        <f>IF(IF(ISNUMBER(J87),1,0)+IF(ISNUMBER(Table442431[[#This Row],[Post Total]]),1,0)=2,IF(IF(Table442431[[#This Row],[Student Number]]=C87,1,0)+IF(Table442431[[#This Row],[Session]]=B87,1,0)+IF(Table442431[[#This Row],[Pre or Post]]="Post",1,0)+IF(D87="Pre",1,0)=4,Table442431[[#This Row],[Post Total]]-J87,""),"")</f>
        <v/>
      </c>
      <c r="O88" s="5" t="b">
        <f>ISNUMBER(Table442431[[#This Row],[Change]])</f>
        <v>0</v>
      </c>
    </row>
    <row r="89" spans="1:15">
      <c r="A89" s="2" t="s">
        <v>24</v>
      </c>
      <c r="B89" s="2" t="s">
        <v>28</v>
      </c>
      <c r="C89" s="1">
        <v>1</v>
      </c>
      <c r="D89" s="1" t="s">
        <v>16</v>
      </c>
      <c r="E89" s="1">
        <v>3</v>
      </c>
      <c r="F89" s="2">
        <v>3</v>
      </c>
      <c r="G89" s="2" t="s">
        <v>8</v>
      </c>
      <c r="H89" s="5" t="str">
        <f>IF(IF(Table442431[[#This Row],[Pre or Post]]="Pre",1,0)+IF(ISNUMBER(Table442431[[#This Row],[Response]])=TRUE,1,0)=2,1,"")</f>
        <v/>
      </c>
      <c r="I89" s="5">
        <f>IF(IF(Table442431[[#This Row],[Pre or Post]]="Post",1,0)+IF(ISNUMBER(Table442431[[#This Row],[Response]])=TRUE,1,0)=2,1,"")</f>
        <v>1</v>
      </c>
      <c r="J89" s="5" t="str">
        <f>IF(IF(Table442431[[#This Row],[Pre or Post]]="Pre",1,0)+IF(ISNUMBER(Table442431[[#This Row],[Response]])=TRUE,1,0)=2,Table442431[[#This Row],[Response]],"")</f>
        <v/>
      </c>
      <c r="K89" s="5">
        <f>IF(IF(Table442431[[#This Row],[Pre or Post]]="Post",1,0)+IF(ISNUMBER(Table442431[[#This Row],[Response]])=TRUE,1,0)=2,Table442431[[#This Row],[Response]],"")</f>
        <v>3</v>
      </c>
      <c r="L89" s="5" t="str">
        <f>IF(IF(ISNUMBER(J89),1,0)+IF(ISNUMBER(K90),1,0)=2,IF(IF(C90=C89,1,0)+IF(B90=B89,1,0)+IF(D90="Post",1,0)+IF(D89="Pre",1,0)=4,Table442431[[#This Row],[Pre Total]],""),"")</f>
        <v/>
      </c>
      <c r="M89" s="5">
        <f>IF(IF(ISNUMBER(J88),1,0)+IF(ISNUMBER(Table442431[[#This Row],[Post Total]]),1,0)=2,IF(IF(Table442431[[#This Row],[Student Number]]=C88,1,0)+IF(Table442431[[#This Row],[Session]]=B88,1,0)+IF(Table442431[[#This Row],[Pre or Post]]="Post",1,0)+IF(D88="Pre",1,0)=4,Table442431[[#This Row],[Post Total]],""),"")</f>
        <v>3</v>
      </c>
      <c r="N89" s="5">
        <f>IF(IF(ISNUMBER(J88),1,0)+IF(ISNUMBER(Table442431[[#This Row],[Post Total]]),1,0)=2,IF(IF(Table442431[[#This Row],[Student Number]]=C88,1,0)+IF(Table442431[[#This Row],[Session]]=B88,1,0)+IF(Table442431[[#This Row],[Pre or Post]]="Post",1,0)+IF(D88="Pre",1,0)=4,Table442431[[#This Row],[Post Total]]-J88,""),"")</f>
        <v>2</v>
      </c>
      <c r="O89" s="5" t="b">
        <f>ISNUMBER(Table442431[[#This Row],[Change]])</f>
        <v>1</v>
      </c>
    </row>
    <row r="90" spans="1:15">
      <c r="A90" s="2" t="s">
        <v>24</v>
      </c>
      <c r="B90" s="2" t="s">
        <v>28</v>
      </c>
      <c r="C90" s="1">
        <v>2</v>
      </c>
      <c r="D90" s="1" t="s">
        <v>6</v>
      </c>
      <c r="E90" s="1">
        <v>10</v>
      </c>
      <c r="F90" s="1">
        <v>2</v>
      </c>
      <c r="G90" s="2" t="s">
        <v>8</v>
      </c>
      <c r="H90" s="5">
        <f>IF(IF(Table442431[[#This Row],[Pre or Post]]="Pre",1,0)+IF(ISNUMBER(Table442431[[#This Row],[Response]])=TRUE,1,0)=2,1,"")</f>
        <v>1</v>
      </c>
      <c r="I90" s="5" t="str">
        <f>IF(IF(Table442431[[#This Row],[Pre or Post]]="Post",1,0)+IF(ISNUMBER(Table442431[[#This Row],[Response]])=TRUE,1,0)=2,1,"")</f>
        <v/>
      </c>
      <c r="J90" s="5">
        <f>IF(IF(Table442431[[#This Row],[Pre or Post]]="Pre",1,0)+IF(ISNUMBER(Table442431[[#This Row],[Response]])=TRUE,1,0)=2,Table442431[[#This Row],[Response]],"")</f>
        <v>2</v>
      </c>
      <c r="K90" s="5" t="str">
        <f>IF(IF(Table442431[[#This Row],[Pre or Post]]="Post",1,0)+IF(ISNUMBER(Table442431[[#This Row],[Response]])=TRUE,1,0)=2,Table442431[[#This Row],[Response]],"")</f>
        <v/>
      </c>
      <c r="L90" s="5">
        <f>IF(IF(ISNUMBER(J90),1,0)+IF(ISNUMBER(K91),1,0)=2,IF(IF(C91=C90,1,0)+IF(B91=B90,1,0)+IF(D91="Post",1,0)+IF(D90="Pre",1,0)=4,Table442431[[#This Row],[Pre Total]],""),"")</f>
        <v>2</v>
      </c>
      <c r="M90" s="5" t="str">
        <f>IF(IF(ISNUMBER(J89),1,0)+IF(ISNUMBER(Table442431[[#This Row],[Post Total]]),1,0)=2,IF(IF(Table442431[[#This Row],[Student Number]]=C89,1,0)+IF(Table442431[[#This Row],[Session]]=B89,1,0)+IF(Table442431[[#This Row],[Pre or Post]]="Post",1,0)+IF(D89="Pre",1,0)=4,Table442431[[#This Row],[Post Total]],""),"")</f>
        <v/>
      </c>
      <c r="N90" s="5" t="str">
        <f>IF(IF(ISNUMBER(J89),1,0)+IF(ISNUMBER(Table442431[[#This Row],[Post Total]]),1,0)=2,IF(IF(Table442431[[#This Row],[Student Number]]=C89,1,0)+IF(Table442431[[#This Row],[Session]]=B89,1,0)+IF(Table442431[[#This Row],[Pre or Post]]="Post",1,0)+IF(D89="Pre",1,0)=4,Table442431[[#This Row],[Post Total]]-J89,""),"")</f>
        <v/>
      </c>
      <c r="O90" s="5" t="b">
        <f>ISNUMBER(Table442431[[#This Row],[Change]])</f>
        <v>0</v>
      </c>
    </row>
    <row r="91" spans="1:15">
      <c r="A91" s="2" t="s">
        <v>24</v>
      </c>
      <c r="B91" s="2" t="s">
        <v>28</v>
      </c>
      <c r="C91" s="1">
        <v>2</v>
      </c>
      <c r="D91" s="1" t="s">
        <v>16</v>
      </c>
      <c r="E91" s="1">
        <v>3</v>
      </c>
      <c r="F91" s="2">
        <v>3</v>
      </c>
      <c r="G91" s="2" t="s">
        <v>8</v>
      </c>
      <c r="H91" s="6" t="str">
        <f>IF(IF(Table442431[[#This Row],[Pre or Post]]="Pre",1,0)+IF(ISNUMBER(Table442431[[#This Row],[Response]])=TRUE,1,0)=2,1,"")</f>
        <v/>
      </c>
      <c r="I91" s="6">
        <f>IF(IF(Table442431[[#This Row],[Pre or Post]]="Post",1,0)+IF(ISNUMBER(Table442431[[#This Row],[Response]])=TRUE,1,0)=2,1,"")</f>
        <v>1</v>
      </c>
      <c r="J91" s="6" t="str">
        <f>IF(IF(Table442431[[#This Row],[Pre or Post]]="Pre",1,0)+IF(ISNUMBER(Table442431[[#This Row],[Response]])=TRUE,1,0)=2,Table442431[[#This Row],[Response]],"")</f>
        <v/>
      </c>
      <c r="K91" s="6">
        <f>IF(IF(Table442431[[#This Row],[Pre or Post]]="Post",1,0)+IF(ISNUMBER(Table442431[[#This Row],[Response]])=TRUE,1,0)=2,Table442431[[#This Row],[Response]],"")</f>
        <v>3</v>
      </c>
      <c r="L91" s="6" t="str">
        <f>IF(IF(ISNUMBER(J91),1,0)+IF(ISNUMBER(K92),1,0)=2,IF(IF(C92=C91,1,0)+IF(B92=B91,1,0)+IF(D92="Post",1,0)+IF(D91="Pre",1,0)=4,Table442431[[#This Row],[Pre Total]],""),"")</f>
        <v/>
      </c>
      <c r="M91" s="6">
        <f>IF(IF(ISNUMBER(J90),1,0)+IF(ISNUMBER(Table442431[[#This Row],[Post Total]]),1,0)=2,IF(IF(Table442431[[#This Row],[Student Number]]=C90,1,0)+IF(Table442431[[#This Row],[Session]]=B90,1,0)+IF(Table442431[[#This Row],[Pre or Post]]="Post",1,0)+IF(D90="Pre",1,0)=4,Table442431[[#This Row],[Post Total]],""),"")</f>
        <v>3</v>
      </c>
      <c r="N91" s="6">
        <f>IF(IF(ISNUMBER(J90),1,0)+IF(ISNUMBER(Table442431[[#This Row],[Post Total]]),1,0)=2,IF(IF(Table442431[[#This Row],[Student Number]]=C90,1,0)+IF(Table442431[[#This Row],[Session]]=B90,1,0)+IF(Table442431[[#This Row],[Pre or Post]]="Post",1,0)+IF(D90="Pre",1,0)=4,Table442431[[#This Row],[Post Total]]-J90,""),"")</f>
        <v>1</v>
      </c>
      <c r="O91" s="6" t="b">
        <f>ISNUMBER(Table442431[[#This Row],[Change]])</f>
        <v>1</v>
      </c>
    </row>
    <row r="92" spans="1:15">
      <c r="A92" s="2" t="s">
        <v>24</v>
      </c>
      <c r="B92" s="2" t="s">
        <v>28</v>
      </c>
      <c r="C92" s="1">
        <v>3</v>
      </c>
      <c r="D92" s="1" t="s">
        <v>6</v>
      </c>
      <c r="E92" s="1">
        <v>10</v>
      </c>
      <c r="F92" s="1">
        <v>2</v>
      </c>
      <c r="G92" s="2" t="s">
        <v>8</v>
      </c>
      <c r="H92" s="5">
        <f>IF(IF(Table442431[[#This Row],[Pre or Post]]="Pre",1,0)+IF(ISNUMBER(Table442431[[#This Row],[Response]])=TRUE,1,0)=2,1,"")</f>
        <v>1</v>
      </c>
      <c r="I92" s="5" t="str">
        <f>IF(IF(Table442431[[#This Row],[Pre or Post]]="Post",1,0)+IF(ISNUMBER(Table442431[[#This Row],[Response]])=TRUE,1,0)=2,1,"")</f>
        <v/>
      </c>
      <c r="J92" s="5">
        <f>IF(IF(Table442431[[#This Row],[Pre or Post]]="Pre",1,0)+IF(ISNUMBER(Table442431[[#This Row],[Response]])=TRUE,1,0)=2,Table442431[[#This Row],[Response]],"")</f>
        <v>2</v>
      </c>
      <c r="K92" s="5" t="str">
        <f>IF(IF(Table442431[[#This Row],[Pre or Post]]="Post",1,0)+IF(ISNUMBER(Table442431[[#This Row],[Response]])=TRUE,1,0)=2,Table442431[[#This Row],[Response]],"")</f>
        <v/>
      </c>
      <c r="L92" s="5">
        <f>IF(IF(ISNUMBER(J92),1,0)+IF(ISNUMBER(K93),1,0)=2,IF(IF(C93=C92,1,0)+IF(B93=B92,1,0)+IF(D93="Post",1,0)+IF(D92="Pre",1,0)=4,Table442431[[#This Row],[Pre Total]],""),"")</f>
        <v>2</v>
      </c>
      <c r="M92" s="5" t="str">
        <f>IF(IF(ISNUMBER(J91),1,0)+IF(ISNUMBER(Table442431[[#This Row],[Post Total]]),1,0)=2,IF(IF(Table442431[[#This Row],[Student Number]]=C91,1,0)+IF(Table442431[[#This Row],[Session]]=B91,1,0)+IF(Table442431[[#This Row],[Pre or Post]]="Post",1,0)+IF(D91="Pre",1,0)=4,Table442431[[#This Row],[Post Total]],""),"")</f>
        <v/>
      </c>
      <c r="N92" s="5" t="str">
        <f>IF(IF(ISNUMBER(J91),1,0)+IF(ISNUMBER(Table442431[[#This Row],[Post Total]]),1,0)=2,IF(IF(Table442431[[#This Row],[Student Number]]=C91,1,0)+IF(Table442431[[#This Row],[Session]]=B91,1,0)+IF(Table442431[[#This Row],[Pre or Post]]="Post",1,0)+IF(D91="Pre",1,0)=4,Table442431[[#This Row],[Post Total]]-J91,""),"")</f>
        <v/>
      </c>
      <c r="O92" s="5" t="b">
        <f>ISNUMBER(Table442431[[#This Row],[Change]])</f>
        <v>0</v>
      </c>
    </row>
    <row r="93" spans="1:15">
      <c r="A93" s="2" t="s">
        <v>24</v>
      </c>
      <c r="B93" s="2" t="s">
        <v>28</v>
      </c>
      <c r="C93" s="1">
        <v>3</v>
      </c>
      <c r="D93" s="1" t="s">
        <v>16</v>
      </c>
      <c r="E93" s="1">
        <v>3</v>
      </c>
      <c r="F93" s="2">
        <v>2</v>
      </c>
      <c r="G93" s="2" t="s">
        <v>8</v>
      </c>
      <c r="H93" s="6" t="str">
        <f>IF(IF(Table442431[[#This Row],[Pre or Post]]="Pre",1,0)+IF(ISNUMBER(Table442431[[#This Row],[Response]])=TRUE,1,0)=2,1,"")</f>
        <v/>
      </c>
      <c r="I93" s="6">
        <f>IF(IF(Table442431[[#This Row],[Pre or Post]]="Post",1,0)+IF(ISNUMBER(Table442431[[#This Row],[Response]])=TRUE,1,0)=2,1,"")</f>
        <v>1</v>
      </c>
      <c r="J93" s="6" t="str">
        <f>IF(IF(Table442431[[#This Row],[Pre or Post]]="Pre",1,0)+IF(ISNUMBER(Table442431[[#This Row],[Response]])=TRUE,1,0)=2,Table442431[[#This Row],[Response]],"")</f>
        <v/>
      </c>
      <c r="K93" s="6">
        <f>IF(IF(Table442431[[#This Row],[Pre or Post]]="Post",1,0)+IF(ISNUMBER(Table442431[[#This Row],[Response]])=TRUE,1,0)=2,Table442431[[#This Row],[Response]],"")</f>
        <v>2</v>
      </c>
      <c r="L93" s="6" t="str">
        <f>IF(IF(ISNUMBER(J93),1,0)+IF(ISNUMBER(K94),1,0)=2,IF(IF(C94=C93,1,0)+IF(B94=B93,1,0)+IF(D94="Post",1,0)+IF(D93="Pre",1,0)=4,Table442431[[#This Row],[Pre Total]],""),"")</f>
        <v/>
      </c>
      <c r="M93" s="6">
        <f>IF(IF(ISNUMBER(J92),1,0)+IF(ISNUMBER(Table442431[[#This Row],[Post Total]]),1,0)=2,IF(IF(Table442431[[#This Row],[Student Number]]=C92,1,0)+IF(Table442431[[#This Row],[Session]]=B92,1,0)+IF(Table442431[[#This Row],[Pre or Post]]="Post",1,0)+IF(D92="Pre",1,0)=4,Table442431[[#This Row],[Post Total]],""),"")</f>
        <v>2</v>
      </c>
      <c r="N93" s="6">
        <f>IF(IF(ISNUMBER(J92),1,0)+IF(ISNUMBER(Table442431[[#This Row],[Post Total]]),1,0)=2,IF(IF(Table442431[[#This Row],[Student Number]]=C92,1,0)+IF(Table442431[[#This Row],[Session]]=B92,1,0)+IF(Table442431[[#This Row],[Pre or Post]]="Post",1,0)+IF(D92="Pre",1,0)=4,Table442431[[#This Row],[Post Total]]-J92,""),"")</f>
        <v>0</v>
      </c>
      <c r="O93" s="6" t="b">
        <f>ISNUMBER(Table442431[[#This Row],[Change]])</f>
        <v>1</v>
      </c>
    </row>
    <row r="94" spans="1:15">
      <c r="A94" s="2" t="s">
        <v>24</v>
      </c>
      <c r="B94" s="2" t="s">
        <v>28</v>
      </c>
      <c r="C94" s="1">
        <v>4</v>
      </c>
      <c r="D94" s="1" t="s">
        <v>6</v>
      </c>
      <c r="E94" s="1">
        <v>10</v>
      </c>
      <c r="F94" s="1">
        <v>3</v>
      </c>
      <c r="G94" s="2" t="s">
        <v>8</v>
      </c>
      <c r="H94" s="5">
        <f>IF(IF(Table442431[[#This Row],[Pre or Post]]="Pre",1,0)+IF(ISNUMBER(Table442431[[#This Row],[Response]])=TRUE,1,0)=2,1,"")</f>
        <v>1</v>
      </c>
      <c r="I94" s="5" t="str">
        <f>IF(IF(Table442431[[#This Row],[Pre or Post]]="Post",1,0)+IF(ISNUMBER(Table442431[[#This Row],[Response]])=TRUE,1,0)=2,1,"")</f>
        <v/>
      </c>
      <c r="J94" s="5">
        <f>IF(IF(Table442431[[#This Row],[Pre or Post]]="Pre",1,0)+IF(ISNUMBER(Table442431[[#This Row],[Response]])=TRUE,1,0)=2,Table442431[[#This Row],[Response]],"")</f>
        <v>3</v>
      </c>
      <c r="K94" s="5" t="str">
        <f>IF(IF(Table442431[[#This Row],[Pre or Post]]="Post",1,0)+IF(ISNUMBER(Table442431[[#This Row],[Response]])=TRUE,1,0)=2,Table442431[[#This Row],[Response]],"")</f>
        <v/>
      </c>
      <c r="L94" s="5">
        <f>IF(IF(ISNUMBER(J94),1,0)+IF(ISNUMBER(K95),1,0)=2,IF(IF(C95=C94,1,0)+IF(B95=B94,1,0)+IF(D95="Post",1,0)+IF(D94="Pre",1,0)=4,Table442431[[#This Row],[Pre Total]],""),"")</f>
        <v>3</v>
      </c>
      <c r="M94" s="5" t="str">
        <f>IF(IF(ISNUMBER(J93),1,0)+IF(ISNUMBER(Table442431[[#This Row],[Post Total]]),1,0)=2,IF(IF(Table442431[[#This Row],[Student Number]]=C93,1,0)+IF(Table442431[[#This Row],[Session]]=B93,1,0)+IF(Table442431[[#This Row],[Pre or Post]]="Post",1,0)+IF(D93="Pre",1,0)=4,Table442431[[#This Row],[Post Total]],""),"")</f>
        <v/>
      </c>
      <c r="N94" s="5" t="str">
        <f>IF(IF(ISNUMBER(J93),1,0)+IF(ISNUMBER(Table442431[[#This Row],[Post Total]]),1,0)=2,IF(IF(Table442431[[#This Row],[Student Number]]=C93,1,0)+IF(Table442431[[#This Row],[Session]]=B93,1,0)+IF(Table442431[[#This Row],[Pre or Post]]="Post",1,0)+IF(D93="Pre",1,0)=4,Table442431[[#This Row],[Post Total]]-J93,""),"")</f>
        <v/>
      </c>
      <c r="O94" s="5" t="b">
        <f>ISNUMBER(Table442431[[#This Row],[Change]])</f>
        <v>0</v>
      </c>
    </row>
    <row r="95" spans="1:15">
      <c r="A95" s="2" t="s">
        <v>24</v>
      </c>
      <c r="B95" s="2" t="s">
        <v>28</v>
      </c>
      <c r="C95" s="1">
        <v>4</v>
      </c>
      <c r="D95" s="1" t="s">
        <v>16</v>
      </c>
      <c r="E95" s="1">
        <v>3</v>
      </c>
      <c r="F95" s="2">
        <v>4</v>
      </c>
      <c r="G95" s="2" t="s">
        <v>8</v>
      </c>
      <c r="H95" s="6" t="str">
        <f>IF(IF(Table442431[[#This Row],[Pre or Post]]="Pre",1,0)+IF(ISNUMBER(Table442431[[#This Row],[Response]])=TRUE,1,0)=2,1,"")</f>
        <v/>
      </c>
      <c r="I95" s="6">
        <f>IF(IF(Table442431[[#This Row],[Pre or Post]]="Post",1,0)+IF(ISNUMBER(Table442431[[#This Row],[Response]])=TRUE,1,0)=2,1,"")</f>
        <v>1</v>
      </c>
      <c r="J95" s="6" t="str">
        <f>IF(IF(Table442431[[#This Row],[Pre or Post]]="Pre",1,0)+IF(ISNUMBER(Table442431[[#This Row],[Response]])=TRUE,1,0)=2,Table442431[[#This Row],[Response]],"")</f>
        <v/>
      </c>
      <c r="K95" s="6">
        <f>IF(IF(Table442431[[#This Row],[Pre or Post]]="Post",1,0)+IF(ISNUMBER(Table442431[[#This Row],[Response]])=TRUE,1,0)=2,Table442431[[#This Row],[Response]],"")</f>
        <v>4</v>
      </c>
      <c r="L95" s="6" t="str">
        <f>IF(IF(ISNUMBER(J95),1,0)+IF(ISNUMBER(K96),1,0)=2,IF(IF(C96=C95,1,0)+IF(B96=B95,1,0)+IF(D96="Post",1,0)+IF(D95="Pre",1,0)=4,Table442431[[#This Row],[Pre Total]],""),"")</f>
        <v/>
      </c>
      <c r="M95" s="6">
        <f>IF(IF(ISNUMBER(J94),1,0)+IF(ISNUMBER(Table442431[[#This Row],[Post Total]]),1,0)=2,IF(IF(Table442431[[#This Row],[Student Number]]=C94,1,0)+IF(Table442431[[#This Row],[Session]]=B94,1,0)+IF(Table442431[[#This Row],[Pre or Post]]="Post",1,0)+IF(D94="Pre",1,0)=4,Table442431[[#This Row],[Post Total]],""),"")</f>
        <v>4</v>
      </c>
      <c r="N95" s="6">
        <f>IF(IF(ISNUMBER(J94),1,0)+IF(ISNUMBER(Table442431[[#This Row],[Post Total]]),1,0)=2,IF(IF(Table442431[[#This Row],[Student Number]]=C94,1,0)+IF(Table442431[[#This Row],[Session]]=B94,1,0)+IF(Table442431[[#This Row],[Pre or Post]]="Post",1,0)+IF(D94="Pre",1,0)=4,Table442431[[#This Row],[Post Total]]-J94,""),"")</f>
        <v>1</v>
      </c>
      <c r="O95" s="6" t="b">
        <f>ISNUMBER(Table442431[[#This Row],[Change]])</f>
        <v>1</v>
      </c>
    </row>
    <row r="96" spans="1:15">
      <c r="A96" s="2" t="s">
        <v>24</v>
      </c>
      <c r="B96" s="2" t="s">
        <v>28</v>
      </c>
      <c r="C96" s="1">
        <v>5</v>
      </c>
      <c r="D96" s="1" t="s">
        <v>6</v>
      </c>
      <c r="E96" s="1">
        <v>10</v>
      </c>
      <c r="F96" s="1">
        <v>3</v>
      </c>
      <c r="G96" s="2" t="s">
        <v>8</v>
      </c>
      <c r="H96" s="5">
        <f>IF(IF(Table442431[[#This Row],[Pre or Post]]="Pre",1,0)+IF(ISNUMBER(Table442431[[#This Row],[Response]])=TRUE,1,0)=2,1,"")</f>
        <v>1</v>
      </c>
      <c r="I96" s="5" t="str">
        <f>IF(IF(Table442431[[#This Row],[Pre or Post]]="Post",1,0)+IF(ISNUMBER(Table442431[[#This Row],[Response]])=TRUE,1,0)=2,1,"")</f>
        <v/>
      </c>
      <c r="J96" s="5">
        <f>IF(IF(Table442431[[#This Row],[Pre or Post]]="Pre",1,0)+IF(ISNUMBER(Table442431[[#This Row],[Response]])=TRUE,1,0)=2,Table442431[[#This Row],[Response]],"")</f>
        <v>3</v>
      </c>
      <c r="K96" s="5" t="str">
        <f>IF(IF(Table442431[[#This Row],[Pre or Post]]="Post",1,0)+IF(ISNUMBER(Table442431[[#This Row],[Response]])=TRUE,1,0)=2,Table442431[[#This Row],[Response]],"")</f>
        <v/>
      </c>
      <c r="L96" s="5">
        <f>IF(IF(ISNUMBER(J96),1,0)+IF(ISNUMBER(K97),1,0)=2,IF(IF(C97=C96,1,0)+IF(B97=B96,1,0)+IF(D97="Post",1,0)+IF(D96="Pre",1,0)=4,Table442431[[#This Row],[Pre Total]],""),"")</f>
        <v>3</v>
      </c>
      <c r="M96" s="5" t="str">
        <f>IF(IF(ISNUMBER(J95),1,0)+IF(ISNUMBER(Table442431[[#This Row],[Post Total]]),1,0)=2,IF(IF(Table442431[[#This Row],[Student Number]]=C95,1,0)+IF(Table442431[[#This Row],[Session]]=B95,1,0)+IF(Table442431[[#This Row],[Pre or Post]]="Post",1,0)+IF(D95="Pre",1,0)=4,Table442431[[#This Row],[Post Total]],""),"")</f>
        <v/>
      </c>
      <c r="N96" s="5" t="str">
        <f>IF(IF(ISNUMBER(J95),1,0)+IF(ISNUMBER(Table442431[[#This Row],[Post Total]]),1,0)=2,IF(IF(Table442431[[#This Row],[Student Number]]=C95,1,0)+IF(Table442431[[#This Row],[Session]]=B95,1,0)+IF(Table442431[[#This Row],[Pre or Post]]="Post",1,0)+IF(D95="Pre",1,0)=4,Table442431[[#This Row],[Post Total]]-J95,""),"")</f>
        <v/>
      </c>
      <c r="O96" s="5" t="b">
        <f>ISNUMBER(Table442431[[#This Row],[Change]])</f>
        <v>0</v>
      </c>
    </row>
    <row r="97" spans="1:15">
      <c r="A97" s="2" t="s">
        <v>24</v>
      </c>
      <c r="B97" s="2" t="s">
        <v>28</v>
      </c>
      <c r="C97" s="1">
        <v>5</v>
      </c>
      <c r="D97" s="1" t="s">
        <v>16</v>
      </c>
      <c r="E97" s="1">
        <v>3</v>
      </c>
      <c r="F97" s="2">
        <v>3</v>
      </c>
      <c r="G97" s="2" t="s">
        <v>8</v>
      </c>
      <c r="H97" s="6" t="str">
        <f>IF(IF(Table442431[[#This Row],[Pre or Post]]="Pre",1,0)+IF(ISNUMBER(Table442431[[#This Row],[Response]])=TRUE,1,0)=2,1,"")</f>
        <v/>
      </c>
      <c r="I97" s="6">
        <f>IF(IF(Table442431[[#This Row],[Pre or Post]]="Post",1,0)+IF(ISNUMBER(Table442431[[#This Row],[Response]])=TRUE,1,0)=2,1,"")</f>
        <v>1</v>
      </c>
      <c r="J97" s="6" t="str">
        <f>IF(IF(Table442431[[#This Row],[Pre or Post]]="Pre",1,0)+IF(ISNUMBER(Table442431[[#This Row],[Response]])=TRUE,1,0)=2,Table442431[[#This Row],[Response]],"")</f>
        <v/>
      </c>
      <c r="K97" s="6">
        <f>IF(IF(Table442431[[#This Row],[Pre or Post]]="Post",1,0)+IF(ISNUMBER(Table442431[[#This Row],[Response]])=TRUE,1,0)=2,Table442431[[#This Row],[Response]],"")</f>
        <v>3</v>
      </c>
      <c r="L97" s="6" t="str">
        <f>IF(IF(ISNUMBER(J97),1,0)+IF(ISNUMBER(K98),1,0)=2,IF(IF(C98=C97,1,0)+IF(B98=B97,1,0)+IF(D98="Post",1,0)+IF(D97="Pre",1,0)=4,Table442431[[#This Row],[Pre Total]],""),"")</f>
        <v/>
      </c>
      <c r="M97" s="6">
        <f>IF(IF(ISNUMBER(J96),1,0)+IF(ISNUMBER(Table442431[[#This Row],[Post Total]]),1,0)=2,IF(IF(Table442431[[#This Row],[Student Number]]=C96,1,0)+IF(Table442431[[#This Row],[Session]]=B96,1,0)+IF(Table442431[[#This Row],[Pre or Post]]="Post",1,0)+IF(D96="Pre",1,0)=4,Table442431[[#This Row],[Post Total]],""),"")</f>
        <v>3</v>
      </c>
      <c r="N97" s="6">
        <f>IF(IF(ISNUMBER(J96),1,0)+IF(ISNUMBER(Table442431[[#This Row],[Post Total]]),1,0)=2,IF(IF(Table442431[[#This Row],[Student Number]]=C96,1,0)+IF(Table442431[[#This Row],[Session]]=B96,1,0)+IF(Table442431[[#This Row],[Pre or Post]]="Post",1,0)+IF(D96="Pre",1,0)=4,Table442431[[#This Row],[Post Total]]-J96,""),"")</f>
        <v>0</v>
      </c>
      <c r="O97" s="6" t="b">
        <f>ISNUMBER(Table442431[[#This Row],[Change]])</f>
        <v>1</v>
      </c>
    </row>
    <row r="98" spans="1:15">
      <c r="A98" s="2" t="s">
        <v>24</v>
      </c>
      <c r="B98" s="2" t="s">
        <v>28</v>
      </c>
      <c r="C98" s="1">
        <v>6</v>
      </c>
      <c r="D98" s="1" t="s">
        <v>6</v>
      </c>
      <c r="E98" s="1">
        <v>10</v>
      </c>
      <c r="F98" s="1">
        <v>2</v>
      </c>
      <c r="G98" s="2" t="s">
        <v>8</v>
      </c>
      <c r="H98" s="5">
        <f>IF(IF(Table442431[[#This Row],[Pre or Post]]="Pre",1,0)+IF(ISNUMBER(Table442431[[#This Row],[Response]])=TRUE,1,0)=2,1,"")</f>
        <v>1</v>
      </c>
      <c r="I98" s="5" t="str">
        <f>IF(IF(Table442431[[#This Row],[Pre or Post]]="Post",1,0)+IF(ISNUMBER(Table442431[[#This Row],[Response]])=TRUE,1,0)=2,1,"")</f>
        <v/>
      </c>
      <c r="J98" s="5">
        <f>IF(IF(Table442431[[#This Row],[Pre or Post]]="Pre",1,0)+IF(ISNUMBER(Table442431[[#This Row],[Response]])=TRUE,1,0)=2,Table442431[[#This Row],[Response]],"")</f>
        <v>2</v>
      </c>
      <c r="K98" s="5" t="str">
        <f>IF(IF(Table442431[[#This Row],[Pre or Post]]="Post",1,0)+IF(ISNUMBER(Table442431[[#This Row],[Response]])=TRUE,1,0)=2,Table442431[[#This Row],[Response]],"")</f>
        <v/>
      </c>
      <c r="L98" s="5">
        <f>IF(IF(ISNUMBER(J98),1,0)+IF(ISNUMBER(K99),1,0)=2,IF(IF(C99=C98,1,0)+IF(B99=B98,1,0)+IF(D99="Post",1,0)+IF(D98="Pre",1,0)=4,Table442431[[#This Row],[Pre Total]],""),"")</f>
        <v>2</v>
      </c>
      <c r="M98" s="5" t="str">
        <f>IF(IF(ISNUMBER(J97),1,0)+IF(ISNUMBER(Table442431[[#This Row],[Post Total]]),1,0)=2,IF(IF(Table442431[[#This Row],[Student Number]]=C97,1,0)+IF(Table442431[[#This Row],[Session]]=B97,1,0)+IF(Table442431[[#This Row],[Pre or Post]]="Post",1,0)+IF(D97="Pre",1,0)=4,Table442431[[#This Row],[Post Total]],""),"")</f>
        <v/>
      </c>
      <c r="N98" s="5" t="str">
        <f>IF(IF(ISNUMBER(J97),1,0)+IF(ISNUMBER(Table442431[[#This Row],[Post Total]]),1,0)=2,IF(IF(Table442431[[#This Row],[Student Number]]=C97,1,0)+IF(Table442431[[#This Row],[Session]]=B97,1,0)+IF(Table442431[[#This Row],[Pre or Post]]="Post",1,0)+IF(D97="Pre",1,0)=4,Table442431[[#This Row],[Post Total]]-J97,""),"")</f>
        <v/>
      </c>
      <c r="O98" s="5" t="b">
        <f>ISNUMBER(Table442431[[#This Row],[Change]])</f>
        <v>0</v>
      </c>
    </row>
    <row r="99" spans="1:15">
      <c r="A99" s="2" t="s">
        <v>24</v>
      </c>
      <c r="B99" s="2" t="s">
        <v>28</v>
      </c>
      <c r="C99" s="1">
        <v>6</v>
      </c>
      <c r="D99" s="1" t="s">
        <v>16</v>
      </c>
      <c r="E99" s="1">
        <v>3</v>
      </c>
      <c r="F99" s="2">
        <v>4</v>
      </c>
      <c r="G99" s="2" t="s">
        <v>8</v>
      </c>
      <c r="H99" s="6" t="str">
        <f>IF(IF(Table442431[[#This Row],[Pre or Post]]="Pre",1,0)+IF(ISNUMBER(Table442431[[#This Row],[Response]])=TRUE,1,0)=2,1,"")</f>
        <v/>
      </c>
      <c r="I99" s="6">
        <f>IF(IF(Table442431[[#This Row],[Pre or Post]]="Post",1,0)+IF(ISNUMBER(Table442431[[#This Row],[Response]])=TRUE,1,0)=2,1,"")</f>
        <v>1</v>
      </c>
      <c r="J99" s="6" t="str">
        <f>IF(IF(Table442431[[#This Row],[Pre or Post]]="Pre",1,0)+IF(ISNUMBER(Table442431[[#This Row],[Response]])=TRUE,1,0)=2,Table442431[[#This Row],[Response]],"")</f>
        <v/>
      </c>
      <c r="K99" s="6">
        <f>IF(IF(Table442431[[#This Row],[Pre or Post]]="Post",1,0)+IF(ISNUMBER(Table442431[[#This Row],[Response]])=TRUE,1,0)=2,Table442431[[#This Row],[Response]],"")</f>
        <v>4</v>
      </c>
      <c r="L99" s="6" t="str">
        <f>IF(IF(ISNUMBER(J99),1,0)+IF(ISNUMBER(K100),1,0)=2,IF(IF(C100=C99,1,0)+IF(B100=B99,1,0)+IF(D100="Post",1,0)+IF(D99="Pre",1,0)=4,Table442431[[#This Row],[Pre Total]],""),"")</f>
        <v/>
      </c>
      <c r="M99" s="6">
        <f>IF(IF(ISNUMBER(J98),1,0)+IF(ISNUMBER(Table442431[[#This Row],[Post Total]]),1,0)=2,IF(IF(Table442431[[#This Row],[Student Number]]=C98,1,0)+IF(Table442431[[#This Row],[Session]]=B98,1,0)+IF(Table442431[[#This Row],[Pre or Post]]="Post",1,0)+IF(D98="Pre",1,0)=4,Table442431[[#This Row],[Post Total]],""),"")</f>
        <v>4</v>
      </c>
      <c r="N99" s="6">
        <f>IF(IF(ISNUMBER(J98),1,0)+IF(ISNUMBER(Table442431[[#This Row],[Post Total]]),1,0)=2,IF(IF(Table442431[[#This Row],[Student Number]]=C98,1,0)+IF(Table442431[[#This Row],[Session]]=B98,1,0)+IF(Table442431[[#This Row],[Pre or Post]]="Post",1,0)+IF(D98="Pre",1,0)=4,Table442431[[#This Row],[Post Total]]-J98,""),"")</f>
        <v>2</v>
      </c>
      <c r="O99" s="6" t="b">
        <f>ISNUMBER(Table442431[[#This Row],[Change]])</f>
        <v>1</v>
      </c>
    </row>
    <row r="100" spans="1:15">
      <c r="A100" s="2" t="s">
        <v>24</v>
      </c>
      <c r="B100" s="2" t="s">
        <v>28</v>
      </c>
      <c r="C100" s="1">
        <v>7</v>
      </c>
      <c r="D100" s="1" t="s">
        <v>6</v>
      </c>
      <c r="E100" s="1">
        <v>10</v>
      </c>
      <c r="F100" s="1">
        <v>2</v>
      </c>
      <c r="G100" s="2" t="s">
        <v>8</v>
      </c>
      <c r="H100" s="5">
        <f>IF(IF(Table442431[[#This Row],[Pre or Post]]="Pre",1,0)+IF(ISNUMBER(Table442431[[#This Row],[Response]])=TRUE,1,0)=2,1,"")</f>
        <v>1</v>
      </c>
      <c r="I100" s="5" t="str">
        <f>IF(IF(Table442431[[#This Row],[Pre or Post]]="Post",1,0)+IF(ISNUMBER(Table442431[[#This Row],[Response]])=TRUE,1,0)=2,1,"")</f>
        <v/>
      </c>
      <c r="J100" s="5">
        <f>IF(IF(Table442431[[#This Row],[Pre or Post]]="Pre",1,0)+IF(ISNUMBER(Table442431[[#This Row],[Response]])=TRUE,1,0)=2,Table442431[[#This Row],[Response]],"")</f>
        <v>2</v>
      </c>
      <c r="K100" s="5" t="str">
        <f>IF(IF(Table442431[[#This Row],[Pre or Post]]="Post",1,0)+IF(ISNUMBER(Table442431[[#This Row],[Response]])=TRUE,1,0)=2,Table442431[[#This Row],[Response]],"")</f>
        <v/>
      </c>
      <c r="L100" s="5">
        <f>IF(IF(ISNUMBER(J100),1,0)+IF(ISNUMBER(K101),1,0)=2,IF(IF(C101=C100,1,0)+IF(B101=B100,1,0)+IF(D101="Post",1,0)+IF(D100="Pre",1,0)=4,Table442431[[#This Row],[Pre Total]],""),"")</f>
        <v>2</v>
      </c>
      <c r="M100" s="5" t="str">
        <f>IF(IF(ISNUMBER(J99),1,0)+IF(ISNUMBER(Table442431[[#This Row],[Post Total]]),1,0)=2,IF(IF(Table442431[[#This Row],[Student Number]]=C99,1,0)+IF(Table442431[[#This Row],[Session]]=B99,1,0)+IF(Table442431[[#This Row],[Pre or Post]]="Post",1,0)+IF(D99="Pre",1,0)=4,Table442431[[#This Row],[Post Total]],""),"")</f>
        <v/>
      </c>
      <c r="N100" s="5" t="str">
        <f>IF(IF(ISNUMBER(J99),1,0)+IF(ISNUMBER(Table442431[[#This Row],[Post Total]]),1,0)=2,IF(IF(Table442431[[#This Row],[Student Number]]=C99,1,0)+IF(Table442431[[#This Row],[Session]]=B99,1,0)+IF(Table442431[[#This Row],[Pre or Post]]="Post",1,0)+IF(D99="Pre",1,0)=4,Table442431[[#This Row],[Post Total]]-J99,""),"")</f>
        <v/>
      </c>
      <c r="O100" s="5" t="b">
        <f>ISNUMBER(Table442431[[#This Row],[Change]])</f>
        <v>0</v>
      </c>
    </row>
    <row r="101" spans="1:15">
      <c r="A101" s="2" t="s">
        <v>24</v>
      </c>
      <c r="B101" s="2" t="s">
        <v>28</v>
      </c>
      <c r="C101" s="1">
        <v>7</v>
      </c>
      <c r="D101" s="1" t="s">
        <v>16</v>
      </c>
      <c r="E101" s="1">
        <v>3</v>
      </c>
      <c r="F101" s="2">
        <v>2</v>
      </c>
      <c r="G101" s="2" t="s">
        <v>8</v>
      </c>
      <c r="H101" s="6" t="str">
        <f>IF(IF(Table442431[[#This Row],[Pre or Post]]="Pre",1,0)+IF(ISNUMBER(Table442431[[#This Row],[Response]])=TRUE,1,0)=2,1,"")</f>
        <v/>
      </c>
      <c r="I101" s="6">
        <f>IF(IF(Table442431[[#This Row],[Pre or Post]]="Post",1,0)+IF(ISNUMBER(Table442431[[#This Row],[Response]])=TRUE,1,0)=2,1,"")</f>
        <v>1</v>
      </c>
      <c r="J101" s="6" t="str">
        <f>IF(IF(Table442431[[#This Row],[Pre or Post]]="Pre",1,0)+IF(ISNUMBER(Table442431[[#This Row],[Response]])=TRUE,1,0)=2,Table442431[[#This Row],[Response]],"")</f>
        <v/>
      </c>
      <c r="K101" s="6">
        <f>IF(IF(Table442431[[#This Row],[Pre or Post]]="Post",1,0)+IF(ISNUMBER(Table442431[[#This Row],[Response]])=TRUE,1,0)=2,Table442431[[#This Row],[Response]],"")</f>
        <v>2</v>
      </c>
      <c r="L101" s="6" t="str">
        <f>IF(IF(ISNUMBER(J101),1,0)+IF(ISNUMBER(K102),1,0)=2,IF(IF(C102=C101,1,0)+IF(B102=B101,1,0)+IF(D102="Post",1,0)+IF(D101="Pre",1,0)=4,Table442431[[#This Row],[Pre Total]],""),"")</f>
        <v/>
      </c>
      <c r="M101" s="6">
        <f>IF(IF(ISNUMBER(J100),1,0)+IF(ISNUMBER(Table442431[[#This Row],[Post Total]]),1,0)=2,IF(IF(Table442431[[#This Row],[Student Number]]=C100,1,0)+IF(Table442431[[#This Row],[Session]]=B100,1,0)+IF(Table442431[[#This Row],[Pre or Post]]="Post",1,0)+IF(D100="Pre",1,0)=4,Table442431[[#This Row],[Post Total]],""),"")</f>
        <v>2</v>
      </c>
      <c r="N101" s="6">
        <f>IF(IF(ISNUMBER(J100),1,0)+IF(ISNUMBER(Table442431[[#This Row],[Post Total]]),1,0)=2,IF(IF(Table442431[[#This Row],[Student Number]]=C100,1,0)+IF(Table442431[[#This Row],[Session]]=B100,1,0)+IF(Table442431[[#This Row],[Pre or Post]]="Post",1,0)+IF(D100="Pre",1,0)=4,Table442431[[#This Row],[Post Total]]-J100,""),"")</f>
        <v>0</v>
      </c>
      <c r="O101" s="6" t="b">
        <f>ISNUMBER(Table442431[[#This Row],[Change]])</f>
        <v>1</v>
      </c>
    </row>
    <row r="102" spans="1:15">
      <c r="A102" s="2" t="s">
        <v>24</v>
      </c>
      <c r="B102" s="2" t="s">
        <v>28</v>
      </c>
      <c r="C102" s="1">
        <v>8</v>
      </c>
      <c r="D102" s="1" t="s">
        <v>6</v>
      </c>
      <c r="E102" s="1">
        <v>10</v>
      </c>
      <c r="F102" s="1">
        <v>2</v>
      </c>
      <c r="G102" s="2" t="s">
        <v>8</v>
      </c>
      <c r="H102" s="5">
        <f>IF(IF(Table442431[[#This Row],[Pre or Post]]="Pre",1,0)+IF(ISNUMBER(Table442431[[#This Row],[Response]])=TRUE,1,0)=2,1,"")</f>
        <v>1</v>
      </c>
      <c r="I102" s="5" t="str">
        <f>IF(IF(Table442431[[#This Row],[Pre or Post]]="Post",1,0)+IF(ISNUMBER(Table442431[[#This Row],[Response]])=TRUE,1,0)=2,1,"")</f>
        <v/>
      </c>
      <c r="J102" s="5">
        <f>IF(IF(Table442431[[#This Row],[Pre or Post]]="Pre",1,0)+IF(ISNUMBER(Table442431[[#This Row],[Response]])=TRUE,1,0)=2,Table442431[[#This Row],[Response]],"")</f>
        <v>2</v>
      </c>
      <c r="K102" s="5" t="str">
        <f>IF(IF(Table442431[[#This Row],[Pre or Post]]="Post",1,0)+IF(ISNUMBER(Table442431[[#This Row],[Response]])=TRUE,1,0)=2,Table442431[[#This Row],[Response]],"")</f>
        <v/>
      </c>
      <c r="L102" s="5">
        <f>IF(IF(ISNUMBER(J102),1,0)+IF(ISNUMBER(K103),1,0)=2,IF(IF(C103=C102,1,0)+IF(B103=B102,1,0)+IF(D103="Post",1,0)+IF(D102="Pre",1,0)=4,Table442431[[#This Row],[Pre Total]],""),"")</f>
        <v>2</v>
      </c>
      <c r="M102" s="5" t="str">
        <f>IF(IF(ISNUMBER(J101),1,0)+IF(ISNUMBER(Table442431[[#This Row],[Post Total]]),1,0)=2,IF(IF(Table442431[[#This Row],[Student Number]]=C101,1,0)+IF(Table442431[[#This Row],[Session]]=B101,1,0)+IF(Table442431[[#This Row],[Pre or Post]]="Post",1,0)+IF(D101="Pre",1,0)=4,Table442431[[#This Row],[Post Total]],""),"")</f>
        <v/>
      </c>
      <c r="N102" s="5" t="str">
        <f>IF(IF(ISNUMBER(J101),1,0)+IF(ISNUMBER(Table442431[[#This Row],[Post Total]]),1,0)=2,IF(IF(Table442431[[#This Row],[Student Number]]=C101,1,0)+IF(Table442431[[#This Row],[Session]]=B101,1,0)+IF(Table442431[[#This Row],[Pre or Post]]="Post",1,0)+IF(D101="Pre",1,0)=4,Table442431[[#This Row],[Post Total]]-J101,""),"")</f>
        <v/>
      </c>
      <c r="O102" s="5" t="b">
        <f>ISNUMBER(Table442431[[#This Row],[Change]])</f>
        <v>0</v>
      </c>
    </row>
    <row r="103" spans="1:15">
      <c r="A103" s="2" t="s">
        <v>24</v>
      </c>
      <c r="B103" s="2" t="s">
        <v>28</v>
      </c>
      <c r="C103" s="1">
        <v>8</v>
      </c>
      <c r="D103" s="1" t="s">
        <v>16</v>
      </c>
      <c r="E103" s="1">
        <v>3</v>
      </c>
      <c r="F103" s="1">
        <v>3</v>
      </c>
      <c r="G103" s="2" t="s">
        <v>8</v>
      </c>
      <c r="H103" s="6" t="str">
        <f>IF(IF(Table442431[[#This Row],[Pre or Post]]="Pre",1,0)+IF(ISNUMBER(Table442431[[#This Row],[Response]])=TRUE,1,0)=2,1,"")</f>
        <v/>
      </c>
      <c r="I103" s="6">
        <f>IF(IF(Table442431[[#This Row],[Pre or Post]]="Post",1,0)+IF(ISNUMBER(Table442431[[#This Row],[Response]])=TRUE,1,0)=2,1,"")</f>
        <v>1</v>
      </c>
      <c r="J103" s="6" t="str">
        <f>IF(IF(Table442431[[#This Row],[Pre or Post]]="Pre",1,0)+IF(ISNUMBER(Table442431[[#This Row],[Response]])=TRUE,1,0)=2,Table442431[[#This Row],[Response]],"")</f>
        <v/>
      </c>
      <c r="K103" s="6">
        <f>IF(IF(Table442431[[#This Row],[Pre or Post]]="Post",1,0)+IF(ISNUMBER(Table442431[[#This Row],[Response]])=TRUE,1,0)=2,Table442431[[#This Row],[Response]],"")</f>
        <v>3</v>
      </c>
      <c r="L103" s="6" t="str">
        <f>IF(IF(ISNUMBER(J103),1,0)+IF(ISNUMBER(K104),1,0)=2,IF(IF(C104=C103,1,0)+IF(B104=B103,1,0)+IF(D104="Post",1,0)+IF(D103="Pre",1,0)=4,Table442431[[#This Row],[Pre Total]],""),"")</f>
        <v/>
      </c>
      <c r="M103" s="6">
        <f>IF(IF(ISNUMBER(J102),1,0)+IF(ISNUMBER(Table442431[[#This Row],[Post Total]]),1,0)=2,IF(IF(Table442431[[#This Row],[Student Number]]=C102,1,0)+IF(Table442431[[#This Row],[Session]]=B102,1,0)+IF(Table442431[[#This Row],[Pre or Post]]="Post",1,0)+IF(D102="Pre",1,0)=4,Table442431[[#This Row],[Post Total]],""),"")</f>
        <v>3</v>
      </c>
      <c r="N103" s="6">
        <f>IF(IF(ISNUMBER(J102),1,0)+IF(ISNUMBER(Table442431[[#This Row],[Post Total]]),1,0)=2,IF(IF(Table442431[[#This Row],[Student Number]]=C102,1,0)+IF(Table442431[[#This Row],[Session]]=B102,1,0)+IF(Table442431[[#This Row],[Pre or Post]]="Post",1,0)+IF(D102="Pre",1,0)=4,Table442431[[#This Row],[Post Total]]-J102,""),"")</f>
        <v>1</v>
      </c>
      <c r="O103" s="6" t="b">
        <f>ISNUMBER(Table442431[[#This Row],[Change]])</f>
        <v>1</v>
      </c>
    </row>
    <row r="104" spans="1:15">
      <c r="A104" s="2" t="s">
        <v>24</v>
      </c>
      <c r="B104" s="2" t="s">
        <v>28</v>
      </c>
      <c r="C104" s="1">
        <v>9</v>
      </c>
      <c r="D104" s="1" t="s">
        <v>6</v>
      </c>
      <c r="E104" s="1">
        <v>10</v>
      </c>
      <c r="F104" s="1">
        <v>3</v>
      </c>
      <c r="G104" s="2" t="s">
        <v>8</v>
      </c>
      <c r="H104" s="5">
        <f>IF(IF(Table442431[[#This Row],[Pre or Post]]="Pre",1,0)+IF(ISNUMBER(Table442431[[#This Row],[Response]])=TRUE,1,0)=2,1,"")</f>
        <v>1</v>
      </c>
      <c r="I104" s="5" t="str">
        <f>IF(IF(Table442431[[#This Row],[Pre or Post]]="Post",1,0)+IF(ISNUMBER(Table442431[[#This Row],[Response]])=TRUE,1,0)=2,1,"")</f>
        <v/>
      </c>
      <c r="J104" s="5">
        <f>IF(IF(Table442431[[#This Row],[Pre or Post]]="Pre",1,0)+IF(ISNUMBER(Table442431[[#This Row],[Response]])=TRUE,1,0)=2,Table442431[[#This Row],[Response]],"")</f>
        <v>3</v>
      </c>
      <c r="K104" s="5" t="str">
        <f>IF(IF(Table442431[[#This Row],[Pre or Post]]="Post",1,0)+IF(ISNUMBER(Table442431[[#This Row],[Response]])=TRUE,1,0)=2,Table442431[[#This Row],[Response]],"")</f>
        <v/>
      </c>
      <c r="L104" s="5">
        <f>IF(IF(ISNUMBER(J104),1,0)+IF(ISNUMBER(K105),1,0)=2,IF(IF(C105=C104,1,0)+IF(B105=B104,1,0)+IF(D105="Post",1,0)+IF(D104="Pre",1,0)=4,Table442431[[#This Row],[Pre Total]],""),"")</f>
        <v>3</v>
      </c>
      <c r="M104" s="5" t="str">
        <f>IF(IF(ISNUMBER(J103),1,0)+IF(ISNUMBER(Table442431[[#This Row],[Post Total]]),1,0)=2,IF(IF(Table442431[[#This Row],[Student Number]]=C103,1,0)+IF(Table442431[[#This Row],[Session]]=B103,1,0)+IF(Table442431[[#This Row],[Pre or Post]]="Post",1,0)+IF(D103="Pre",1,0)=4,Table442431[[#This Row],[Post Total]],""),"")</f>
        <v/>
      </c>
      <c r="N104" s="5" t="str">
        <f>IF(IF(ISNUMBER(J103),1,0)+IF(ISNUMBER(Table442431[[#This Row],[Post Total]]),1,0)=2,IF(IF(Table442431[[#This Row],[Student Number]]=C103,1,0)+IF(Table442431[[#This Row],[Session]]=B103,1,0)+IF(Table442431[[#This Row],[Pre or Post]]="Post",1,0)+IF(D103="Pre",1,0)=4,Table442431[[#This Row],[Post Total]]-J103,""),"")</f>
        <v/>
      </c>
      <c r="O104" s="5" t="b">
        <f>ISNUMBER(Table442431[[#This Row],[Change]])</f>
        <v>0</v>
      </c>
    </row>
    <row r="105" spans="1:15">
      <c r="A105" s="2" t="s">
        <v>24</v>
      </c>
      <c r="B105" s="2" t="s">
        <v>28</v>
      </c>
      <c r="C105" s="1">
        <v>9</v>
      </c>
      <c r="D105" s="1" t="s">
        <v>16</v>
      </c>
      <c r="E105" s="1">
        <v>3</v>
      </c>
      <c r="F105" s="1">
        <v>3</v>
      </c>
      <c r="G105" s="2" t="s">
        <v>8</v>
      </c>
      <c r="H105" s="6" t="str">
        <f>IF(IF(Table442431[[#This Row],[Pre or Post]]="Pre",1,0)+IF(ISNUMBER(Table442431[[#This Row],[Response]])=TRUE,1,0)=2,1,"")</f>
        <v/>
      </c>
      <c r="I105" s="6">
        <f>IF(IF(Table442431[[#This Row],[Pre or Post]]="Post",1,0)+IF(ISNUMBER(Table442431[[#This Row],[Response]])=TRUE,1,0)=2,1,"")</f>
        <v>1</v>
      </c>
      <c r="J105" s="6" t="str">
        <f>IF(IF(Table442431[[#This Row],[Pre or Post]]="Pre",1,0)+IF(ISNUMBER(Table442431[[#This Row],[Response]])=TRUE,1,0)=2,Table442431[[#This Row],[Response]],"")</f>
        <v/>
      </c>
      <c r="K105" s="6">
        <f>IF(IF(Table442431[[#This Row],[Pre or Post]]="Post",1,0)+IF(ISNUMBER(Table442431[[#This Row],[Response]])=TRUE,1,0)=2,Table442431[[#This Row],[Response]],"")</f>
        <v>3</v>
      </c>
      <c r="L105" s="6" t="str">
        <f>IF(IF(ISNUMBER(J105),1,0)+IF(ISNUMBER(K106),1,0)=2,IF(IF(C106=C105,1,0)+IF(B106=B105,1,0)+IF(D106="Post",1,0)+IF(D105="Pre",1,0)=4,Table442431[[#This Row],[Pre Total]],""),"")</f>
        <v/>
      </c>
      <c r="M105" s="6">
        <f>IF(IF(ISNUMBER(J104),1,0)+IF(ISNUMBER(Table442431[[#This Row],[Post Total]]),1,0)=2,IF(IF(Table442431[[#This Row],[Student Number]]=C104,1,0)+IF(Table442431[[#This Row],[Session]]=B104,1,0)+IF(Table442431[[#This Row],[Pre or Post]]="Post",1,0)+IF(D104="Pre",1,0)=4,Table442431[[#This Row],[Post Total]],""),"")</f>
        <v>3</v>
      </c>
      <c r="N105" s="6">
        <f>IF(IF(ISNUMBER(J104),1,0)+IF(ISNUMBER(Table442431[[#This Row],[Post Total]]),1,0)=2,IF(IF(Table442431[[#This Row],[Student Number]]=C104,1,0)+IF(Table442431[[#This Row],[Session]]=B104,1,0)+IF(Table442431[[#This Row],[Pre or Post]]="Post",1,0)+IF(D104="Pre",1,0)=4,Table442431[[#This Row],[Post Total]]-J104,""),"")</f>
        <v>0</v>
      </c>
      <c r="O105" s="6" t="b">
        <f>ISNUMBER(Table442431[[#This Row],[Change]])</f>
        <v>1</v>
      </c>
    </row>
    <row r="106" spans="1:15">
      <c r="A106" s="2" t="s">
        <v>24</v>
      </c>
      <c r="B106" s="2" t="s">
        <v>28</v>
      </c>
      <c r="C106" s="1">
        <v>10</v>
      </c>
      <c r="D106" s="1" t="s">
        <v>6</v>
      </c>
      <c r="E106" s="1">
        <v>10</v>
      </c>
      <c r="F106" s="1">
        <v>3</v>
      </c>
      <c r="G106" s="2" t="s">
        <v>8</v>
      </c>
      <c r="H106" s="5">
        <f>IF(IF(Table442431[[#This Row],[Pre or Post]]="Pre",1,0)+IF(ISNUMBER(Table442431[[#This Row],[Response]])=TRUE,1,0)=2,1,"")</f>
        <v>1</v>
      </c>
      <c r="I106" s="5" t="str">
        <f>IF(IF(Table442431[[#This Row],[Pre or Post]]="Post",1,0)+IF(ISNUMBER(Table442431[[#This Row],[Response]])=TRUE,1,0)=2,1,"")</f>
        <v/>
      </c>
      <c r="J106" s="5">
        <f>IF(IF(Table442431[[#This Row],[Pre or Post]]="Pre",1,0)+IF(ISNUMBER(Table442431[[#This Row],[Response]])=TRUE,1,0)=2,Table442431[[#This Row],[Response]],"")</f>
        <v>3</v>
      </c>
      <c r="K106" s="5" t="str">
        <f>IF(IF(Table442431[[#This Row],[Pre or Post]]="Post",1,0)+IF(ISNUMBER(Table442431[[#This Row],[Response]])=TRUE,1,0)=2,Table442431[[#This Row],[Response]],"")</f>
        <v/>
      </c>
      <c r="L106" s="5">
        <f>IF(IF(ISNUMBER(J106),1,0)+IF(ISNUMBER(K107),1,0)=2,IF(IF(C107=C106,1,0)+IF(B107=B106,1,0)+IF(D107="Post",1,0)+IF(D106="Pre",1,0)=4,Table442431[[#This Row],[Pre Total]],""),"")</f>
        <v>3</v>
      </c>
      <c r="M106" s="5" t="str">
        <f>IF(IF(ISNUMBER(J105),1,0)+IF(ISNUMBER(Table442431[[#This Row],[Post Total]]),1,0)=2,IF(IF(Table442431[[#This Row],[Student Number]]=C105,1,0)+IF(Table442431[[#This Row],[Session]]=B105,1,0)+IF(Table442431[[#This Row],[Pre or Post]]="Post",1,0)+IF(D105="Pre",1,0)=4,Table442431[[#This Row],[Post Total]],""),"")</f>
        <v/>
      </c>
      <c r="N106" s="5" t="str">
        <f>IF(IF(ISNUMBER(J105),1,0)+IF(ISNUMBER(Table442431[[#This Row],[Post Total]]),1,0)=2,IF(IF(Table442431[[#This Row],[Student Number]]=C105,1,0)+IF(Table442431[[#This Row],[Session]]=B105,1,0)+IF(Table442431[[#This Row],[Pre or Post]]="Post",1,0)+IF(D105="Pre",1,0)=4,Table442431[[#This Row],[Post Total]]-J105,""),"")</f>
        <v/>
      </c>
      <c r="O106" s="5" t="b">
        <f>ISNUMBER(Table442431[[#This Row],[Change]])</f>
        <v>0</v>
      </c>
    </row>
    <row r="107" spans="1:15">
      <c r="A107" s="2" t="s">
        <v>24</v>
      </c>
      <c r="B107" s="2" t="s">
        <v>28</v>
      </c>
      <c r="C107" s="1">
        <v>10</v>
      </c>
      <c r="D107" s="1" t="s">
        <v>16</v>
      </c>
      <c r="E107" s="1">
        <v>3</v>
      </c>
      <c r="F107" s="1">
        <v>4</v>
      </c>
      <c r="G107" s="2" t="s">
        <v>8</v>
      </c>
      <c r="H107" s="6" t="str">
        <f>IF(IF(Table442431[[#This Row],[Pre or Post]]="Pre",1,0)+IF(ISNUMBER(Table442431[[#This Row],[Response]])=TRUE,1,0)=2,1,"")</f>
        <v/>
      </c>
      <c r="I107" s="6">
        <f>IF(IF(Table442431[[#This Row],[Pre or Post]]="Post",1,0)+IF(ISNUMBER(Table442431[[#This Row],[Response]])=TRUE,1,0)=2,1,"")</f>
        <v>1</v>
      </c>
      <c r="J107" s="6" t="str">
        <f>IF(IF(Table442431[[#This Row],[Pre or Post]]="Pre",1,0)+IF(ISNUMBER(Table442431[[#This Row],[Response]])=TRUE,1,0)=2,Table442431[[#This Row],[Response]],"")</f>
        <v/>
      </c>
      <c r="K107" s="6">
        <f>IF(IF(Table442431[[#This Row],[Pre or Post]]="Post",1,0)+IF(ISNUMBER(Table442431[[#This Row],[Response]])=TRUE,1,0)=2,Table442431[[#This Row],[Response]],"")</f>
        <v>4</v>
      </c>
      <c r="L107" s="6" t="str">
        <f>IF(IF(ISNUMBER(J107),1,0)+IF(ISNUMBER(K108),1,0)=2,IF(IF(C108=C107,1,0)+IF(B108=B107,1,0)+IF(D108="Post",1,0)+IF(D107="Pre",1,0)=4,Table442431[[#This Row],[Pre Total]],""),"")</f>
        <v/>
      </c>
      <c r="M107" s="6">
        <f>IF(IF(ISNUMBER(J106),1,0)+IF(ISNUMBER(Table442431[[#This Row],[Post Total]]),1,0)=2,IF(IF(Table442431[[#This Row],[Student Number]]=C106,1,0)+IF(Table442431[[#This Row],[Session]]=B106,1,0)+IF(Table442431[[#This Row],[Pre or Post]]="Post",1,0)+IF(D106="Pre",1,0)=4,Table442431[[#This Row],[Post Total]],""),"")</f>
        <v>4</v>
      </c>
      <c r="N107" s="6">
        <f>IF(IF(ISNUMBER(J106),1,0)+IF(ISNUMBER(Table442431[[#This Row],[Post Total]]),1,0)=2,IF(IF(Table442431[[#This Row],[Student Number]]=C106,1,0)+IF(Table442431[[#This Row],[Session]]=B106,1,0)+IF(Table442431[[#This Row],[Pre or Post]]="Post",1,0)+IF(D106="Pre",1,0)=4,Table442431[[#This Row],[Post Total]]-J106,""),"")</f>
        <v>1</v>
      </c>
      <c r="O107" s="6" t="b">
        <f>ISNUMBER(Table442431[[#This Row],[Change]])</f>
        <v>1</v>
      </c>
    </row>
    <row r="108" spans="1:15">
      <c r="A108" s="2" t="s">
        <v>24</v>
      </c>
      <c r="B108" s="2" t="s">
        <v>28</v>
      </c>
      <c r="C108" s="1">
        <v>11</v>
      </c>
      <c r="D108" s="1" t="s">
        <v>6</v>
      </c>
      <c r="E108" s="1">
        <v>10</v>
      </c>
      <c r="F108" s="1">
        <v>3</v>
      </c>
      <c r="G108" s="2" t="s">
        <v>8</v>
      </c>
      <c r="H108" s="5">
        <f>IF(IF(Table442431[[#This Row],[Pre or Post]]="Pre",1,0)+IF(ISNUMBER(Table442431[[#This Row],[Response]])=TRUE,1,0)=2,1,"")</f>
        <v>1</v>
      </c>
      <c r="I108" s="5" t="str">
        <f>IF(IF(Table442431[[#This Row],[Pre or Post]]="Post",1,0)+IF(ISNUMBER(Table442431[[#This Row],[Response]])=TRUE,1,0)=2,1,"")</f>
        <v/>
      </c>
      <c r="J108" s="5">
        <f>IF(IF(Table442431[[#This Row],[Pre or Post]]="Pre",1,0)+IF(ISNUMBER(Table442431[[#This Row],[Response]])=TRUE,1,0)=2,Table442431[[#This Row],[Response]],"")</f>
        <v>3</v>
      </c>
      <c r="K108" s="5" t="str">
        <f>IF(IF(Table442431[[#This Row],[Pre or Post]]="Post",1,0)+IF(ISNUMBER(Table442431[[#This Row],[Response]])=TRUE,1,0)=2,Table442431[[#This Row],[Response]],"")</f>
        <v/>
      </c>
      <c r="L108" s="5">
        <f>IF(IF(ISNUMBER(J108),1,0)+IF(ISNUMBER(K109),1,0)=2,IF(IF(C109=C108,1,0)+IF(B109=B108,1,0)+IF(D109="Post",1,0)+IF(D108="Pre",1,0)=4,Table442431[[#This Row],[Pre Total]],""),"")</f>
        <v>3</v>
      </c>
      <c r="M108" s="5" t="str">
        <f>IF(IF(ISNUMBER(J107),1,0)+IF(ISNUMBER(Table442431[[#This Row],[Post Total]]),1,0)=2,IF(IF(Table442431[[#This Row],[Student Number]]=C107,1,0)+IF(Table442431[[#This Row],[Session]]=B107,1,0)+IF(Table442431[[#This Row],[Pre or Post]]="Post",1,0)+IF(D107="Pre",1,0)=4,Table442431[[#This Row],[Post Total]],""),"")</f>
        <v/>
      </c>
      <c r="N108" s="5" t="str">
        <f>IF(IF(ISNUMBER(J107),1,0)+IF(ISNUMBER(Table442431[[#This Row],[Post Total]]),1,0)=2,IF(IF(Table442431[[#This Row],[Student Number]]=C107,1,0)+IF(Table442431[[#This Row],[Session]]=B107,1,0)+IF(Table442431[[#This Row],[Pre or Post]]="Post",1,0)+IF(D107="Pre",1,0)=4,Table442431[[#This Row],[Post Total]]-J107,""),"")</f>
        <v/>
      </c>
      <c r="O108" s="5" t="b">
        <f>ISNUMBER(Table442431[[#This Row],[Change]])</f>
        <v>0</v>
      </c>
    </row>
    <row r="109" spans="1:15" s="15" customFormat="1">
      <c r="A109" s="2" t="s">
        <v>24</v>
      </c>
      <c r="B109" s="2" t="s">
        <v>28</v>
      </c>
      <c r="C109" s="1">
        <v>11</v>
      </c>
      <c r="D109" s="1" t="s">
        <v>16</v>
      </c>
      <c r="E109" s="1">
        <v>3</v>
      </c>
      <c r="F109" s="1">
        <v>2</v>
      </c>
      <c r="G109" s="2" t="s">
        <v>8</v>
      </c>
      <c r="H109" s="6" t="str">
        <f>IF(IF(Table442431[[#This Row],[Pre or Post]]="Pre",1,0)+IF(ISNUMBER(Table442431[[#This Row],[Response]])=TRUE,1,0)=2,1,"")</f>
        <v/>
      </c>
      <c r="I109" s="6">
        <f>IF(IF(Table442431[[#This Row],[Pre or Post]]="Post",1,0)+IF(ISNUMBER(Table442431[[#This Row],[Response]])=TRUE,1,0)=2,1,"")</f>
        <v>1</v>
      </c>
      <c r="J109" s="6" t="str">
        <f>IF(IF(Table442431[[#This Row],[Pre or Post]]="Pre",1,0)+IF(ISNUMBER(Table442431[[#This Row],[Response]])=TRUE,1,0)=2,Table442431[[#This Row],[Response]],"")</f>
        <v/>
      </c>
      <c r="K109" s="6">
        <f>IF(IF(Table442431[[#This Row],[Pre or Post]]="Post",1,0)+IF(ISNUMBER(Table442431[[#This Row],[Response]])=TRUE,1,0)=2,Table442431[[#This Row],[Response]],"")</f>
        <v>2</v>
      </c>
      <c r="L109" s="6" t="str">
        <f>IF(IF(ISNUMBER(J109),1,0)+IF(ISNUMBER(K110),1,0)=2,IF(IF(C110=C109,1,0)+IF(B110=B109,1,0)+IF(D110="Post",1,0)+IF(D109="Pre",1,0)=4,Table442431[[#This Row],[Pre Total]],""),"")</f>
        <v/>
      </c>
      <c r="M109" s="6">
        <f>IF(IF(ISNUMBER(J108),1,0)+IF(ISNUMBER(Table442431[[#This Row],[Post Total]]),1,0)=2,IF(IF(Table442431[[#This Row],[Student Number]]=C108,1,0)+IF(Table442431[[#This Row],[Session]]=B108,1,0)+IF(Table442431[[#This Row],[Pre or Post]]="Post",1,0)+IF(D108="Pre",1,0)=4,Table442431[[#This Row],[Post Total]],""),"")</f>
        <v>2</v>
      </c>
      <c r="N109" s="6">
        <f>IF(IF(ISNUMBER(J108),1,0)+IF(ISNUMBER(Table442431[[#This Row],[Post Total]]),1,0)=2,IF(IF(Table442431[[#This Row],[Student Number]]=C108,1,0)+IF(Table442431[[#This Row],[Session]]=B108,1,0)+IF(Table442431[[#This Row],[Pre or Post]]="Post",1,0)+IF(D108="Pre",1,0)=4,Table442431[[#This Row],[Post Total]]-J108,""),"")</f>
        <v>-1</v>
      </c>
      <c r="O109" s="6" t="b">
        <f>ISNUMBER(Table442431[[#This Row],[Change]])</f>
        <v>1</v>
      </c>
    </row>
    <row r="110" spans="1:15">
      <c r="A110" s="2" t="s">
        <v>24</v>
      </c>
      <c r="B110" s="2" t="s">
        <v>28</v>
      </c>
      <c r="C110" s="1">
        <v>12</v>
      </c>
      <c r="D110" s="1" t="s">
        <v>6</v>
      </c>
      <c r="E110" s="1">
        <v>10</v>
      </c>
      <c r="F110" s="2">
        <v>2</v>
      </c>
      <c r="G110" s="2" t="s">
        <v>8</v>
      </c>
      <c r="H110" s="5">
        <f>IF(IF(Table442431[[#This Row],[Pre or Post]]="Pre",1,0)+IF(ISNUMBER(Table442431[[#This Row],[Response]])=TRUE,1,0)=2,1,"")</f>
        <v>1</v>
      </c>
      <c r="I110" s="5" t="str">
        <f>IF(IF(Table442431[[#This Row],[Pre or Post]]="Post",1,0)+IF(ISNUMBER(Table442431[[#This Row],[Response]])=TRUE,1,0)=2,1,"")</f>
        <v/>
      </c>
      <c r="J110" s="5">
        <f>IF(IF(Table442431[[#This Row],[Pre or Post]]="Pre",1,0)+IF(ISNUMBER(Table442431[[#This Row],[Response]])=TRUE,1,0)=2,Table442431[[#This Row],[Response]],"")</f>
        <v>2</v>
      </c>
      <c r="K110" s="5" t="str">
        <f>IF(IF(Table442431[[#This Row],[Pre or Post]]="Post",1,0)+IF(ISNUMBER(Table442431[[#This Row],[Response]])=TRUE,1,0)=2,Table442431[[#This Row],[Response]],"")</f>
        <v/>
      </c>
      <c r="L110" s="5">
        <f>IF(IF(ISNUMBER(J110),1,0)+IF(ISNUMBER(K111),1,0)=2,IF(IF(C111=C110,1,0)+IF(B111=B110,1,0)+IF(D111="Post",1,0)+IF(D110="Pre",1,0)=4,Table442431[[#This Row],[Pre Total]],""),"")</f>
        <v>2</v>
      </c>
      <c r="M110" s="5" t="str">
        <f>IF(IF(ISNUMBER(J109),1,0)+IF(ISNUMBER(Table442431[[#This Row],[Post Total]]),1,0)=2,IF(IF(Table442431[[#This Row],[Student Number]]=C109,1,0)+IF(Table442431[[#This Row],[Session]]=B109,1,0)+IF(Table442431[[#This Row],[Pre or Post]]="Post",1,0)+IF(D109="Pre",1,0)=4,Table442431[[#This Row],[Post Total]],""),"")</f>
        <v/>
      </c>
      <c r="N110" s="5" t="str">
        <f>IF(IF(ISNUMBER(J109),1,0)+IF(ISNUMBER(Table442431[[#This Row],[Post Total]]),1,0)=2,IF(IF(Table442431[[#This Row],[Student Number]]=C109,1,0)+IF(Table442431[[#This Row],[Session]]=B109,1,0)+IF(Table442431[[#This Row],[Pre or Post]]="Post",1,0)+IF(D109="Pre",1,0)=4,Table442431[[#This Row],[Post Total]]-J109,""),"")</f>
        <v/>
      </c>
      <c r="O110" s="5" t="b">
        <f>ISNUMBER(Table442431[[#This Row],[Change]])</f>
        <v>0</v>
      </c>
    </row>
    <row r="111" spans="1:15">
      <c r="A111" s="2" t="s">
        <v>24</v>
      </c>
      <c r="B111" s="2" t="s">
        <v>28</v>
      </c>
      <c r="C111" s="1">
        <v>12</v>
      </c>
      <c r="D111" s="1" t="s">
        <v>16</v>
      </c>
      <c r="E111" s="1">
        <v>3</v>
      </c>
      <c r="F111" s="1">
        <v>3</v>
      </c>
      <c r="G111" s="2" t="s">
        <v>8</v>
      </c>
      <c r="H111" s="6" t="str">
        <f>IF(IF(Table442431[[#This Row],[Pre or Post]]="Pre",1,0)+IF(ISNUMBER(Table442431[[#This Row],[Response]])=TRUE,1,0)=2,1,"")</f>
        <v/>
      </c>
      <c r="I111" s="6">
        <f>IF(IF(Table442431[[#This Row],[Pre or Post]]="Post",1,0)+IF(ISNUMBER(Table442431[[#This Row],[Response]])=TRUE,1,0)=2,1,"")</f>
        <v>1</v>
      </c>
      <c r="J111" s="6" t="str">
        <f>IF(IF(Table442431[[#This Row],[Pre or Post]]="Pre",1,0)+IF(ISNUMBER(Table442431[[#This Row],[Response]])=TRUE,1,0)=2,Table442431[[#This Row],[Response]],"")</f>
        <v/>
      </c>
      <c r="K111" s="6">
        <f>IF(IF(Table442431[[#This Row],[Pre or Post]]="Post",1,0)+IF(ISNUMBER(Table442431[[#This Row],[Response]])=TRUE,1,0)=2,Table442431[[#This Row],[Response]],"")</f>
        <v>3</v>
      </c>
      <c r="L111" s="6" t="str">
        <f>IF(IF(ISNUMBER(J111),1,0)+IF(ISNUMBER(K112),1,0)=2,IF(IF(C112=C111,1,0)+IF(B112=B111,1,0)+IF(D112="Post",1,0)+IF(D111="Pre",1,0)=4,Table442431[[#This Row],[Pre Total]],""),"")</f>
        <v/>
      </c>
      <c r="M111" s="6">
        <f>IF(IF(ISNUMBER(J110),1,0)+IF(ISNUMBER(Table442431[[#This Row],[Post Total]]),1,0)=2,IF(IF(Table442431[[#This Row],[Student Number]]=C110,1,0)+IF(Table442431[[#This Row],[Session]]=B110,1,0)+IF(Table442431[[#This Row],[Pre or Post]]="Post",1,0)+IF(D110="Pre",1,0)=4,Table442431[[#This Row],[Post Total]],""),"")</f>
        <v>3</v>
      </c>
      <c r="N111" s="6">
        <f>IF(IF(ISNUMBER(J110),1,0)+IF(ISNUMBER(Table442431[[#This Row],[Post Total]]),1,0)=2,IF(IF(Table442431[[#This Row],[Student Number]]=C110,1,0)+IF(Table442431[[#This Row],[Session]]=B110,1,0)+IF(Table442431[[#This Row],[Pre or Post]]="Post",1,0)+IF(D110="Pre",1,0)=4,Table442431[[#This Row],[Post Total]]-J110,""),"")</f>
        <v>1</v>
      </c>
      <c r="O111" s="6" t="b">
        <f>ISNUMBER(Table442431[[#This Row],[Change]])</f>
        <v>1</v>
      </c>
    </row>
    <row r="112" spans="1:15">
      <c r="A112" s="2" t="s">
        <v>24</v>
      </c>
      <c r="B112" s="2" t="s">
        <v>28</v>
      </c>
      <c r="C112" s="1">
        <v>13</v>
      </c>
      <c r="D112" s="1" t="s">
        <v>6</v>
      </c>
      <c r="E112" s="1">
        <v>10</v>
      </c>
      <c r="F112" s="2">
        <v>3</v>
      </c>
      <c r="G112" s="2" t="s">
        <v>8</v>
      </c>
      <c r="H112" s="5">
        <f>IF(IF(Table442431[[#This Row],[Pre or Post]]="Pre",1,0)+IF(ISNUMBER(Table442431[[#This Row],[Response]])=TRUE,1,0)=2,1,"")</f>
        <v>1</v>
      </c>
      <c r="I112" s="5" t="str">
        <f>IF(IF(Table442431[[#This Row],[Pre or Post]]="Post",1,0)+IF(ISNUMBER(Table442431[[#This Row],[Response]])=TRUE,1,0)=2,1,"")</f>
        <v/>
      </c>
      <c r="J112" s="5">
        <f>IF(IF(Table442431[[#This Row],[Pre or Post]]="Pre",1,0)+IF(ISNUMBER(Table442431[[#This Row],[Response]])=TRUE,1,0)=2,Table442431[[#This Row],[Response]],"")</f>
        <v>3</v>
      </c>
      <c r="K112" s="5" t="str">
        <f>IF(IF(Table442431[[#This Row],[Pre or Post]]="Post",1,0)+IF(ISNUMBER(Table442431[[#This Row],[Response]])=TRUE,1,0)=2,Table442431[[#This Row],[Response]],"")</f>
        <v/>
      </c>
      <c r="L112" s="5">
        <f>IF(IF(ISNUMBER(J112),1,0)+IF(ISNUMBER(K113),1,0)=2,IF(IF(C113=C112,1,0)+IF(B113=B112,1,0)+IF(D113="Post",1,0)+IF(D112="Pre",1,0)=4,Table442431[[#This Row],[Pre Total]],""),"")</f>
        <v>3</v>
      </c>
      <c r="M112" s="5" t="str">
        <f>IF(IF(ISNUMBER(J111),1,0)+IF(ISNUMBER(Table442431[[#This Row],[Post Total]]),1,0)=2,IF(IF(Table442431[[#This Row],[Student Number]]=C111,1,0)+IF(Table442431[[#This Row],[Session]]=B111,1,0)+IF(Table442431[[#This Row],[Pre or Post]]="Post",1,0)+IF(D111="Pre",1,0)=4,Table442431[[#This Row],[Post Total]],""),"")</f>
        <v/>
      </c>
      <c r="N112" s="5" t="str">
        <f>IF(IF(ISNUMBER(J111),1,0)+IF(ISNUMBER(Table442431[[#This Row],[Post Total]]),1,0)=2,IF(IF(Table442431[[#This Row],[Student Number]]=C111,1,0)+IF(Table442431[[#This Row],[Session]]=B111,1,0)+IF(Table442431[[#This Row],[Pre or Post]]="Post",1,0)+IF(D111="Pre",1,0)=4,Table442431[[#This Row],[Post Total]]-J111,""),"")</f>
        <v/>
      </c>
      <c r="O112" s="5" t="b">
        <f>ISNUMBER(Table442431[[#This Row],[Change]])</f>
        <v>0</v>
      </c>
    </row>
    <row r="113" spans="1:15">
      <c r="A113" s="2" t="s">
        <v>24</v>
      </c>
      <c r="B113" s="2" t="s">
        <v>28</v>
      </c>
      <c r="C113" s="1">
        <v>13</v>
      </c>
      <c r="D113" s="1" t="s">
        <v>16</v>
      </c>
      <c r="E113" s="1">
        <v>3</v>
      </c>
      <c r="F113" s="1">
        <v>3.5</v>
      </c>
      <c r="G113" s="2" t="s">
        <v>8</v>
      </c>
      <c r="H113" s="6" t="str">
        <f>IF(IF(Table442431[[#This Row],[Pre or Post]]="Pre",1,0)+IF(ISNUMBER(Table442431[[#This Row],[Response]])=TRUE,1,0)=2,1,"")</f>
        <v/>
      </c>
      <c r="I113" s="6">
        <f>IF(IF(Table442431[[#This Row],[Pre or Post]]="Post",1,0)+IF(ISNUMBER(Table442431[[#This Row],[Response]])=TRUE,1,0)=2,1,"")</f>
        <v>1</v>
      </c>
      <c r="J113" s="6" t="str">
        <f>IF(IF(Table442431[[#This Row],[Pre or Post]]="Pre",1,0)+IF(ISNUMBER(Table442431[[#This Row],[Response]])=TRUE,1,0)=2,Table442431[[#This Row],[Response]],"")</f>
        <v/>
      </c>
      <c r="K113" s="6">
        <f>IF(IF(Table442431[[#This Row],[Pre or Post]]="Post",1,0)+IF(ISNUMBER(Table442431[[#This Row],[Response]])=TRUE,1,0)=2,Table442431[[#This Row],[Response]],"")</f>
        <v>3.5</v>
      </c>
      <c r="L113" s="6" t="str">
        <f>IF(IF(ISNUMBER(J113),1,0)+IF(ISNUMBER(K114),1,0)=2,IF(IF(C114=C113,1,0)+IF(B114=B113,1,0)+IF(D114="Post",1,0)+IF(D113="Pre",1,0)=4,Table442431[[#This Row],[Pre Total]],""),"")</f>
        <v/>
      </c>
      <c r="M113" s="6">
        <f>IF(IF(ISNUMBER(J112),1,0)+IF(ISNUMBER(Table442431[[#This Row],[Post Total]]),1,0)=2,IF(IF(Table442431[[#This Row],[Student Number]]=C112,1,0)+IF(Table442431[[#This Row],[Session]]=B112,1,0)+IF(Table442431[[#This Row],[Pre or Post]]="Post",1,0)+IF(D112="Pre",1,0)=4,Table442431[[#This Row],[Post Total]],""),"")</f>
        <v>3.5</v>
      </c>
      <c r="N113" s="6">
        <f>IF(IF(ISNUMBER(J112),1,0)+IF(ISNUMBER(Table442431[[#This Row],[Post Total]]),1,0)=2,IF(IF(Table442431[[#This Row],[Student Number]]=C112,1,0)+IF(Table442431[[#This Row],[Session]]=B112,1,0)+IF(Table442431[[#This Row],[Pre or Post]]="Post",1,0)+IF(D112="Pre",1,0)=4,Table442431[[#This Row],[Post Total]]-J112,""),"")</f>
        <v>0.5</v>
      </c>
      <c r="O113" s="6" t="b">
        <f>ISNUMBER(Table442431[[#This Row],[Change]])</f>
        <v>1</v>
      </c>
    </row>
    <row r="114" spans="1:15">
      <c r="A114" s="2" t="s">
        <v>24</v>
      </c>
      <c r="B114" s="2" t="s">
        <v>31</v>
      </c>
      <c r="C114" s="1">
        <v>1</v>
      </c>
      <c r="D114" s="2" t="s">
        <v>16</v>
      </c>
      <c r="E114" s="1">
        <v>3</v>
      </c>
      <c r="F114" s="1">
        <v>3</v>
      </c>
      <c r="G114" s="2" t="s">
        <v>9</v>
      </c>
      <c r="H114" s="5" t="str">
        <f>IF(IF(Table442431[[#This Row],[Pre or Post]]="Pre",1,0)+IF(ISNUMBER(Table442431[[#This Row],[Response]])=TRUE,1,0)=2,1,"")</f>
        <v/>
      </c>
      <c r="I114" s="5">
        <f>IF(IF(Table442431[[#This Row],[Pre or Post]]="Post",1,0)+IF(ISNUMBER(Table442431[[#This Row],[Response]])=TRUE,1,0)=2,1,"")</f>
        <v>1</v>
      </c>
      <c r="J114" s="5" t="str">
        <f>IF(IF(Table442431[[#This Row],[Pre or Post]]="Pre",1,0)+IF(ISNUMBER(Table442431[[#This Row],[Response]])=TRUE,1,0)=2,Table442431[[#This Row],[Response]],"")</f>
        <v/>
      </c>
      <c r="K114" s="5">
        <f>IF(IF(Table442431[[#This Row],[Pre or Post]]="Post",1,0)+IF(ISNUMBER(Table442431[[#This Row],[Response]])=TRUE,1,0)=2,Table442431[[#This Row],[Response]],"")</f>
        <v>3</v>
      </c>
      <c r="L114" s="5" t="str">
        <f>IF(IF(ISNUMBER(J114),1,0)+IF(ISNUMBER(K115),1,0)=2,IF(IF(C115=C114,1,0)+IF(B115=B114,1,0)+IF(D115="Post",1,0)+IF(D114="Pre",1,0)=4,Table442431[[#This Row],[Pre Total]],""),"")</f>
        <v/>
      </c>
      <c r="M114" s="5" t="str">
        <f>IF(IF(ISNUMBER(J113),1,0)+IF(ISNUMBER(Table442431[[#This Row],[Post Total]]),1,0)=2,IF(IF(Table442431[[#This Row],[Student Number]]=C113,1,0)+IF(Table442431[[#This Row],[Session]]=B113,1,0)+IF(Table442431[[#This Row],[Pre or Post]]="Post",1,0)+IF(D113="Pre",1,0)=4,Table442431[[#This Row],[Post Total]],""),"")</f>
        <v/>
      </c>
      <c r="N114" s="5" t="str">
        <f>IF(IF(ISNUMBER(J113),1,0)+IF(ISNUMBER(Table442431[[#This Row],[Post Total]]),1,0)=2,IF(IF(Table442431[[#This Row],[Student Number]]=C113,1,0)+IF(Table442431[[#This Row],[Session]]=B113,1,0)+IF(Table442431[[#This Row],[Pre or Post]]="Post",1,0)+IF(D113="Pre",1,0)=4,Table442431[[#This Row],[Post Total]]-J113,""),"")</f>
        <v/>
      </c>
      <c r="O114" s="5" t="b">
        <f>ISNUMBER(Table442431[[#This Row],[Change]])</f>
        <v>0</v>
      </c>
    </row>
    <row r="115" spans="1:15">
      <c r="A115" s="2" t="s">
        <v>24</v>
      </c>
      <c r="B115" s="2" t="s">
        <v>31</v>
      </c>
      <c r="C115" s="1">
        <v>2</v>
      </c>
      <c r="D115" s="2" t="s">
        <v>16</v>
      </c>
      <c r="E115" s="1">
        <v>3</v>
      </c>
      <c r="F115" s="1">
        <v>3</v>
      </c>
      <c r="G115" s="2" t="s">
        <v>9</v>
      </c>
      <c r="H115" s="5" t="str">
        <f>IF(IF(Table442431[[#This Row],[Pre or Post]]="Pre",1,0)+IF(ISNUMBER(Table442431[[#This Row],[Response]])=TRUE,1,0)=2,1,"")</f>
        <v/>
      </c>
      <c r="I115" s="5">
        <f>IF(IF(Table442431[[#This Row],[Pre or Post]]="Post",1,0)+IF(ISNUMBER(Table442431[[#This Row],[Response]])=TRUE,1,0)=2,1,"")</f>
        <v>1</v>
      </c>
      <c r="J115" s="5" t="str">
        <f>IF(IF(Table442431[[#This Row],[Pre or Post]]="Pre",1,0)+IF(ISNUMBER(Table442431[[#This Row],[Response]])=TRUE,1,0)=2,Table442431[[#This Row],[Response]],"")</f>
        <v/>
      </c>
      <c r="K115" s="5">
        <f>IF(IF(Table442431[[#This Row],[Pre or Post]]="Post",1,0)+IF(ISNUMBER(Table442431[[#This Row],[Response]])=TRUE,1,0)=2,Table442431[[#This Row],[Response]],"")</f>
        <v>3</v>
      </c>
      <c r="L115" s="5" t="str">
        <f>IF(IF(ISNUMBER(J115),1,0)+IF(ISNUMBER(K116),1,0)=2,IF(IF(C116=C115,1,0)+IF(B116=B115,1,0)+IF(D116="Post",1,0)+IF(D115="Pre",1,0)=4,Table442431[[#This Row],[Pre Total]],""),"")</f>
        <v/>
      </c>
      <c r="M115" s="5" t="str">
        <f>IF(IF(ISNUMBER(J114),1,0)+IF(ISNUMBER(Table442431[[#This Row],[Post Total]]),1,0)=2,IF(IF(Table442431[[#This Row],[Student Number]]=C114,1,0)+IF(Table442431[[#This Row],[Session]]=B114,1,0)+IF(Table442431[[#This Row],[Pre or Post]]="Post",1,0)+IF(D114="Pre",1,0)=4,Table442431[[#This Row],[Post Total]],""),"")</f>
        <v/>
      </c>
      <c r="N115" s="5" t="str">
        <f>IF(IF(ISNUMBER(J114),1,0)+IF(ISNUMBER(Table442431[[#This Row],[Post Total]]),1,0)=2,IF(IF(Table442431[[#This Row],[Student Number]]=C114,1,0)+IF(Table442431[[#This Row],[Session]]=B114,1,0)+IF(Table442431[[#This Row],[Pre or Post]]="Post",1,0)+IF(D114="Pre",1,0)=4,Table442431[[#This Row],[Post Total]]-J114,""),"")</f>
        <v/>
      </c>
      <c r="O115" s="5" t="b">
        <f>ISNUMBER(Table442431[[#This Row],[Change]])</f>
        <v>0</v>
      </c>
    </row>
    <row r="116" spans="1:15">
      <c r="A116" s="2" t="s">
        <v>24</v>
      </c>
      <c r="B116" s="2" t="s">
        <v>31</v>
      </c>
      <c r="C116" s="1">
        <v>3</v>
      </c>
      <c r="D116" s="2" t="s">
        <v>16</v>
      </c>
      <c r="E116" s="1">
        <v>3</v>
      </c>
      <c r="F116" s="1">
        <v>3</v>
      </c>
      <c r="G116" s="2" t="s">
        <v>9</v>
      </c>
      <c r="H116" s="5" t="str">
        <f>IF(IF(Table442431[[#This Row],[Pre or Post]]="Pre",1,0)+IF(ISNUMBER(Table442431[[#This Row],[Response]])=TRUE,1,0)=2,1,"")</f>
        <v/>
      </c>
      <c r="I116" s="5">
        <f>IF(IF(Table442431[[#This Row],[Pre or Post]]="Post",1,0)+IF(ISNUMBER(Table442431[[#This Row],[Response]])=TRUE,1,0)=2,1,"")</f>
        <v>1</v>
      </c>
      <c r="J116" s="5" t="str">
        <f>IF(IF(Table442431[[#This Row],[Pre or Post]]="Pre",1,0)+IF(ISNUMBER(Table442431[[#This Row],[Response]])=TRUE,1,0)=2,Table442431[[#This Row],[Response]],"")</f>
        <v/>
      </c>
      <c r="K116" s="5">
        <f>IF(IF(Table442431[[#This Row],[Pre or Post]]="Post",1,0)+IF(ISNUMBER(Table442431[[#This Row],[Response]])=TRUE,1,0)=2,Table442431[[#This Row],[Response]],"")</f>
        <v>3</v>
      </c>
      <c r="L116" s="5" t="str">
        <f>IF(IF(ISNUMBER(J116),1,0)+IF(ISNUMBER(K117),1,0)=2,IF(IF(C117=C116,1,0)+IF(B117=B116,1,0)+IF(D117="Post",1,0)+IF(D116="Pre",1,0)=4,Table442431[[#This Row],[Pre Total]],""),"")</f>
        <v/>
      </c>
      <c r="M116" s="5" t="str">
        <f>IF(IF(ISNUMBER(J115),1,0)+IF(ISNUMBER(Table442431[[#This Row],[Post Total]]),1,0)=2,IF(IF(Table442431[[#This Row],[Student Number]]=C115,1,0)+IF(Table442431[[#This Row],[Session]]=B115,1,0)+IF(Table442431[[#This Row],[Pre or Post]]="Post",1,0)+IF(D115="Pre",1,0)=4,Table442431[[#This Row],[Post Total]],""),"")</f>
        <v/>
      </c>
      <c r="N116" s="5" t="str">
        <f>IF(IF(ISNUMBER(J115),1,0)+IF(ISNUMBER(Table442431[[#This Row],[Post Total]]),1,0)=2,IF(IF(Table442431[[#This Row],[Student Number]]=C115,1,0)+IF(Table442431[[#This Row],[Session]]=B115,1,0)+IF(Table442431[[#This Row],[Pre or Post]]="Post",1,0)+IF(D115="Pre",1,0)=4,Table442431[[#This Row],[Post Total]]-J115,""),"")</f>
        <v/>
      </c>
      <c r="O116" s="5" t="b">
        <f>ISNUMBER(Table442431[[#This Row],[Change]])</f>
        <v>0</v>
      </c>
    </row>
    <row r="117" spans="1:15">
      <c r="A117" s="2" t="s">
        <v>24</v>
      </c>
      <c r="B117" s="2" t="s">
        <v>31</v>
      </c>
      <c r="C117" s="1">
        <v>4</v>
      </c>
      <c r="D117" s="2" t="s">
        <v>16</v>
      </c>
      <c r="E117" s="1">
        <v>3</v>
      </c>
      <c r="F117" s="1">
        <v>4</v>
      </c>
      <c r="G117" s="2" t="s">
        <v>9</v>
      </c>
      <c r="H117" s="5" t="str">
        <f>IF(IF(Table442431[[#This Row],[Pre or Post]]="Pre",1,0)+IF(ISNUMBER(Table442431[[#This Row],[Response]])=TRUE,1,0)=2,1,"")</f>
        <v/>
      </c>
      <c r="I117" s="5">
        <f>IF(IF(Table442431[[#This Row],[Pre or Post]]="Post",1,0)+IF(ISNUMBER(Table442431[[#This Row],[Response]])=TRUE,1,0)=2,1,"")</f>
        <v>1</v>
      </c>
      <c r="J117" s="5" t="str">
        <f>IF(IF(Table442431[[#This Row],[Pre or Post]]="Pre",1,0)+IF(ISNUMBER(Table442431[[#This Row],[Response]])=TRUE,1,0)=2,Table442431[[#This Row],[Response]],"")</f>
        <v/>
      </c>
      <c r="K117" s="5">
        <f>IF(IF(Table442431[[#This Row],[Pre or Post]]="Post",1,0)+IF(ISNUMBER(Table442431[[#This Row],[Response]])=TRUE,1,0)=2,Table442431[[#This Row],[Response]],"")</f>
        <v>4</v>
      </c>
      <c r="L117" s="5" t="str">
        <f>IF(IF(ISNUMBER(J117),1,0)+IF(ISNUMBER(K118),1,0)=2,IF(IF(C118=C117,1,0)+IF(B118=B117,1,0)+IF(D118="Post",1,0)+IF(D117="Pre",1,0)=4,Table442431[[#This Row],[Pre Total]],""),"")</f>
        <v/>
      </c>
      <c r="M117" s="5" t="str">
        <f>IF(IF(ISNUMBER(J116),1,0)+IF(ISNUMBER(Table442431[[#This Row],[Post Total]]),1,0)=2,IF(IF(Table442431[[#This Row],[Student Number]]=C116,1,0)+IF(Table442431[[#This Row],[Session]]=B116,1,0)+IF(Table442431[[#This Row],[Pre or Post]]="Post",1,0)+IF(D116="Pre",1,0)=4,Table442431[[#This Row],[Post Total]],""),"")</f>
        <v/>
      </c>
      <c r="N117" s="5" t="str">
        <f>IF(IF(ISNUMBER(J116),1,0)+IF(ISNUMBER(Table442431[[#This Row],[Post Total]]),1,0)=2,IF(IF(Table442431[[#This Row],[Student Number]]=C116,1,0)+IF(Table442431[[#This Row],[Session]]=B116,1,0)+IF(Table442431[[#This Row],[Pre or Post]]="Post",1,0)+IF(D116="Pre",1,0)=4,Table442431[[#This Row],[Post Total]]-J116,""),"")</f>
        <v/>
      </c>
      <c r="O117" s="5" t="b">
        <f>ISNUMBER(Table442431[[#This Row],[Change]])</f>
        <v>0</v>
      </c>
    </row>
    <row r="118" spans="1:15">
      <c r="A118" s="2" t="s">
        <v>24</v>
      </c>
      <c r="B118" s="2" t="s">
        <v>31</v>
      </c>
      <c r="C118" s="1">
        <v>5</v>
      </c>
      <c r="D118" s="2" t="s">
        <v>16</v>
      </c>
      <c r="E118" s="1">
        <v>3</v>
      </c>
      <c r="F118" s="1">
        <v>3</v>
      </c>
      <c r="G118" s="2" t="s">
        <v>9</v>
      </c>
      <c r="H118" s="5" t="str">
        <f>IF(IF(Table442431[[#This Row],[Pre or Post]]="Pre",1,0)+IF(ISNUMBER(Table442431[[#This Row],[Response]])=TRUE,1,0)=2,1,"")</f>
        <v/>
      </c>
      <c r="I118" s="5">
        <f>IF(IF(Table442431[[#This Row],[Pre or Post]]="Post",1,0)+IF(ISNUMBER(Table442431[[#This Row],[Response]])=TRUE,1,0)=2,1,"")</f>
        <v>1</v>
      </c>
      <c r="J118" s="5" t="str">
        <f>IF(IF(Table442431[[#This Row],[Pre or Post]]="Pre",1,0)+IF(ISNUMBER(Table442431[[#This Row],[Response]])=TRUE,1,0)=2,Table442431[[#This Row],[Response]],"")</f>
        <v/>
      </c>
      <c r="K118" s="5">
        <f>IF(IF(Table442431[[#This Row],[Pre or Post]]="Post",1,0)+IF(ISNUMBER(Table442431[[#This Row],[Response]])=TRUE,1,0)=2,Table442431[[#This Row],[Response]],"")</f>
        <v>3</v>
      </c>
      <c r="L118" s="5" t="str">
        <f>IF(IF(ISNUMBER(J118),1,0)+IF(ISNUMBER(K119),1,0)=2,IF(IF(C119=C118,1,0)+IF(B119=B118,1,0)+IF(D119="Post",1,0)+IF(D118="Pre",1,0)=4,Table442431[[#This Row],[Pre Total]],""),"")</f>
        <v/>
      </c>
      <c r="M118" s="5" t="str">
        <f>IF(IF(ISNUMBER(J117),1,0)+IF(ISNUMBER(Table442431[[#This Row],[Post Total]]),1,0)=2,IF(IF(Table442431[[#This Row],[Student Number]]=C117,1,0)+IF(Table442431[[#This Row],[Session]]=B117,1,0)+IF(Table442431[[#This Row],[Pre or Post]]="Post",1,0)+IF(D117="Pre",1,0)=4,Table442431[[#This Row],[Post Total]],""),"")</f>
        <v/>
      </c>
      <c r="N118" s="5" t="str">
        <f>IF(IF(ISNUMBER(J117),1,0)+IF(ISNUMBER(Table442431[[#This Row],[Post Total]]),1,0)=2,IF(IF(Table442431[[#This Row],[Student Number]]=C117,1,0)+IF(Table442431[[#This Row],[Session]]=B117,1,0)+IF(Table442431[[#This Row],[Pre or Post]]="Post",1,0)+IF(D117="Pre",1,0)=4,Table442431[[#This Row],[Post Total]]-J117,""),"")</f>
        <v/>
      </c>
      <c r="O118" s="5" t="b">
        <f>ISNUMBER(Table442431[[#This Row],[Change]])</f>
        <v>0</v>
      </c>
    </row>
    <row r="119" spans="1:15">
      <c r="A119" s="2" t="s">
        <v>24</v>
      </c>
      <c r="B119" s="2" t="s">
        <v>31</v>
      </c>
      <c r="C119" s="1">
        <v>6</v>
      </c>
      <c r="D119" s="2" t="s">
        <v>16</v>
      </c>
      <c r="E119" s="1">
        <v>3</v>
      </c>
      <c r="F119" s="1">
        <v>3</v>
      </c>
      <c r="G119" s="2" t="s">
        <v>9</v>
      </c>
      <c r="H119" s="5" t="str">
        <f>IF(IF(Table442431[[#This Row],[Pre or Post]]="Pre",1,0)+IF(ISNUMBER(Table442431[[#This Row],[Response]])=TRUE,1,0)=2,1,"")</f>
        <v/>
      </c>
      <c r="I119" s="5">
        <f>IF(IF(Table442431[[#This Row],[Pre or Post]]="Post",1,0)+IF(ISNUMBER(Table442431[[#This Row],[Response]])=TRUE,1,0)=2,1,"")</f>
        <v>1</v>
      </c>
      <c r="J119" s="5" t="str">
        <f>IF(IF(Table442431[[#This Row],[Pre or Post]]="Pre",1,0)+IF(ISNUMBER(Table442431[[#This Row],[Response]])=TRUE,1,0)=2,Table442431[[#This Row],[Response]],"")</f>
        <v/>
      </c>
      <c r="K119" s="5">
        <f>IF(IF(Table442431[[#This Row],[Pre or Post]]="Post",1,0)+IF(ISNUMBER(Table442431[[#This Row],[Response]])=TRUE,1,0)=2,Table442431[[#This Row],[Response]],"")</f>
        <v>3</v>
      </c>
      <c r="L119" s="5" t="str">
        <f>IF(IF(ISNUMBER(J119),1,0)+IF(ISNUMBER(K120),1,0)=2,IF(IF(C120=C119,1,0)+IF(B120=B119,1,0)+IF(D120="Post",1,0)+IF(D119="Pre",1,0)=4,Table442431[[#This Row],[Pre Total]],""),"")</f>
        <v/>
      </c>
      <c r="M119" s="5" t="str">
        <f>IF(IF(ISNUMBER(J118),1,0)+IF(ISNUMBER(Table442431[[#This Row],[Post Total]]),1,0)=2,IF(IF(Table442431[[#This Row],[Student Number]]=C118,1,0)+IF(Table442431[[#This Row],[Session]]=B118,1,0)+IF(Table442431[[#This Row],[Pre or Post]]="Post",1,0)+IF(D118="Pre",1,0)=4,Table442431[[#This Row],[Post Total]],""),"")</f>
        <v/>
      </c>
      <c r="N119" s="5" t="str">
        <f>IF(IF(ISNUMBER(J118),1,0)+IF(ISNUMBER(Table442431[[#This Row],[Post Total]]),1,0)=2,IF(IF(Table442431[[#This Row],[Student Number]]=C118,1,0)+IF(Table442431[[#This Row],[Session]]=B118,1,0)+IF(Table442431[[#This Row],[Pre or Post]]="Post",1,0)+IF(D118="Pre",1,0)=4,Table442431[[#This Row],[Post Total]]-J118,""),"")</f>
        <v/>
      </c>
      <c r="O119" s="5" t="b">
        <f>ISNUMBER(Table442431[[#This Row],[Change]])</f>
        <v>0</v>
      </c>
    </row>
    <row r="120" spans="1:15">
      <c r="A120" s="2" t="s">
        <v>24</v>
      </c>
      <c r="B120" s="2" t="s">
        <v>31</v>
      </c>
      <c r="C120" s="1">
        <v>7</v>
      </c>
      <c r="D120" s="2" t="s">
        <v>16</v>
      </c>
      <c r="E120" s="1">
        <v>3</v>
      </c>
      <c r="F120" s="1">
        <v>5</v>
      </c>
      <c r="G120" s="2" t="s">
        <v>9</v>
      </c>
      <c r="H120" s="5" t="str">
        <f>IF(IF(Table442431[[#This Row],[Pre or Post]]="Pre",1,0)+IF(ISNUMBER(Table442431[[#This Row],[Response]])=TRUE,1,0)=2,1,"")</f>
        <v/>
      </c>
      <c r="I120" s="5">
        <f>IF(IF(Table442431[[#This Row],[Pre or Post]]="Post",1,0)+IF(ISNUMBER(Table442431[[#This Row],[Response]])=TRUE,1,0)=2,1,"")</f>
        <v>1</v>
      </c>
      <c r="J120" s="5" t="str">
        <f>IF(IF(Table442431[[#This Row],[Pre or Post]]="Pre",1,0)+IF(ISNUMBER(Table442431[[#This Row],[Response]])=TRUE,1,0)=2,Table442431[[#This Row],[Response]],"")</f>
        <v/>
      </c>
      <c r="K120" s="5">
        <f>IF(IF(Table442431[[#This Row],[Pre or Post]]="Post",1,0)+IF(ISNUMBER(Table442431[[#This Row],[Response]])=TRUE,1,0)=2,Table442431[[#This Row],[Response]],"")</f>
        <v>5</v>
      </c>
      <c r="L120" s="5" t="str">
        <f>IF(IF(ISNUMBER(J120),1,0)+IF(ISNUMBER(K121),1,0)=2,IF(IF(C121=C120,1,0)+IF(B121=B120,1,0)+IF(D121="Post",1,0)+IF(D120="Pre",1,0)=4,Table442431[[#This Row],[Pre Total]],""),"")</f>
        <v/>
      </c>
      <c r="M120" s="5" t="str">
        <f>IF(IF(ISNUMBER(J119),1,0)+IF(ISNUMBER(Table442431[[#This Row],[Post Total]]),1,0)=2,IF(IF(Table442431[[#This Row],[Student Number]]=C119,1,0)+IF(Table442431[[#This Row],[Session]]=B119,1,0)+IF(Table442431[[#This Row],[Pre or Post]]="Post",1,0)+IF(D119="Pre",1,0)=4,Table442431[[#This Row],[Post Total]],""),"")</f>
        <v/>
      </c>
      <c r="N120" s="5" t="str">
        <f>IF(IF(ISNUMBER(J119),1,0)+IF(ISNUMBER(Table442431[[#This Row],[Post Total]]),1,0)=2,IF(IF(Table442431[[#This Row],[Student Number]]=C119,1,0)+IF(Table442431[[#This Row],[Session]]=B119,1,0)+IF(Table442431[[#This Row],[Pre or Post]]="Post",1,0)+IF(D119="Pre",1,0)=4,Table442431[[#This Row],[Post Total]]-J119,""),"")</f>
        <v/>
      </c>
      <c r="O120" s="5" t="b">
        <f>ISNUMBER(Table442431[[#This Row],[Change]])</f>
        <v>0</v>
      </c>
    </row>
    <row r="121" spans="1:15">
      <c r="A121" s="2" t="s">
        <v>24</v>
      </c>
      <c r="B121" s="2" t="s">
        <v>31</v>
      </c>
      <c r="C121" s="1">
        <v>8</v>
      </c>
      <c r="D121" s="2" t="s">
        <v>16</v>
      </c>
      <c r="E121" s="1">
        <v>3</v>
      </c>
      <c r="F121" s="1">
        <v>4</v>
      </c>
      <c r="G121" s="2" t="s">
        <v>9</v>
      </c>
      <c r="H121" s="5" t="str">
        <f>IF(IF(Table442431[[#This Row],[Pre or Post]]="Pre",1,0)+IF(ISNUMBER(Table442431[[#This Row],[Response]])=TRUE,1,0)=2,1,"")</f>
        <v/>
      </c>
      <c r="I121" s="5">
        <f>IF(IF(Table442431[[#This Row],[Pre or Post]]="Post",1,0)+IF(ISNUMBER(Table442431[[#This Row],[Response]])=TRUE,1,0)=2,1,"")</f>
        <v>1</v>
      </c>
      <c r="J121" s="5" t="str">
        <f>IF(IF(Table442431[[#This Row],[Pre or Post]]="Pre",1,0)+IF(ISNUMBER(Table442431[[#This Row],[Response]])=TRUE,1,0)=2,Table442431[[#This Row],[Response]],"")</f>
        <v/>
      </c>
      <c r="K121" s="5">
        <f>IF(IF(Table442431[[#This Row],[Pre or Post]]="Post",1,0)+IF(ISNUMBER(Table442431[[#This Row],[Response]])=TRUE,1,0)=2,Table442431[[#This Row],[Response]],"")</f>
        <v>4</v>
      </c>
      <c r="L121" s="5" t="str">
        <f>IF(IF(ISNUMBER(J121),1,0)+IF(ISNUMBER(K122),1,0)=2,IF(IF(C122=C121,1,0)+IF(B122=B121,1,0)+IF(D122="Post",1,0)+IF(D121="Pre",1,0)=4,Table442431[[#This Row],[Pre Total]],""),"")</f>
        <v/>
      </c>
      <c r="M121" s="5" t="str">
        <f>IF(IF(ISNUMBER(J120),1,0)+IF(ISNUMBER(Table442431[[#This Row],[Post Total]]),1,0)=2,IF(IF(Table442431[[#This Row],[Student Number]]=C120,1,0)+IF(Table442431[[#This Row],[Session]]=B120,1,0)+IF(Table442431[[#This Row],[Pre or Post]]="Post",1,0)+IF(D120="Pre",1,0)=4,Table442431[[#This Row],[Post Total]],""),"")</f>
        <v/>
      </c>
      <c r="N121" s="5" t="str">
        <f>IF(IF(ISNUMBER(J120),1,0)+IF(ISNUMBER(Table442431[[#This Row],[Post Total]]),1,0)=2,IF(IF(Table442431[[#This Row],[Student Number]]=C120,1,0)+IF(Table442431[[#This Row],[Session]]=B120,1,0)+IF(Table442431[[#This Row],[Pre or Post]]="Post",1,0)+IF(D120="Pre",1,0)=4,Table442431[[#This Row],[Post Total]]-J120,""),"")</f>
        <v/>
      </c>
      <c r="O121" s="5" t="b">
        <f>ISNUMBER(Table442431[[#This Row],[Change]])</f>
        <v>0</v>
      </c>
    </row>
    <row r="122" spans="1:15">
      <c r="A122" s="2" t="s">
        <v>24</v>
      </c>
      <c r="B122" s="2" t="s">
        <v>31</v>
      </c>
      <c r="C122" s="1">
        <v>9</v>
      </c>
      <c r="D122" s="2" t="s">
        <v>16</v>
      </c>
      <c r="E122" s="1">
        <v>3</v>
      </c>
      <c r="F122" s="1">
        <v>3</v>
      </c>
      <c r="G122" s="2" t="s">
        <v>9</v>
      </c>
      <c r="H122" s="6" t="str">
        <f>IF(IF(Table442431[[#This Row],[Pre or Post]]="Pre",1,0)+IF(ISNUMBER(Table442431[[#This Row],[Response]])=TRUE,1,0)=2,1,"")</f>
        <v/>
      </c>
      <c r="I122" s="6">
        <f>IF(IF(Table442431[[#This Row],[Pre or Post]]="Post",1,0)+IF(ISNUMBER(Table442431[[#This Row],[Response]])=TRUE,1,0)=2,1,"")</f>
        <v>1</v>
      </c>
      <c r="J122" s="6" t="str">
        <f>IF(IF(Table442431[[#This Row],[Pre or Post]]="Pre",1,0)+IF(ISNUMBER(Table442431[[#This Row],[Response]])=TRUE,1,0)=2,Table442431[[#This Row],[Response]],"")</f>
        <v/>
      </c>
      <c r="K122" s="6">
        <f>IF(IF(Table442431[[#This Row],[Pre or Post]]="Post",1,0)+IF(ISNUMBER(Table442431[[#This Row],[Response]])=TRUE,1,0)=2,Table442431[[#This Row],[Response]],"")</f>
        <v>3</v>
      </c>
      <c r="L122" s="6" t="str">
        <f>IF(IF(ISNUMBER(J122),1,0)+IF(ISNUMBER(K123),1,0)=2,IF(IF(C123=C122,1,0)+IF(B123=B122,1,0)+IF(D123="Post",1,0)+IF(D122="Pre",1,0)=4,Table442431[[#This Row],[Pre Total]],""),"")</f>
        <v/>
      </c>
      <c r="M122" s="6" t="str">
        <f>IF(IF(ISNUMBER(J121),1,0)+IF(ISNUMBER(Table442431[[#This Row],[Post Total]]),1,0)=2,IF(IF(Table442431[[#This Row],[Student Number]]=C121,1,0)+IF(Table442431[[#This Row],[Session]]=B121,1,0)+IF(Table442431[[#This Row],[Pre or Post]]="Post",1,0)+IF(D121="Pre",1,0)=4,Table442431[[#This Row],[Post Total]],""),"")</f>
        <v/>
      </c>
      <c r="N122" s="6" t="str">
        <f>IF(IF(ISNUMBER(J121),1,0)+IF(ISNUMBER(Table442431[[#This Row],[Post Total]]),1,0)=2,IF(IF(Table442431[[#This Row],[Student Number]]=C121,1,0)+IF(Table442431[[#This Row],[Session]]=B121,1,0)+IF(Table442431[[#This Row],[Pre or Post]]="Post",1,0)+IF(D121="Pre",1,0)=4,Table442431[[#This Row],[Post Total]]-J121,""),"")</f>
        <v/>
      </c>
      <c r="O122" s="6" t="b">
        <f>ISNUMBER(Table442431[[#This Row],[Change]])</f>
        <v>0</v>
      </c>
    </row>
    <row r="123" spans="1:15">
      <c r="A123" s="2" t="s">
        <v>24</v>
      </c>
      <c r="B123" s="2" t="s">
        <v>31</v>
      </c>
      <c r="C123" s="1">
        <v>10</v>
      </c>
      <c r="D123" s="2" t="s">
        <v>16</v>
      </c>
      <c r="E123" s="1">
        <v>3</v>
      </c>
      <c r="F123" s="1">
        <v>3</v>
      </c>
      <c r="G123" s="2" t="s">
        <v>9</v>
      </c>
      <c r="H123" s="5" t="str">
        <f>IF(IF(Table442431[[#This Row],[Pre or Post]]="Pre",1,0)+IF(ISNUMBER(Table442431[[#This Row],[Response]])=TRUE,1,0)=2,1,"")</f>
        <v/>
      </c>
      <c r="I123" s="5">
        <f>IF(IF(Table442431[[#This Row],[Pre or Post]]="Post",1,0)+IF(ISNUMBER(Table442431[[#This Row],[Response]])=TRUE,1,0)=2,1,"")</f>
        <v>1</v>
      </c>
      <c r="J123" s="5" t="str">
        <f>IF(IF(Table442431[[#This Row],[Pre or Post]]="Pre",1,0)+IF(ISNUMBER(Table442431[[#This Row],[Response]])=TRUE,1,0)=2,Table442431[[#This Row],[Response]],"")</f>
        <v/>
      </c>
      <c r="K123" s="5">
        <f>IF(IF(Table442431[[#This Row],[Pre or Post]]="Post",1,0)+IF(ISNUMBER(Table442431[[#This Row],[Response]])=TRUE,1,0)=2,Table442431[[#This Row],[Response]],"")</f>
        <v>3</v>
      </c>
      <c r="L123" s="5" t="str">
        <f>IF(IF(ISNUMBER(J123),1,0)+IF(ISNUMBER(K124),1,0)=2,IF(IF(C124=C123,1,0)+IF(B124=B123,1,0)+IF(D124="Post",1,0)+IF(D123="Pre",1,0)=4,Table442431[[#This Row],[Pre Total]],""),"")</f>
        <v/>
      </c>
      <c r="M123" s="5" t="str">
        <f>IF(IF(ISNUMBER(J122),1,0)+IF(ISNUMBER(Table442431[[#This Row],[Post Total]]),1,0)=2,IF(IF(Table442431[[#This Row],[Student Number]]=C122,1,0)+IF(Table442431[[#This Row],[Session]]=B122,1,0)+IF(Table442431[[#This Row],[Pre or Post]]="Post",1,0)+IF(D122="Pre",1,0)=4,Table442431[[#This Row],[Post Total]],""),"")</f>
        <v/>
      </c>
      <c r="N123" s="5" t="str">
        <f>IF(IF(ISNUMBER(J122),1,0)+IF(ISNUMBER(Table442431[[#This Row],[Post Total]]),1,0)=2,IF(IF(Table442431[[#This Row],[Student Number]]=C122,1,0)+IF(Table442431[[#This Row],[Session]]=B122,1,0)+IF(Table442431[[#This Row],[Pre or Post]]="Post",1,0)+IF(D122="Pre",1,0)=4,Table442431[[#This Row],[Post Total]]-J122,""),"")</f>
        <v/>
      </c>
      <c r="O123" s="5" t="b">
        <f>ISNUMBER(Table442431[[#This Row],[Change]])</f>
        <v>0</v>
      </c>
    </row>
    <row r="124" spans="1:15">
      <c r="A124" s="2" t="s">
        <v>24</v>
      </c>
      <c r="B124" s="2" t="s">
        <v>31</v>
      </c>
      <c r="C124" s="1">
        <v>11</v>
      </c>
      <c r="D124" s="2" t="s">
        <v>16</v>
      </c>
      <c r="E124" s="1">
        <v>3</v>
      </c>
      <c r="F124" s="1">
        <v>4</v>
      </c>
      <c r="G124" s="2" t="s">
        <v>9</v>
      </c>
      <c r="H124" s="6" t="str">
        <f>IF(IF(Table442431[[#This Row],[Pre or Post]]="Pre",1,0)+IF(ISNUMBER(Table442431[[#This Row],[Response]])=TRUE,1,0)=2,1,"")</f>
        <v/>
      </c>
      <c r="I124" s="6">
        <f>IF(IF(Table442431[[#This Row],[Pre or Post]]="Post",1,0)+IF(ISNUMBER(Table442431[[#This Row],[Response]])=TRUE,1,0)=2,1,"")</f>
        <v>1</v>
      </c>
      <c r="J124" s="6" t="str">
        <f>IF(IF(Table442431[[#This Row],[Pre or Post]]="Pre",1,0)+IF(ISNUMBER(Table442431[[#This Row],[Response]])=TRUE,1,0)=2,Table442431[[#This Row],[Response]],"")</f>
        <v/>
      </c>
      <c r="K124" s="6">
        <f>IF(IF(Table442431[[#This Row],[Pre or Post]]="Post",1,0)+IF(ISNUMBER(Table442431[[#This Row],[Response]])=TRUE,1,0)=2,Table442431[[#This Row],[Response]],"")</f>
        <v>4</v>
      </c>
      <c r="L124" s="6" t="str">
        <f>IF(IF(ISNUMBER(J124),1,0)+IF(ISNUMBER(K125),1,0)=2,IF(IF(C125=C124,1,0)+IF(B125=B124,1,0)+IF(D125="Post",1,0)+IF(D124="Pre",1,0)=4,Table442431[[#This Row],[Pre Total]],""),"")</f>
        <v/>
      </c>
      <c r="M124" s="6" t="str">
        <f>IF(IF(ISNUMBER(J123),1,0)+IF(ISNUMBER(Table442431[[#This Row],[Post Total]]),1,0)=2,IF(IF(Table442431[[#This Row],[Student Number]]=C123,1,0)+IF(Table442431[[#This Row],[Session]]=B123,1,0)+IF(Table442431[[#This Row],[Pre or Post]]="Post",1,0)+IF(D123="Pre",1,0)=4,Table442431[[#This Row],[Post Total]],""),"")</f>
        <v/>
      </c>
      <c r="N124" s="6" t="str">
        <f>IF(IF(ISNUMBER(J123),1,0)+IF(ISNUMBER(Table442431[[#This Row],[Post Total]]),1,0)=2,IF(IF(Table442431[[#This Row],[Student Number]]=C123,1,0)+IF(Table442431[[#This Row],[Session]]=B123,1,0)+IF(Table442431[[#This Row],[Pre or Post]]="Post",1,0)+IF(D123="Pre",1,0)=4,Table442431[[#This Row],[Post Total]]-J123,""),"")</f>
        <v/>
      </c>
      <c r="O124" s="6" t="b">
        <f>ISNUMBER(Table442431[[#This Row],[Change]])</f>
        <v>0</v>
      </c>
    </row>
    <row r="125" spans="1:15">
      <c r="A125" s="2" t="s">
        <v>24</v>
      </c>
      <c r="B125" s="2" t="s">
        <v>31</v>
      </c>
      <c r="C125" s="1">
        <v>12</v>
      </c>
      <c r="D125" s="2" t="s">
        <v>16</v>
      </c>
      <c r="E125" s="1">
        <v>3</v>
      </c>
      <c r="F125" s="1">
        <v>3</v>
      </c>
      <c r="G125" s="2" t="s">
        <v>9</v>
      </c>
      <c r="H125" s="5" t="str">
        <f>IF(IF(Table442431[[#This Row],[Pre or Post]]="Pre",1,0)+IF(ISNUMBER(Table442431[[#This Row],[Response]])=TRUE,1,0)=2,1,"")</f>
        <v/>
      </c>
      <c r="I125" s="5">
        <f>IF(IF(Table442431[[#This Row],[Pre or Post]]="Post",1,0)+IF(ISNUMBER(Table442431[[#This Row],[Response]])=TRUE,1,0)=2,1,"")</f>
        <v>1</v>
      </c>
      <c r="J125" s="5" t="str">
        <f>IF(IF(Table442431[[#This Row],[Pre or Post]]="Pre",1,0)+IF(ISNUMBER(Table442431[[#This Row],[Response]])=TRUE,1,0)=2,Table442431[[#This Row],[Response]],"")</f>
        <v/>
      </c>
      <c r="K125" s="5">
        <f>IF(IF(Table442431[[#This Row],[Pre or Post]]="Post",1,0)+IF(ISNUMBER(Table442431[[#This Row],[Response]])=TRUE,1,0)=2,Table442431[[#This Row],[Response]],"")</f>
        <v>3</v>
      </c>
      <c r="L125" s="5" t="str">
        <f>IF(IF(ISNUMBER(J125),1,0)+IF(ISNUMBER(K126),1,0)=2,IF(IF(C126=C125,1,0)+IF(B126=B125,1,0)+IF(D126="Post",1,0)+IF(D125="Pre",1,0)=4,Table442431[[#This Row],[Pre Total]],""),"")</f>
        <v/>
      </c>
      <c r="M125" s="5" t="str">
        <f>IF(IF(ISNUMBER(J124),1,0)+IF(ISNUMBER(Table442431[[#This Row],[Post Total]]),1,0)=2,IF(IF(Table442431[[#This Row],[Student Number]]=C124,1,0)+IF(Table442431[[#This Row],[Session]]=B124,1,0)+IF(Table442431[[#This Row],[Pre or Post]]="Post",1,0)+IF(D124="Pre",1,0)=4,Table442431[[#This Row],[Post Total]],""),"")</f>
        <v/>
      </c>
      <c r="N125" s="5" t="str">
        <f>IF(IF(ISNUMBER(J124),1,0)+IF(ISNUMBER(Table442431[[#This Row],[Post Total]]),1,0)=2,IF(IF(Table442431[[#This Row],[Student Number]]=C124,1,0)+IF(Table442431[[#This Row],[Session]]=B124,1,0)+IF(Table442431[[#This Row],[Pre or Post]]="Post",1,0)+IF(D124="Pre",1,0)=4,Table442431[[#This Row],[Post Total]]-J124,""),"")</f>
        <v/>
      </c>
      <c r="O125" s="5" t="b">
        <f>ISNUMBER(Table442431[[#This Row],[Change]])</f>
        <v>0</v>
      </c>
    </row>
    <row r="126" spans="1:15">
      <c r="A126" s="2" t="s">
        <v>24</v>
      </c>
      <c r="B126" s="2" t="s">
        <v>31</v>
      </c>
      <c r="C126" s="1">
        <v>13</v>
      </c>
      <c r="D126" s="2" t="s">
        <v>16</v>
      </c>
      <c r="E126" s="1">
        <v>3</v>
      </c>
      <c r="F126" s="1">
        <v>2</v>
      </c>
      <c r="G126" s="2" t="s">
        <v>9</v>
      </c>
      <c r="H126" s="6" t="str">
        <f>IF(IF(Table442431[[#This Row],[Pre or Post]]="Pre",1,0)+IF(ISNUMBER(Table442431[[#This Row],[Response]])=TRUE,1,0)=2,1,"")</f>
        <v/>
      </c>
      <c r="I126" s="6">
        <f>IF(IF(Table442431[[#This Row],[Pre or Post]]="Post",1,0)+IF(ISNUMBER(Table442431[[#This Row],[Response]])=TRUE,1,0)=2,1,"")</f>
        <v>1</v>
      </c>
      <c r="J126" s="6" t="str">
        <f>IF(IF(Table442431[[#This Row],[Pre or Post]]="Pre",1,0)+IF(ISNUMBER(Table442431[[#This Row],[Response]])=TRUE,1,0)=2,Table442431[[#This Row],[Response]],"")</f>
        <v/>
      </c>
      <c r="K126" s="6">
        <f>IF(IF(Table442431[[#This Row],[Pre or Post]]="Post",1,0)+IF(ISNUMBER(Table442431[[#This Row],[Response]])=TRUE,1,0)=2,Table442431[[#This Row],[Response]],"")</f>
        <v>2</v>
      </c>
      <c r="L126" s="6" t="str">
        <f>IF(IF(ISNUMBER(J126),1,0)+IF(ISNUMBER(K127),1,0)=2,IF(IF(C127=C126,1,0)+IF(B127=B126,1,0)+IF(D127="Post",1,0)+IF(D126="Pre",1,0)=4,Table442431[[#This Row],[Pre Total]],""),"")</f>
        <v/>
      </c>
      <c r="M126" s="6" t="str">
        <f>IF(IF(ISNUMBER(J125),1,0)+IF(ISNUMBER(Table442431[[#This Row],[Post Total]]),1,0)=2,IF(IF(Table442431[[#This Row],[Student Number]]=C125,1,0)+IF(Table442431[[#This Row],[Session]]=B125,1,0)+IF(Table442431[[#This Row],[Pre or Post]]="Post",1,0)+IF(D125="Pre",1,0)=4,Table442431[[#This Row],[Post Total]],""),"")</f>
        <v/>
      </c>
      <c r="N126" s="6" t="str">
        <f>IF(IF(ISNUMBER(J125),1,0)+IF(ISNUMBER(Table442431[[#This Row],[Post Total]]),1,0)=2,IF(IF(Table442431[[#This Row],[Student Number]]=C125,1,0)+IF(Table442431[[#This Row],[Session]]=B125,1,0)+IF(Table442431[[#This Row],[Pre or Post]]="Post",1,0)+IF(D125="Pre",1,0)=4,Table442431[[#This Row],[Post Total]]-J125,""),"")</f>
        <v/>
      </c>
      <c r="O126" s="6" t="b">
        <f>ISNUMBER(Table442431[[#This Row],[Change]])</f>
        <v>0</v>
      </c>
    </row>
    <row r="127" spans="1:15">
      <c r="A127" s="2" t="s">
        <v>24</v>
      </c>
      <c r="B127" s="2" t="s">
        <v>31</v>
      </c>
      <c r="C127" s="1">
        <v>14</v>
      </c>
      <c r="D127" s="2" t="s">
        <v>16</v>
      </c>
      <c r="E127" s="1">
        <v>3</v>
      </c>
      <c r="F127" s="1">
        <v>4</v>
      </c>
      <c r="G127" s="2" t="s">
        <v>9</v>
      </c>
      <c r="H127" s="5" t="str">
        <f>IF(IF(Table442431[[#This Row],[Pre or Post]]="Pre",1,0)+IF(ISNUMBER(Table442431[[#This Row],[Response]])=TRUE,1,0)=2,1,"")</f>
        <v/>
      </c>
      <c r="I127" s="5">
        <f>IF(IF(Table442431[[#This Row],[Pre or Post]]="Post",1,0)+IF(ISNUMBER(Table442431[[#This Row],[Response]])=TRUE,1,0)=2,1,"")</f>
        <v>1</v>
      </c>
      <c r="J127" s="5" t="str">
        <f>IF(IF(Table442431[[#This Row],[Pre or Post]]="Pre",1,0)+IF(ISNUMBER(Table442431[[#This Row],[Response]])=TRUE,1,0)=2,Table442431[[#This Row],[Response]],"")</f>
        <v/>
      </c>
      <c r="K127" s="5">
        <f>IF(IF(Table442431[[#This Row],[Pre or Post]]="Post",1,0)+IF(ISNUMBER(Table442431[[#This Row],[Response]])=TRUE,1,0)=2,Table442431[[#This Row],[Response]],"")</f>
        <v>4</v>
      </c>
      <c r="L127" s="5" t="str">
        <f>IF(IF(ISNUMBER(J127),1,0)+IF(ISNUMBER(K128),1,0)=2,IF(IF(C128=C127,1,0)+IF(B128=B127,1,0)+IF(D128="Post",1,0)+IF(D127="Pre",1,0)=4,Table442431[[#This Row],[Pre Total]],""),"")</f>
        <v/>
      </c>
      <c r="M127" s="5" t="str">
        <f>IF(IF(ISNUMBER(J126),1,0)+IF(ISNUMBER(Table442431[[#This Row],[Post Total]]),1,0)=2,IF(IF(Table442431[[#This Row],[Student Number]]=C126,1,0)+IF(Table442431[[#This Row],[Session]]=B126,1,0)+IF(Table442431[[#This Row],[Pre or Post]]="Post",1,0)+IF(D126="Pre",1,0)=4,Table442431[[#This Row],[Post Total]],""),"")</f>
        <v/>
      </c>
      <c r="N127" s="5" t="str">
        <f>IF(IF(ISNUMBER(J126),1,0)+IF(ISNUMBER(Table442431[[#This Row],[Post Total]]),1,0)=2,IF(IF(Table442431[[#This Row],[Student Number]]=C126,1,0)+IF(Table442431[[#This Row],[Session]]=B126,1,0)+IF(Table442431[[#This Row],[Pre or Post]]="Post",1,0)+IF(D126="Pre",1,0)=4,Table442431[[#This Row],[Post Total]]-J126,""),"")</f>
        <v/>
      </c>
      <c r="O127" s="5" t="b">
        <f>ISNUMBER(Table442431[[#This Row],[Change]])</f>
        <v>0</v>
      </c>
    </row>
    <row r="128" spans="1:15">
      <c r="A128" s="2" t="s">
        <v>24</v>
      </c>
      <c r="B128" s="2" t="s">
        <v>31</v>
      </c>
      <c r="C128" s="1">
        <v>15</v>
      </c>
      <c r="D128" s="2" t="s">
        <v>16</v>
      </c>
      <c r="E128" s="1">
        <v>3</v>
      </c>
      <c r="F128" s="1">
        <v>5</v>
      </c>
      <c r="G128" s="2" t="s">
        <v>9</v>
      </c>
      <c r="H128" s="6" t="str">
        <f>IF(IF(Table442431[[#This Row],[Pre or Post]]="Pre",1,0)+IF(ISNUMBER(Table442431[[#This Row],[Response]])=TRUE,1,0)=2,1,"")</f>
        <v/>
      </c>
      <c r="I128" s="6">
        <f>IF(IF(Table442431[[#This Row],[Pre or Post]]="Post",1,0)+IF(ISNUMBER(Table442431[[#This Row],[Response]])=TRUE,1,0)=2,1,"")</f>
        <v>1</v>
      </c>
      <c r="J128" s="6" t="str">
        <f>IF(IF(Table442431[[#This Row],[Pre or Post]]="Pre",1,0)+IF(ISNUMBER(Table442431[[#This Row],[Response]])=TRUE,1,0)=2,Table442431[[#This Row],[Response]],"")</f>
        <v/>
      </c>
      <c r="K128" s="6">
        <f>IF(IF(Table442431[[#This Row],[Pre or Post]]="Post",1,0)+IF(ISNUMBER(Table442431[[#This Row],[Response]])=TRUE,1,0)=2,Table442431[[#This Row],[Response]],"")</f>
        <v>5</v>
      </c>
      <c r="L128" s="6" t="str">
        <f>IF(IF(ISNUMBER(J128),1,0)+IF(ISNUMBER(K129),1,0)=2,IF(IF(C129=C128,1,0)+IF(B129=B128,1,0)+IF(D129="Post",1,0)+IF(D128="Pre",1,0)=4,Table442431[[#This Row],[Pre Total]],""),"")</f>
        <v/>
      </c>
      <c r="M128" s="6" t="str">
        <f>IF(IF(ISNUMBER(J127),1,0)+IF(ISNUMBER(Table442431[[#This Row],[Post Total]]),1,0)=2,IF(IF(Table442431[[#This Row],[Student Number]]=C127,1,0)+IF(Table442431[[#This Row],[Session]]=B127,1,0)+IF(Table442431[[#This Row],[Pre or Post]]="Post",1,0)+IF(D127="Pre",1,0)=4,Table442431[[#This Row],[Post Total]],""),"")</f>
        <v/>
      </c>
      <c r="N128" s="6" t="str">
        <f>IF(IF(ISNUMBER(J127),1,0)+IF(ISNUMBER(Table442431[[#This Row],[Post Total]]),1,0)=2,IF(IF(Table442431[[#This Row],[Student Number]]=C127,1,0)+IF(Table442431[[#This Row],[Session]]=B127,1,0)+IF(Table442431[[#This Row],[Pre or Post]]="Post",1,0)+IF(D127="Pre",1,0)=4,Table442431[[#This Row],[Post Total]]-J127,""),"")</f>
        <v/>
      </c>
      <c r="O128" s="6" t="b">
        <f>ISNUMBER(Table442431[[#This Row],[Change]])</f>
        <v>0</v>
      </c>
    </row>
    <row r="129" spans="1:15">
      <c r="A129" s="2" t="s">
        <v>24</v>
      </c>
      <c r="B129" s="2" t="s">
        <v>26</v>
      </c>
      <c r="C129" s="1">
        <v>1</v>
      </c>
      <c r="D129" s="1" t="s">
        <v>6</v>
      </c>
      <c r="E129" s="1">
        <v>10</v>
      </c>
      <c r="F129" s="1">
        <v>2</v>
      </c>
      <c r="G129" s="2" t="s">
        <v>8</v>
      </c>
      <c r="H129" s="5">
        <f>IF(IF(Table442431[[#This Row],[Pre or Post]]="Pre",1,0)+IF(ISNUMBER(Table442431[[#This Row],[Response]])=TRUE,1,0)=2,1,"")</f>
        <v>1</v>
      </c>
      <c r="I129" s="5" t="str">
        <f>IF(IF(Table442431[[#This Row],[Pre or Post]]="Post",1,0)+IF(ISNUMBER(Table442431[[#This Row],[Response]])=TRUE,1,0)=2,1,"")</f>
        <v/>
      </c>
      <c r="J129" s="5"/>
      <c r="K129" s="5" t="str">
        <f>IF(IF(Table442431[[#This Row],[Pre or Post]]="Post",1,0)+IF(ISNUMBER(Table442431[[#This Row],[Response]])=TRUE,1,0)=2,Table442431[[#This Row],[Response]],"")</f>
        <v/>
      </c>
      <c r="L129" s="5" t="str">
        <f>IF(IF(ISNUMBER(J129),1,0)+IF(ISNUMBER(K130),1,0)=2,IF(IF(C130=C129,1,0)+IF(B130=B129,1,0)+IF(D130="Post",1,0)+IF(D129="Pre",1,0)=4,Table442431[[#This Row],[Pre Total]],""),"")</f>
        <v/>
      </c>
      <c r="M129" s="5" t="str">
        <f>IF(IF(ISNUMBER(J128),1,0)+IF(ISNUMBER(Table442431[[#This Row],[Post Total]]),1,0)=2,IF(IF(Table442431[[#This Row],[Student Number]]=C128,1,0)+IF(Table442431[[#This Row],[Session]]=B128,1,0)+IF(Table442431[[#This Row],[Pre or Post]]="Post",1,0)+IF(D128="Pre",1,0)=4,Table442431[[#This Row],[Post Total]],""),"")</f>
        <v/>
      </c>
      <c r="N129" s="5" t="str">
        <f>IF(IF(ISNUMBER(J128),1,0)+IF(ISNUMBER(Table442431[[#This Row],[Post Total]]),1,0)=2,IF(IF(Table442431[[#This Row],[Student Number]]=C128,1,0)+IF(Table442431[[#This Row],[Session]]=B128,1,0)+IF(Table442431[[#This Row],[Pre or Post]]="Post",1,0)+IF(D128="Pre",1,0)=4,Table442431[[#This Row],[Post Total]]-J128,""),"")</f>
        <v/>
      </c>
      <c r="O129" s="5" t="b">
        <f>ISNUMBER(Table442431[[#This Row],[Change]])</f>
        <v>0</v>
      </c>
    </row>
    <row r="130" spans="1:15">
      <c r="A130" s="2" t="s">
        <v>24</v>
      </c>
      <c r="B130" s="2" t="s">
        <v>26</v>
      </c>
      <c r="C130" s="1">
        <v>1</v>
      </c>
      <c r="D130" s="1" t="s">
        <v>16</v>
      </c>
      <c r="E130" s="1">
        <v>3</v>
      </c>
      <c r="F130" s="1">
        <v>2</v>
      </c>
      <c r="G130" s="2" t="s">
        <v>8</v>
      </c>
      <c r="H130" s="6" t="str">
        <f>IF(IF(Table442431[[#This Row],[Pre or Post]]="Pre",1,0)+IF(ISNUMBER(Table442431[[#This Row],[Response]])=TRUE,1,0)=2,1,"")</f>
        <v/>
      </c>
      <c r="I130" s="6">
        <f>IF(IF(Table442431[[#This Row],[Pre or Post]]="Post",1,0)+IF(ISNUMBER(Table442431[[#This Row],[Response]])=TRUE,1,0)=2,1,"")</f>
        <v>1</v>
      </c>
      <c r="J130" s="6" t="str">
        <f>IF(IF(Table442431[[#This Row],[Pre or Post]]="Pre",1,0)+IF(ISNUMBER(Table442431[[#This Row],[Response]])=TRUE,1,0)=2,Table442431[[#This Row],[Response]],"")</f>
        <v/>
      </c>
      <c r="K130" s="6">
        <f>IF(IF(Table442431[[#This Row],[Pre or Post]]="Post",1,0)+IF(ISNUMBER(Table442431[[#This Row],[Response]])=TRUE,1,0)=2,Table442431[[#This Row],[Response]],"")</f>
        <v>2</v>
      </c>
      <c r="L130" s="6" t="str">
        <f>IF(IF(ISNUMBER(J130),1,0)+IF(ISNUMBER(K131),1,0)=2,IF(IF(C131=C130,1,0)+IF(B131=B130,1,0)+IF(D131="Post",1,0)+IF(D130="Pre",1,0)=4,Table442431[[#This Row],[Pre Total]],""),"")</f>
        <v/>
      </c>
      <c r="M130" s="6" t="str">
        <f>IF(IF(ISNUMBER(J129),1,0)+IF(ISNUMBER(Table442431[[#This Row],[Post Total]]),1,0)=2,IF(IF(Table442431[[#This Row],[Student Number]]=C129,1,0)+IF(Table442431[[#This Row],[Session]]=B129,1,0)+IF(Table442431[[#This Row],[Pre or Post]]="Post",1,0)+IF(D129="Pre",1,0)=4,Table442431[[#This Row],[Post Total]],""),"")</f>
        <v/>
      </c>
      <c r="N130" s="6" t="str">
        <f>IF(IF(ISNUMBER(J129),1,0)+IF(ISNUMBER(Table442431[[#This Row],[Post Total]]),1,0)=2,IF(IF(Table442431[[#This Row],[Student Number]]=C129,1,0)+IF(Table442431[[#This Row],[Session]]=B129,1,0)+IF(Table442431[[#This Row],[Pre or Post]]="Post",1,0)+IF(D129="Pre",1,0)=4,Table442431[[#This Row],[Post Total]]-J129,""),"")</f>
        <v/>
      </c>
      <c r="O130" s="6" t="b">
        <f>ISNUMBER(Table442431[[#This Row],[Change]])</f>
        <v>0</v>
      </c>
    </row>
    <row r="131" spans="1:15">
      <c r="A131" s="2" t="s">
        <v>24</v>
      </c>
      <c r="B131" s="2" t="s">
        <v>26</v>
      </c>
      <c r="C131" s="1">
        <v>2</v>
      </c>
      <c r="D131" s="1" t="s">
        <v>6</v>
      </c>
      <c r="E131" s="1">
        <v>10</v>
      </c>
      <c r="F131" s="1">
        <v>2</v>
      </c>
      <c r="G131" s="2" t="s">
        <v>8</v>
      </c>
      <c r="H131" s="5">
        <f>IF(IF(Table442431[[#This Row],[Pre or Post]]="Pre",1,0)+IF(ISNUMBER(Table442431[[#This Row],[Response]])=TRUE,1,0)=2,1,"")</f>
        <v>1</v>
      </c>
      <c r="I131" s="5" t="str">
        <f>IF(IF(Table442431[[#This Row],[Pre or Post]]="Post",1,0)+IF(ISNUMBER(Table442431[[#This Row],[Response]])=TRUE,1,0)=2,1,"")</f>
        <v/>
      </c>
      <c r="J131" s="5">
        <f>IF(IF(Table442431[[#This Row],[Pre or Post]]="Pre",1,0)+IF(ISNUMBER(Table442431[[#This Row],[Response]])=TRUE,1,0)=2,Table442431[[#This Row],[Response]],"")</f>
        <v>2</v>
      </c>
      <c r="K131" s="5" t="str">
        <f>IF(IF(Table442431[[#This Row],[Pre or Post]]="Post",1,0)+IF(ISNUMBER(Table442431[[#This Row],[Response]])=TRUE,1,0)=2,Table442431[[#This Row],[Response]],"")</f>
        <v/>
      </c>
      <c r="L131" s="5">
        <f>IF(IF(ISNUMBER(J131),1,0)+IF(ISNUMBER(K132),1,0)=2,IF(IF(C132=C131,1,0)+IF(B132=B131,1,0)+IF(D132="Post",1,0)+IF(D131="Pre",1,0)=4,Table442431[[#This Row],[Pre Total]],""),"")</f>
        <v>2</v>
      </c>
      <c r="M131" s="5" t="str">
        <f>IF(IF(ISNUMBER(J130),1,0)+IF(ISNUMBER(Table442431[[#This Row],[Post Total]]),1,0)=2,IF(IF(Table442431[[#This Row],[Student Number]]=C130,1,0)+IF(Table442431[[#This Row],[Session]]=B130,1,0)+IF(Table442431[[#This Row],[Pre or Post]]="Post",1,0)+IF(D130="Pre",1,0)=4,Table442431[[#This Row],[Post Total]],""),"")</f>
        <v/>
      </c>
      <c r="N131" s="5" t="str">
        <f>IF(IF(ISNUMBER(J130),1,0)+IF(ISNUMBER(Table442431[[#This Row],[Post Total]]),1,0)=2,IF(IF(Table442431[[#This Row],[Student Number]]=C130,1,0)+IF(Table442431[[#This Row],[Session]]=B130,1,0)+IF(Table442431[[#This Row],[Pre or Post]]="Post",1,0)+IF(D130="Pre",1,0)=4,Table442431[[#This Row],[Post Total]]-J130,""),"")</f>
        <v/>
      </c>
      <c r="O131" s="5" t="b">
        <f>ISNUMBER(Table442431[[#This Row],[Change]])</f>
        <v>0</v>
      </c>
    </row>
    <row r="132" spans="1:15">
      <c r="A132" s="2" t="s">
        <v>24</v>
      </c>
      <c r="B132" s="2" t="s">
        <v>26</v>
      </c>
      <c r="C132" s="1">
        <v>2</v>
      </c>
      <c r="D132" s="1" t="s">
        <v>16</v>
      </c>
      <c r="E132" s="1">
        <v>3</v>
      </c>
      <c r="F132" s="1">
        <v>2</v>
      </c>
      <c r="G132" s="2" t="s">
        <v>8</v>
      </c>
      <c r="H132" s="5" t="str">
        <f>IF(IF(Table442431[[#This Row],[Pre or Post]]="Pre",1,0)+IF(ISNUMBER(Table442431[[#This Row],[Response]])=TRUE,1,0)=2,1,"")</f>
        <v/>
      </c>
      <c r="I132" s="5">
        <f>IF(IF(Table442431[[#This Row],[Pre or Post]]="Post",1,0)+IF(ISNUMBER(Table442431[[#This Row],[Response]])=TRUE,1,0)=2,1,"")</f>
        <v>1</v>
      </c>
      <c r="J132" s="5" t="str">
        <f>IF(IF(Table442431[[#This Row],[Pre or Post]]="Pre",1,0)+IF(ISNUMBER(Table442431[[#This Row],[Response]])=TRUE,1,0)=2,Table442431[[#This Row],[Response]],"")</f>
        <v/>
      </c>
      <c r="K132" s="5">
        <f>IF(IF(Table442431[[#This Row],[Pre or Post]]="Post",1,0)+IF(ISNUMBER(Table442431[[#This Row],[Response]])=TRUE,1,0)=2,Table442431[[#This Row],[Response]],"")</f>
        <v>2</v>
      </c>
      <c r="L132" s="5" t="str">
        <f>IF(IF(ISNUMBER(J132),1,0)+IF(ISNUMBER(K133),1,0)=2,IF(IF(C133=C132,1,0)+IF(B133=B132,1,0)+IF(D133="Post",1,0)+IF(D132="Pre",1,0)=4,Table442431[[#This Row],[Pre Total]],""),"")</f>
        <v/>
      </c>
      <c r="M132" s="5">
        <f>IF(IF(ISNUMBER(J131),1,0)+IF(ISNUMBER(Table442431[[#This Row],[Post Total]]),1,0)=2,IF(IF(Table442431[[#This Row],[Student Number]]=C131,1,0)+IF(Table442431[[#This Row],[Session]]=B131,1,0)+IF(Table442431[[#This Row],[Pre or Post]]="Post",1,0)+IF(D131="Pre",1,0)=4,Table442431[[#This Row],[Post Total]],""),"")</f>
        <v>2</v>
      </c>
      <c r="N132" s="5">
        <f>IF(IF(ISNUMBER(J131),1,0)+IF(ISNUMBER(Table442431[[#This Row],[Post Total]]),1,0)=2,IF(IF(Table442431[[#This Row],[Student Number]]=C131,1,0)+IF(Table442431[[#This Row],[Session]]=B131,1,0)+IF(Table442431[[#This Row],[Pre or Post]]="Post",1,0)+IF(D131="Pre",1,0)=4,Table442431[[#This Row],[Post Total]]-J131,""),"")</f>
        <v>0</v>
      </c>
      <c r="O132" s="5" t="b">
        <f>ISNUMBER(Table442431[[#This Row],[Change]])</f>
        <v>1</v>
      </c>
    </row>
    <row r="133" spans="1:15">
      <c r="A133" s="2" t="s">
        <v>24</v>
      </c>
      <c r="B133" s="2" t="s">
        <v>26</v>
      </c>
      <c r="C133" s="1">
        <v>3</v>
      </c>
      <c r="D133" s="1" t="s">
        <v>6</v>
      </c>
      <c r="E133" s="1">
        <v>10</v>
      </c>
      <c r="F133" s="1">
        <v>2</v>
      </c>
      <c r="G133" s="2" t="s">
        <v>8</v>
      </c>
      <c r="H133" s="5">
        <f>IF(IF(Table442431[[#This Row],[Pre or Post]]="Pre",1,0)+IF(ISNUMBER(Table442431[[#This Row],[Response]])=TRUE,1,0)=2,1,"")</f>
        <v>1</v>
      </c>
      <c r="I133" s="5" t="str">
        <f>IF(IF(Table442431[[#This Row],[Pre or Post]]="Post",1,0)+IF(ISNUMBER(Table442431[[#This Row],[Response]])=TRUE,1,0)=2,1,"")</f>
        <v/>
      </c>
      <c r="J133" s="5"/>
      <c r="K133" s="5" t="str">
        <f>IF(IF(Table442431[[#This Row],[Pre or Post]]="Post",1,0)+IF(ISNUMBER(Table442431[[#This Row],[Response]])=TRUE,1,0)=2,Table442431[[#This Row],[Response]],"")</f>
        <v/>
      </c>
      <c r="L133" s="5" t="str">
        <f>IF(IF(ISNUMBER(J133),1,0)+IF(ISNUMBER(K134),1,0)=2,IF(IF(C134=C133,1,0)+IF(B134=B133,1,0)+IF(D134="Post",1,0)+IF(D133="Pre",1,0)=4,Table442431[[#This Row],[Pre Total]],""),"")</f>
        <v/>
      </c>
      <c r="M133" s="5" t="str">
        <f>IF(IF(ISNUMBER(J132),1,0)+IF(ISNUMBER(Table442431[[#This Row],[Post Total]]),1,0)=2,IF(IF(Table442431[[#This Row],[Student Number]]=C132,1,0)+IF(Table442431[[#This Row],[Session]]=B132,1,0)+IF(Table442431[[#This Row],[Pre or Post]]="Post",1,0)+IF(D132="Pre",1,0)=4,Table442431[[#This Row],[Post Total]],""),"")</f>
        <v/>
      </c>
      <c r="N133" s="5" t="str">
        <f>IF(IF(ISNUMBER(J132),1,0)+IF(ISNUMBER(Table442431[[#This Row],[Post Total]]),1,0)=2,IF(IF(Table442431[[#This Row],[Student Number]]=C132,1,0)+IF(Table442431[[#This Row],[Session]]=B132,1,0)+IF(Table442431[[#This Row],[Pre or Post]]="Post",1,0)+IF(D132="Pre",1,0)=4,Table442431[[#This Row],[Post Total]]-J132,""),"")</f>
        <v/>
      </c>
      <c r="O133" s="5" t="b">
        <f>ISNUMBER(Table442431[[#This Row],[Change]])</f>
        <v>0</v>
      </c>
    </row>
    <row r="134" spans="1:15">
      <c r="A134" s="2" t="s">
        <v>24</v>
      </c>
      <c r="B134" s="2" t="s">
        <v>26</v>
      </c>
      <c r="C134" s="1">
        <v>3</v>
      </c>
      <c r="D134" s="1" t="s">
        <v>16</v>
      </c>
      <c r="E134" s="1">
        <v>3</v>
      </c>
      <c r="F134" s="1">
        <v>2</v>
      </c>
      <c r="G134" s="2" t="s">
        <v>8</v>
      </c>
      <c r="H134" s="6" t="str">
        <f>IF(IF(Table442431[[#This Row],[Pre or Post]]="Pre",1,0)+IF(ISNUMBER(Table442431[[#This Row],[Response]])=TRUE,1,0)=2,1,"")</f>
        <v/>
      </c>
      <c r="I134" s="6">
        <f>IF(IF(Table442431[[#This Row],[Pre or Post]]="Post",1,0)+IF(ISNUMBER(Table442431[[#This Row],[Response]])=TRUE,1,0)=2,1,"")</f>
        <v>1</v>
      </c>
      <c r="J134" s="6" t="str">
        <f>IF(IF(Table442431[[#This Row],[Pre or Post]]="Pre",1,0)+IF(ISNUMBER(Table442431[[#This Row],[Response]])=TRUE,1,0)=2,Table442431[[#This Row],[Response]],"")</f>
        <v/>
      </c>
      <c r="K134" s="6">
        <f>IF(IF(Table442431[[#This Row],[Pre or Post]]="Post",1,0)+IF(ISNUMBER(Table442431[[#This Row],[Response]])=TRUE,1,0)=2,Table442431[[#This Row],[Response]],"")</f>
        <v>2</v>
      </c>
      <c r="L134" s="6" t="str">
        <f>IF(IF(ISNUMBER(J134),1,0)+IF(ISNUMBER(K135),1,0)=2,IF(IF(C135=C134,1,0)+IF(B135=B134,1,0)+IF(D135="Post",1,0)+IF(D134="Pre",1,0)=4,Table442431[[#This Row],[Pre Total]],""),"")</f>
        <v/>
      </c>
      <c r="M134" s="6" t="str">
        <f>IF(IF(ISNUMBER(J133),1,0)+IF(ISNUMBER(Table442431[[#This Row],[Post Total]]),1,0)=2,IF(IF(Table442431[[#This Row],[Student Number]]=C133,1,0)+IF(Table442431[[#This Row],[Session]]=B133,1,0)+IF(Table442431[[#This Row],[Pre or Post]]="Post",1,0)+IF(D133="Pre",1,0)=4,Table442431[[#This Row],[Post Total]],""),"")</f>
        <v/>
      </c>
      <c r="N134" s="6" t="str">
        <f>IF(IF(ISNUMBER(J133),1,0)+IF(ISNUMBER(Table442431[[#This Row],[Post Total]]),1,0)=2,IF(IF(Table442431[[#This Row],[Student Number]]=C133,1,0)+IF(Table442431[[#This Row],[Session]]=B133,1,0)+IF(Table442431[[#This Row],[Pre or Post]]="Post",1,0)+IF(D133="Pre",1,0)=4,Table442431[[#This Row],[Post Total]]-J133,""),"")</f>
        <v/>
      </c>
      <c r="O134" s="6" t="b">
        <f>ISNUMBER(Table442431[[#This Row],[Change]])</f>
        <v>0</v>
      </c>
    </row>
    <row r="135" spans="1:15">
      <c r="A135" s="2" t="s">
        <v>24</v>
      </c>
      <c r="B135" s="2" t="s">
        <v>26</v>
      </c>
      <c r="C135" s="1">
        <v>4</v>
      </c>
      <c r="D135" s="1" t="s">
        <v>6</v>
      </c>
      <c r="E135" s="1">
        <v>10</v>
      </c>
      <c r="F135" s="1">
        <v>4</v>
      </c>
      <c r="G135" s="2" t="s">
        <v>8</v>
      </c>
      <c r="H135" s="5">
        <f>IF(IF(Table442431[[#This Row],[Pre or Post]]="Pre",1,0)+IF(ISNUMBER(Table442431[[#This Row],[Response]])=TRUE,1,0)=2,1,"")</f>
        <v>1</v>
      </c>
      <c r="I135" s="5" t="str">
        <f>IF(IF(Table442431[[#This Row],[Pre or Post]]="Post",1,0)+IF(ISNUMBER(Table442431[[#This Row],[Response]])=TRUE,1,0)=2,1,"")</f>
        <v/>
      </c>
      <c r="J135" s="5">
        <f>IF(IF(Table442431[[#This Row],[Pre or Post]]="Pre",1,0)+IF(ISNUMBER(Table442431[[#This Row],[Response]])=TRUE,1,0)=2,Table442431[[#This Row],[Response]],"")</f>
        <v>4</v>
      </c>
      <c r="K135" s="5" t="str">
        <f>IF(IF(Table442431[[#This Row],[Pre or Post]]="Post",1,0)+IF(ISNUMBER(Table442431[[#This Row],[Response]])=TRUE,1,0)=2,Table442431[[#This Row],[Response]],"")</f>
        <v/>
      </c>
      <c r="L135" s="5">
        <f>IF(IF(ISNUMBER(J135),1,0)+IF(ISNUMBER(K136),1,0)=2,IF(IF(C136=C135,1,0)+IF(B136=B135,1,0)+IF(D136="Post",1,0)+IF(D135="Pre",1,0)=4,Table442431[[#This Row],[Pre Total]],""),"")</f>
        <v>4</v>
      </c>
      <c r="M135" s="5" t="str">
        <f>IF(IF(ISNUMBER(J134),1,0)+IF(ISNUMBER(Table442431[[#This Row],[Post Total]]),1,0)=2,IF(IF(Table442431[[#This Row],[Student Number]]=C134,1,0)+IF(Table442431[[#This Row],[Session]]=B134,1,0)+IF(Table442431[[#This Row],[Pre or Post]]="Post",1,0)+IF(D134="Pre",1,0)=4,Table442431[[#This Row],[Post Total]],""),"")</f>
        <v/>
      </c>
      <c r="N135" s="5" t="str">
        <f>IF(IF(ISNUMBER(J134),1,0)+IF(ISNUMBER(Table442431[[#This Row],[Post Total]]),1,0)=2,IF(IF(Table442431[[#This Row],[Student Number]]=C134,1,0)+IF(Table442431[[#This Row],[Session]]=B134,1,0)+IF(Table442431[[#This Row],[Pre or Post]]="Post",1,0)+IF(D134="Pre",1,0)=4,Table442431[[#This Row],[Post Total]]-J134,""),"")</f>
        <v/>
      </c>
      <c r="O135" s="5" t="b">
        <f>ISNUMBER(Table442431[[#This Row],[Change]])</f>
        <v>0</v>
      </c>
    </row>
    <row r="136" spans="1:15">
      <c r="A136" s="2" t="s">
        <v>24</v>
      </c>
      <c r="B136" s="2" t="s">
        <v>26</v>
      </c>
      <c r="C136" s="1">
        <v>4</v>
      </c>
      <c r="D136" s="1" t="s">
        <v>16</v>
      </c>
      <c r="E136" s="1">
        <v>3</v>
      </c>
      <c r="F136" s="1">
        <v>3</v>
      </c>
      <c r="G136" s="2" t="s">
        <v>8</v>
      </c>
      <c r="H136" s="5" t="str">
        <f>IF(IF(Table442431[[#This Row],[Pre or Post]]="Pre",1,0)+IF(ISNUMBER(Table442431[[#This Row],[Response]])=TRUE,1,0)=2,1,"")</f>
        <v/>
      </c>
      <c r="I136" s="5">
        <f>IF(IF(Table442431[[#This Row],[Pre or Post]]="Post",1,0)+IF(ISNUMBER(Table442431[[#This Row],[Response]])=TRUE,1,0)=2,1,"")</f>
        <v>1</v>
      </c>
      <c r="J136" s="5" t="str">
        <f>IF(IF(Table442431[[#This Row],[Pre or Post]]="Pre",1,0)+IF(ISNUMBER(Table442431[[#This Row],[Response]])=TRUE,1,0)=2,Table442431[[#This Row],[Response]],"")</f>
        <v/>
      </c>
      <c r="K136" s="5">
        <f>IF(IF(Table442431[[#This Row],[Pre or Post]]="Post",1,0)+IF(ISNUMBER(Table442431[[#This Row],[Response]])=TRUE,1,0)=2,Table442431[[#This Row],[Response]],"")</f>
        <v>3</v>
      </c>
      <c r="L136" s="5" t="str">
        <f>IF(IF(ISNUMBER(J136),1,0)+IF(ISNUMBER(K137),1,0)=2,IF(IF(C137=C136,1,0)+IF(B137=B136,1,0)+IF(D137="Post",1,0)+IF(D136="Pre",1,0)=4,Table442431[[#This Row],[Pre Total]],""),"")</f>
        <v/>
      </c>
      <c r="M136" s="5">
        <f>IF(IF(ISNUMBER(J135),1,0)+IF(ISNUMBER(Table442431[[#This Row],[Post Total]]),1,0)=2,IF(IF(Table442431[[#This Row],[Student Number]]=C135,1,0)+IF(Table442431[[#This Row],[Session]]=B135,1,0)+IF(Table442431[[#This Row],[Pre or Post]]="Post",1,0)+IF(D135="Pre",1,0)=4,Table442431[[#This Row],[Post Total]],""),"")</f>
        <v>3</v>
      </c>
      <c r="N136" s="5">
        <f>IF(IF(ISNUMBER(J135),1,0)+IF(ISNUMBER(Table442431[[#This Row],[Post Total]]),1,0)=2,IF(IF(Table442431[[#This Row],[Student Number]]=C135,1,0)+IF(Table442431[[#This Row],[Session]]=B135,1,0)+IF(Table442431[[#This Row],[Pre or Post]]="Post",1,0)+IF(D135="Pre",1,0)=4,Table442431[[#This Row],[Post Total]]-J135,""),"")</f>
        <v>-1</v>
      </c>
      <c r="O136" s="5" t="b">
        <f>ISNUMBER(Table442431[[#This Row],[Change]])</f>
        <v>1</v>
      </c>
    </row>
    <row r="137" spans="1:15">
      <c r="A137" s="2" t="s">
        <v>24</v>
      </c>
      <c r="B137" s="2" t="s">
        <v>26</v>
      </c>
      <c r="C137" s="1">
        <v>5</v>
      </c>
      <c r="D137" s="1" t="s">
        <v>6</v>
      </c>
      <c r="E137" s="1">
        <v>10</v>
      </c>
      <c r="F137" s="1">
        <v>3</v>
      </c>
      <c r="G137" s="2" t="s">
        <v>8</v>
      </c>
      <c r="H137" s="5">
        <f>IF(IF(Table442431[[#This Row],[Pre or Post]]="Pre",1,0)+IF(ISNUMBER(Table442431[[#This Row],[Response]])=TRUE,1,0)=2,1,"")</f>
        <v>1</v>
      </c>
      <c r="I137" s="5" t="str">
        <f>IF(IF(Table442431[[#This Row],[Pre or Post]]="Post",1,0)+IF(ISNUMBER(Table442431[[#This Row],[Response]])=TRUE,1,0)=2,1,"")</f>
        <v/>
      </c>
      <c r="J137" s="5"/>
      <c r="K137" s="5" t="str">
        <f>IF(IF(Table442431[[#This Row],[Pre or Post]]="Post",1,0)+IF(ISNUMBER(Table442431[[#This Row],[Response]])=TRUE,1,0)=2,Table442431[[#This Row],[Response]],"")</f>
        <v/>
      </c>
      <c r="L137" s="5" t="str">
        <f>IF(IF(ISNUMBER(J137),1,0)+IF(ISNUMBER(K138),1,0)=2,IF(IF(C138=C137,1,0)+IF(B138=B137,1,0)+IF(D138="Post",1,0)+IF(D137="Pre",1,0)=4,Table442431[[#This Row],[Pre Total]],""),"")</f>
        <v/>
      </c>
      <c r="M137" s="5" t="str">
        <f>IF(IF(ISNUMBER(J136),1,0)+IF(ISNUMBER(Table442431[[#This Row],[Post Total]]),1,0)=2,IF(IF(Table442431[[#This Row],[Student Number]]=C136,1,0)+IF(Table442431[[#This Row],[Session]]=B136,1,0)+IF(Table442431[[#This Row],[Pre or Post]]="Post",1,0)+IF(D136="Pre",1,0)=4,Table442431[[#This Row],[Post Total]],""),"")</f>
        <v/>
      </c>
      <c r="N137" s="5" t="str">
        <f>IF(IF(ISNUMBER(J136),1,0)+IF(ISNUMBER(Table442431[[#This Row],[Post Total]]),1,0)=2,IF(IF(Table442431[[#This Row],[Student Number]]=C136,1,0)+IF(Table442431[[#This Row],[Session]]=B136,1,0)+IF(Table442431[[#This Row],[Pre or Post]]="Post",1,0)+IF(D136="Pre",1,0)=4,Table442431[[#This Row],[Post Total]]-J136,""),"")</f>
        <v/>
      </c>
      <c r="O137" s="5" t="b">
        <f>ISNUMBER(Table442431[[#This Row],[Change]])</f>
        <v>0</v>
      </c>
    </row>
    <row r="138" spans="1:15">
      <c r="A138" s="2" t="s">
        <v>24</v>
      </c>
      <c r="B138" s="2" t="s">
        <v>26</v>
      </c>
      <c r="C138" s="1">
        <v>5</v>
      </c>
      <c r="D138" s="1" t="s">
        <v>16</v>
      </c>
      <c r="E138" s="1">
        <v>3</v>
      </c>
      <c r="F138" s="1">
        <v>3</v>
      </c>
      <c r="G138" s="2" t="s">
        <v>8</v>
      </c>
      <c r="H138" s="6" t="str">
        <f>IF(IF(Table442431[[#This Row],[Pre or Post]]="Pre",1,0)+IF(ISNUMBER(Table442431[[#This Row],[Response]])=TRUE,1,0)=2,1,"")</f>
        <v/>
      </c>
      <c r="I138" s="6">
        <f>IF(IF(Table442431[[#This Row],[Pre or Post]]="Post",1,0)+IF(ISNUMBER(Table442431[[#This Row],[Response]])=TRUE,1,0)=2,1,"")</f>
        <v>1</v>
      </c>
      <c r="J138" s="6" t="str">
        <f>IF(IF(Table442431[[#This Row],[Pre or Post]]="Pre",1,0)+IF(ISNUMBER(Table442431[[#This Row],[Response]])=TRUE,1,0)=2,Table442431[[#This Row],[Response]],"")</f>
        <v/>
      </c>
      <c r="K138" s="6">
        <f>IF(IF(Table442431[[#This Row],[Pre or Post]]="Post",1,0)+IF(ISNUMBER(Table442431[[#This Row],[Response]])=TRUE,1,0)=2,Table442431[[#This Row],[Response]],"")</f>
        <v>3</v>
      </c>
      <c r="L138" s="6" t="str">
        <f>IF(IF(ISNUMBER(J138),1,0)+IF(ISNUMBER(K139),1,0)=2,IF(IF(C139=C138,1,0)+IF(B139=B138,1,0)+IF(D139="Post",1,0)+IF(D138="Pre",1,0)=4,Table442431[[#This Row],[Pre Total]],""),"")</f>
        <v/>
      </c>
      <c r="M138" s="6" t="str">
        <f>IF(IF(ISNUMBER(J137),1,0)+IF(ISNUMBER(Table442431[[#This Row],[Post Total]]),1,0)=2,IF(IF(Table442431[[#This Row],[Student Number]]=C137,1,0)+IF(Table442431[[#This Row],[Session]]=B137,1,0)+IF(Table442431[[#This Row],[Pre or Post]]="Post",1,0)+IF(D137="Pre",1,0)=4,Table442431[[#This Row],[Post Total]],""),"")</f>
        <v/>
      </c>
      <c r="N138" s="6" t="str">
        <f>IF(IF(ISNUMBER(J137),1,0)+IF(ISNUMBER(Table442431[[#This Row],[Post Total]]),1,0)=2,IF(IF(Table442431[[#This Row],[Student Number]]=C137,1,0)+IF(Table442431[[#This Row],[Session]]=B137,1,0)+IF(Table442431[[#This Row],[Pre or Post]]="Post",1,0)+IF(D137="Pre",1,0)=4,Table442431[[#This Row],[Post Total]]-J137,""),"")</f>
        <v/>
      </c>
      <c r="O138" s="6" t="b">
        <f>ISNUMBER(Table442431[[#This Row],[Change]])</f>
        <v>0</v>
      </c>
    </row>
    <row r="139" spans="1:15">
      <c r="A139" s="2" t="s">
        <v>24</v>
      </c>
      <c r="B139" s="2" t="s">
        <v>26</v>
      </c>
      <c r="C139" s="1">
        <v>6</v>
      </c>
      <c r="D139" s="1" t="s">
        <v>6</v>
      </c>
      <c r="E139" s="1">
        <v>10</v>
      </c>
      <c r="F139" s="1">
        <v>3.5</v>
      </c>
      <c r="G139" s="2" t="s">
        <v>8</v>
      </c>
      <c r="H139" s="5">
        <f>IF(IF(Table442431[[#This Row],[Pre or Post]]="Pre",1,0)+IF(ISNUMBER(Table442431[[#This Row],[Response]])=TRUE,1,0)=2,1,"")</f>
        <v>1</v>
      </c>
      <c r="I139" s="5" t="str">
        <f>IF(IF(Table442431[[#This Row],[Pre or Post]]="Post",1,0)+IF(ISNUMBER(Table442431[[#This Row],[Response]])=TRUE,1,0)=2,1,"")</f>
        <v/>
      </c>
      <c r="J139" s="5">
        <f>IF(IF(Table442431[[#This Row],[Pre or Post]]="Pre",1,0)+IF(ISNUMBER(Table442431[[#This Row],[Response]])=TRUE,1,0)=2,Table442431[[#This Row],[Response]],"")</f>
        <v>3.5</v>
      </c>
      <c r="K139" s="5" t="str">
        <f>IF(IF(Table442431[[#This Row],[Pre or Post]]="Post",1,0)+IF(ISNUMBER(Table442431[[#This Row],[Response]])=TRUE,1,0)=2,Table442431[[#This Row],[Response]],"")</f>
        <v/>
      </c>
      <c r="L139" s="5">
        <f>IF(IF(ISNUMBER(J139),1,0)+IF(ISNUMBER(K140),1,0)=2,IF(IF(C140=C139,1,0)+IF(B140=B139,1,0)+IF(D140="Post",1,0)+IF(D139="Pre",1,0)=4,Table442431[[#This Row],[Pre Total]],""),"")</f>
        <v>3.5</v>
      </c>
      <c r="M139" s="5" t="str">
        <f>IF(IF(ISNUMBER(J138),1,0)+IF(ISNUMBER(Table442431[[#This Row],[Post Total]]),1,0)=2,IF(IF(Table442431[[#This Row],[Student Number]]=C138,1,0)+IF(Table442431[[#This Row],[Session]]=B138,1,0)+IF(Table442431[[#This Row],[Pre or Post]]="Post",1,0)+IF(D138="Pre",1,0)=4,Table442431[[#This Row],[Post Total]],""),"")</f>
        <v/>
      </c>
      <c r="N139" s="5" t="str">
        <f>IF(IF(ISNUMBER(J138),1,0)+IF(ISNUMBER(Table442431[[#This Row],[Post Total]]),1,0)=2,IF(IF(Table442431[[#This Row],[Student Number]]=C138,1,0)+IF(Table442431[[#This Row],[Session]]=B138,1,0)+IF(Table442431[[#This Row],[Pre or Post]]="Post",1,0)+IF(D138="Pre",1,0)=4,Table442431[[#This Row],[Post Total]]-J138,""),"")</f>
        <v/>
      </c>
      <c r="O139" s="5" t="b">
        <f>ISNUMBER(Table442431[[#This Row],[Change]])</f>
        <v>0</v>
      </c>
    </row>
    <row r="140" spans="1:15">
      <c r="A140" s="2" t="s">
        <v>24</v>
      </c>
      <c r="B140" s="2" t="s">
        <v>26</v>
      </c>
      <c r="C140" s="1">
        <v>6</v>
      </c>
      <c r="D140" s="1" t="s">
        <v>16</v>
      </c>
      <c r="E140" s="1">
        <v>3</v>
      </c>
      <c r="F140" s="1">
        <v>4</v>
      </c>
      <c r="G140" s="2" t="s">
        <v>8</v>
      </c>
      <c r="H140" s="5" t="str">
        <f>IF(IF(Table442431[[#This Row],[Pre or Post]]="Pre",1,0)+IF(ISNUMBER(Table442431[[#This Row],[Response]])=TRUE,1,0)=2,1,"")</f>
        <v/>
      </c>
      <c r="I140" s="5">
        <f>IF(IF(Table442431[[#This Row],[Pre or Post]]="Post",1,0)+IF(ISNUMBER(Table442431[[#This Row],[Response]])=TRUE,1,0)=2,1,"")</f>
        <v>1</v>
      </c>
      <c r="J140" s="5" t="str">
        <f>IF(IF(Table442431[[#This Row],[Pre or Post]]="Pre",1,0)+IF(ISNUMBER(Table442431[[#This Row],[Response]])=TRUE,1,0)=2,Table442431[[#This Row],[Response]],"")</f>
        <v/>
      </c>
      <c r="K140" s="5">
        <f>IF(IF(Table442431[[#This Row],[Pre or Post]]="Post",1,0)+IF(ISNUMBER(Table442431[[#This Row],[Response]])=TRUE,1,0)=2,Table442431[[#This Row],[Response]],"")</f>
        <v>4</v>
      </c>
      <c r="L140" s="5" t="str">
        <f>IF(IF(ISNUMBER(J140),1,0)+IF(ISNUMBER(K141),1,0)=2,IF(IF(C141=C140,1,0)+IF(B141=B140,1,0)+IF(D141="Post",1,0)+IF(D140="Pre",1,0)=4,Table442431[[#This Row],[Pre Total]],""),"")</f>
        <v/>
      </c>
      <c r="M140" s="5">
        <f>IF(IF(ISNUMBER(J139),1,0)+IF(ISNUMBER(Table442431[[#This Row],[Post Total]]),1,0)=2,IF(IF(Table442431[[#This Row],[Student Number]]=C139,1,0)+IF(Table442431[[#This Row],[Session]]=B139,1,0)+IF(Table442431[[#This Row],[Pre or Post]]="Post",1,0)+IF(D139="Pre",1,0)=4,Table442431[[#This Row],[Post Total]],""),"")</f>
        <v>4</v>
      </c>
      <c r="N140" s="5">
        <f>IF(IF(ISNUMBER(J139),1,0)+IF(ISNUMBER(Table442431[[#This Row],[Post Total]]),1,0)=2,IF(IF(Table442431[[#This Row],[Student Number]]=C139,1,0)+IF(Table442431[[#This Row],[Session]]=B139,1,0)+IF(Table442431[[#This Row],[Pre or Post]]="Post",1,0)+IF(D139="Pre",1,0)=4,Table442431[[#This Row],[Post Total]]-J139,""),"")</f>
        <v>0.5</v>
      </c>
      <c r="O140" s="5" t="b">
        <f>ISNUMBER(Table442431[[#This Row],[Change]])</f>
        <v>1</v>
      </c>
    </row>
    <row r="141" spans="1:15">
      <c r="A141" s="2" t="s">
        <v>24</v>
      </c>
      <c r="B141" s="2" t="s">
        <v>26</v>
      </c>
      <c r="C141" s="1">
        <v>7</v>
      </c>
      <c r="D141" s="1" t="s">
        <v>6</v>
      </c>
      <c r="E141" s="1">
        <v>10</v>
      </c>
      <c r="F141" s="1">
        <v>3</v>
      </c>
      <c r="G141" s="2" t="s">
        <v>8</v>
      </c>
      <c r="H141" s="5">
        <f>IF(IF(Table442431[[#This Row],[Pre or Post]]="Pre",1,0)+IF(ISNUMBER(Table442431[[#This Row],[Response]])=TRUE,1,0)=2,1,"")</f>
        <v>1</v>
      </c>
      <c r="I141" s="5" t="str">
        <f>IF(IF(Table442431[[#This Row],[Pre or Post]]="Post",1,0)+IF(ISNUMBER(Table442431[[#This Row],[Response]])=TRUE,1,0)=2,1,"")</f>
        <v/>
      </c>
      <c r="J141" s="5"/>
      <c r="K141" s="5" t="str">
        <f>IF(IF(Table442431[[#This Row],[Pre or Post]]="Post",1,0)+IF(ISNUMBER(Table442431[[#This Row],[Response]])=TRUE,1,0)=2,Table442431[[#This Row],[Response]],"")</f>
        <v/>
      </c>
      <c r="L141" s="5" t="str">
        <f>IF(IF(ISNUMBER(J141),1,0)+IF(ISNUMBER(K142),1,0)=2,IF(IF(C142=C141,1,0)+IF(B142=B141,1,0)+IF(D142="Post",1,0)+IF(D141="Pre",1,0)=4,Table442431[[#This Row],[Pre Total]],""),"")</f>
        <v/>
      </c>
      <c r="M141" s="5" t="str">
        <f>IF(IF(ISNUMBER(J140),1,0)+IF(ISNUMBER(Table442431[[#This Row],[Post Total]]),1,0)=2,IF(IF(Table442431[[#This Row],[Student Number]]=C140,1,0)+IF(Table442431[[#This Row],[Session]]=B140,1,0)+IF(Table442431[[#This Row],[Pre or Post]]="Post",1,0)+IF(D140="Pre",1,0)=4,Table442431[[#This Row],[Post Total]],""),"")</f>
        <v/>
      </c>
      <c r="N141" s="5" t="str">
        <f>IF(IF(ISNUMBER(J140),1,0)+IF(ISNUMBER(Table442431[[#This Row],[Post Total]]),1,0)=2,IF(IF(Table442431[[#This Row],[Student Number]]=C140,1,0)+IF(Table442431[[#This Row],[Session]]=B140,1,0)+IF(Table442431[[#This Row],[Pre or Post]]="Post",1,0)+IF(D140="Pre",1,0)=4,Table442431[[#This Row],[Post Total]]-J140,""),"")</f>
        <v/>
      </c>
      <c r="O141" s="5" t="b">
        <f>ISNUMBER(Table442431[[#This Row],[Change]])</f>
        <v>0</v>
      </c>
    </row>
    <row r="142" spans="1:15">
      <c r="A142" s="2" t="s">
        <v>24</v>
      </c>
      <c r="B142" s="2" t="s">
        <v>26</v>
      </c>
      <c r="C142" s="1">
        <v>7</v>
      </c>
      <c r="D142" s="1" t="s">
        <v>16</v>
      </c>
      <c r="E142" s="1">
        <v>3</v>
      </c>
      <c r="F142" s="1">
        <v>4</v>
      </c>
      <c r="G142" s="2" t="s">
        <v>8</v>
      </c>
      <c r="H142" s="6" t="str">
        <f>IF(IF(Table442431[[#This Row],[Pre or Post]]="Pre",1,0)+IF(ISNUMBER(Table442431[[#This Row],[Response]])=TRUE,1,0)=2,1,"")</f>
        <v/>
      </c>
      <c r="I142" s="6">
        <f>IF(IF(Table442431[[#This Row],[Pre or Post]]="Post",1,0)+IF(ISNUMBER(Table442431[[#This Row],[Response]])=TRUE,1,0)=2,1,"")</f>
        <v>1</v>
      </c>
      <c r="J142" s="6" t="str">
        <f>IF(IF(Table442431[[#This Row],[Pre or Post]]="Pre",1,0)+IF(ISNUMBER(Table442431[[#This Row],[Response]])=TRUE,1,0)=2,Table442431[[#This Row],[Response]],"")</f>
        <v/>
      </c>
      <c r="K142" s="6">
        <f>IF(IF(Table442431[[#This Row],[Pre or Post]]="Post",1,0)+IF(ISNUMBER(Table442431[[#This Row],[Response]])=TRUE,1,0)=2,Table442431[[#This Row],[Response]],"")</f>
        <v>4</v>
      </c>
      <c r="L142" s="6" t="str">
        <f>IF(IF(ISNUMBER(J142),1,0)+IF(ISNUMBER(K143),1,0)=2,IF(IF(C143=C142,1,0)+IF(B143=B142,1,0)+IF(D143="Post",1,0)+IF(D142="Pre",1,0)=4,Table442431[[#This Row],[Pre Total]],""),"")</f>
        <v/>
      </c>
      <c r="M142" s="6" t="str">
        <f>IF(IF(ISNUMBER(J141),1,0)+IF(ISNUMBER(Table442431[[#This Row],[Post Total]]),1,0)=2,IF(IF(Table442431[[#This Row],[Student Number]]=C141,1,0)+IF(Table442431[[#This Row],[Session]]=B141,1,0)+IF(Table442431[[#This Row],[Pre or Post]]="Post",1,0)+IF(D141="Pre",1,0)=4,Table442431[[#This Row],[Post Total]],""),"")</f>
        <v/>
      </c>
      <c r="N142" s="6" t="str">
        <f>IF(IF(ISNUMBER(J141),1,0)+IF(ISNUMBER(Table442431[[#This Row],[Post Total]]),1,0)=2,IF(IF(Table442431[[#This Row],[Student Number]]=C141,1,0)+IF(Table442431[[#This Row],[Session]]=B141,1,0)+IF(Table442431[[#This Row],[Pre or Post]]="Post",1,0)+IF(D141="Pre",1,0)=4,Table442431[[#This Row],[Post Total]]-J141,""),"")</f>
        <v/>
      </c>
      <c r="O142" s="6" t="b">
        <f>ISNUMBER(Table442431[[#This Row],[Change]])</f>
        <v>0</v>
      </c>
    </row>
    <row r="143" spans="1:15">
      <c r="A143" s="2" t="s">
        <v>24</v>
      </c>
      <c r="B143" s="2" t="s">
        <v>26</v>
      </c>
      <c r="C143" s="1">
        <v>8</v>
      </c>
      <c r="D143" s="1" t="s">
        <v>6</v>
      </c>
      <c r="E143" s="1">
        <v>10</v>
      </c>
      <c r="F143" s="1">
        <v>2</v>
      </c>
      <c r="G143" s="2" t="s">
        <v>8</v>
      </c>
      <c r="H143" s="5">
        <f>IF(IF(Table442431[[#This Row],[Pre or Post]]="Pre",1,0)+IF(ISNUMBER(Table442431[[#This Row],[Response]])=TRUE,1,0)=2,1,"")</f>
        <v>1</v>
      </c>
      <c r="I143" s="5" t="str">
        <f>IF(IF(Table442431[[#This Row],[Pre or Post]]="Post",1,0)+IF(ISNUMBER(Table442431[[#This Row],[Response]])=TRUE,1,0)=2,1,"")</f>
        <v/>
      </c>
      <c r="J143" s="5">
        <f>IF(IF(Table442431[[#This Row],[Pre or Post]]="Pre",1,0)+IF(ISNUMBER(Table442431[[#This Row],[Response]])=TRUE,1,0)=2,Table442431[[#This Row],[Response]],"")</f>
        <v>2</v>
      </c>
      <c r="K143" s="5" t="str">
        <f>IF(IF(Table442431[[#This Row],[Pre or Post]]="Post",1,0)+IF(ISNUMBER(Table442431[[#This Row],[Response]])=TRUE,1,0)=2,Table442431[[#This Row],[Response]],"")</f>
        <v/>
      </c>
      <c r="L143" s="5">
        <f>IF(IF(ISNUMBER(J143),1,0)+IF(ISNUMBER(K144),1,0)=2,IF(IF(C144=C143,1,0)+IF(B144=B143,1,0)+IF(D144="Post",1,0)+IF(D143="Pre",1,0)=4,Table442431[[#This Row],[Pre Total]],""),"")</f>
        <v>2</v>
      </c>
      <c r="M143" s="5" t="str">
        <f>IF(IF(ISNUMBER(J142),1,0)+IF(ISNUMBER(Table442431[[#This Row],[Post Total]]),1,0)=2,IF(IF(Table442431[[#This Row],[Student Number]]=C142,1,0)+IF(Table442431[[#This Row],[Session]]=B142,1,0)+IF(Table442431[[#This Row],[Pre or Post]]="Post",1,0)+IF(D142="Pre",1,0)=4,Table442431[[#This Row],[Post Total]],""),"")</f>
        <v/>
      </c>
      <c r="N143" s="5" t="str">
        <f>IF(IF(ISNUMBER(J142),1,0)+IF(ISNUMBER(Table442431[[#This Row],[Post Total]]),1,0)=2,IF(IF(Table442431[[#This Row],[Student Number]]=C142,1,0)+IF(Table442431[[#This Row],[Session]]=B142,1,0)+IF(Table442431[[#This Row],[Pre or Post]]="Post",1,0)+IF(D142="Pre",1,0)=4,Table442431[[#This Row],[Post Total]]-J142,""),"")</f>
        <v/>
      </c>
      <c r="O143" s="5" t="b">
        <f>ISNUMBER(Table442431[[#This Row],[Change]])</f>
        <v>0</v>
      </c>
    </row>
    <row r="144" spans="1:15">
      <c r="A144" s="2" t="s">
        <v>24</v>
      </c>
      <c r="B144" s="2" t="s">
        <v>26</v>
      </c>
      <c r="C144" s="1">
        <v>8</v>
      </c>
      <c r="D144" s="1" t="s">
        <v>16</v>
      </c>
      <c r="E144" s="1">
        <v>3</v>
      </c>
      <c r="F144" s="1">
        <v>5</v>
      </c>
      <c r="G144" s="2" t="s">
        <v>8</v>
      </c>
      <c r="H144" s="5" t="str">
        <f>IF(IF(Table442431[[#This Row],[Pre or Post]]="Pre",1,0)+IF(ISNUMBER(Table442431[[#This Row],[Response]])=TRUE,1,0)=2,1,"")</f>
        <v/>
      </c>
      <c r="I144" s="5">
        <f>IF(IF(Table442431[[#This Row],[Pre or Post]]="Post",1,0)+IF(ISNUMBER(Table442431[[#This Row],[Response]])=TRUE,1,0)=2,1,"")</f>
        <v>1</v>
      </c>
      <c r="J144" s="5" t="str">
        <f>IF(IF(Table442431[[#This Row],[Pre or Post]]="Pre",1,0)+IF(ISNUMBER(Table442431[[#This Row],[Response]])=TRUE,1,0)=2,Table442431[[#This Row],[Response]],"")</f>
        <v/>
      </c>
      <c r="K144" s="5">
        <f>IF(IF(Table442431[[#This Row],[Pre or Post]]="Post",1,0)+IF(ISNUMBER(Table442431[[#This Row],[Response]])=TRUE,1,0)=2,Table442431[[#This Row],[Response]],"")</f>
        <v>5</v>
      </c>
      <c r="L144" s="5" t="str">
        <f>IF(IF(ISNUMBER(J144),1,0)+IF(ISNUMBER(K145),1,0)=2,IF(IF(C145=C144,1,0)+IF(B145=B144,1,0)+IF(D145="Post",1,0)+IF(D144="Pre",1,0)=4,Table442431[[#This Row],[Pre Total]],""),"")</f>
        <v/>
      </c>
      <c r="M144" s="5">
        <f>IF(IF(ISNUMBER(J143),1,0)+IF(ISNUMBER(Table442431[[#This Row],[Post Total]]),1,0)=2,IF(IF(Table442431[[#This Row],[Student Number]]=C143,1,0)+IF(Table442431[[#This Row],[Session]]=B143,1,0)+IF(Table442431[[#This Row],[Pre or Post]]="Post",1,0)+IF(D143="Pre",1,0)=4,Table442431[[#This Row],[Post Total]],""),"")</f>
        <v>5</v>
      </c>
      <c r="N144" s="5">
        <f>IF(IF(ISNUMBER(J143),1,0)+IF(ISNUMBER(Table442431[[#This Row],[Post Total]]),1,0)=2,IF(IF(Table442431[[#This Row],[Student Number]]=C143,1,0)+IF(Table442431[[#This Row],[Session]]=B143,1,0)+IF(Table442431[[#This Row],[Pre or Post]]="Post",1,0)+IF(D143="Pre",1,0)=4,Table442431[[#This Row],[Post Total]]-J143,""),"")</f>
        <v>3</v>
      </c>
      <c r="O144" s="5" t="b">
        <f>ISNUMBER(Table442431[[#This Row],[Change]])</f>
        <v>1</v>
      </c>
    </row>
    <row r="145" spans="1:15">
      <c r="A145" s="2" t="s">
        <v>24</v>
      </c>
      <c r="B145" s="2" t="s">
        <v>26</v>
      </c>
      <c r="C145" s="1">
        <v>9</v>
      </c>
      <c r="D145" s="1" t="s">
        <v>6</v>
      </c>
      <c r="E145" s="1">
        <v>10</v>
      </c>
      <c r="F145" s="1">
        <v>3</v>
      </c>
      <c r="G145" s="2" t="s">
        <v>8</v>
      </c>
      <c r="H145" s="5">
        <f>IF(IF(Table442431[[#This Row],[Pre or Post]]="Pre",1,0)+IF(ISNUMBER(Table442431[[#This Row],[Response]])=TRUE,1,0)=2,1,"")</f>
        <v>1</v>
      </c>
      <c r="I145" s="5" t="str">
        <f>IF(IF(Table442431[[#This Row],[Pre or Post]]="Post",1,0)+IF(ISNUMBER(Table442431[[#This Row],[Response]])=TRUE,1,0)=2,1,"")</f>
        <v/>
      </c>
      <c r="J145" s="5"/>
      <c r="K145" s="5" t="str">
        <f>IF(IF(Table442431[[#This Row],[Pre or Post]]="Post",1,0)+IF(ISNUMBER(Table442431[[#This Row],[Response]])=TRUE,1,0)=2,Table442431[[#This Row],[Response]],"")</f>
        <v/>
      </c>
      <c r="L145" s="5" t="str">
        <f>IF(IF(ISNUMBER(J145),1,0)+IF(ISNUMBER(K146),1,0)=2,IF(IF(C146=C145,1,0)+IF(B146=B145,1,0)+IF(D146="Post",1,0)+IF(D145="Pre",1,0)=4,Table442431[[#This Row],[Pre Total]],""),"")</f>
        <v/>
      </c>
      <c r="M145" s="5" t="str">
        <f>IF(IF(ISNUMBER(J144),1,0)+IF(ISNUMBER(Table442431[[#This Row],[Post Total]]),1,0)=2,IF(IF(Table442431[[#This Row],[Student Number]]=C144,1,0)+IF(Table442431[[#This Row],[Session]]=B144,1,0)+IF(Table442431[[#This Row],[Pre or Post]]="Post",1,0)+IF(D144="Pre",1,0)=4,Table442431[[#This Row],[Post Total]],""),"")</f>
        <v/>
      </c>
      <c r="N145" s="5" t="str">
        <f>IF(IF(ISNUMBER(J144),1,0)+IF(ISNUMBER(Table442431[[#This Row],[Post Total]]),1,0)=2,IF(IF(Table442431[[#This Row],[Student Number]]=C144,1,0)+IF(Table442431[[#This Row],[Session]]=B144,1,0)+IF(Table442431[[#This Row],[Pre or Post]]="Post",1,0)+IF(D144="Pre",1,0)=4,Table442431[[#This Row],[Post Total]]-J144,""),"")</f>
        <v/>
      </c>
      <c r="O145" s="5" t="b">
        <f>ISNUMBER(Table442431[[#This Row],[Change]])</f>
        <v>0</v>
      </c>
    </row>
    <row r="146" spans="1:15">
      <c r="A146" s="2" t="s">
        <v>24</v>
      </c>
      <c r="B146" s="2" t="s">
        <v>26</v>
      </c>
      <c r="C146" s="1">
        <v>9</v>
      </c>
      <c r="D146" s="1" t="s">
        <v>16</v>
      </c>
      <c r="E146" s="1">
        <v>3</v>
      </c>
      <c r="F146" s="1">
        <v>4</v>
      </c>
      <c r="G146" s="2" t="s">
        <v>8</v>
      </c>
      <c r="H146" s="6" t="str">
        <f>IF(IF(Table442431[[#This Row],[Pre or Post]]="Pre",1,0)+IF(ISNUMBER(Table442431[[#This Row],[Response]])=TRUE,1,0)=2,1,"")</f>
        <v/>
      </c>
      <c r="I146" s="6">
        <f>IF(IF(Table442431[[#This Row],[Pre or Post]]="Post",1,0)+IF(ISNUMBER(Table442431[[#This Row],[Response]])=TRUE,1,0)=2,1,"")</f>
        <v>1</v>
      </c>
      <c r="J146" s="6" t="str">
        <f>IF(IF(Table442431[[#This Row],[Pre or Post]]="Pre",1,0)+IF(ISNUMBER(Table442431[[#This Row],[Response]])=TRUE,1,0)=2,Table442431[[#This Row],[Response]],"")</f>
        <v/>
      </c>
      <c r="K146" s="6">
        <f>IF(IF(Table442431[[#This Row],[Pre or Post]]="Post",1,0)+IF(ISNUMBER(Table442431[[#This Row],[Response]])=TRUE,1,0)=2,Table442431[[#This Row],[Response]],"")</f>
        <v>4</v>
      </c>
      <c r="L146" s="6" t="str">
        <f>IF(IF(ISNUMBER(J146),1,0)+IF(ISNUMBER(K147),1,0)=2,IF(IF(C147=C146,1,0)+IF(B147=B146,1,0)+IF(D147="Post",1,0)+IF(D146="Pre",1,0)=4,Table442431[[#This Row],[Pre Total]],""),"")</f>
        <v/>
      </c>
      <c r="M146" s="6" t="str">
        <f>IF(IF(ISNUMBER(J145),1,0)+IF(ISNUMBER(Table442431[[#This Row],[Post Total]]),1,0)=2,IF(IF(Table442431[[#This Row],[Student Number]]=C145,1,0)+IF(Table442431[[#This Row],[Session]]=B145,1,0)+IF(Table442431[[#This Row],[Pre or Post]]="Post",1,0)+IF(D145="Pre",1,0)=4,Table442431[[#This Row],[Post Total]],""),"")</f>
        <v/>
      </c>
      <c r="N146" s="6" t="str">
        <f>IF(IF(ISNUMBER(J145),1,0)+IF(ISNUMBER(Table442431[[#This Row],[Post Total]]),1,0)=2,IF(IF(Table442431[[#This Row],[Student Number]]=C145,1,0)+IF(Table442431[[#This Row],[Session]]=B145,1,0)+IF(Table442431[[#This Row],[Pre or Post]]="Post",1,0)+IF(D145="Pre",1,0)=4,Table442431[[#This Row],[Post Total]]-J145,""),"")</f>
        <v/>
      </c>
      <c r="O146" s="6" t="b">
        <f>ISNUMBER(Table442431[[#This Row],[Change]])</f>
        <v>0</v>
      </c>
    </row>
    <row r="147" spans="1:15">
      <c r="A147" s="2" t="s">
        <v>24</v>
      </c>
      <c r="B147" s="2" t="s">
        <v>26</v>
      </c>
      <c r="C147" s="1">
        <v>10</v>
      </c>
      <c r="D147" s="1" t="s">
        <v>6</v>
      </c>
      <c r="E147" s="1">
        <v>10</v>
      </c>
      <c r="F147" s="1">
        <v>4</v>
      </c>
      <c r="G147" s="2" t="s">
        <v>8</v>
      </c>
      <c r="H147" s="5">
        <f>IF(IF(Table442431[[#This Row],[Pre or Post]]="Pre",1,0)+IF(ISNUMBER(Table442431[[#This Row],[Response]])=TRUE,1,0)=2,1,"")</f>
        <v>1</v>
      </c>
      <c r="I147" s="5" t="str">
        <f>IF(IF(Table442431[[#This Row],[Pre or Post]]="Post",1,0)+IF(ISNUMBER(Table442431[[#This Row],[Response]])=TRUE,1,0)=2,1,"")</f>
        <v/>
      </c>
      <c r="J147" s="5">
        <f>IF(IF(Table442431[[#This Row],[Pre or Post]]="Pre",1,0)+IF(ISNUMBER(Table442431[[#This Row],[Response]])=TRUE,1,0)=2,Table442431[[#This Row],[Response]],"")</f>
        <v>4</v>
      </c>
      <c r="K147" s="5" t="str">
        <f>IF(IF(Table442431[[#This Row],[Pre or Post]]="Post",1,0)+IF(ISNUMBER(Table442431[[#This Row],[Response]])=TRUE,1,0)=2,Table442431[[#This Row],[Response]],"")</f>
        <v/>
      </c>
      <c r="L147" s="5">
        <f>IF(IF(ISNUMBER(J147),1,0)+IF(ISNUMBER(K148),1,0)=2,IF(IF(C148=C147,1,0)+IF(B148=B147,1,0)+IF(D148="Post",1,0)+IF(D147="Pre",1,0)=4,Table442431[[#This Row],[Pre Total]],""),"")</f>
        <v>4</v>
      </c>
      <c r="M147" s="5" t="str">
        <f>IF(IF(ISNUMBER(J146),1,0)+IF(ISNUMBER(Table442431[[#This Row],[Post Total]]),1,0)=2,IF(IF(Table442431[[#This Row],[Student Number]]=C146,1,0)+IF(Table442431[[#This Row],[Session]]=B146,1,0)+IF(Table442431[[#This Row],[Pre or Post]]="Post",1,0)+IF(D146="Pre",1,0)=4,Table442431[[#This Row],[Post Total]],""),"")</f>
        <v/>
      </c>
      <c r="N147" s="5" t="str">
        <f>IF(IF(ISNUMBER(J146),1,0)+IF(ISNUMBER(Table442431[[#This Row],[Post Total]]),1,0)=2,IF(IF(Table442431[[#This Row],[Student Number]]=C146,1,0)+IF(Table442431[[#This Row],[Session]]=B146,1,0)+IF(Table442431[[#This Row],[Pre or Post]]="Post",1,0)+IF(D146="Pre",1,0)=4,Table442431[[#This Row],[Post Total]]-J146,""),"")</f>
        <v/>
      </c>
      <c r="O147" s="5" t="b">
        <f>ISNUMBER(Table442431[[#This Row],[Change]])</f>
        <v>0</v>
      </c>
    </row>
    <row r="148" spans="1:15">
      <c r="A148" s="2" t="s">
        <v>24</v>
      </c>
      <c r="B148" s="2" t="s">
        <v>26</v>
      </c>
      <c r="C148" s="1">
        <v>10</v>
      </c>
      <c r="D148" s="1" t="s">
        <v>16</v>
      </c>
      <c r="E148" s="1">
        <v>3</v>
      </c>
      <c r="F148" s="1">
        <v>5</v>
      </c>
      <c r="G148" s="2" t="s">
        <v>8</v>
      </c>
      <c r="H148" s="5" t="str">
        <f>IF(IF(Table442431[[#This Row],[Pre or Post]]="Pre",1,0)+IF(ISNUMBER(Table442431[[#This Row],[Response]])=TRUE,1,0)=2,1,"")</f>
        <v/>
      </c>
      <c r="I148" s="5">
        <f>IF(IF(Table442431[[#This Row],[Pre or Post]]="Post",1,0)+IF(ISNUMBER(Table442431[[#This Row],[Response]])=TRUE,1,0)=2,1,"")</f>
        <v>1</v>
      </c>
      <c r="J148" s="5" t="str">
        <f>IF(IF(Table442431[[#This Row],[Pre or Post]]="Pre",1,0)+IF(ISNUMBER(Table442431[[#This Row],[Response]])=TRUE,1,0)=2,Table442431[[#This Row],[Response]],"")</f>
        <v/>
      </c>
      <c r="K148" s="5">
        <f>IF(IF(Table442431[[#This Row],[Pre or Post]]="Post",1,0)+IF(ISNUMBER(Table442431[[#This Row],[Response]])=TRUE,1,0)=2,Table442431[[#This Row],[Response]],"")</f>
        <v>5</v>
      </c>
      <c r="L148" s="5" t="str">
        <f>IF(IF(ISNUMBER(J148),1,0)+IF(ISNUMBER(K149),1,0)=2,IF(IF(C149=C148,1,0)+IF(B149=B148,1,0)+IF(D149="Post",1,0)+IF(D148="Pre",1,0)=4,Table442431[[#This Row],[Pre Total]],""),"")</f>
        <v/>
      </c>
      <c r="M148" s="5">
        <f>IF(IF(ISNUMBER(J147),1,0)+IF(ISNUMBER(Table442431[[#This Row],[Post Total]]),1,0)=2,IF(IF(Table442431[[#This Row],[Student Number]]=C147,1,0)+IF(Table442431[[#This Row],[Session]]=B147,1,0)+IF(Table442431[[#This Row],[Pre or Post]]="Post",1,0)+IF(D147="Pre",1,0)=4,Table442431[[#This Row],[Post Total]],""),"")</f>
        <v>5</v>
      </c>
      <c r="N148" s="5">
        <f>IF(IF(ISNUMBER(J147),1,0)+IF(ISNUMBER(Table442431[[#This Row],[Post Total]]),1,0)=2,IF(IF(Table442431[[#This Row],[Student Number]]=C147,1,0)+IF(Table442431[[#This Row],[Session]]=B147,1,0)+IF(Table442431[[#This Row],[Pre or Post]]="Post",1,0)+IF(D147="Pre",1,0)=4,Table442431[[#This Row],[Post Total]]-J147,""),"")</f>
        <v>1</v>
      </c>
      <c r="O148" s="5" t="b">
        <f>ISNUMBER(Table442431[[#This Row],[Change]])</f>
        <v>1</v>
      </c>
    </row>
    <row r="149" spans="1:15">
      <c r="A149" s="2" t="s">
        <v>24</v>
      </c>
      <c r="B149" s="2" t="s">
        <v>26</v>
      </c>
      <c r="C149" s="1">
        <v>11</v>
      </c>
      <c r="D149" s="1" t="s">
        <v>6</v>
      </c>
      <c r="E149" s="1">
        <v>10</v>
      </c>
      <c r="F149" s="1">
        <v>3</v>
      </c>
      <c r="G149" s="2" t="s">
        <v>8</v>
      </c>
      <c r="H149" s="5">
        <f>IF(IF(Table442431[[#This Row],[Pre or Post]]="Pre",1,0)+IF(ISNUMBER(Table442431[[#This Row],[Response]])=TRUE,1,0)=2,1,"")</f>
        <v>1</v>
      </c>
      <c r="I149" s="5" t="str">
        <f>IF(IF(Table442431[[#This Row],[Pre or Post]]="Post",1,0)+IF(ISNUMBER(Table442431[[#This Row],[Response]])=TRUE,1,0)=2,1,"")</f>
        <v/>
      </c>
      <c r="J149" s="5"/>
      <c r="K149" s="5" t="str">
        <f>IF(IF(Table442431[[#This Row],[Pre or Post]]="Post",1,0)+IF(ISNUMBER(Table442431[[#This Row],[Response]])=TRUE,1,0)=2,Table442431[[#This Row],[Response]],"")</f>
        <v/>
      </c>
      <c r="L149" s="5" t="str">
        <f>IF(IF(ISNUMBER(J149),1,0)+IF(ISNUMBER(K150),1,0)=2,IF(IF(C150=C149,1,0)+IF(B150=B149,1,0)+IF(D150="Post",1,0)+IF(D149="Pre",1,0)=4,Table442431[[#This Row],[Pre Total]],""),"")</f>
        <v/>
      </c>
      <c r="M149" s="5" t="str">
        <f>IF(IF(ISNUMBER(J148),1,0)+IF(ISNUMBER(Table442431[[#This Row],[Post Total]]),1,0)=2,IF(IF(Table442431[[#This Row],[Student Number]]=C148,1,0)+IF(Table442431[[#This Row],[Session]]=B148,1,0)+IF(Table442431[[#This Row],[Pre or Post]]="Post",1,0)+IF(D148="Pre",1,0)=4,Table442431[[#This Row],[Post Total]],""),"")</f>
        <v/>
      </c>
      <c r="N149" s="5" t="str">
        <f>IF(IF(ISNUMBER(J148),1,0)+IF(ISNUMBER(Table442431[[#This Row],[Post Total]]),1,0)=2,IF(IF(Table442431[[#This Row],[Student Number]]=C148,1,0)+IF(Table442431[[#This Row],[Session]]=B148,1,0)+IF(Table442431[[#This Row],[Pre or Post]]="Post",1,0)+IF(D148="Pre",1,0)=4,Table442431[[#This Row],[Post Total]]-J148,""),"")</f>
        <v/>
      </c>
      <c r="O149" s="5" t="b">
        <f>ISNUMBER(Table442431[[#This Row],[Change]])</f>
        <v>0</v>
      </c>
    </row>
    <row r="150" spans="1:15">
      <c r="A150" s="2" t="s">
        <v>24</v>
      </c>
      <c r="B150" s="2" t="s">
        <v>26</v>
      </c>
      <c r="C150" s="1">
        <v>11</v>
      </c>
      <c r="D150" s="1" t="s">
        <v>16</v>
      </c>
      <c r="E150" s="1">
        <v>3</v>
      </c>
      <c r="F150" s="1">
        <v>3</v>
      </c>
      <c r="G150" s="2" t="s">
        <v>8</v>
      </c>
      <c r="H150" s="6" t="str">
        <f>IF(IF(Table442431[[#This Row],[Pre or Post]]="Pre",1,0)+IF(ISNUMBER(Table442431[[#This Row],[Response]])=TRUE,1,0)=2,1,"")</f>
        <v/>
      </c>
      <c r="I150" s="6">
        <f>IF(IF(Table442431[[#This Row],[Pre or Post]]="Post",1,0)+IF(ISNUMBER(Table442431[[#This Row],[Response]])=TRUE,1,0)=2,1,"")</f>
        <v>1</v>
      </c>
      <c r="J150" s="6" t="str">
        <f>IF(IF(Table442431[[#This Row],[Pre or Post]]="Pre",1,0)+IF(ISNUMBER(Table442431[[#This Row],[Response]])=TRUE,1,0)=2,Table442431[[#This Row],[Response]],"")</f>
        <v/>
      </c>
      <c r="K150" s="6">
        <f>IF(IF(Table442431[[#This Row],[Pre or Post]]="Post",1,0)+IF(ISNUMBER(Table442431[[#This Row],[Response]])=TRUE,1,0)=2,Table442431[[#This Row],[Response]],"")</f>
        <v>3</v>
      </c>
      <c r="L150" s="6" t="str">
        <f>IF(IF(ISNUMBER(J150),1,0)+IF(ISNUMBER(K151),1,0)=2,IF(IF(C151=C150,1,0)+IF(B151=B150,1,0)+IF(D151="Post",1,0)+IF(D150="Pre",1,0)=4,Table442431[[#This Row],[Pre Total]],""),"")</f>
        <v/>
      </c>
      <c r="M150" s="6" t="str">
        <f>IF(IF(ISNUMBER(J149),1,0)+IF(ISNUMBER(Table442431[[#This Row],[Post Total]]),1,0)=2,IF(IF(Table442431[[#This Row],[Student Number]]=C149,1,0)+IF(Table442431[[#This Row],[Session]]=B149,1,0)+IF(Table442431[[#This Row],[Pre or Post]]="Post",1,0)+IF(D149="Pre",1,0)=4,Table442431[[#This Row],[Post Total]],""),"")</f>
        <v/>
      </c>
      <c r="N150" s="6" t="str">
        <f>IF(IF(ISNUMBER(J149),1,0)+IF(ISNUMBER(Table442431[[#This Row],[Post Total]]),1,0)=2,IF(IF(Table442431[[#This Row],[Student Number]]=C149,1,0)+IF(Table442431[[#This Row],[Session]]=B149,1,0)+IF(Table442431[[#This Row],[Pre or Post]]="Post",1,0)+IF(D149="Pre",1,0)=4,Table442431[[#This Row],[Post Total]]-J149,""),"")</f>
        <v/>
      </c>
      <c r="O150" s="6" t="b">
        <f>ISNUMBER(Table442431[[#This Row],[Change]])</f>
        <v>0</v>
      </c>
    </row>
    <row r="151" spans="1:15">
      <c r="A151" s="2" t="s">
        <v>24</v>
      </c>
      <c r="B151" s="2" t="s">
        <v>26</v>
      </c>
      <c r="C151" s="1">
        <v>12</v>
      </c>
      <c r="D151" s="1" t="s">
        <v>6</v>
      </c>
      <c r="E151" s="1">
        <v>10</v>
      </c>
      <c r="F151" s="1">
        <v>2</v>
      </c>
      <c r="G151" s="2" t="s">
        <v>8</v>
      </c>
      <c r="H151" s="5">
        <f>IF(IF(Table442431[[#This Row],[Pre or Post]]="Pre",1,0)+IF(ISNUMBER(Table442431[[#This Row],[Response]])=TRUE,1,0)=2,1,"")</f>
        <v>1</v>
      </c>
      <c r="I151" s="5" t="str">
        <f>IF(IF(Table442431[[#This Row],[Pre or Post]]="Post",1,0)+IF(ISNUMBER(Table442431[[#This Row],[Response]])=TRUE,1,0)=2,1,"")</f>
        <v/>
      </c>
      <c r="J151" s="5">
        <f>IF(IF(Table442431[[#This Row],[Pre or Post]]="Pre",1,0)+IF(ISNUMBER(Table442431[[#This Row],[Response]])=TRUE,1,0)=2,Table442431[[#This Row],[Response]],"")</f>
        <v>2</v>
      </c>
      <c r="K151" s="5" t="str">
        <f>IF(IF(Table442431[[#This Row],[Pre or Post]]="Post",1,0)+IF(ISNUMBER(Table442431[[#This Row],[Response]])=TRUE,1,0)=2,Table442431[[#This Row],[Response]],"")</f>
        <v/>
      </c>
      <c r="L151" s="5">
        <f>IF(IF(ISNUMBER(J151),1,0)+IF(ISNUMBER(K152),1,0)=2,IF(IF(C152=C151,1,0)+IF(B152=B151,1,0)+IF(D152="Post",1,0)+IF(D151="Pre",1,0)=4,Table442431[[#This Row],[Pre Total]],""),"")</f>
        <v>2</v>
      </c>
      <c r="M151" s="5" t="str">
        <f>IF(IF(ISNUMBER(J150),1,0)+IF(ISNUMBER(Table442431[[#This Row],[Post Total]]),1,0)=2,IF(IF(Table442431[[#This Row],[Student Number]]=C150,1,0)+IF(Table442431[[#This Row],[Session]]=B150,1,0)+IF(Table442431[[#This Row],[Pre or Post]]="Post",1,0)+IF(D150="Pre",1,0)=4,Table442431[[#This Row],[Post Total]],""),"")</f>
        <v/>
      </c>
      <c r="N151" s="5" t="str">
        <f>IF(IF(ISNUMBER(J150),1,0)+IF(ISNUMBER(Table442431[[#This Row],[Post Total]]),1,0)=2,IF(IF(Table442431[[#This Row],[Student Number]]=C150,1,0)+IF(Table442431[[#This Row],[Session]]=B150,1,0)+IF(Table442431[[#This Row],[Pre or Post]]="Post",1,0)+IF(D150="Pre",1,0)=4,Table442431[[#This Row],[Post Total]]-J150,""),"")</f>
        <v/>
      </c>
      <c r="O151" s="5" t="b">
        <f>ISNUMBER(Table442431[[#This Row],[Change]])</f>
        <v>0</v>
      </c>
    </row>
    <row r="152" spans="1:15">
      <c r="A152" s="2" t="s">
        <v>24</v>
      </c>
      <c r="B152" s="2" t="s">
        <v>26</v>
      </c>
      <c r="C152" s="1">
        <v>12</v>
      </c>
      <c r="D152" s="1" t="s">
        <v>16</v>
      </c>
      <c r="E152" s="1">
        <v>3</v>
      </c>
      <c r="F152" s="1">
        <v>2</v>
      </c>
      <c r="G152" s="2" t="s">
        <v>8</v>
      </c>
      <c r="H152" s="5" t="str">
        <f>IF(IF(Table442431[[#This Row],[Pre or Post]]="Pre",1,0)+IF(ISNUMBER(Table442431[[#This Row],[Response]])=TRUE,1,0)=2,1,"")</f>
        <v/>
      </c>
      <c r="I152" s="5">
        <f>IF(IF(Table442431[[#This Row],[Pre or Post]]="Post",1,0)+IF(ISNUMBER(Table442431[[#This Row],[Response]])=TRUE,1,0)=2,1,"")</f>
        <v>1</v>
      </c>
      <c r="J152" s="5" t="str">
        <f>IF(IF(Table442431[[#This Row],[Pre or Post]]="Pre",1,0)+IF(ISNUMBER(Table442431[[#This Row],[Response]])=TRUE,1,0)=2,Table442431[[#This Row],[Response]],"")</f>
        <v/>
      </c>
      <c r="K152" s="5">
        <f>IF(IF(Table442431[[#This Row],[Pre or Post]]="Post",1,0)+IF(ISNUMBER(Table442431[[#This Row],[Response]])=TRUE,1,0)=2,Table442431[[#This Row],[Response]],"")</f>
        <v>2</v>
      </c>
      <c r="L152" s="5" t="str">
        <f>IF(IF(ISNUMBER(J152),1,0)+IF(ISNUMBER(K153),1,0)=2,IF(IF(C153=C152,1,0)+IF(B153=B152,1,0)+IF(D153="Post",1,0)+IF(D152="Pre",1,0)=4,Table442431[[#This Row],[Pre Total]],""),"")</f>
        <v/>
      </c>
      <c r="M152" s="5">
        <f>IF(IF(ISNUMBER(J151),1,0)+IF(ISNUMBER(Table442431[[#This Row],[Post Total]]),1,0)=2,IF(IF(Table442431[[#This Row],[Student Number]]=C151,1,0)+IF(Table442431[[#This Row],[Session]]=B151,1,0)+IF(Table442431[[#This Row],[Pre or Post]]="Post",1,0)+IF(D151="Pre",1,0)=4,Table442431[[#This Row],[Post Total]],""),"")</f>
        <v>2</v>
      </c>
      <c r="N152" s="5">
        <f>IF(IF(ISNUMBER(J151),1,0)+IF(ISNUMBER(Table442431[[#This Row],[Post Total]]),1,0)=2,IF(IF(Table442431[[#This Row],[Student Number]]=C151,1,0)+IF(Table442431[[#This Row],[Session]]=B151,1,0)+IF(Table442431[[#This Row],[Pre or Post]]="Post",1,0)+IF(D151="Pre",1,0)=4,Table442431[[#This Row],[Post Total]]-J151,""),"")</f>
        <v>0</v>
      </c>
      <c r="O152" s="5" t="b">
        <f>ISNUMBER(Table442431[[#This Row],[Change]])</f>
        <v>1</v>
      </c>
    </row>
    <row r="153" spans="1:15">
      <c r="A153" s="2" t="s">
        <v>24</v>
      </c>
      <c r="B153" s="2" t="s">
        <v>26</v>
      </c>
      <c r="C153" s="1">
        <v>13</v>
      </c>
      <c r="D153" s="1" t="s">
        <v>6</v>
      </c>
      <c r="E153" s="1">
        <v>10</v>
      </c>
      <c r="F153" s="1">
        <v>3</v>
      </c>
      <c r="G153" s="2" t="s">
        <v>8</v>
      </c>
      <c r="H153" s="5">
        <f>IF(IF(Table442431[[#This Row],[Pre or Post]]="Pre",1,0)+IF(ISNUMBER(Table442431[[#This Row],[Response]])=TRUE,1,0)=2,1,"")</f>
        <v>1</v>
      </c>
      <c r="I153" s="5" t="str">
        <f>IF(IF(Table442431[[#This Row],[Pre or Post]]="Post",1,0)+IF(ISNUMBER(Table442431[[#This Row],[Response]])=TRUE,1,0)=2,1,"")</f>
        <v/>
      </c>
      <c r="J153" s="5"/>
      <c r="K153" s="5" t="str">
        <f>IF(IF(Table442431[[#This Row],[Pre or Post]]="Post",1,0)+IF(ISNUMBER(Table442431[[#This Row],[Response]])=TRUE,1,0)=2,Table442431[[#This Row],[Response]],"")</f>
        <v/>
      </c>
      <c r="L153" s="5" t="str">
        <f>IF(IF(ISNUMBER(J153),1,0)+IF(ISNUMBER(K154),1,0)=2,IF(IF(C154=C153,1,0)+IF(B154=B153,1,0)+IF(D154="Post",1,0)+IF(D153="Pre",1,0)=4,Table442431[[#This Row],[Pre Total]],""),"")</f>
        <v/>
      </c>
      <c r="M153" s="5" t="str">
        <f>IF(IF(ISNUMBER(J152),1,0)+IF(ISNUMBER(Table442431[[#This Row],[Post Total]]),1,0)=2,IF(IF(Table442431[[#This Row],[Student Number]]=C152,1,0)+IF(Table442431[[#This Row],[Session]]=B152,1,0)+IF(Table442431[[#This Row],[Pre or Post]]="Post",1,0)+IF(D152="Pre",1,0)=4,Table442431[[#This Row],[Post Total]],""),"")</f>
        <v/>
      </c>
      <c r="N153" s="5" t="str">
        <f>IF(IF(ISNUMBER(J152),1,0)+IF(ISNUMBER(Table442431[[#This Row],[Post Total]]),1,0)=2,IF(IF(Table442431[[#This Row],[Student Number]]=C152,1,0)+IF(Table442431[[#This Row],[Session]]=B152,1,0)+IF(Table442431[[#This Row],[Pre or Post]]="Post",1,0)+IF(D152="Pre",1,0)=4,Table442431[[#This Row],[Post Total]]-J152,""),"")</f>
        <v/>
      </c>
      <c r="O153" s="5" t="b">
        <f>ISNUMBER(Table442431[[#This Row],[Change]])</f>
        <v>0</v>
      </c>
    </row>
    <row r="154" spans="1:15">
      <c r="A154" s="2" t="s">
        <v>24</v>
      </c>
      <c r="B154" s="2" t="s">
        <v>26</v>
      </c>
      <c r="C154" s="1">
        <v>13</v>
      </c>
      <c r="D154" s="1" t="s">
        <v>16</v>
      </c>
      <c r="E154" s="1">
        <v>3</v>
      </c>
      <c r="F154" s="1">
        <v>5</v>
      </c>
      <c r="G154" s="2" t="s">
        <v>8</v>
      </c>
      <c r="H154" s="6" t="str">
        <f>IF(IF(Table442431[[#This Row],[Pre or Post]]="Pre",1,0)+IF(ISNUMBER(Table442431[[#This Row],[Response]])=TRUE,1,0)=2,1,"")</f>
        <v/>
      </c>
      <c r="I154" s="6">
        <f>IF(IF(Table442431[[#This Row],[Pre or Post]]="Post",1,0)+IF(ISNUMBER(Table442431[[#This Row],[Response]])=TRUE,1,0)=2,1,"")</f>
        <v>1</v>
      </c>
      <c r="J154" s="6" t="str">
        <f>IF(IF(Table442431[[#This Row],[Pre or Post]]="Pre",1,0)+IF(ISNUMBER(Table442431[[#This Row],[Response]])=TRUE,1,0)=2,Table442431[[#This Row],[Response]],"")</f>
        <v/>
      </c>
      <c r="K154" s="6">
        <f>IF(IF(Table442431[[#This Row],[Pre or Post]]="Post",1,0)+IF(ISNUMBER(Table442431[[#This Row],[Response]])=TRUE,1,0)=2,Table442431[[#This Row],[Response]],"")</f>
        <v>5</v>
      </c>
      <c r="L154" s="6" t="str">
        <f>IF(IF(ISNUMBER(J154),1,0)+IF(ISNUMBER(K155),1,0)=2,IF(IF(C155=C154,1,0)+IF(B155=B154,1,0)+IF(D155="Post",1,0)+IF(D154="Pre",1,0)=4,Table442431[[#This Row],[Pre Total]],""),"")</f>
        <v/>
      </c>
      <c r="M154" s="6" t="str">
        <f>IF(IF(ISNUMBER(J153),1,0)+IF(ISNUMBER(Table442431[[#This Row],[Post Total]]),1,0)=2,IF(IF(Table442431[[#This Row],[Student Number]]=C153,1,0)+IF(Table442431[[#This Row],[Session]]=B153,1,0)+IF(Table442431[[#This Row],[Pre or Post]]="Post",1,0)+IF(D153="Pre",1,0)=4,Table442431[[#This Row],[Post Total]],""),"")</f>
        <v/>
      </c>
      <c r="N154" s="6" t="str">
        <f>IF(IF(ISNUMBER(J153),1,0)+IF(ISNUMBER(Table442431[[#This Row],[Post Total]]),1,0)=2,IF(IF(Table442431[[#This Row],[Student Number]]=C153,1,0)+IF(Table442431[[#This Row],[Session]]=B153,1,0)+IF(Table442431[[#This Row],[Pre or Post]]="Post",1,0)+IF(D153="Pre",1,0)=4,Table442431[[#This Row],[Post Total]]-J153,""),"")</f>
        <v/>
      </c>
      <c r="O154" s="6" t="b">
        <f>ISNUMBER(Table442431[[#This Row],[Change]])</f>
        <v>0</v>
      </c>
    </row>
    <row r="155" spans="1:15">
      <c r="A155" s="2" t="s">
        <v>24</v>
      </c>
      <c r="B155" s="2" t="s">
        <v>26</v>
      </c>
      <c r="C155" s="1">
        <v>14</v>
      </c>
      <c r="D155" s="1" t="s">
        <v>6</v>
      </c>
      <c r="E155" s="1">
        <v>10</v>
      </c>
      <c r="F155" s="1">
        <v>3</v>
      </c>
      <c r="G155" s="2" t="s">
        <v>8</v>
      </c>
      <c r="H155" s="5">
        <f>IF(IF(Table442431[[#This Row],[Pre or Post]]="Pre",1,0)+IF(ISNUMBER(Table442431[[#This Row],[Response]])=TRUE,1,0)=2,1,"")</f>
        <v>1</v>
      </c>
      <c r="I155" s="5" t="str">
        <f>IF(IF(Table442431[[#This Row],[Pre or Post]]="Post",1,0)+IF(ISNUMBER(Table442431[[#This Row],[Response]])=TRUE,1,0)=2,1,"")</f>
        <v/>
      </c>
      <c r="J155" s="5">
        <f>IF(IF(Table442431[[#This Row],[Pre or Post]]="Pre",1,0)+IF(ISNUMBER(Table442431[[#This Row],[Response]])=TRUE,1,0)=2,Table442431[[#This Row],[Response]],"")</f>
        <v>3</v>
      </c>
      <c r="K155" s="5" t="str">
        <f>IF(IF(Table442431[[#This Row],[Pre or Post]]="Post",1,0)+IF(ISNUMBER(Table442431[[#This Row],[Response]])=TRUE,1,0)=2,Table442431[[#This Row],[Response]],"")</f>
        <v/>
      </c>
      <c r="L155" s="5">
        <f>IF(IF(ISNUMBER(J155),1,0)+IF(ISNUMBER(K156),1,0)=2,IF(IF(C156=C155,1,0)+IF(B156=B155,1,0)+IF(D156="Post",1,0)+IF(D155="Pre",1,0)=4,Table442431[[#This Row],[Pre Total]],""),"")</f>
        <v>3</v>
      </c>
      <c r="M155" s="5" t="str">
        <f>IF(IF(ISNUMBER(J154),1,0)+IF(ISNUMBER(Table442431[[#This Row],[Post Total]]),1,0)=2,IF(IF(Table442431[[#This Row],[Student Number]]=C154,1,0)+IF(Table442431[[#This Row],[Session]]=B154,1,0)+IF(Table442431[[#This Row],[Pre or Post]]="Post",1,0)+IF(D154="Pre",1,0)=4,Table442431[[#This Row],[Post Total]],""),"")</f>
        <v/>
      </c>
      <c r="N155" s="5" t="str">
        <f>IF(IF(ISNUMBER(J154),1,0)+IF(ISNUMBER(Table442431[[#This Row],[Post Total]]),1,0)=2,IF(IF(Table442431[[#This Row],[Student Number]]=C154,1,0)+IF(Table442431[[#This Row],[Session]]=B154,1,0)+IF(Table442431[[#This Row],[Pre or Post]]="Post",1,0)+IF(D154="Pre",1,0)=4,Table442431[[#This Row],[Post Total]]-J154,""),"")</f>
        <v/>
      </c>
      <c r="O155" s="5" t="b">
        <f>ISNUMBER(Table442431[[#This Row],[Change]])</f>
        <v>0</v>
      </c>
    </row>
    <row r="156" spans="1:15">
      <c r="A156" s="2" t="s">
        <v>24</v>
      </c>
      <c r="B156" s="2" t="s">
        <v>26</v>
      </c>
      <c r="C156" s="1">
        <v>14</v>
      </c>
      <c r="D156" s="1" t="s">
        <v>16</v>
      </c>
      <c r="E156" s="1">
        <v>3</v>
      </c>
      <c r="F156" s="1">
        <v>3</v>
      </c>
      <c r="G156" s="2" t="s">
        <v>8</v>
      </c>
      <c r="H156" s="5" t="str">
        <f>IF(IF(Table442431[[#This Row],[Pre or Post]]="Pre",1,0)+IF(ISNUMBER(Table442431[[#This Row],[Response]])=TRUE,1,0)=2,1,"")</f>
        <v/>
      </c>
      <c r="I156" s="5">
        <f>IF(IF(Table442431[[#This Row],[Pre or Post]]="Post",1,0)+IF(ISNUMBER(Table442431[[#This Row],[Response]])=TRUE,1,0)=2,1,"")</f>
        <v>1</v>
      </c>
      <c r="J156" s="5" t="str">
        <f>IF(IF(Table442431[[#This Row],[Pre or Post]]="Pre",1,0)+IF(ISNUMBER(Table442431[[#This Row],[Response]])=TRUE,1,0)=2,Table442431[[#This Row],[Response]],"")</f>
        <v/>
      </c>
      <c r="K156" s="5">
        <f>IF(IF(Table442431[[#This Row],[Pre or Post]]="Post",1,0)+IF(ISNUMBER(Table442431[[#This Row],[Response]])=TRUE,1,0)=2,Table442431[[#This Row],[Response]],"")</f>
        <v>3</v>
      </c>
      <c r="L156" s="5" t="str">
        <f>IF(IF(ISNUMBER(J156),1,0)+IF(ISNUMBER(K157),1,0)=2,IF(IF(C157=C156,1,0)+IF(B157=B156,1,0)+IF(D157="Post",1,0)+IF(D156="Pre",1,0)=4,Table442431[[#This Row],[Pre Total]],""),"")</f>
        <v/>
      </c>
      <c r="M156" s="5">
        <f>IF(IF(ISNUMBER(J155),1,0)+IF(ISNUMBER(Table442431[[#This Row],[Post Total]]),1,0)=2,IF(IF(Table442431[[#This Row],[Student Number]]=C155,1,0)+IF(Table442431[[#This Row],[Session]]=B155,1,0)+IF(Table442431[[#This Row],[Pre or Post]]="Post",1,0)+IF(D155="Pre",1,0)=4,Table442431[[#This Row],[Post Total]],""),"")</f>
        <v>3</v>
      </c>
      <c r="N156" s="5">
        <f>IF(IF(ISNUMBER(J155),1,0)+IF(ISNUMBER(Table442431[[#This Row],[Post Total]]),1,0)=2,IF(IF(Table442431[[#This Row],[Student Number]]=C155,1,0)+IF(Table442431[[#This Row],[Session]]=B155,1,0)+IF(Table442431[[#This Row],[Pre or Post]]="Post",1,0)+IF(D155="Pre",1,0)=4,Table442431[[#This Row],[Post Total]]-J155,""),"")</f>
        <v>0</v>
      </c>
      <c r="O156" s="5" t="b">
        <f>ISNUMBER(Table442431[[#This Row],[Change]])</f>
        <v>1</v>
      </c>
    </row>
    <row r="157" spans="1:15">
      <c r="A157" s="2" t="s">
        <v>24</v>
      </c>
      <c r="B157" s="2" t="s">
        <v>26</v>
      </c>
      <c r="C157" s="1">
        <v>15</v>
      </c>
      <c r="D157" s="1" t="s">
        <v>6</v>
      </c>
      <c r="E157" s="1">
        <v>10</v>
      </c>
      <c r="F157" s="1">
        <v>4</v>
      </c>
      <c r="G157" s="2" t="s">
        <v>8</v>
      </c>
      <c r="H157" s="5">
        <f>IF(IF(Table442431[[#This Row],[Pre or Post]]="Pre",1,0)+IF(ISNUMBER(Table442431[[#This Row],[Response]])=TRUE,1,0)=2,1,"")</f>
        <v>1</v>
      </c>
      <c r="I157" s="5" t="str">
        <f>IF(IF(Table442431[[#This Row],[Pre or Post]]="Post",1,0)+IF(ISNUMBER(Table442431[[#This Row],[Response]])=TRUE,1,0)=2,1,"")</f>
        <v/>
      </c>
      <c r="J157" s="5">
        <v>4</v>
      </c>
      <c r="K157" s="5" t="str">
        <f>IF(IF(Table442431[[#This Row],[Pre or Post]]="Post",1,0)+IF(ISNUMBER(Table442431[[#This Row],[Response]])=TRUE,1,0)=2,Table442431[[#This Row],[Response]],"")</f>
        <v/>
      </c>
      <c r="L157" s="5">
        <f>IF(IF(ISNUMBER(J157),1,0)+IF(ISNUMBER(K158),1,0)=2,IF(IF(C158=C157,1,0)+IF(B158=B157,1,0)+IF(D158="Post",1,0)+IF(D157="Pre",1,0)=4,Table442431[[#This Row],[Pre Total]],""),"")</f>
        <v>4</v>
      </c>
      <c r="M157" s="5" t="str">
        <f>IF(IF(ISNUMBER(J156),1,0)+IF(ISNUMBER(Table442431[[#This Row],[Post Total]]),1,0)=2,IF(IF(Table442431[[#This Row],[Student Number]]=C156,1,0)+IF(Table442431[[#This Row],[Session]]=B156,1,0)+IF(Table442431[[#This Row],[Pre or Post]]="Post",1,0)+IF(D156="Pre",1,0)=4,Table442431[[#This Row],[Post Total]],""),"")</f>
        <v/>
      </c>
      <c r="N157" s="5" t="str">
        <f>IF(IF(ISNUMBER(J156),1,0)+IF(ISNUMBER(Table442431[[#This Row],[Post Total]]),1,0)=2,IF(IF(Table442431[[#This Row],[Student Number]]=C156,1,0)+IF(Table442431[[#This Row],[Session]]=B156,1,0)+IF(Table442431[[#This Row],[Pre or Post]]="Post",1,0)+IF(D156="Pre",1,0)=4,Table442431[[#This Row],[Post Total]]-J156,""),"")</f>
        <v/>
      </c>
      <c r="O157" s="5" t="b">
        <f>ISNUMBER(Table442431[[#This Row],[Change]])</f>
        <v>0</v>
      </c>
    </row>
    <row r="158" spans="1:15">
      <c r="A158" s="2" t="s">
        <v>24</v>
      </c>
      <c r="B158" s="2" t="s">
        <v>26</v>
      </c>
      <c r="C158" s="1">
        <v>15</v>
      </c>
      <c r="D158" s="1" t="s">
        <v>16</v>
      </c>
      <c r="E158" s="1">
        <v>3</v>
      </c>
      <c r="F158" s="1">
        <v>3</v>
      </c>
      <c r="G158" s="2" t="s">
        <v>8</v>
      </c>
      <c r="H158" s="6" t="str">
        <f>IF(IF(Table442431[[#This Row],[Pre or Post]]="Pre",1,0)+IF(ISNUMBER(Table442431[[#This Row],[Response]])=TRUE,1,0)=2,1,"")</f>
        <v/>
      </c>
      <c r="I158" s="6">
        <f>IF(IF(Table442431[[#This Row],[Pre or Post]]="Post",1,0)+IF(ISNUMBER(Table442431[[#This Row],[Response]])=TRUE,1,0)=2,1,"")</f>
        <v>1</v>
      </c>
      <c r="J158" s="6" t="str">
        <f>IF(IF(Table442431[[#This Row],[Pre or Post]]="Pre",1,0)+IF(ISNUMBER(Table442431[[#This Row],[Response]])=TRUE,1,0)=2,Table442431[[#This Row],[Response]],"")</f>
        <v/>
      </c>
      <c r="K158" s="6">
        <f>IF(IF(Table442431[[#This Row],[Pre or Post]]="Post",1,0)+IF(ISNUMBER(Table442431[[#This Row],[Response]])=TRUE,1,0)=2,Table442431[[#This Row],[Response]],"")</f>
        <v>3</v>
      </c>
      <c r="L158" s="6" t="str">
        <f>IF(IF(ISNUMBER(J158),1,0)+IF(ISNUMBER(K159),1,0)=2,IF(IF(C159=C158,1,0)+IF(B159=B158,1,0)+IF(D159="Post",1,0)+IF(D158="Pre",1,0)=4,Table442431[[#This Row],[Pre Total]],""),"")</f>
        <v/>
      </c>
      <c r="M158" s="6">
        <f>IF(IF(ISNUMBER(J157),1,0)+IF(ISNUMBER(Table442431[[#This Row],[Post Total]]),1,0)=2,IF(IF(Table442431[[#This Row],[Student Number]]=C157,1,0)+IF(Table442431[[#This Row],[Session]]=B157,1,0)+IF(Table442431[[#This Row],[Pre or Post]]="Post",1,0)+IF(D157="Pre",1,0)=4,Table442431[[#This Row],[Post Total]],""),"")</f>
        <v>3</v>
      </c>
      <c r="N158" s="6">
        <f>IF(IF(ISNUMBER(J157),1,0)+IF(ISNUMBER(Table442431[[#This Row],[Post Total]]),1,0)=2,IF(IF(Table442431[[#This Row],[Student Number]]=C157,1,0)+IF(Table442431[[#This Row],[Session]]=B157,1,0)+IF(Table442431[[#This Row],[Pre or Post]]="Post",1,0)+IF(D157="Pre",1,0)=4,Table442431[[#This Row],[Post Total]]-J157,""),"")</f>
        <v>-1</v>
      </c>
      <c r="O158" s="6" t="b">
        <f>ISNUMBER(Table442431[[#This Row],[Change]])</f>
        <v>1</v>
      </c>
    </row>
    <row r="159" spans="1:15">
      <c r="A159" s="2"/>
      <c r="B159" s="2"/>
      <c r="C159" s="2"/>
      <c r="D159" s="2"/>
      <c r="E159" s="2"/>
      <c r="F159" s="2"/>
      <c r="G159" s="2"/>
      <c r="H159" s="6">
        <f>SUM([Pre Answers])</f>
        <v>61</v>
      </c>
      <c r="I159" s="6">
        <f>SUM([Post Answers])</f>
        <v>96</v>
      </c>
      <c r="J159" s="2">
        <f>SUM([Pre Total])</f>
        <v>127.5</v>
      </c>
      <c r="K159" s="2">
        <f>SUM([Post Total])</f>
        <v>318.5</v>
      </c>
      <c r="L159" s="2">
        <f>SUM([Pre Total (Pooled)])</f>
        <v>122.5</v>
      </c>
      <c r="M159" s="2">
        <f>SUM([Post Total (Pooled)])</f>
        <v>160.5</v>
      </c>
      <c r="N159" s="2">
        <f>SUM([Change])</f>
        <v>38</v>
      </c>
      <c r="O159" s="2">
        <f>COUNTIF([Number 2 Resp],TRUE)</f>
        <v>50</v>
      </c>
    </row>
    <row r="161" spans="1:13" ht="45">
      <c r="A161" s="15" t="s">
        <v>4</v>
      </c>
      <c r="B161" s="15" t="s">
        <v>36</v>
      </c>
      <c r="C161" s="15" t="s">
        <v>37</v>
      </c>
      <c r="D161" s="15" t="s">
        <v>68</v>
      </c>
      <c r="E161" s="15" t="s">
        <v>69</v>
      </c>
      <c r="F161" s="15" t="s">
        <v>84</v>
      </c>
      <c r="G161" s="15"/>
      <c r="H161" s="15"/>
      <c r="I161" s="15"/>
      <c r="J161" s="15"/>
      <c r="K161" s="15"/>
      <c r="L161" s="15"/>
    </row>
    <row r="162" spans="1:13">
      <c r="A162" s="1" t="s">
        <v>6</v>
      </c>
      <c r="B162" s="1">
        <f>COUNTIF(Table442431[Pre or Post],"Pre")</f>
        <v>61</v>
      </c>
      <c r="C162" s="1">
        <f>Table442431[[#Totals],[Pre Answers]]</f>
        <v>61</v>
      </c>
      <c r="D162" s="1">
        <f>Table442431[[#Totals],[Pre Total]]/Table5122532[[#This Row],[Total Answers]]</f>
        <v>2.0901639344262297</v>
      </c>
      <c r="E162" s="1">
        <f>STDEV(Table442431[Pre Total])</f>
        <v>0.90347702741401037</v>
      </c>
      <c r="F162" s="5">
        <f>STDEV(Table442431[Change])</f>
        <v>0.95426005098084199</v>
      </c>
    </row>
    <row r="163" spans="1:13">
      <c r="A163" s="1" t="s">
        <v>16</v>
      </c>
      <c r="B163" s="1">
        <f>COUNTIF(Table442431[Pre or Post],"Post")</f>
        <v>96</v>
      </c>
      <c r="C163" s="1">
        <f>Table442431[[#Totals],[Post Answers]]</f>
        <v>96</v>
      </c>
      <c r="D163" s="1">
        <f>Table442431[[#Totals],[Post Total]]/Table5122532[[#This Row],[Total Answers]]</f>
        <v>3.3177083333333335</v>
      </c>
      <c r="E163" s="1">
        <f>STDEV(Table442431[Post Total])</f>
        <v>0.81300374286386412</v>
      </c>
      <c r="F163" s="5">
        <f>STDEV(Table442431[Change])</f>
        <v>0.95426005098084199</v>
      </c>
    </row>
    <row r="165" spans="1:13" ht="30">
      <c r="A165" s="15" t="s">
        <v>46</v>
      </c>
      <c r="B165" s="15" t="s">
        <v>82</v>
      </c>
      <c r="C165" s="15" t="s">
        <v>70</v>
      </c>
      <c r="D165" s="15" t="s">
        <v>71</v>
      </c>
      <c r="E165" s="15" t="s">
        <v>73</v>
      </c>
      <c r="F165" s="15" t="s">
        <v>74</v>
      </c>
      <c r="G165" s="15" t="s">
        <v>75</v>
      </c>
      <c r="H165" s="15" t="s">
        <v>76</v>
      </c>
      <c r="I165" s="15" t="s">
        <v>77</v>
      </c>
      <c r="J165" s="15" t="s">
        <v>78</v>
      </c>
      <c r="K165" s="15" t="s">
        <v>79</v>
      </c>
      <c r="L165" s="15" t="s">
        <v>80</v>
      </c>
      <c r="M165" s="15" t="s">
        <v>81</v>
      </c>
    </row>
    <row r="166" spans="1:13">
      <c r="A166" s="1">
        <f>COUNTIF(Table442431[Pre and Post?],"Yes")/2</f>
        <v>58</v>
      </c>
      <c r="B166" s="5">
        <f>COUNTIF(Table442431[Number 2 Resp],TRUE)</f>
        <v>50</v>
      </c>
      <c r="C166" s="1">
        <f>COUNTIF(Table442431[Change],1)</f>
        <v>16</v>
      </c>
      <c r="D166" s="1">
        <f>COUNTIF(Table442431[Change],2)</f>
        <v>9</v>
      </c>
      <c r="E166" s="1">
        <f>COUNTIF(Table442431[Change],3)</f>
        <v>2</v>
      </c>
      <c r="F166" s="1">
        <f>COUNTIF(Table442431[Change],4)</f>
        <v>0</v>
      </c>
      <c r="G166" s="1">
        <f>COUNTIF(Table442431[Change],-1)</f>
        <v>3</v>
      </c>
      <c r="H166" s="1">
        <f>COUNTIF(Table442431[Change],-2)</f>
        <v>0</v>
      </c>
      <c r="I166" s="1">
        <f>COUNTIF(Table442431[Change],-3)</f>
        <v>0</v>
      </c>
      <c r="J166" s="1">
        <f>COUNTIF(Table442431[Change],-4)</f>
        <v>0</v>
      </c>
      <c r="K166" s="1">
        <f>SUM(Table6132633[[Increased by 1]:[Increased by 4]])</f>
        <v>27</v>
      </c>
      <c r="L166" s="1">
        <f>SUM(Table6132633[[Decreased by 1]:[Decreased by 4]])</f>
        <v>3</v>
      </c>
      <c r="M166" s="1">
        <f>COUNTIF(Table442431[Change],0)</f>
        <v>18</v>
      </c>
    </row>
    <row r="168" spans="1:13">
      <c r="A168" s="1" t="s">
        <v>87</v>
      </c>
    </row>
    <row r="169" spans="1:13" ht="45">
      <c r="A169" t="s">
        <v>4</v>
      </c>
      <c r="B169" s="15" t="s">
        <v>36</v>
      </c>
      <c r="C169" s="15" t="s">
        <v>84</v>
      </c>
      <c r="D169" s="15" t="s">
        <v>68</v>
      </c>
      <c r="E169" s="15" t="s">
        <v>69</v>
      </c>
    </row>
    <row r="170" spans="1:13">
      <c r="A170" t="s">
        <v>6</v>
      </c>
      <c r="B170" s="1">
        <f>Table442431[[#Totals],[Number 2 Resp]]</f>
        <v>50</v>
      </c>
      <c r="C170" s="1">
        <f>STDEV(Table442431[Change])</f>
        <v>0.95426005098084199</v>
      </c>
      <c r="D170" s="5">
        <f>Table442431[[#Totals],[Pre Total (Pooled)]]/B170</f>
        <v>2.4500000000000002</v>
      </c>
      <c r="E170" s="1">
        <f>STDEV(Table442431[Pre Total (Pooled)])</f>
        <v>0.91612538131290433</v>
      </c>
    </row>
    <row r="171" spans="1:13">
      <c r="A171" t="s">
        <v>16</v>
      </c>
      <c r="B171" s="1">
        <f>Table442431[[#Totals],[Number 2 Resp]]</f>
        <v>50</v>
      </c>
      <c r="C171" s="1">
        <f>STDEV(Table442431[Change])</f>
        <v>0.95426005098084199</v>
      </c>
      <c r="D171" s="5">
        <f>Table442431[[#Totals],[Post Total (Pooled)]]/B171</f>
        <v>3.21</v>
      </c>
      <c r="E171" s="1">
        <f>STDEV(Table442431[Post Total (Pooled)])</f>
        <v>0.88115184357099918</v>
      </c>
    </row>
  </sheetData>
  <conditionalFormatting sqref="F2:G158 F159:F164 G165:G166 F167:F206">
    <cfRule type="cellIs" dxfId="1086" priority="5" operator="equal">
      <formula>"No"</formula>
    </cfRule>
    <cfRule type="cellIs" dxfId="1085" priority="6" operator="equal">
      <formula>"Yes"</formula>
    </cfRule>
  </conditionalFormatting>
  <conditionalFormatting sqref="G167:G206 G2:G164 H165:H166">
    <cfRule type="cellIs" dxfId="1084" priority="3" operator="equal">
      <formula>"Yes"</formula>
    </cfRule>
    <cfRule type="cellIs" dxfId="1083" priority="4" operator="equal">
      <formula>"No"</formula>
    </cfRule>
  </conditionalFormatting>
  <conditionalFormatting sqref="C169">
    <cfRule type="cellIs" dxfId="1082" priority="1" operator="equal">
      <formula>"No"</formula>
    </cfRule>
    <cfRule type="cellIs" dxfId="1081" priority="2" operator="equal">
      <formula>"Yes"</formula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6"/>
  <sheetViews>
    <sheetView topLeftCell="A4" workbookViewId="0">
      <selection activeCell="H16" sqref="H16"/>
    </sheetView>
  </sheetViews>
  <sheetFormatPr defaultRowHeight="15"/>
  <cols>
    <col min="1" max="1" width="11" customWidth="1"/>
    <col min="2" max="2" width="12.85546875" bestFit="1" customWidth="1"/>
    <col min="3" max="3" width="15.7109375" bestFit="1" customWidth="1"/>
    <col min="4" max="4" width="16" bestFit="1" customWidth="1"/>
    <col min="5" max="6" width="12" bestFit="1" customWidth="1"/>
    <col min="7" max="7" width="14.140625" bestFit="1" customWidth="1"/>
    <col min="8" max="10" width="12.5703125" bestFit="1" customWidth="1"/>
    <col min="11" max="11" width="11.42578125" bestFit="1" customWidth="1"/>
    <col min="12" max="12" width="10.7109375" bestFit="1" customWidth="1"/>
    <col min="13" max="13" width="11.42578125" bestFit="1" customWidth="1"/>
    <col min="14" max="14" width="9.85546875" bestFit="1" customWidth="1"/>
  </cols>
  <sheetData>
    <row r="1" spans="1:14" s="13" customFormat="1" ht="60">
      <c r="A1" s="15" t="s">
        <v>53</v>
      </c>
      <c r="B1" s="15" t="s">
        <v>4</v>
      </c>
      <c r="C1" s="15" t="s">
        <v>36</v>
      </c>
      <c r="D1" s="15" t="s">
        <v>37</v>
      </c>
      <c r="E1" s="15" t="s">
        <v>68</v>
      </c>
      <c r="F1" s="15" t="s">
        <v>69</v>
      </c>
      <c r="G1" s="15" t="s">
        <v>84</v>
      </c>
    </row>
    <row r="2" spans="1:14">
      <c r="A2" s="1" t="s">
        <v>12</v>
      </c>
      <c r="B2" s="1" t="s">
        <v>6</v>
      </c>
      <c r="C2" s="5">
        <v>40</v>
      </c>
      <c r="D2" s="5">
        <v>40</v>
      </c>
      <c r="E2" s="5">
        <v>3.375</v>
      </c>
      <c r="F2" s="5">
        <v>1.0545992068930676</v>
      </c>
      <c r="G2" s="5">
        <v>0.63850787598298875</v>
      </c>
    </row>
    <row r="3" spans="1:14">
      <c r="A3" s="2" t="s">
        <v>24</v>
      </c>
      <c r="B3" s="1" t="s">
        <v>6</v>
      </c>
      <c r="C3" s="5">
        <v>61</v>
      </c>
      <c r="D3" s="5">
        <v>61</v>
      </c>
      <c r="E3" s="5">
        <v>2.0901639344262297</v>
      </c>
      <c r="F3" s="5">
        <v>0.90347702741401037</v>
      </c>
      <c r="G3" s="5">
        <v>0.95426005098084199</v>
      </c>
    </row>
    <row r="4" spans="1:14">
      <c r="A4" s="1"/>
      <c r="B4" s="1"/>
      <c r="C4" s="1"/>
      <c r="D4" s="1"/>
      <c r="E4" s="1"/>
      <c r="F4" s="1"/>
      <c r="G4" s="1"/>
      <c r="H4" s="1"/>
    </row>
    <row r="5" spans="1:14" s="13" customFormat="1" ht="60.75" thickBot="1">
      <c r="A5" s="14" t="s">
        <v>53</v>
      </c>
      <c r="B5" s="14" t="s">
        <v>4</v>
      </c>
      <c r="C5" s="15" t="s">
        <v>36</v>
      </c>
      <c r="D5" s="15" t="s">
        <v>37</v>
      </c>
      <c r="E5" s="15" t="s">
        <v>68</v>
      </c>
      <c r="F5" s="15" t="s">
        <v>69</v>
      </c>
      <c r="G5" s="15" t="s">
        <v>84</v>
      </c>
    </row>
    <row r="6" spans="1:14" ht="15.75" thickTop="1">
      <c r="A6" t="s">
        <v>12</v>
      </c>
      <c r="B6" s="3" t="s">
        <v>16</v>
      </c>
      <c r="C6" s="5">
        <v>65</v>
      </c>
      <c r="D6" s="5">
        <v>65</v>
      </c>
      <c r="E6" s="5">
        <v>3.4153846153846152</v>
      </c>
      <c r="F6" s="5">
        <v>0.93361373992921426</v>
      </c>
      <c r="G6" s="5">
        <v>0.63850787598298875</v>
      </c>
    </row>
    <row r="7" spans="1:14">
      <c r="A7" t="s">
        <v>24</v>
      </c>
      <c r="B7" s="4" t="s">
        <v>16</v>
      </c>
      <c r="C7" s="5">
        <v>96</v>
      </c>
      <c r="D7" s="5">
        <v>96</v>
      </c>
      <c r="E7" s="5">
        <v>3.3177083333333335</v>
      </c>
      <c r="F7" s="5">
        <v>0.81300374286386412</v>
      </c>
      <c r="G7" s="5">
        <v>0.95426005098084199</v>
      </c>
    </row>
    <row r="9" spans="1:14" ht="45">
      <c r="A9" s="15" t="s">
        <v>53</v>
      </c>
      <c r="B9" s="15" t="s">
        <v>46</v>
      </c>
      <c r="C9" s="15" t="s">
        <v>82</v>
      </c>
      <c r="D9" s="15" t="s">
        <v>70</v>
      </c>
      <c r="E9" s="15" t="s">
        <v>71</v>
      </c>
      <c r="F9" s="15" t="s">
        <v>73</v>
      </c>
      <c r="G9" s="15" t="s">
        <v>74</v>
      </c>
      <c r="H9" s="15" t="s">
        <v>75</v>
      </c>
      <c r="I9" s="15" t="s">
        <v>76</v>
      </c>
      <c r="J9" s="15" t="s">
        <v>77</v>
      </c>
      <c r="K9" s="15" t="s">
        <v>78</v>
      </c>
      <c r="L9" s="15" t="s">
        <v>79</v>
      </c>
      <c r="M9" s="15" t="s">
        <v>80</v>
      </c>
      <c r="N9" s="15" t="s">
        <v>81</v>
      </c>
    </row>
    <row r="10" spans="1:14">
      <c r="A10" s="10" t="s">
        <v>12</v>
      </c>
      <c r="B10" s="5">
        <v>40</v>
      </c>
      <c r="C10" s="5">
        <v>40</v>
      </c>
      <c r="D10" s="5">
        <v>8</v>
      </c>
      <c r="E10" s="5">
        <v>0</v>
      </c>
      <c r="F10" s="5">
        <v>0</v>
      </c>
      <c r="G10" s="5">
        <v>0</v>
      </c>
      <c r="H10" s="5">
        <v>4</v>
      </c>
      <c r="I10" s="5">
        <v>1</v>
      </c>
      <c r="J10" s="5">
        <v>0</v>
      </c>
      <c r="K10" s="5">
        <v>0</v>
      </c>
      <c r="L10" s="5">
        <v>8</v>
      </c>
      <c r="M10" s="5">
        <v>5</v>
      </c>
      <c r="N10" s="5">
        <v>27</v>
      </c>
    </row>
    <row r="11" spans="1:14">
      <c r="A11" s="11" t="s">
        <v>24</v>
      </c>
      <c r="B11" s="5">
        <v>58</v>
      </c>
      <c r="C11" s="5">
        <v>50</v>
      </c>
      <c r="D11" s="5">
        <v>16</v>
      </c>
      <c r="E11" s="5">
        <v>9</v>
      </c>
      <c r="F11" s="5">
        <v>2</v>
      </c>
      <c r="G11" s="5">
        <v>0</v>
      </c>
      <c r="H11" s="5">
        <v>3</v>
      </c>
      <c r="I11" s="5">
        <v>0</v>
      </c>
      <c r="J11" s="5">
        <v>0</v>
      </c>
      <c r="K11" s="5">
        <v>0</v>
      </c>
      <c r="L11" s="5">
        <v>27</v>
      </c>
      <c r="M11" s="5">
        <v>3</v>
      </c>
      <c r="N11" s="5">
        <v>18</v>
      </c>
    </row>
    <row r="13" spans="1:14">
      <c r="A13" s="10" t="s">
        <v>219</v>
      </c>
    </row>
    <row r="14" spans="1:14">
      <c r="A14" s="10"/>
    </row>
    <row r="15" spans="1:14" ht="45">
      <c r="A15" s="15" t="s">
        <v>53</v>
      </c>
      <c r="B15" s="15" t="s">
        <v>4</v>
      </c>
      <c r="C15" s="15" t="s">
        <v>36</v>
      </c>
      <c r="D15" s="15" t="s">
        <v>84</v>
      </c>
      <c r="E15" s="15" t="s">
        <v>68</v>
      </c>
      <c r="F15" s="15" t="s">
        <v>69</v>
      </c>
    </row>
    <row r="16" spans="1:14">
      <c r="A16" s="1" t="s">
        <v>12</v>
      </c>
      <c r="B16" s="1" t="s">
        <v>6</v>
      </c>
      <c r="C16" s="1">
        <v>40</v>
      </c>
      <c r="D16" s="5">
        <v>0.63850787598298875</v>
      </c>
      <c r="E16" s="5">
        <v>3.375</v>
      </c>
      <c r="F16" s="1">
        <v>1.0545992068930676</v>
      </c>
    </row>
    <row r="17" spans="1:7">
      <c r="A17" s="2" t="s">
        <v>24</v>
      </c>
      <c r="B17" s="1" t="s">
        <v>6</v>
      </c>
      <c r="C17" s="1">
        <v>50</v>
      </c>
      <c r="D17" s="1">
        <v>0.95426005098084199</v>
      </c>
      <c r="E17" s="5">
        <v>2.4500000000000002</v>
      </c>
      <c r="F17" s="1">
        <v>0.91612538131290433</v>
      </c>
    </row>
    <row r="18" spans="1:7">
      <c r="A18" s="1"/>
      <c r="B18" s="1"/>
      <c r="C18" s="1"/>
      <c r="D18" s="1"/>
      <c r="E18" s="1"/>
      <c r="F18" s="1"/>
      <c r="G18" s="1"/>
    </row>
    <row r="19" spans="1:7" ht="45.75" thickBot="1">
      <c r="A19" s="14" t="s">
        <v>53</v>
      </c>
      <c r="B19" s="14" t="s">
        <v>4</v>
      </c>
      <c r="C19" s="15" t="s">
        <v>36</v>
      </c>
      <c r="D19" s="15" t="s">
        <v>84</v>
      </c>
      <c r="E19" s="15" t="s">
        <v>68</v>
      </c>
      <c r="F19" s="15" t="s">
        <v>69</v>
      </c>
    </row>
    <row r="20" spans="1:7" ht="15.75" thickTop="1">
      <c r="A20" t="s">
        <v>12</v>
      </c>
      <c r="B20" s="3" t="s">
        <v>16</v>
      </c>
      <c r="C20" s="1">
        <v>40</v>
      </c>
      <c r="D20" s="5">
        <v>0.63850787598298875</v>
      </c>
      <c r="E20" s="5">
        <v>3.4249999999999998</v>
      </c>
      <c r="F20" s="1">
        <v>1.0833826418758739</v>
      </c>
    </row>
    <row r="21" spans="1:7">
      <c r="A21" t="s">
        <v>24</v>
      </c>
      <c r="B21" s="4" t="s">
        <v>16</v>
      </c>
      <c r="C21" s="1">
        <v>50</v>
      </c>
      <c r="D21" s="1">
        <v>0.95426005098084199</v>
      </c>
      <c r="E21" s="5">
        <v>3.21</v>
      </c>
      <c r="F21" s="1">
        <v>0.88115184357099918</v>
      </c>
    </row>
    <row r="23" spans="1:7">
      <c r="A23" s="29" t="s">
        <v>85</v>
      </c>
      <c r="B23" s="29"/>
      <c r="C23" s="29"/>
      <c r="D23" s="29"/>
      <c r="E23" s="29"/>
    </row>
    <row r="24" spans="1:7" ht="15" customHeight="1">
      <c r="A24" s="17" t="s">
        <v>164</v>
      </c>
      <c r="B24" s="17" t="s">
        <v>91</v>
      </c>
      <c r="C24" s="17" t="s">
        <v>92</v>
      </c>
      <c r="D24" s="17"/>
      <c r="E24" s="17"/>
    </row>
    <row r="25" spans="1:7">
      <c r="A25" s="17" t="s">
        <v>93</v>
      </c>
      <c r="B25" s="17">
        <f>C17</f>
        <v>50</v>
      </c>
      <c r="C25" s="17">
        <f>C21</f>
        <v>50</v>
      </c>
      <c r="D25" s="17"/>
      <c r="E25" s="17"/>
    </row>
    <row r="26" spans="1:7">
      <c r="A26" s="17" t="s">
        <v>94</v>
      </c>
      <c r="B26" s="17">
        <f>E17</f>
        <v>2.4500000000000002</v>
      </c>
      <c r="C26" s="17">
        <f>E21</f>
        <v>3.21</v>
      </c>
      <c r="D26" s="17"/>
      <c r="E26" s="17"/>
    </row>
    <row r="27" spans="1:7">
      <c r="A27" s="17" t="s">
        <v>95</v>
      </c>
      <c r="B27" s="17">
        <f>F17</f>
        <v>0.91612538131290433</v>
      </c>
      <c r="C27" s="17">
        <f>F21</f>
        <v>0.88115184357099918</v>
      </c>
      <c r="D27" s="17"/>
      <c r="E27" s="17"/>
    </row>
    <row r="28" spans="1:7">
      <c r="A28" s="17"/>
      <c r="B28" s="17"/>
      <c r="C28" s="17"/>
      <c r="D28" s="17"/>
      <c r="E28" s="17"/>
    </row>
    <row r="29" spans="1:7">
      <c r="A29" t="s">
        <v>90</v>
      </c>
    </row>
    <row r="30" spans="1:7" s="15" customFormat="1">
      <c r="A30" s="29" t="s">
        <v>104</v>
      </c>
      <c r="B30" s="29"/>
      <c r="C30" s="29"/>
      <c r="D30" s="29"/>
      <c r="E30" s="29"/>
      <c r="F30"/>
    </row>
    <row r="31" spans="1:7" s="15" customFormat="1">
      <c r="A31" s="17"/>
      <c r="B31" s="17"/>
      <c r="C31" s="17"/>
      <c r="D31" s="17"/>
      <c r="E31" s="17"/>
      <c r="F31"/>
    </row>
    <row r="32" spans="1:7" s="15" customFormat="1">
      <c r="A32" s="29" t="s">
        <v>86</v>
      </c>
      <c r="B32" s="29"/>
      <c r="C32" s="29"/>
      <c r="D32" s="29"/>
      <c r="E32" s="29"/>
      <c r="F32"/>
    </row>
    <row r="33" spans="1:11">
      <c r="A33" s="17" t="s">
        <v>164</v>
      </c>
      <c r="B33" s="17" t="s">
        <v>97</v>
      </c>
      <c r="C33" s="17" t="s">
        <v>96</v>
      </c>
      <c r="D33" s="17"/>
      <c r="E33" s="17"/>
    </row>
    <row r="34" spans="1:11">
      <c r="A34" s="17" t="s">
        <v>93</v>
      </c>
      <c r="B34" s="17">
        <f>C16</f>
        <v>40</v>
      </c>
      <c r="C34" s="17">
        <f>C20</f>
        <v>40</v>
      </c>
      <c r="D34" s="17"/>
      <c r="E34" s="17"/>
    </row>
    <row r="35" spans="1:11">
      <c r="A35" s="17" t="s">
        <v>94</v>
      </c>
      <c r="B35" s="17">
        <f>E16</f>
        <v>3.375</v>
      </c>
      <c r="C35" s="17">
        <f>E20</f>
        <v>3.4249999999999998</v>
      </c>
      <c r="D35" s="17"/>
      <c r="E35" s="17"/>
    </row>
    <row r="36" spans="1:11">
      <c r="A36" s="17" t="s">
        <v>95</v>
      </c>
      <c r="B36" s="17">
        <f>F16</f>
        <v>1.0545992068930676</v>
      </c>
      <c r="C36" s="17">
        <f>F20</f>
        <v>1.0833826418758739</v>
      </c>
      <c r="D36" s="17"/>
      <c r="E36" s="17"/>
    </row>
    <row r="37" spans="1:11">
      <c r="A37" s="17"/>
      <c r="B37" s="17"/>
      <c r="C37" s="17"/>
      <c r="D37" s="17"/>
      <c r="E37" s="17"/>
      <c r="F37" s="15"/>
      <c r="G37" s="15"/>
      <c r="H37" s="15"/>
      <c r="I37" s="15"/>
      <c r="J37" s="15"/>
      <c r="K37" s="15"/>
    </row>
    <row r="38" spans="1:11">
      <c r="A38" t="s">
        <v>90</v>
      </c>
      <c r="F38" s="15"/>
      <c r="G38" s="15"/>
      <c r="H38" s="15"/>
      <c r="I38" s="15"/>
      <c r="J38" s="15"/>
      <c r="K38" s="15"/>
    </row>
    <row r="39" spans="1:11">
      <c r="A39" s="30" t="s">
        <v>105</v>
      </c>
      <c r="B39" s="30"/>
      <c r="C39" s="30"/>
      <c r="D39" s="30"/>
      <c r="E39" s="30"/>
      <c r="F39" s="15"/>
      <c r="G39" s="15"/>
      <c r="H39" s="15"/>
      <c r="I39" s="15"/>
      <c r="J39" s="15"/>
      <c r="K39" s="15"/>
    </row>
    <row r="40" spans="1:11">
      <c r="A40" s="17"/>
      <c r="B40" s="17"/>
      <c r="C40" s="17"/>
      <c r="D40" s="17"/>
      <c r="E40" s="17"/>
    </row>
    <row r="41" spans="1:11">
      <c r="A41" s="17"/>
      <c r="B41" s="17"/>
      <c r="C41" s="17"/>
      <c r="D41" s="17"/>
      <c r="E41" s="17"/>
    </row>
    <row r="42" spans="1:11">
      <c r="A42" t="s">
        <v>90</v>
      </c>
    </row>
    <row r="44" spans="1:11">
      <c r="G44" s="15"/>
    </row>
    <row r="45" spans="1:11">
      <c r="G45" s="15"/>
    </row>
    <row r="46" spans="1:11">
      <c r="A46" s="15"/>
      <c r="G46" s="15"/>
    </row>
  </sheetData>
  <mergeCells count="4">
    <mergeCell ref="A23:E23"/>
    <mergeCell ref="A32:E32"/>
    <mergeCell ref="A30:E30"/>
    <mergeCell ref="A39:E39"/>
  </mergeCells>
  <conditionalFormatting sqref="C2:C3">
    <cfRule type="aboveAverage" dxfId="1024" priority="61" aboveAverage="0"/>
    <cfRule type="aboveAverage" dxfId="1023" priority="62"/>
  </conditionalFormatting>
  <conditionalFormatting sqref="D2:D3">
    <cfRule type="aboveAverage" dxfId="1022" priority="59" aboveAverage="0"/>
    <cfRule type="aboveAverage" dxfId="1021" priority="60"/>
  </conditionalFormatting>
  <conditionalFormatting sqref="E2:E3">
    <cfRule type="aboveAverage" dxfId="1020" priority="57" aboveAverage="0"/>
    <cfRule type="aboveAverage" dxfId="1019" priority="58"/>
  </conditionalFormatting>
  <conditionalFormatting sqref="F2:F3">
    <cfRule type="aboveAverage" dxfId="1018" priority="55" aboveAverage="0"/>
    <cfRule type="aboveAverage" dxfId="1017" priority="56"/>
  </conditionalFormatting>
  <conditionalFormatting sqref="G2:G3">
    <cfRule type="aboveAverage" dxfId="1016" priority="53"/>
    <cfRule type="aboveAverage" dxfId="1015" priority="54" aboveAverage="0"/>
  </conditionalFormatting>
  <conditionalFormatting sqref="C6:C7">
    <cfRule type="aboveAverage" dxfId="1014" priority="51" aboveAverage="0"/>
    <cfRule type="aboveAverage" dxfId="1013" priority="52"/>
  </conditionalFormatting>
  <conditionalFormatting sqref="D6:D7">
    <cfRule type="aboveAverage" dxfId="1012" priority="49" aboveAverage="0"/>
    <cfRule type="aboveAverage" dxfId="1011" priority="50"/>
  </conditionalFormatting>
  <conditionalFormatting sqref="E6:E7">
    <cfRule type="aboveAverage" dxfId="1010" priority="47" aboveAverage="0"/>
    <cfRule type="aboveAverage" dxfId="1009" priority="48"/>
  </conditionalFormatting>
  <conditionalFormatting sqref="F6:F7">
    <cfRule type="aboveAverage" dxfId="1008" priority="45" aboveAverage="0"/>
    <cfRule type="aboveAverage" dxfId="1007" priority="46"/>
  </conditionalFormatting>
  <conditionalFormatting sqref="G6:G7">
    <cfRule type="aboveAverage" dxfId="1006" priority="43"/>
    <cfRule type="aboveAverage" dxfId="1005" priority="44" aboveAverage="0"/>
  </conditionalFormatting>
  <conditionalFormatting sqref="B11">
    <cfRule type="aboveAverage" dxfId="1004" priority="41" aboveAverage="0"/>
    <cfRule type="aboveAverage" dxfId="1003" priority="42"/>
  </conditionalFormatting>
  <conditionalFormatting sqref="C11">
    <cfRule type="aboveAverage" dxfId="1002" priority="39" aboveAverage="0"/>
    <cfRule type="aboveAverage" dxfId="1001" priority="40"/>
  </conditionalFormatting>
  <conditionalFormatting sqref="D11">
    <cfRule type="aboveAverage" dxfId="1000" priority="37" aboveAverage="0"/>
    <cfRule type="aboveAverage" dxfId="999" priority="38"/>
  </conditionalFormatting>
  <conditionalFormatting sqref="E11">
    <cfRule type="aboveAverage" dxfId="998" priority="35" aboveAverage="0"/>
    <cfRule type="aboveAverage" dxfId="997" priority="36"/>
  </conditionalFormatting>
  <conditionalFormatting sqref="F11">
    <cfRule type="aboveAverage" dxfId="996" priority="33" aboveAverage="0"/>
    <cfRule type="aboveAverage" dxfId="995" priority="34"/>
  </conditionalFormatting>
  <conditionalFormatting sqref="G11">
    <cfRule type="aboveAverage" dxfId="994" priority="31" aboveAverage="0"/>
    <cfRule type="aboveAverage" dxfId="993" priority="32"/>
  </conditionalFormatting>
  <conditionalFormatting sqref="H11">
    <cfRule type="aboveAverage" dxfId="992" priority="29" aboveAverage="0"/>
    <cfRule type="aboveAverage" dxfId="991" priority="30"/>
  </conditionalFormatting>
  <conditionalFormatting sqref="I11">
    <cfRule type="aboveAverage" dxfId="990" priority="27" aboveAverage="0"/>
    <cfRule type="aboveAverage" dxfId="989" priority="28"/>
  </conditionalFormatting>
  <conditionalFormatting sqref="J11">
    <cfRule type="aboveAverage" dxfId="988" priority="25" aboveAverage="0"/>
    <cfRule type="aboveAverage" dxfId="987" priority="26"/>
  </conditionalFormatting>
  <conditionalFormatting sqref="D20 D16 G2 G6 C30">
    <cfRule type="cellIs" dxfId="986" priority="23" operator="equal">
      <formula>"No"</formula>
    </cfRule>
    <cfRule type="cellIs" dxfId="985" priority="24" operator="equal">
      <formula>"Yes"</formula>
    </cfRule>
  </conditionalFormatting>
  <conditionalFormatting sqref="C16">
    <cfRule type="aboveAverage" dxfId="984" priority="21" aboveAverage="0"/>
    <cfRule type="aboveAverage" dxfId="983" priority="22"/>
  </conditionalFormatting>
  <conditionalFormatting sqref="D16">
    <cfRule type="aboveAverage" dxfId="982" priority="19" aboveAverage="0"/>
    <cfRule type="aboveAverage" dxfId="981" priority="20"/>
  </conditionalFormatting>
  <conditionalFormatting sqref="E16">
    <cfRule type="aboveAverage" dxfId="980" priority="17" aboveAverage="0"/>
    <cfRule type="aboveAverage" dxfId="979" priority="18"/>
  </conditionalFormatting>
  <conditionalFormatting sqref="F16">
    <cfRule type="aboveAverage" dxfId="978" priority="15" aboveAverage="0"/>
    <cfRule type="aboveAverage" dxfId="977" priority="16"/>
  </conditionalFormatting>
  <conditionalFormatting sqref="C20">
    <cfRule type="aboveAverage" dxfId="976" priority="13" aboveAverage="0"/>
    <cfRule type="aboveAverage" dxfId="975" priority="14"/>
  </conditionalFormatting>
  <conditionalFormatting sqref="D20">
    <cfRule type="aboveAverage" dxfId="974" priority="11" aboveAverage="0"/>
    <cfRule type="aboveAverage" dxfId="973" priority="12"/>
  </conditionalFormatting>
  <conditionalFormatting sqref="E20">
    <cfRule type="aboveAverage" dxfId="972" priority="9" aboveAverage="0"/>
    <cfRule type="aboveAverage" dxfId="971" priority="10"/>
  </conditionalFormatting>
  <conditionalFormatting sqref="F20">
    <cfRule type="aboveAverage" dxfId="970" priority="7" aboveAverage="0"/>
    <cfRule type="aboveAverage" dxfId="969" priority="8"/>
  </conditionalFormatting>
  <pageMargins left="0.7" right="0.7" top="0.75" bottom="0.75" header="0.3" footer="0.3"/>
  <pageSetup scale="52" orientation="portrait" horizontalDpi="300" verticalDpi="300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O119"/>
  <sheetViews>
    <sheetView workbookViewId="0">
      <pane ySplit="1" topLeftCell="A81" activePane="bottomLeft" state="frozen"/>
      <selection activeCell="E37" sqref="E37"/>
      <selection pane="bottomLeft" activeCell="E37" sqref="E37"/>
    </sheetView>
  </sheetViews>
  <sheetFormatPr defaultColWidth="16.7109375" defaultRowHeight="15"/>
  <cols>
    <col min="1" max="16384" width="16.7109375" style="1"/>
  </cols>
  <sheetData>
    <row r="1" spans="1:15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20</v>
      </c>
      <c r="H1" s="1" t="s">
        <v>64</v>
      </c>
      <c r="I1" s="1" t="s">
        <v>65</v>
      </c>
      <c r="J1" s="1" t="s">
        <v>66</v>
      </c>
      <c r="K1" s="1" t="s">
        <v>67</v>
      </c>
      <c r="L1" s="1" t="s">
        <v>88</v>
      </c>
      <c r="M1" s="1" t="s">
        <v>89</v>
      </c>
      <c r="N1" s="1" t="s">
        <v>72</v>
      </c>
      <c r="O1" s="1" t="s">
        <v>83</v>
      </c>
    </row>
    <row r="2" spans="1:15">
      <c r="A2" s="2" t="s">
        <v>12</v>
      </c>
      <c r="B2" s="2" t="s">
        <v>5</v>
      </c>
      <c r="C2" s="1">
        <v>1</v>
      </c>
      <c r="D2" s="2" t="s">
        <v>16</v>
      </c>
      <c r="E2" s="1">
        <v>4</v>
      </c>
      <c r="F2" s="1">
        <v>5</v>
      </c>
      <c r="G2" s="2" t="s">
        <v>9</v>
      </c>
      <c r="H2" s="5" t="str">
        <f>IF(IF(Table442818[[#This Row],[Pre or Post]]="Pre",1,0)+IF(ISNUMBER(Table442818[[#This Row],[Response]])=TRUE,1,0)=2,1,"")</f>
        <v/>
      </c>
      <c r="I2" s="5">
        <f>IF(IF(Table442818[[#This Row],[Pre or Post]]="Post",1,0)+IF(ISNUMBER(Table442818[[#This Row],[Response]])=TRUE,1,0)=2,1,"")</f>
        <v>1</v>
      </c>
      <c r="J2" s="5" t="str">
        <f>IF(IF(Table442818[[#This Row],[Pre or Post]]="Pre",1,0)+IF(ISNUMBER(Table442818[[#This Row],[Response]])=TRUE,1,0)=2,Table442818[[#This Row],[Response]],"")</f>
        <v/>
      </c>
      <c r="K2" s="5">
        <f>IF(IF(Table442818[[#This Row],[Pre or Post]]="Post",1,0)+IF(ISNUMBER(Table442818[[#This Row],[Response]])=TRUE,1,0)=2,Table442818[[#This Row],[Response]],"")</f>
        <v>5</v>
      </c>
      <c r="L2" s="5" t="str">
        <f>IF(IF(ISNUMBER(J2),1,0)+IF(ISNUMBER(K3),1,0)=2,IF(IF(C3=C2,1,0)+IF(B3=B2,1,0)+IF(D3="Post",1,0)+IF(D2="Pre",1,0)=4,Table442818[[#This Row],[Pre Total]],""),"")</f>
        <v/>
      </c>
      <c r="M2" s="5" t="str">
        <f>IF(IF(ISNUMBER(J1),1,0)+IF(ISNUMBER(Table442818[[#This Row],[Post Total]]),1,0)=2,IF(IF(Table442818[[#This Row],[Student Number]]=C1,1,0)+IF(Table442818[[#This Row],[Session]]=B1,1,0)+IF(Table442818[[#This Row],[Pre or Post]]="Post",1,0)+IF(D1="Pre",1,0)=4,Table442818[[#This Row],[Post Total]],""),"")</f>
        <v/>
      </c>
      <c r="N2" s="5" t="str">
        <f>IF(IF(ISNUMBER(J1),1,0)+IF(ISNUMBER(Table442818[[#This Row],[Post Total]]),1,0)=2,IF(IF(Table442818[[#This Row],[Student Number]]=C1,1,0)+IF(Table442818[[#This Row],[Session]]=B1,1,0)+IF(Table442818[[#This Row],[Pre or Post]]="Post",1,0)+IF(D1="Pre",1,0)=4,Table442818[[#This Row],[Post Total]]-J1,""),"")</f>
        <v/>
      </c>
      <c r="O2" s="5" t="b">
        <f>ISNUMBER(Table442818[[#This Row],[Change]])</f>
        <v>0</v>
      </c>
    </row>
    <row r="3" spans="1:15">
      <c r="A3" s="2" t="s">
        <v>12</v>
      </c>
      <c r="B3" s="2" t="s">
        <v>5</v>
      </c>
      <c r="C3" s="1">
        <v>2</v>
      </c>
      <c r="D3" s="2" t="s">
        <v>16</v>
      </c>
      <c r="E3" s="1">
        <v>4</v>
      </c>
      <c r="F3" s="1">
        <v>4</v>
      </c>
      <c r="G3" s="2" t="s">
        <v>9</v>
      </c>
      <c r="H3" s="5" t="str">
        <f>IF(IF(Table442818[[#This Row],[Pre or Post]]="Pre",1,0)+IF(ISNUMBER(Table442818[[#This Row],[Response]])=TRUE,1,0)=2,1,"")</f>
        <v/>
      </c>
      <c r="I3" s="5">
        <f>IF(IF(Table442818[[#This Row],[Pre or Post]]="Post",1,0)+IF(ISNUMBER(Table442818[[#This Row],[Response]])=TRUE,1,0)=2,1,"")</f>
        <v>1</v>
      </c>
      <c r="J3" s="5" t="str">
        <f>IF(IF(Table442818[[#This Row],[Pre or Post]]="Pre",1,0)+IF(ISNUMBER(Table442818[[#This Row],[Response]])=TRUE,1,0)=2,Table442818[[#This Row],[Response]],"")</f>
        <v/>
      </c>
      <c r="K3" s="5">
        <f>IF(IF(Table442818[[#This Row],[Pre or Post]]="Post",1,0)+IF(ISNUMBER(Table442818[[#This Row],[Response]])=TRUE,1,0)=2,Table442818[[#This Row],[Response]],"")</f>
        <v>4</v>
      </c>
      <c r="L3" s="5" t="str">
        <f>IF(IF(ISNUMBER(J3),1,0)+IF(ISNUMBER(K4),1,0)=2,IF(IF(C4=C3,1,0)+IF(B4=B3,1,0)+IF(D4="Post",1,0)+IF(D3="Pre",1,0)=4,Table442818[[#This Row],[Pre Total]],""),"")</f>
        <v/>
      </c>
      <c r="M3" s="5" t="str">
        <f>IF(IF(ISNUMBER(J2),1,0)+IF(ISNUMBER(Table442818[[#This Row],[Post Total]]),1,0)=2,IF(IF(Table442818[[#This Row],[Student Number]]=C2,1,0)+IF(Table442818[[#This Row],[Session]]=B2,1,0)+IF(Table442818[[#This Row],[Pre or Post]]="Post",1,0)+IF(D2="Pre",1,0)=4,Table442818[[#This Row],[Post Total]],""),"")</f>
        <v/>
      </c>
      <c r="N3" s="5" t="str">
        <f>IF(IF(ISNUMBER(J2),1,0)+IF(ISNUMBER(Table442818[[#This Row],[Post Total]]),1,0)=2,IF(IF(Table442818[[#This Row],[Student Number]]=C2,1,0)+IF(Table442818[[#This Row],[Session]]=B2,1,0)+IF(Table442818[[#This Row],[Pre or Post]]="Post",1,0)+IF(D2="Pre",1,0)=4,Table442818[[#This Row],[Post Total]]-J2,""),"")</f>
        <v/>
      </c>
      <c r="O3" s="5" t="b">
        <f>ISNUMBER(Table442818[[#This Row],[Change]])</f>
        <v>0</v>
      </c>
    </row>
    <row r="4" spans="1:15">
      <c r="A4" s="2" t="s">
        <v>12</v>
      </c>
      <c r="B4" s="2" t="s">
        <v>5</v>
      </c>
      <c r="C4" s="1">
        <v>3</v>
      </c>
      <c r="D4" s="2" t="s">
        <v>16</v>
      </c>
      <c r="E4" s="1">
        <v>4</v>
      </c>
      <c r="F4" s="1">
        <v>3</v>
      </c>
      <c r="G4" s="2" t="s">
        <v>9</v>
      </c>
      <c r="H4" s="5" t="str">
        <f>IF(IF(Table442818[[#This Row],[Pre or Post]]="Pre",1,0)+IF(ISNUMBER(Table442818[[#This Row],[Response]])=TRUE,1,0)=2,1,"")</f>
        <v/>
      </c>
      <c r="I4" s="5">
        <f>IF(IF(Table442818[[#This Row],[Pre or Post]]="Post",1,0)+IF(ISNUMBER(Table442818[[#This Row],[Response]])=TRUE,1,0)=2,1,"")</f>
        <v>1</v>
      </c>
      <c r="J4" s="5" t="str">
        <f>IF(IF(Table442818[[#This Row],[Pre or Post]]="Pre",1,0)+IF(ISNUMBER(Table442818[[#This Row],[Response]])=TRUE,1,0)=2,Table442818[[#This Row],[Response]],"")</f>
        <v/>
      </c>
      <c r="K4" s="5">
        <f>IF(IF(Table442818[[#This Row],[Pre or Post]]="Post",1,0)+IF(ISNUMBER(Table442818[[#This Row],[Response]])=TRUE,1,0)=2,Table442818[[#This Row],[Response]],"")</f>
        <v>3</v>
      </c>
      <c r="L4" s="5" t="str">
        <f>IF(IF(ISNUMBER(J4),1,0)+IF(ISNUMBER(K5),1,0)=2,IF(IF(C5=C4,1,0)+IF(B5=B4,1,0)+IF(D5="Post",1,0)+IF(D4="Pre",1,0)=4,Table442818[[#This Row],[Pre Total]],""),"")</f>
        <v/>
      </c>
      <c r="M4" s="5" t="str">
        <f>IF(IF(ISNUMBER(J3),1,0)+IF(ISNUMBER(Table442818[[#This Row],[Post Total]]),1,0)=2,IF(IF(Table442818[[#This Row],[Student Number]]=C3,1,0)+IF(Table442818[[#This Row],[Session]]=B3,1,0)+IF(Table442818[[#This Row],[Pre or Post]]="Post",1,0)+IF(D3="Pre",1,0)=4,Table442818[[#This Row],[Post Total]],""),"")</f>
        <v/>
      </c>
      <c r="N4" s="5" t="str">
        <f>IF(IF(ISNUMBER(J3),1,0)+IF(ISNUMBER(Table442818[[#This Row],[Post Total]]),1,0)=2,IF(IF(Table442818[[#This Row],[Student Number]]=C3,1,0)+IF(Table442818[[#This Row],[Session]]=B3,1,0)+IF(Table442818[[#This Row],[Pre or Post]]="Post",1,0)+IF(D3="Pre",1,0)=4,Table442818[[#This Row],[Post Total]]-J3,""),"")</f>
        <v/>
      </c>
      <c r="O4" s="5" t="b">
        <f>ISNUMBER(Table442818[[#This Row],[Change]])</f>
        <v>0</v>
      </c>
    </row>
    <row r="5" spans="1:15">
      <c r="A5" s="2" t="s">
        <v>12</v>
      </c>
      <c r="B5" s="2" t="s">
        <v>5</v>
      </c>
      <c r="C5" s="1">
        <v>4</v>
      </c>
      <c r="D5" s="2" t="s">
        <v>16</v>
      </c>
      <c r="E5" s="1">
        <v>4</v>
      </c>
      <c r="F5" s="1">
        <v>3</v>
      </c>
      <c r="G5" s="2" t="s">
        <v>9</v>
      </c>
      <c r="H5" s="5" t="str">
        <f>IF(IF(Table442818[[#This Row],[Pre or Post]]="Pre",1,0)+IF(ISNUMBER(Table442818[[#This Row],[Response]])=TRUE,1,0)=2,1,"")</f>
        <v/>
      </c>
      <c r="I5" s="5">
        <f>IF(IF(Table442818[[#This Row],[Pre or Post]]="Post",1,0)+IF(ISNUMBER(Table442818[[#This Row],[Response]])=TRUE,1,0)=2,1,"")</f>
        <v>1</v>
      </c>
      <c r="J5" s="5" t="str">
        <f>IF(IF(Table442818[[#This Row],[Pre or Post]]="Pre",1,0)+IF(ISNUMBER(Table442818[[#This Row],[Response]])=TRUE,1,0)=2,Table442818[[#This Row],[Response]],"")</f>
        <v/>
      </c>
      <c r="K5" s="5">
        <f>IF(IF(Table442818[[#This Row],[Pre or Post]]="Post",1,0)+IF(ISNUMBER(Table442818[[#This Row],[Response]])=TRUE,1,0)=2,Table442818[[#This Row],[Response]],"")</f>
        <v>3</v>
      </c>
      <c r="L5" s="5" t="str">
        <f>IF(IF(ISNUMBER(J5),1,0)+IF(ISNUMBER(K6),1,0)=2,IF(IF(C6=C5,1,0)+IF(B6=B5,1,0)+IF(D6="Post",1,0)+IF(D5="Pre",1,0)=4,Table442818[[#This Row],[Pre Total]],""),"")</f>
        <v/>
      </c>
      <c r="M5" s="5" t="str">
        <f>IF(IF(ISNUMBER(J4),1,0)+IF(ISNUMBER(Table442818[[#This Row],[Post Total]]),1,0)=2,IF(IF(Table442818[[#This Row],[Student Number]]=C4,1,0)+IF(Table442818[[#This Row],[Session]]=B4,1,0)+IF(Table442818[[#This Row],[Pre or Post]]="Post",1,0)+IF(D4="Pre",1,0)=4,Table442818[[#This Row],[Post Total]],""),"")</f>
        <v/>
      </c>
      <c r="N5" s="5" t="str">
        <f>IF(IF(ISNUMBER(J4),1,0)+IF(ISNUMBER(Table442818[[#This Row],[Post Total]]),1,0)=2,IF(IF(Table442818[[#This Row],[Student Number]]=C4,1,0)+IF(Table442818[[#This Row],[Session]]=B4,1,0)+IF(Table442818[[#This Row],[Pre or Post]]="Post",1,0)+IF(D4="Pre",1,0)=4,Table442818[[#This Row],[Post Total]]-J4,""),"")</f>
        <v/>
      </c>
      <c r="O5" s="5" t="b">
        <f>ISNUMBER(Table442818[[#This Row],[Change]])</f>
        <v>0</v>
      </c>
    </row>
    <row r="6" spans="1:15">
      <c r="A6" s="2" t="s">
        <v>12</v>
      </c>
      <c r="B6" s="2" t="s">
        <v>5</v>
      </c>
      <c r="C6" s="1">
        <v>5</v>
      </c>
      <c r="D6" s="2" t="s">
        <v>16</v>
      </c>
      <c r="E6" s="1">
        <v>4</v>
      </c>
      <c r="F6" s="1">
        <v>4</v>
      </c>
      <c r="G6" s="2" t="s">
        <v>9</v>
      </c>
      <c r="H6" s="5" t="str">
        <f>IF(IF(Table442818[[#This Row],[Pre or Post]]="Pre",1,0)+IF(ISNUMBER(Table442818[[#This Row],[Response]])=TRUE,1,0)=2,1,"")</f>
        <v/>
      </c>
      <c r="I6" s="5">
        <f>IF(IF(Table442818[[#This Row],[Pre or Post]]="Post",1,0)+IF(ISNUMBER(Table442818[[#This Row],[Response]])=TRUE,1,0)=2,1,"")</f>
        <v>1</v>
      </c>
      <c r="J6" s="5" t="str">
        <f>IF(IF(Table442818[[#This Row],[Pre or Post]]="Pre",1,0)+IF(ISNUMBER(Table442818[[#This Row],[Response]])=TRUE,1,0)=2,Table442818[[#This Row],[Response]],"")</f>
        <v/>
      </c>
      <c r="K6" s="5">
        <f>IF(IF(Table442818[[#This Row],[Pre or Post]]="Post",1,0)+IF(ISNUMBER(Table442818[[#This Row],[Response]])=TRUE,1,0)=2,Table442818[[#This Row],[Response]],"")</f>
        <v>4</v>
      </c>
      <c r="L6" s="5" t="str">
        <f>IF(IF(ISNUMBER(J6),1,0)+IF(ISNUMBER(K7),1,0)=2,IF(IF(C7=C6,1,0)+IF(B7=B6,1,0)+IF(D7="Post",1,0)+IF(D6="Pre",1,0)=4,Table442818[[#This Row],[Pre Total]],""),"")</f>
        <v/>
      </c>
      <c r="M6" s="5" t="str">
        <f>IF(IF(ISNUMBER(J5),1,0)+IF(ISNUMBER(Table442818[[#This Row],[Post Total]]),1,0)=2,IF(IF(Table442818[[#This Row],[Student Number]]=C5,1,0)+IF(Table442818[[#This Row],[Session]]=B5,1,0)+IF(Table442818[[#This Row],[Pre or Post]]="Post",1,0)+IF(D5="Pre",1,0)=4,Table442818[[#This Row],[Post Total]],""),"")</f>
        <v/>
      </c>
      <c r="N6" s="5" t="str">
        <f>IF(IF(ISNUMBER(J5),1,0)+IF(ISNUMBER(Table442818[[#This Row],[Post Total]]),1,0)=2,IF(IF(Table442818[[#This Row],[Student Number]]=C5,1,0)+IF(Table442818[[#This Row],[Session]]=B5,1,0)+IF(Table442818[[#This Row],[Pre or Post]]="Post",1,0)+IF(D5="Pre",1,0)=4,Table442818[[#This Row],[Post Total]]-J5,""),"")</f>
        <v/>
      </c>
      <c r="O6" s="5" t="b">
        <f>ISNUMBER(Table442818[[#This Row],[Change]])</f>
        <v>0</v>
      </c>
    </row>
    <row r="7" spans="1:15">
      <c r="A7" s="2" t="s">
        <v>12</v>
      </c>
      <c r="B7" s="2" t="s">
        <v>5</v>
      </c>
      <c r="C7" s="1">
        <v>6</v>
      </c>
      <c r="D7" s="2" t="s">
        <v>16</v>
      </c>
      <c r="E7" s="1">
        <v>4</v>
      </c>
      <c r="F7" s="1">
        <v>4</v>
      </c>
      <c r="G7" s="2" t="s">
        <v>9</v>
      </c>
      <c r="H7" s="5" t="str">
        <f>IF(IF(Table442818[[#This Row],[Pre or Post]]="Pre",1,0)+IF(ISNUMBER(Table442818[[#This Row],[Response]])=TRUE,1,0)=2,1,"")</f>
        <v/>
      </c>
      <c r="I7" s="5">
        <f>IF(IF(Table442818[[#This Row],[Pre or Post]]="Post",1,0)+IF(ISNUMBER(Table442818[[#This Row],[Response]])=TRUE,1,0)=2,1,"")</f>
        <v>1</v>
      </c>
      <c r="J7" s="5" t="str">
        <f>IF(IF(Table442818[[#This Row],[Pre or Post]]="Pre",1,0)+IF(ISNUMBER(Table442818[[#This Row],[Response]])=TRUE,1,0)=2,Table442818[[#This Row],[Response]],"")</f>
        <v/>
      </c>
      <c r="K7" s="5">
        <f>IF(IF(Table442818[[#This Row],[Pre or Post]]="Post",1,0)+IF(ISNUMBER(Table442818[[#This Row],[Response]])=TRUE,1,0)=2,Table442818[[#This Row],[Response]],"")</f>
        <v>4</v>
      </c>
      <c r="L7" s="5" t="str">
        <f>IF(IF(ISNUMBER(J7),1,0)+IF(ISNUMBER(K8),1,0)=2,IF(IF(C8=C7,1,0)+IF(B8=B7,1,0)+IF(D8="Post",1,0)+IF(D7="Pre",1,0)=4,Table442818[[#This Row],[Pre Total]],""),"")</f>
        <v/>
      </c>
      <c r="M7" s="5" t="str">
        <f>IF(IF(ISNUMBER(J6),1,0)+IF(ISNUMBER(Table442818[[#This Row],[Post Total]]),1,0)=2,IF(IF(Table442818[[#This Row],[Student Number]]=C6,1,0)+IF(Table442818[[#This Row],[Session]]=B6,1,0)+IF(Table442818[[#This Row],[Pre or Post]]="Post",1,0)+IF(D6="Pre",1,0)=4,Table442818[[#This Row],[Post Total]],""),"")</f>
        <v/>
      </c>
      <c r="N7" s="5" t="str">
        <f>IF(IF(ISNUMBER(J6),1,0)+IF(ISNUMBER(Table442818[[#This Row],[Post Total]]),1,0)=2,IF(IF(Table442818[[#This Row],[Student Number]]=C6,1,0)+IF(Table442818[[#This Row],[Session]]=B6,1,0)+IF(Table442818[[#This Row],[Pre or Post]]="Post",1,0)+IF(D6="Pre",1,0)=4,Table442818[[#This Row],[Post Total]]-J6,""),"")</f>
        <v/>
      </c>
      <c r="O7" s="5" t="b">
        <f>ISNUMBER(Table442818[[#This Row],[Change]])</f>
        <v>0</v>
      </c>
    </row>
    <row r="8" spans="1:15">
      <c r="A8" s="2" t="s">
        <v>12</v>
      </c>
      <c r="B8" s="2" t="s">
        <v>5</v>
      </c>
      <c r="C8" s="1">
        <v>7</v>
      </c>
      <c r="D8" s="2" t="s">
        <v>16</v>
      </c>
      <c r="E8" s="1">
        <v>4</v>
      </c>
      <c r="F8" s="1">
        <v>4</v>
      </c>
      <c r="G8" s="2" t="s">
        <v>9</v>
      </c>
      <c r="H8" s="5" t="str">
        <f>IF(IF(Table442818[[#This Row],[Pre or Post]]="Pre",1,0)+IF(ISNUMBER(Table442818[[#This Row],[Response]])=TRUE,1,0)=2,1,"")</f>
        <v/>
      </c>
      <c r="I8" s="5">
        <f>IF(IF(Table442818[[#This Row],[Pre or Post]]="Post",1,0)+IF(ISNUMBER(Table442818[[#This Row],[Response]])=TRUE,1,0)=2,1,"")</f>
        <v>1</v>
      </c>
      <c r="J8" s="5" t="str">
        <f>IF(IF(Table442818[[#This Row],[Pre or Post]]="Pre",1,0)+IF(ISNUMBER(Table442818[[#This Row],[Response]])=TRUE,1,0)=2,Table442818[[#This Row],[Response]],"")</f>
        <v/>
      </c>
      <c r="K8" s="5">
        <f>IF(IF(Table442818[[#This Row],[Pre or Post]]="Post",1,0)+IF(ISNUMBER(Table442818[[#This Row],[Response]])=TRUE,1,0)=2,Table442818[[#This Row],[Response]],"")</f>
        <v>4</v>
      </c>
      <c r="L8" s="5" t="str">
        <f>IF(IF(ISNUMBER(J8),1,0)+IF(ISNUMBER(K9),1,0)=2,IF(IF(C9=C8,1,0)+IF(B9=B8,1,0)+IF(D9="Post",1,0)+IF(D8="Pre",1,0)=4,Table442818[[#This Row],[Pre Total]],""),"")</f>
        <v/>
      </c>
      <c r="M8" s="5" t="str">
        <f>IF(IF(ISNUMBER(J7),1,0)+IF(ISNUMBER(Table442818[[#This Row],[Post Total]]),1,0)=2,IF(IF(Table442818[[#This Row],[Student Number]]=C7,1,0)+IF(Table442818[[#This Row],[Session]]=B7,1,0)+IF(Table442818[[#This Row],[Pre or Post]]="Post",1,0)+IF(D7="Pre",1,0)=4,Table442818[[#This Row],[Post Total]],""),"")</f>
        <v/>
      </c>
      <c r="N8" s="5" t="str">
        <f>IF(IF(ISNUMBER(J7),1,0)+IF(ISNUMBER(Table442818[[#This Row],[Post Total]]),1,0)=2,IF(IF(Table442818[[#This Row],[Student Number]]=C7,1,0)+IF(Table442818[[#This Row],[Session]]=B7,1,0)+IF(Table442818[[#This Row],[Pre or Post]]="Post",1,0)+IF(D7="Pre",1,0)=4,Table442818[[#This Row],[Post Total]]-J7,""),"")</f>
        <v/>
      </c>
      <c r="O8" s="5" t="b">
        <f>ISNUMBER(Table442818[[#This Row],[Change]])</f>
        <v>0</v>
      </c>
    </row>
    <row r="9" spans="1:15">
      <c r="A9" s="2" t="s">
        <v>12</v>
      </c>
      <c r="B9" s="2" t="s">
        <v>5</v>
      </c>
      <c r="C9" s="1">
        <v>8</v>
      </c>
      <c r="D9" s="2" t="s">
        <v>16</v>
      </c>
      <c r="E9" s="1">
        <v>4</v>
      </c>
      <c r="F9" s="1">
        <v>4</v>
      </c>
      <c r="G9" s="2" t="s">
        <v>9</v>
      </c>
      <c r="H9" s="5" t="str">
        <f>IF(IF(Table442818[[#This Row],[Pre or Post]]="Pre",1,0)+IF(ISNUMBER(Table442818[[#This Row],[Response]])=TRUE,1,0)=2,1,"")</f>
        <v/>
      </c>
      <c r="I9" s="5">
        <f>IF(IF(Table442818[[#This Row],[Pre or Post]]="Post",1,0)+IF(ISNUMBER(Table442818[[#This Row],[Response]])=TRUE,1,0)=2,1,"")</f>
        <v>1</v>
      </c>
      <c r="J9" s="5" t="str">
        <f>IF(IF(Table442818[[#This Row],[Pre or Post]]="Pre",1,0)+IF(ISNUMBER(Table442818[[#This Row],[Response]])=TRUE,1,0)=2,Table442818[[#This Row],[Response]],"")</f>
        <v/>
      </c>
      <c r="K9" s="5">
        <f>IF(IF(Table442818[[#This Row],[Pre or Post]]="Post",1,0)+IF(ISNUMBER(Table442818[[#This Row],[Response]])=TRUE,1,0)=2,Table442818[[#This Row],[Response]],"")</f>
        <v>4</v>
      </c>
      <c r="L9" s="5" t="str">
        <f>IF(IF(ISNUMBER(J9),1,0)+IF(ISNUMBER(K10),1,0)=2,IF(IF(C10=C9,1,0)+IF(B10=B9,1,0)+IF(D10="Post",1,0)+IF(D9="Pre",1,0)=4,Table442818[[#This Row],[Pre Total]],""),"")</f>
        <v/>
      </c>
      <c r="M9" s="5" t="str">
        <f>IF(IF(ISNUMBER(J8),1,0)+IF(ISNUMBER(Table442818[[#This Row],[Post Total]]),1,0)=2,IF(IF(Table442818[[#This Row],[Student Number]]=C8,1,0)+IF(Table442818[[#This Row],[Session]]=B8,1,0)+IF(Table442818[[#This Row],[Pre or Post]]="Post",1,0)+IF(D8="Pre",1,0)=4,Table442818[[#This Row],[Post Total]],""),"")</f>
        <v/>
      </c>
      <c r="N9" s="5" t="str">
        <f>IF(IF(ISNUMBER(J8),1,0)+IF(ISNUMBER(Table442818[[#This Row],[Post Total]]),1,0)=2,IF(IF(Table442818[[#This Row],[Student Number]]=C8,1,0)+IF(Table442818[[#This Row],[Session]]=B8,1,0)+IF(Table442818[[#This Row],[Pre or Post]]="Post",1,0)+IF(D8="Pre",1,0)=4,Table442818[[#This Row],[Post Total]]-J8,""),"")</f>
        <v/>
      </c>
      <c r="O9" s="5" t="b">
        <f>ISNUMBER(Table442818[[#This Row],[Change]])</f>
        <v>0</v>
      </c>
    </row>
    <row r="10" spans="1:15">
      <c r="A10" s="2" t="s">
        <v>12</v>
      </c>
      <c r="B10" s="2" t="s">
        <v>5</v>
      </c>
      <c r="C10" s="1">
        <v>9</v>
      </c>
      <c r="D10" s="2" t="s">
        <v>16</v>
      </c>
      <c r="E10" s="1">
        <v>4</v>
      </c>
      <c r="F10" s="1">
        <v>4</v>
      </c>
      <c r="G10" s="2" t="s">
        <v>9</v>
      </c>
      <c r="H10" s="5" t="str">
        <f>IF(IF(Table442818[[#This Row],[Pre or Post]]="Pre",1,0)+IF(ISNUMBER(Table442818[[#This Row],[Response]])=TRUE,1,0)=2,1,"")</f>
        <v/>
      </c>
      <c r="I10" s="5">
        <f>IF(IF(Table442818[[#This Row],[Pre or Post]]="Post",1,0)+IF(ISNUMBER(Table442818[[#This Row],[Response]])=TRUE,1,0)=2,1,"")</f>
        <v>1</v>
      </c>
      <c r="J10" s="5" t="str">
        <f>IF(IF(Table442818[[#This Row],[Pre or Post]]="Pre",1,0)+IF(ISNUMBER(Table442818[[#This Row],[Response]])=TRUE,1,0)=2,Table442818[[#This Row],[Response]],"")</f>
        <v/>
      </c>
      <c r="K10" s="5">
        <f>IF(IF(Table442818[[#This Row],[Pre or Post]]="Post",1,0)+IF(ISNUMBER(Table442818[[#This Row],[Response]])=TRUE,1,0)=2,Table442818[[#This Row],[Response]],"")</f>
        <v>4</v>
      </c>
      <c r="L10" s="5" t="str">
        <f>IF(IF(ISNUMBER(J10),1,0)+IF(ISNUMBER(K11),1,0)=2,IF(IF(C11=C10,1,0)+IF(B11=B10,1,0)+IF(D11="Post",1,0)+IF(D10="Pre",1,0)=4,Table442818[[#This Row],[Pre Total]],""),"")</f>
        <v/>
      </c>
      <c r="M10" s="5" t="str">
        <f>IF(IF(ISNUMBER(J9),1,0)+IF(ISNUMBER(Table442818[[#This Row],[Post Total]]),1,0)=2,IF(IF(Table442818[[#This Row],[Student Number]]=C9,1,0)+IF(Table442818[[#This Row],[Session]]=B9,1,0)+IF(Table442818[[#This Row],[Pre or Post]]="Post",1,0)+IF(D9="Pre",1,0)=4,Table442818[[#This Row],[Post Total]],""),"")</f>
        <v/>
      </c>
      <c r="N10" s="5" t="str">
        <f>IF(IF(ISNUMBER(J9),1,0)+IF(ISNUMBER(Table442818[[#This Row],[Post Total]]),1,0)=2,IF(IF(Table442818[[#This Row],[Student Number]]=C9,1,0)+IF(Table442818[[#This Row],[Session]]=B9,1,0)+IF(Table442818[[#This Row],[Pre or Post]]="Post",1,0)+IF(D9="Pre",1,0)=4,Table442818[[#This Row],[Post Total]]-J9,""),"")</f>
        <v/>
      </c>
      <c r="O10" s="5" t="b">
        <f>ISNUMBER(Table442818[[#This Row],[Change]])</f>
        <v>0</v>
      </c>
    </row>
    <row r="11" spans="1:15">
      <c r="A11" s="2" t="s">
        <v>12</v>
      </c>
      <c r="B11" s="2" t="s">
        <v>5</v>
      </c>
      <c r="C11" s="1">
        <v>10</v>
      </c>
      <c r="D11" s="2" t="s">
        <v>16</v>
      </c>
      <c r="E11" s="1">
        <v>4</v>
      </c>
      <c r="F11" s="1">
        <v>5</v>
      </c>
      <c r="G11" s="2" t="s">
        <v>9</v>
      </c>
      <c r="H11" s="5" t="str">
        <f>IF(IF(Table442818[[#This Row],[Pre or Post]]="Pre",1,0)+IF(ISNUMBER(Table442818[[#This Row],[Response]])=TRUE,1,0)=2,1,"")</f>
        <v/>
      </c>
      <c r="I11" s="5">
        <f>IF(IF(Table442818[[#This Row],[Pre or Post]]="Post",1,0)+IF(ISNUMBER(Table442818[[#This Row],[Response]])=TRUE,1,0)=2,1,"")</f>
        <v>1</v>
      </c>
      <c r="J11" s="5" t="str">
        <f>IF(IF(Table442818[[#This Row],[Pre or Post]]="Pre",1,0)+IF(ISNUMBER(Table442818[[#This Row],[Response]])=TRUE,1,0)=2,Table442818[[#This Row],[Response]],"")</f>
        <v/>
      </c>
      <c r="K11" s="5">
        <f>IF(IF(Table442818[[#This Row],[Pre or Post]]="Post",1,0)+IF(ISNUMBER(Table442818[[#This Row],[Response]])=TRUE,1,0)=2,Table442818[[#This Row],[Response]],"")</f>
        <v>5</v>
      </c>
      <c r="L11" s="5" t="str">
        <f>IF(IF(ISNUMBER(J11),1,0)+IF(ISNUMBER(K12),1,0)=2,IF(IF(C12=C11,1,0)+IF(B12=B11,1,0)+IF(D12="Post",1,0)+IF(D11="Pre",1,0)=4,Table442818[[#This Row],[Pre Total]],""),"")</f>
        <v/>
      </c>
      <c r="M11" s="5" t="str">
        <f>IF(IF(ISNUMBER(J10),1,0)+IF(ISNUMBER(Table442818[[#This Row],[Post Total]]),1,0)=2,IF(IF(Table442818[[#This Row],[Student Number]]=C10,1,0)+IF(Table442818[[#This Row],[Session]]=B10,1,0)+IF(Table442818[[#This Row],[Pre or Post]]="Post",1,0)+IF(D10="Pre",1,0)=4,Table442818[[#This Row],[Post Total]],""),"")</f>
        <v/>
      </c>
      <c r="N11" s="5" t="str">
        <f>IF(IF(ISNUMBER(J10),1,0)+IF(ISNUMBER(Table442818[[#This Row],[Post Total]]),1,0)=2,IF(IF(Table442818[[#This Row],[Student Number]]=C10,1,0)+IF(Table442818[[#This Row],[Session]]=B10,1,0)+IF(Table442818[[#This Row],[Pre or Post]]="Post",1,0)+IF(D10="Pre",1,0)=4,Table442818[[#This Row],[Post Total]]-J10,""),"")</f>
        <v/>
      </c>
      <c r="O11" s="5" t="b">
        <f>ISNUMBER(Table442818[[#This Row],[Change]])</f>
        <v>0</v>
      </c>
    </row>
    <row r="12" spans="1:15">
      <c r="A12" s="2" t="s">
        <v>12</v>
      </c>
      <c r="B12" s="2" t="s">
        <v>5</v>
      </c>
      <c r="C12" s="1">
        <v>11</v>
      </c>
      <c r="D12" s="2" t="s">
        <v>16</v>
      </c>
      <c r="E12" s="1">
        <v>4</v>
      </c>
      <c r="F12" s="1">
        <v>4</v>
      </c>
      <c r="G12" s="2" t="s">
        <v>9</v>
      </c>
      <c r="H12" s="5" t="str">
        <f>IF(IF(Table442818[[#This Row],[Pre or Post]]="Pre",1,0)+IF(ISNUMBER(Table442818[[#This Row],[Response]])=TRUE,1,0)=2,1,"")</f>
        <v/>
      </c>
      <c r="I12" s="5">
        <f>IF(IF(Table442818[[#This Row],[Pre or Post]]="Post",1,0)+IF(ISNUMBER(Table442818[[#This Row],[Response]])=TRUE,1,0)=2,1,"")</f>
        <v>1</v>
      </c>
      <c r="J12" s="5" t="str">
        <f>IF(IF(Table442818[[#This Row],[Pre or Post]]="Pre",1,0)+IF(ISNUMBER(Table442818[[#This Row],[Response]])=TRUE,1,0)=2,Table442818[[#This Row],[Response]],"")</f>
        <v/>
      </c>
      <c r="K12" s="5">
        <f>IF(IF(Table442818[[#This Row],[Pre or Post]]="Post",1,0)+IF(ISNUMBER(Table442818[[#This Row],[Response]])=TRUE,1,0)=2,Table442818[[#This Row],[Response]],"")</f>
        <v>4</v>
      </c>
      <c r="L12" s="5" t="str">
        <f>IF(IF(ISNUMBER(J12),1,0)+IF(ISNUMBER(K13),1,0)=2,IF(IF(C13=C12,1,0)+IF(B13=B12,1,0)+IF(D13="Post",1,0)+IF(D12="Pre",1,0)=4,Table442818[[#This Row],[Pre Total]],""),"")</f>
        <v/>
      </c>
      <c r="M12" s="5" t="str">
        <f>IF(IF(ISNUMBER(J11),1,0)+IF(ISNUMBER(Table442818[[#This Row],[Post Total]]),1,0)=2,IF(IF(Table442818[[#This Row],[Student Number]]=C11,1,0)+IF(Table442818[[#This Row],[Session]]=B11,1,0)+IF(Table442818[[#This Row],[Pre or Post]]="Post",1,0)+IF(D11="Pre",1,0)=4,Table442818[[#This Row],[Post Total]],""),"")</f>
        <v/>
      </c>
      <c r="N12" s="5" t="str">
        <f>IF(IF(ISNUMBER(J11),1,0)+IF(ISNUMBER(Table442818[[#This Row],[Post Total]]),1,0)=2,IF(IF(Table442818[[#This Row],[Student Number]]=C11,1,0)+IF(Table442818[[#This Row],[Session]]=B11,1,0)+IF(Table442818[[#This Row],[Pre or Post]]="Post",1,0)+IF(D11="Pre",1,0)=4,Table442818[[#This Row],[Post Total]]-J11,""),"")</f>
        <v/>
      </c>
      <c r="O12" s="5" t="b">
        <f>ISNUMBER(Table442818[[#This Row],[Change]])</f>
        <v>0</v>
      </c>
    </row>
    <row r="13" spans="1:15">
      <c r="A13" s="2" t="s">
        <v>12</v>
      </c>
      <c r="B13" s="2" t="s">
        <v>5</v>
      </c>
      <c r="C13" s="1">
        <v>12</v>
      </c>
      <c r="D13" s="2" t="s">
        <v>16</v>
      </c>
      <c r="E13" s="1">
        <v>4</v>
      </c>
      <c r="F13" s="1">
        <v>3</v>
      </c>
      <c r="G13" s="2" t="s">
        <v>9</v>
      </c>
      <c r="H13" s="5" t="str">
        <f>IF(IF(Table442818[[#This Row],[Pre or Post]]="Pre",1,0)+IF(ISNUMBER(Table442818[[#This Row],[Response]])=TRUE,1,0)=2,1,"")</f>
        <v/>
      </c>
      <c r="I13" s="5">
        <f>IF(IF(Table442818[[#This Row],[Pre or Post]]="Post",1,0)+IF(ISNUMBER(Table442818[[#This Row],[Response]])=TRUE,1,0)=2,1,"")</f>
        <v>1</v>
      </c>
      <c r="J13" s="5" t="str">
        <f>IF(IF(Table442818[[#This Row],[Pre or Post]]="Pre",1,0)+IF(ISNUMBER(Table442818[[#This Row],[Response]])=TRUE,1,0)=2,Table442818[[#This Row],[Response]],"")</f>
        <v/>
      </c>
      <c r="K13" s="5">
        <f>IF(IF(Table442818[[#This Row],[Pre or Post]]="Post",1,0)+IF(ISNUMBER(Table442818[[#This Row],[Response]])=TRUE,1,0)=2,Table442818[[#This Row],[Response]],"")</f>
        <v>3</v>
      </c>
      <c r="L13" s="5" t="str">
        <f>IF(IF(ISNUMBER(J13),1,0)+IF(ISNUMBER(K14),1,0)=2,IF(IF(C14=C13,1,0)+IF(B14=B13,1,0)+IF(D14="Post",1,0)+IF(D13="Pre",1,0)=4,Table442818[[#This Row],[Pre Total]],""),"")</f>
        <v/>
      </c>
      <c r="M13" s="5" t="str">
        <f>IF(IF(ISNUMBER(J12),1,0)+IF(ISNUMBER(Table442818[[#This Row],[Post Total]]),1,0)=2,IF(IF(Table442818[[#This Row],[Student Number]]=C12,1,0)+IF(Table442818[[#This Row],[Session]]=B12,1,0)+IF(Table442818[[#This Row],[Pre or Post]]="Post",1,0)+IF(D12="Pre",1,0)=4,Table442818[[#This Row],[Post Total]],""),"")</f>
        <v/>
      </c>
      <c r="N13" s="5" t="str">
        <f>IF(IF(ISNUMBER(J12),1,0)+IF(ISNUMBER(Table442818[[#This Row],[Post Total]]),1,0)=2,IF(IF(Table442818[[#This Row],[Student Number]]=C12,1,0)+IF(Table442818[[#This Row],[Session]]=B12,1,0)+IF(Table442818[[#This Row],[Pre or Post]]="Post",1,0)+IF(D12="Pre",1,0)=4,Table442818[[#This Row],[Post Total]]-J12,""),"")</f>
        <v/>
      </c>
      <c r="O13" s="5" t="b">
        <f>ISNUMBER(Table442818[[#This Row],[Change]])</f>
        <v>0</v>
      </c>
    </row>
    <row r="14" spans="1:15">
      <c r="A14" s="2" t="s">
        <v>12</v>
      </c>
      <c r="B14" s="2" t="s">
        <v>5</v>
      </c>
      <c r="C14" s="1">
        <v>13</v>
      </c>
      <c r="D14" s="2" t="s">
        <v>16</v>
      </c>
      <c r="E14" s="1">
        <v>4</v>
      </c>
      <c r="F14" s="1">
        <v>2</v>
      </c>
      <c r="G14" s="2" t="s">
        <v>9</v>
      </c>
      <c r="H14" s="5" t="str">
        <f>IF(IF(Table442818[[#This Row],[Pre or Post]]="Pre",1,0)+IF(ISNUMBER(Table442818[[#This Row],[Response]])=TRUE,1,0)=2,1,"")</f>
        <v/>
      </c>
      <c r="I14" s="5">
        <f>IF(IF(Table442818[[#This Row],[Pre or Post]]="Post",1,0)+IF(ISNUMBER(Table442818[[#This Row],[Response]])=TRUE,1,0)=2,1,"")</f>
        <v>1</v>
      </c>
      <c r="J14" s="5" t="str">
        <f>IF(IF(Table442818[[#This Row],[Pre or Post]]="Pre",1,0)+IF(ISNUMBER(Table442818[[#This Row],[Response]])=TRUE,1,0)=2,Table442818[[#This Row],[Response]],"")</f>
        <v/>
      </c>
      <c r="K14" s="5">
        <f>IF(IF(Table442818[[#This Row],[Pre or Post]]="Post",1,0)+IF(ISNUMBER(Table442818[[#This Row],[Response]])=TRUE,1,0)=2,Table442818[[#This Row],[Response]],"")</f>
        <v>2</v>
      </c>
      <c r="L14" s="5" t="str">
        <f>IF(IF(ISNUMBER(J14),1,0)+IF(ISNUMBER(K15),1,0)=2,IF(IF(C15=C14,1,0)+IF(B15=B14,1,0)+IF(D15="Post",1,0)+IF(D14="Pre",1,0)=4,Table442818[[#This Row],[Pre Total]],""),"")</f>
        <v/>
      </c>
      <c r="M14" s="5" t="str">
        <f>IF(IF(ISNUMBER(J13),1,0)+IF(ISNUMBER(Table442818[[#This Row],[Post Total]]),1,0)=2,IF(IF(Table442818[[#This Row],[Student Number]]=C13,1,0)+IF(Table442818[[#This Row],[Session]]=B13,1,0)+IF(Table442818[[#This Row],[Pre or Post]]="Post",1,0)+IF(D13="Pre",1,0)=4,Table442818[[#This Row],[Post Total]],""),"")</f>
        <v/>
      </c>
      <c r="N14" s="5" t="str">
        <f>IF(IF(ISNUMBER(J13),1,0)+IF(ISNUMBER(Table442818[[#This Row],[Post Total]]),1,0)=2,IF(IF(Table442818[[#This Row],[Student Number]]=C13,1,0)+IF(Table442818[[#This Row],[Session]]=B13,1,0)+IF(Table442818[[#This Row],[Pre or Post]]="Post",1,0)+IF(D13="Pre",1,0)=4,Table442818[[#This Row],[Post Total]]-J13,""),"")</f>
        <v/>
      </c>
      <c r="O14" s="5" t="b">
        <f>ISNUMBER(Table442818[[#This Row],[Change]])</f>
        <v>0</v>
      </c>
    </row>
    <row r="15" spans="1:15">
      <c r="A15" s="2" t="s">
        <v>12</v>
      </c>
      <c r="B15" s="2" t="s">
        <v>5</v>
      </c>
      <c r="C15" s="1">
        <v>14</v>
      </c>
      <c r="D15" s="2" t="s">
        <v>16</v>
      </c>
      <c r="E15" s="1">
        <v>4</v>
      </c>
      <c r="F15" s="1">
        <v>3</v>
      </c>
      <c r="G15" s="2" t="s">
        <v>9</v>
      </c>
      <c r="H15" s="5" t="str">
        <f>IF(IF(Table442818[[#This Row],[Pre or Post]]="Pre",1,0)+IF(ISNUMBER(Table442818[[#This Row],[Response]])=TRUE,1,0)=2,1,"")</f>
        <v/>
      </c>
      <c r="I15" s="5">
        <f>IF(IF(Table442818[[#This Row],[Pre or Post]]="Post",1,0)+IF(ISNUMBER(Table442818[[#This Row],[Response]])=TRUE,1,0)=2,1,"")</f>
        <v>1</v>
      </c>
      <c r="J15" s="5" t="str">
        <f>IF(IF(Table442818[[#This Row],[Pre or Post]]="Pre",1,0)+IF(ISNUMBER(Table442818[[#This Row],[Response]])=TRUE,1,0)=2,Table442818[[#This Row],[Response]],"")</f>
        <v/>
      </c>
      <c r="K15" s="5">
        <f>IF(IF(Table442818[[#This Row],[Pre or Post]]="Post",1,0)+IF(ISNUMBER(Table442818[[#This Row],[Response]])=TRUE,1,0)=2,Table442818[[#This Row],[Response]],"")</f>
        <v>3</v>
      </c>
      <c r="L15" s="5" t="str">
        <f>IF(IF(ISNUMBER(J15),1,0)+IF(ISNUMBER(K16),1,0)=2,IF(IF(C16=C15,1,0)+IF(B16=B15,1,0)+IF(D16="Post",1,0)+IF(D15="Pre",1,0)=4,Table442818[[#This Row],[Pre Total]],""),"")</f>
        <v/>
      </c>
      <c r="M15" s="5" t="str">
        <f>IF(IF(ISNUMBER(J14),1,0)+IF(ISNUMBER(Table442818[[#This Row],[Post Total]]),1,0)=2,IF(IF(Table442818[[#This Row],[Student Number]]=C14,1,0)+IF(Table442818[[#This Row],[Session]]=B14,1,0)+IF(Table442818[[#This Row],[Pre or Post]]="Post",1,0)+IF(D14="Pre",1,0)=4,Table442818[[#This Row],[Post Total]],""),"")</f>
        <v/>
      </c>
      <c r="N15" s="5" t="str">
        <f>IF(IF(ISNUMBER(J14),1,0)+IF(ISNUMBER(Table442818[[#This Row],[Post Total]]),1,0)=2,IF(IF(Table442818[[#This Row],[Student Number]]=C14,1,0)+IF(Table442818[[#This Row],[Session]]=B14,1,0)+IF(Table442818[[#This Row],[Pre or Post]]="Post",1,0)+IF(D14="Pre",1,0)=4,Table442818[[#This Row],[Post Total]]-J14,""),"")</f>
        <v/>
      </c>
      <c r="O15" s="5" t="b">
        <f>ISNUMBER(Table442818[[#This Row],[Change]])</f>
        <v>0</v>
      </c>
    </row>
    <row r="16" spans="1:15">
      <c r="A16" s="2" t="s">
        <v>12</v>
      </c>
      <c r="B16" s="2" t="s">
        <v>5</v>
      </c>
      <c r="C16" s="1">
        <v>15</v>
      </c>
      <c r="D16" s="2" t="s">
        <v>16</v>
      </c>
      <c r="E16" s="1">
        <v>4</v>
      </c>
      <c r="F16" s="1">
        <v>3</v>
      </c>
      <c r="G16" s="2" t="s">
        <v>9</v>
      </c>
      <c r="H16" s="5" t="str">
        <f>IF(IF(Table442818[[#This Row],[Pre or Post]]="Pre",1,0)+IF(ISNUMBER(Table442818[[#This Row],[Response]])=TRUE,1,0)=2,1,"")</f>
        <v/>
      </c>
      <c r="I16" s="5">
        <f>IF(IF(Table442818[[#This Row],[Pre or Post]]="Post",1,0)+IF(ISNUMBER(Table442818[[#This Row],[Response]])=TRUE,1,0)=2,1,"")</f>
        <v>1</v>
      </c>
      <c r="J16" s="5" t="str">
        <f>IF(IF(Table442818[[#This Row],[Pre or Post]]="Pre",1,0)+IF(ISNUMBER(Table442818[[#This Row],[Response]])=TRUE,1,0)=2,Table442818[[#This Row],[Response]],"")</f>
        <v/>
      </c>
      <c r="K16" s="5">
        <f>IF(IF(Table442818[[#This Row],[Pre or Post]]="Post",1,0)+IF(ISNUMBER(Table442818[[#This Row],[Response]])=TRUE,1,0)=2,Table442818[[#This Row],[Response]],"")</f>
        <v>3</v>
      </c>
      <c r="L16" s="5" t="str">
        <f>IF(IF(ISNUMBER(J16),1,0)+IF(ISNUMBER(K17),1,0)=2,IF(IF(C17=C16,1,0)+IF(B17=B16,1,0)+IF(D17="Post",1,0)+IF(D16="Pre",1,0)=4,Table442818[[#This Row],[Pre Total]],""),"")</f>
        <v/>
      </c>
      <c r="M16" s="5" t="str">
        <f>IF(IF(ISNUMBER(J15),1,0)+IF(ISNUMBER(Table442818[[#This Row],[Post Total]]),1,0)=2,IF(IF(Table442818[[#This Row],[Student Number]]=C15,1,0)+IF(Table442818[[#This Row],[Session]]=B15,1,0)+IF(Table442818[[#This Row],[Pre or Post]]="Post",1,0)+IF(D15="Pre",1,0)=4,Table442818[[#This Row],[Post Total]],""),"")</f>
        <v/>
      </c>
      <c r="N16" s="5" t="str">
        <f>IF(IF(ISNUMBER(J15),1,0)+IF(ISNUMBER(Table442818[[#This Row],[Post Total]]),1,0)=2,IF(IF(Table442818[[#This Row],[Student Number]]=C15,1,0)+IF(Table442818[[#This Row],[Session]]=B15,1,0)+IF(Table442818[[#This Row],[Pre or Post]]="Post",1,0)+IF(D15="Pre",1,0)=4,Table442818[[#This Row],[Post Total]]-J15,""),"")</f>
        <v/>
      </c>
      <c r="O16" s="5" t="b">
        <f>ISNUMBER(Table442818[[#This Row],[Change]])</f>
        <v>0</v>
      </c>
    </row>
    <row r="17" spans="1:15">
      <c r="A17" s="2" t="s">
        <v>12</v>
      </c>
      <c r="B17" s="2" t="s">
        <v>5</v>
      </c>
      <c r="C17" s="1">
        <v>16</v>
      </c>
      <c r="D17" s="2" t="s">
        <v>16</v>
      </c>
      <c r="E17" s="1">
        <v>4</v>
      </c>
      <c r="F17" s="1">
        <v>3</v>
      </c>
      <c r="G17" s="2" t="s">
        <v>9</v>
      </c>
      <c r="H17" s="5" t="str">
        <f>IF(IF(Table442818[[#This Row],[Pre or Post]]="Pre",1,0)+IF(ISNUMBER(Table442818[[#This Row],[Response]])=TRUE,1,0)=2,1,"")</f>
        <v/>
      </c>
      <c r="I17" s="5">
        <f>IF(IF(Table442818[[#This Row],[Pre or Post]]="Post",1,0)+IF(ISNUMBER(Table442818[[#This Row],[Response]])=TRUE,1,0)=2,1,"")</f>
        <v>1</v>
      </c>
      <c r="J17" s="5" t="str">
        <f>IF(IF(Table442818[[#This Row],[Pre or Post]]="Pre",1,0)+IF(ISNUMBER(Table442818[[#This Row],[Response]])=TRUE,1,0)=2,Table442818[[#This Row],[Response]],"")</f>
        <v/>
      </c>
      <c r="K17" s="5">
        <f>IF(IF(Table442818[[#This Row],[Pre or Post]]="Post",1,0)+IF(ISNUMBER(Table442818[[#This Row],[Response]])=TRUE,1,0)=2,Table442818[[#This Row],[Response]],"")</f>
        <v>3</v>
      </c>
      <c r="L17" s="5" t="str">
        <f>IF(IF(ISNUMBER(J17),1,0)+IF(ISNUMBER(K18),1,0)=2,IF(IF(C18=C17,1,0)+IF(B18=B17,1,0)+IF(D18="Post",1,0)+IF(D17="Pre",1,0)=4,Table442818[[#This Row],[Pre Total]],""),"")</f>
        <v/>
      </c>
      <c r="M17" s="5" t="str">
        <f>IF(IF(ISNUMBER(J16),1,0)+IF(ISNUMBER(Table442818[[#This Row],[Post Total]]),1,0)=2,IF(IF(Table442818[[#This Row],[Student Number]]=C16,1,0)+IF(Table442818[[#This Row],[Session]]=B16,1,0)+IF(Table442818[[#This Row],[Pre or Post]]="Post",1,0)+IF(D16="Pre",1,0)=4,Table442818[[#This Row],[Post Total]],""),"")</f>
        <v/>
      </c>
      <c r="N17" s="5" t="str">
        <f>IF(IF(ISNUMBER(J16),1,0)+IF(ISNUMBER(Table442818[[#This Row],[Post Total]]),1,0)=2,IF(IF(Table442818[[#This Row],[Student Number]]=C16,1,0)+IF(Table442818[[#This Row],[Session]]=B16,1,0)+IF(Table442818[[#This Row],[Pre or Post]]="Post",1,0)+IF(D16="Pre",1,0)=4,Table442818[[#This Row],[Post Total]]-J16,""),"")</f>
        <v/>
      </c>
      <c r="O17" s="5" t="b">
        <f>ISNUMBER(Table442818[[#This Row],[Change]])</f>
        <v>0</v>
      </c>
    </row>
    <row r="18" spans="1:15">
      <c r="A18" s="2" t="s">
        <v>12</v>
      </c>
      <c r="B18" s="2" t="s">
        <v>5</v>
      </c>
      <c r="C18" s="1">
        <v>17</v>
      </c>
      <c r="D18" s="2" t="s">
        <v>16</v>
      </c>
      <c r="E18" s="1">
        <v>4</v>
      </c>
      <c r="F18" s="1">
        <v>1</v>
      </c>
      <c r="G18" s="2" t="s">
        <v>9</v>
      </c>
      <c r="H18" s="5" t="str">
        <f>IF(IF(Table442818[[#This Row],[Pre or Post]]="Pre",1,0)+IF(ISNUMBER(Table442818[[#This Row],[Response]])=TRUE,1,0)=2,1,"")</f>
        <v/>
      </c>
      <c r="I18" s="5">
        <f>IF(IF(Table442818[[#This Row],[Pre or Post]]="Post",1,0)+IF(ISNUMBER(Table442818[[#This Row],[Response]])=TRUE,1,0)=2,1,"")</f>
        <v>1</v>
      </c>
      <c r="J18" s="5" t="str">
        <f>IF(IF(Table442818[[#This Row],[Pre or Post]]="Pre",1,0)+IF(ISNUMBER(Table442818[[#This Row],[Response]])=TRUE,1,0)=2,Table442818[[#This Row],[Response]],"")</f>
        <v/>
      </c>
      <c r="K18" s="5">
        <f>IF(IF(Table442818[[#This Row],[Pre or Post]]="Post",1,0)+IF(ISNUMBER(Table442818[[#This Row],[Response]])=TRUE,1,0)=2,Table442818[[#This Row],[Response]],"")</f>
        <v>1</v>
      </c>
      <c r="L18" s="5" t="str">
        <f>IF(IF(ISNUMBER(J18),1,0)+IF(ISNUMBER(K19),1,0)=2,IF(IF(C19=C18,1,0)+IF(B19=B18,1,0)+IF(D19="Post",1,0)+IF(D18="Pre",1,0)=4,Table442818[[#This Row],[Pre Total]],""),"")</f>
        <v/>
      </c>
      <c r="M18" s="5" t="str">
        <f>IF(IF(ISNUMBER(J17),1,0)+IF(ISNUMBER(Table442818[[#This Row],[Post Total]]),1,0)=2,IF(IF(Table442818[[#This Row],[Student Number]]=C17,1,0)+IF(Table442818[[#This Row],[Session]]=B17,1,0)+IF(Table442818[[#This Row],[Pre or Post]]="Post",1,0)+IF(D17="Pre",1,0)=4,Table442818[[#This Row],[Post Total]],""),"")</f>
        <v/>
      </c>
      <c r="N18" s="5" t="str">
        <f>IF(IF(ISNUMBER(J17),1,0)+IF(ISNUMBER(Table442818[[#This Row],[Post Total]]),1,0)=2,IF(IF(Table442818[[#This Row],[Student Number]]=C17,1,0)+IF(Table442818[[#This Row],[Session]]=B17,1,0)+IF(Table442818[[#This Row],[Pre or Post]]="Post",1,0)+IF(D17="Pre",1,0)=4,Table442818[[#This Row],[Post Total]]-J17,""),"")</f>
        <v/>
      </c>
      <c r="O18" s="5" t="b">
        <f>ISNUMBER(Table442818[[#This Row],[Change]])</f>
        <v>0</v>
      </c>
    </row>
    <row r="19" spans="1:15">
      <c r="A19" s="2" t="s">
        <v>12</v>
      </c>
      <c r="B19" s="2" t="s">
        <v>5</v>
      </c>
      <c r="C19" s="1">
        <v>18</v>
      </c>
      <c r="D19" s="2" t="s">
        <v>16</v>
      </c>
      <c r="E19" s="1">
        <v>4</v>
      </c>
      <c r="F19" s="1">
        <v>3</v>
      </c>
      <c r="G19" s="2" t="s">
        <v>9</v>
      </c>
      <c r="H19" s="5" t="str">
        <f>IF(IF(Table442818[[#This Row],[Pre or Post]]="Pre",1,0)+IF(ISNUMBER(Table442818[[#This Row],[Response]])=TRUE,1,0)=2,1,"")</f>
        <v/>
      </c>
      <c r="I19" s="5">
        <f>IF(IF(Table442818[[#This Row],[Pre or Post]]="Post",1,0)+IF(ISNUMBER(Table442818[[#This Row],[Response]])=TRUE,1,0)=2,1,"")</f>
        <v>1</v>
      </c>
      <c r="J19" s="5" t="str">
        <f>IF(IF(Table442818[[#This Row],[Pre or Post]]="Pre",1,0)+IF(ISNUMBER(Table442818[[#This Row],[Response]])=TRUE,1,0)=2,Table442818[[#This Row],[Response]],"")</f>
        <v/>
      </c>
      <c r="K19" s="5">
        <f>IF(IF(Table442818[[#This Row],[Pre or Post]]="Post",1,0)+IF(ISNUMBER(Table442818[[#This Row],[Response]])=TRUE,1,0)=2,Table442818[[#This Row],[Response]],"")</f>
        <v>3</v>
      </c>
      <c r="L19" s="5" t="str">
        <f>IF(IF(ISNUMBER(J19),1,0)+IF(ISNUMBER(K20),1,0)=2,IF(IF(C20=C19,1,0)+IF(B20=B19,1,0)+IF(D20="Post",1,0)+IF(D19="Pre",1,0)=4,Table442818[[#This Row],[Pre Total]],""),"")</f>
        <v/>
      </c>
      <c r="M19" s="5" t="str">
        <f>IF(IF(ISNUMBER(J18),1,0)+IF(ISNUMBER(Table442818[[#This Row],[Post Total]]),1,0)=2,IF(IF(Table442818[[#This Row],[Student Number]]=C18,1,0)+IF(Table442818[[#This Row],[Session]]=B18,1,0)+IF(Table442818[[#This Row],[Pre or Post]]="Post",1,0)+IF(D18="Pre",1,0)=4,Table442818[[#This Row],[Post Total]],""),"")</f>
        <v/>
      </c>
      <c r="N19" s="5" t="str">
        <f>IF(IF(ISNUMBER(J18),1,0)+IF(ISNUMBER(Table442818[[#This Row],[Post Total]]),1,0)=2,IF(IF(Table442818[[#This Row],[Student Number]]=C18,1,0)+IF(Table442818[[#This Row],[Session]]=B18,1,0)+IF(Table442818[[#This Row],[Pre or Post]]="Post",1,0)+IF(D18="Pre",1,0)=4,Table442818[[#This Row],[Post Total]]-J18,""),"")</f>
        <v/>
      </c>
      <c r="O19" s="5" t="b">
        <f>ISNUMBER(Table442818[[#This Row],[Change]])</f>
        <v>0</v>
      </c>
    </row>
    <row r="20" spans="1:15">
      <c r="A20" s="2" t="s">
        <v>12</v>
      </c>
      <c r="B20" s="2" t="s">
        <v>5</v>
      </c>
      <c r="C20" s="2">
        <v>19</v>
      </c>
      <c r="D20" s="2" t="s">
        <v>16</v>
      </c>
      <c r="E20" s="1">
        <v>4</v>
      </c>
      <c r="F20" s="2">
        <v>3</v>
      </c>
      <c r="G20" s="2" t="s">
        <v>9</v>
      </c>
      <c r="H20" s="5" t="str">
        <f>IF(IF(Table442818[[#This Row],[Pre or Post]]="Pre",1,0)+IF(ISNUMBER(Table442818[[#This Row],[Response]])=TRUE,1,0)=2,1,"")</f>
        <v/>
      </c>
      <c r="I20" s="5">
        <f>IF(IF(Table442818[[#This Row],[Pre or Post]]="Post",1,0)+IF(ISNUMBER(Table442818[[#This Row],[Response]])=TRUE,1,0)=2,1,"")</f>
        <v>1</v>
      </c>
      <c r="J20" s="5" t="str">
        <f>IF(IF(Table442818[[#This Row],[Pre or Post]]="Pre",1,0)+IF(ISNUMBER(Table442818[[#This Row],[Response]])=TRUE,1,0)=2,Table442818[[#This Row],[Response]],"")</f>
        <v/>
      </c>
      <c r="K20" s="5">
        <f>IF(IF(Table442818[[#This Row],[Pre or Post]]="Post",1,0)+IF(ISNUMBER(Table442818[[#This Row],[Response]])=TRUE,1,0)=2,Table442818[[#This Row],[Response]],"")</f>
        <v>3</v>
      </c>
      <c r="L20" s="5" t="str">
        <f>IF(IF(ISNUMBER(J20),1,0)+IF(ISNUMBER(K21),1,0)=2,IF(IF(C21=C20,1,0)+IF(B21=B20,1,0)+IF(D21="Post",1,0)+IF(D20="Pre",1,0)=4,Table442818[[#This Row],[Pre Total]],""),"")</f>
        <v/>
      </c>
      <c r="M20" s="5" t="str">
        <f>IF(IF(ISNUMBER(J19),1,0)+IF(ISNUMBER(Table442818[[#This Row],[Post Total]]),1,0)=2,IF(IF(Table442818[[#This Row],[Student Number]]=C19,1,0)+IF(Table442818[[#This Row],[Session]]=B19,1,0)+IF(Table442818[[#This Row],[Pre or Post]]="Post",1,0)+IF(D19="Pre",1,0)=4,Table442818[[#This Row],[Post Total]],""),"")</f>
        <v/>
      </c>
      <c r="N20" s="5" t="str">
        <f>IF(IF(ISNUMBER(J19),1,0)+IF(ISNUMBER(Table442818[[#This Row],[Post Total]]),1,0)=2,IF(IF(Table442818[[#This Row],[Student Number]]=C19,1,0)+IF(Table442818[[#This Row],[Session]]=B19,1,0)+IF(Table442818[[#This Row],[Pre or Post]]="Post",1,0)+IF(D19="Pre",1,0)=4,Table442818[[#This Row],[Post Total]]-J19,""),"")</f>
        <v/>
      </c>
      <c r="O20" s="5" t="b">
        <f>ISNUMBER(Table442818[[#This Row],[Change]])</f>
        <v>0</v>
      </c>
    </row>
    <row r="21" spans="1:15">
      <c r="A21" s="2" t="s">
        <v>12</v>
      </c>
      <c r="B21" s="2" t="s">
        <v>5</v>
      </c>
      <c r="C21" s="2">
        <v>20</v>
      </c>
      <c r="D21" s="2" t="s">
        <v>16</v>
      </c>
      <c r="E21" s="1">
        <v>4</v>
      </c>
      <c r="F21" s="2">
        <v>2</v>
      </c>
      <c r="G21" s="2" t="s">
        <v>9</v>
      </c>
      <c r="H21" s="5" t="str">
        <f>IF(IF(Table442818[[#This Row],[Pre or Post]]="Pre",1,0)+IF(ISNUMBER(Table442818[[#This Row],[Response]])=TRUE,1,0)=2,1,"")</f>
        <v/>
      </c>
      <c r="I21" s="5">
        <f>IF(IF(Table442818[[#This Row],[Pre or Post]]="Post",1,0)+IF(ISNUMBER(Table442818[[#This Row],[Response]])=TRUE,1,0)=2,1,"")</f>
        <v>1</v>
      </c>
      <c r="J21" s="5" t="str">
        <f>IF(IF(Table442818[[#This Row],[Pre or Post]]="Pre",1,0)+IF(ISNUMBER(Table442818[[#This Row],[Response]])=TRUE,1,0)=2,Table442818[[#This Row],[Response]],"")</f>
        <v/>
      </c>
      <c r="K21" s="5">
        <f>IF(IF(Table442818[[#This Row],[Pre or Post]]="Post",1,0)+IF(ISNUMBER(Table442818[[#This Row],[Response]])=TRUE,1,0)=2,Table442818[[#This Row],[Response]],"")</f>
        <v>2</v>
      </c>
      <c r="L21" s="5" t="str">
        <f>IF(IF(ISNUMBER(J21),1,0)+IF(ISNUMBER(K22),1,0)=2,IF(IF(C22=C21,1,0)+IF(B22=B21,1,0)+IF(D22="Post",1,0)+IF(D21="Pre",1,0)=4,Table442818[[#This Row],[Pre Total]],""),"")</f>
        <v/>
      </c>
      <c r="M21" s="5" t="str">
        <f>IF(IF(ISNUMBER(J20),1,0)+IF(ISNUMBER(Table442818[[#This Row],[Post Total]]),1,0)=2,IF(IF(Table442818[[#This Row],[Student Number]]=C20,1,0)+IF(Table442818[[#This Row],[Session]]=B20,1,0)+IF(Table442818[[#This Row],[Pre or Post]]="Post",1,0)+IF(D20="Pre",1,0)=4,Table442818[[#This Row],[Post Total]],""),"")</f>
        <v/>
      </c>
      <c r="N21" s="5" t="str">
        <f>IF(IF(ISNUMBER(J20),1,0)+IF(ISNUMBER(Table442818[[#This Row],[Post Total]]),1,0)=2,IF(IF(Table442818[[#This Row],[Student Number]]=C20,1,0)+IF(Table442818[[#This Row],[Session]]=B20,1,0)+IF(Table442818[[#This Row],[Pre or Post]]="Post",1,0)+IF(D20="Pre",1,0)=4,Table442818[[#This Row],[Post Total]]-J20,""),"")</f>
        <v/>
      </c>
      <c r="O21" s="5" t="b">
        <f>ISNUMBER(Table442818[[#This Row],[Change]])</f>
        <v>0</v>
      </c>
    </row>
    <row r="22" spans="1:15">
      <c r="A22" s="2" t="s">
        <v>12</v>
      </c>
      <c r="B22" s="2" t="s">
        <v>5</v>
      </c>
      <c r="C22" s="2">
        <v>21</v>
      </c>
      <c r="D22" s="2" t="s">
        <v>16</v>
      </c>
      <c r="E22" s="1">
        <v>4</v>
      </c>
      <c r="F22" s="2">
        <v>1</v>
      </c>
      <c r="G22" s="2" t="s">
        <v>9</v>
      </c>
      <c r="H22" s="5" t="str">
        <f>IF(IF(Table442818[[#This Row],[Pre or Post]]="Pre",1,0)+IF(ISNUMBER(Table442818[[#This Row],[Response]])=TRUE,1,0)=2,1,"")</f>
        <v/>
      </c>
      <c r="I22" s="5">
        <f>IF(IF(Table442818[[#This Row],[Pre or Post]]="Post",1,0)+IF(ISNUMBER(Table442818[[#This Row],[Response]])=TRUE,1,0)=2,1,"")</f>
        <v>1</v>
      </c>
      <c r="J22" s="5" t="str">
        <f>IF(IF(Table442818[[#This Row],[Pre or Post]]="Pre",1,0)+IF(ISNUMBER(Table442818[[#This Row],[Response]])=TRUE,1,0)=2,Table442818[[#This Row],[Response]],"")</f>
        <v/>
      </c>
      <c r="K22" s="5">
        <f>IF(IF(Table442818[[#This Row],[Pre or Post]]="Post",1,0)+IF(ISNUMBER(Table442818[[#This Row],[Response]])=TRUE,1,0)=2,Table442818[[#This Row],[Response]],"")</f>
        <v>1</v>
      </c>
      <c r="L22" s="5" t="str">
        <f>IF(IF(ISNUMBER(J22),1,0)+IF(ISNUMBER(K23),1,0)=2,IF(IF(C23=C22,1,0)+IF(B23=B22,1,0)+IF(D23="Post",1,0)+IF(D22="Pre",1,0)=4,Table442818[[#This Row],[Pre Total]],""),"")</f>
        <v/>
      </c>
      <c r="M22" s="5" t="str">
        <f>IF(IF(ISNUMBER(J21),1,0)+IF(ISNUMBER(Table442818[[#This Row],[Post Total]]),1,0)=2,IF(IF(Table442818[[#This Row],[Student Number]]=C21,1,0)+IF(Table442818[[#This Row],[Session]]=B21,1,0)+IF(Table442818[[#This Row],[Pre or Post]]="Post",1,0)+IF(D21="Pre",1,0)=4,Table442818[[#This Row],[Post Total]],""),"")</f>
        <v/>
      </c>
      <c r="N22" s="5" t="str">
        <f>IF(IF(ISNUMBER(J21),1,0)+IF(ISNUMBER(Table442818[[#This Row],[Post Total]]),1,0)=2,IF(IF(Table442818[[#This Row],[Student Number]]=C21,1,0)+IF(Table442818[[#This Row],[Session]]=B21,1,0)+IF(Table442818[[#This Row],[Pre or Post]]="Post",1,0)+IF(D21="Pre",1,0)=4,Table442818[[#This Row],[Post Total]]-J21,""),"")</f>
        <v/>
      </c>
      <c r="O22" s="5" t="b">
        <f>ISNUMBER(Table442818[[#This Row],[Change]])</f>
        <v>0</v>
      </c>
    </row>
    <row r="23" spans="1:15">
      <c r="A23" s="2" t="s">
        <v>12</v>
      </c>
      <c r="B23" s="2" t="s">
        <v>5</v>
      </c>
      <c r="C23" s="2">
        <v>22</v>
      </c>
      <c r="D23" s="2" t="s">
        <v>16</v>
      </c>
      <c r="E23" s="1">
        <v>4</v>
      </c>
      <c r="F23" s="2">
        <v>1</v>
      </c>
      <c r="G23" s="2" t="s">
        <v>9</v>
      </c>
      <c r="H23" s="5" t="str">
        <f>IF(IF(Table442818[[#This Row],[Pre or Post]]="Pre",1,0)+IF(ISNUMBER(Table442818[[#This Row],[Response]])=TRUE,1,0)=2,1,"")</f>
        <v/>
      </c>
      <c r="I23" s="5">
        <f>IF(IF(Table442818[[#This Row],[Pre or Post]]="Post",1,0)+IF(ISNUMBER(Table442818[[#This Row],[Response]])=TRUE,1,0)=2,1,"")</f>
        <v>1</v>
      </c>
      <c r="J23" s="5" t="str">
        <f>IF(IF(Table442818[[#This Row],[Pre or Post]]="Pre",1,0)+IF(ISNUMBER(Table442818[[#This Row],[Response]])=TRUE,1,0)=2,Table442818[[#This Row],[Response]],"")</f>
        <v/>
      </c>
      <c r="K23" s="5">
        <f>IF(IF(Table442818[[#This Row],[Pre or Post]]="Post",1,0)+IF(ISNUMBER(Table442818[[#This Row],[Response]])=TRUE,1,0)=2,Table442818[[#This Row],[Response]],"")</f>
        <v>1</v>
      </c>
      <c r="L23" s="5" t="str">
        <f>IF(IF(ISNUMBER(J23),1,0)+IF(ISNUMBER(K24),1,0)=2,IF(IF(C24=C23,1,0)+IF(B24=B23,1,0)+IF(D24="Post",1,0)+IF(D23="Pre",1,0)=4,Table442818[[#This Row],[Pre Total]],""),"")</f>
        <v/>
      </c>
      <c r="M23" s="5" t="str">
        <f>IF(IF(ISNUMBER(J22),1,0)+IF(ISNUMBER(Table442818[[#This Row],[Post Total]]),1,0)=2,IF(IF(Table442818[[#This Row],[Student Number]]=C22,1,0)+IF(Table442818[[#This Row],[Session]]=B22,1,0)+IF(Table442818[[#This Row],[Pre or Post]]="Post",1,0)+IF(D22="Pre",1,0)=4,Table442818[[#This Row],[Post Total]],""),"")</f>
        <v/>
      </c>
      <c r="N23" s="5" t="str">
        <f>IF(IF(ISNUMBER(J22),1,0)+IF(ISNUMBER(Table442818[[#This Row],[Post Total]]),1,0)=2,IF(IF(Table442818[[#This Row],[Student Number]]=C22,1,0)+IF(Table442818[[#This Row],[Session]]=B22,1,0)+IF(Table442818[[#This Row],[Pre or Post]]="Post",1,0)+IF(D22="Pre",1,0)=4,Table442818[[#This Row],[Post Total]]-J22,""),"")</f>
        <v/>
      </c>
      <c r="O23" s="5" t="b">
        <f>ISNUMBER(Table442818[[#This Row],[Change]])</f>
        <v>0</v>
      </c>
    </row>
    <row r="24" spans="1:15">
      <c r="A24" s="2" t="s">
        <v>12</v>
      </c>
      <c r="B24" s="2" t="s">
        <v>5</v>
      </c>
      <c r="C24" s="2">
        <v>23</v>
      </c>
      <c r="D24" s="2" t="s">
        <v>16</v>
      </c>
      <c r="E24" s="1">
        <v>4</v>
      </c>
      <c r="F24" s="2">
        <v>1</v>
      </c>
      <c r="G24" s="2" t="s">
        <v>9</v>
      </c>
      <c r="H24" s="5" t="str">
        <f>IF(IF(Table442818[[#This Row],[Pre or Post]]="Pre",1,0)+IF(ISNUMBER(Table442818[[#This Row],[Response]])=TRUE,1,0)=2,1,"")</f>
        <v/>
      </c>
      <c r="I24" s="5">
        <f>IF(IF(Table442818[[#This Row],[Pre or Post]]="Post",1,0)+IF(ISNUMBER(Table442818[[#This Row],[Response]])=TRUE,1,0)=2,1,"")</f>
        <v>1</v>
      </c>
      <c r="J24" s="5" t="str">
        <f>IF(IF(Table442818[[#This Row],[Pre or Post]]="Pre",1,0)+IF(ISNUMBER(Table442818[[#This Row],[Response]])=TRUE,1,0)=2,Table442818[[#This Row],[Response]],"")</f>
        <v/>
      </c>
      <c r="K24" s="5">
        <f>IF(IF(Table442818[[#This Row],[Pre or Post]]="Post",1,0)+IF(ISNUMBER(Table442818[[#This Row],[Response]])=TRUE,1,0)=2,Table442818[[#This Row],[Response]],"")</f>
        <v>1</v>
      </c>
      <c r="L24" s="5" t="str">
        <f>IF(IF(ISNUMBER(J24),1,0)+IF(ISNUMBER(K25),1,0)=2,IF(IF(C25=C24,1,0)+IF(B25=B24,1,0)+IF(D25="Post",1,0)+IF(D24="Pre",1,0)=4,Table442818[[#This Row],[Pre Total]],""),"")</f>
        <v/>
      </c>
      <c r="M24" s="5" t="str">
        <f>IF(IF(ISNUMBER(J23),1,0)+IF(ISNUMBER(Table442818[[#This Row],[Post Total]]),1,0)=2,IF(IF(Table442818[[#This Row],[Student Number]]=C23,1,0)+IF(Table442818[[#This Row],[Session]]=B23,1,0)+IF(Table442818[[#This Row],[Pre or Post]]="Post",1,0)+IF(D23="Pre",1,0)=4,Table442818[[#This Row],[Post Total]],""),"")</f>
        <v/>
      </c>
      <c r="N24" s="5" t="str">
        <f>IF(IF(ISNUMBER(J23),1,0)+IF(ISNUMBER(Table442818[[#This Row],[Post Total]]),1,0)=2,IF(IF(Table442818[[#This Row],[Student Number]]=C23,1,0)+IF(Table442818[[#This Row],[Session]]=B23,1,0)+IF(Table442818[[#This Row],[Pre or Post]]="Post",1,0)+IF(D23="Pre",1,0)=4,Table442818[[#This Row],[Post Total]]-J23,""),"")</f>
        <v/>
      </c>
      <c r="O24" s="5" t="b">
        <f>ISNUMBER(Table442818[[#This Row],[Change]])</f>
        <v>0</v>
      </c>
    </row>
    <row r="25" spans="1:15">
      <c r="A25" s="2" t="s">
        <v>12</v>
      </c>
      <c r="B25" s="2" t="s">
        <v>5</v>
      </c>
      <c r="C25" s="2">
        <v>24</v>
      </c>
      <c r="D25" s="2" t="s">
        <v>16</v>
      </c>
      <c r="E25" s="1">
        <v>4</v>
      </c>
      <c r="F25" s="2">
        <v>3</v>
      </c>
      <c r="G25" s="2" t="s">
        <v>9</v>
      </c>
      <c r="H25" s="5" t="str">
        <f>IF(IF(Table442818[[#This Row],[Pre or Post]]="Pre",1,0)+IF(ISNUMBER(Table442818[[#This Row],[Response]])=TRUE,1,0)=2,1,"")</f>
        <v/>
      </c>
      <c r="I25" s="5">
        <f>IF(IF(Table442818[[#This Row],[Pre or Post]]="Post",1,0)+IF(ISNUMBER(Table442818[[#This Row],[Response]])=TRUE,1,0)=2,1,"")</f>
        <v>1</v>
      </c>
      <c r="J25" s="5" t="str">
        <f>IF(IF(Table442818[[#This Row],[Pre or Post]]="Pre",1,0)+IF(ISNUMBER(Table442818[[#This Row],[Response]])=TRUE,1,0)=2,Table442818[[#This Row],[Response]],"")</f>
        <v/>
      </c>
      <c r="K25" s="5">
        <f>IF(IF(Table442818[[#This Row],[Pre or Post]]="Post",1,0)+IF(ISNUMBER(Table442818[[#This Row],[Response]])=TRUE,1,0)=2,Table442818[[#This Row],[Response]],"")</f>
        <v>3</v>
      </c>
      <c r="L25" s="5" t="str">
        <f>IF(IF(ISNUMBER(J25),1,0)+IF(ISNUMBER(K26),1,0)=2,IF(IF(C26=C25,1,0)+IF(B26=B25,1,0)+IF(D26="Post",1,0)+IF(D25="Pre",1,0)=4,Table442818[[#This Row],[Pre Total]],""),"")</f>
        <v/>
      </c>
      <c r="M25" s="5" t="str">
        <f>IF(IF(ISNUMBER(J24),1,0)+IF(ISNUMBER(Table442818[[#This Row],[Post Total]]),1,0)=2,IF(IF(Table442818[[#This Row],[Student Number]]=C24,1,0)+IF(Table442818[[#This Row],[Session]]=B24,1,0)+IF(Table442818[[#This Row],[Pre or Post]]="Post",1,0)+IF(D24="Pre",1,0)=4,Table442818[[#This Row],[Post Total]],""),"")</f>
        <v/>
      </c>
      <c r="N25" s="5" t="str">
        <f>IF(IF(ISNUMBER(J24),1,0)+IF(ISNUMBER(Table442818[[#This Row],[Post Total]]),1,0)=2,IF(IF(Table442818[[#This Row],[Student Number]]=C24,1,0)+IF(Table442818[[#This Row],[Session]]=B24,1,0)+IF(Table442818[[#This Row],[Pre or Post]]="Post",1,0)+IF(D24="Pre",1,0)=4,Table442818[[#This Row],[Post Total]]-J24,""),"")</f>
        <v/>
      </c>
      <c r="O25" s="5" t="b">
        <f>ISNUMBER(Table442818[[#This Row],[Change]])</f>
        <v>0</v>
      </c>
    </row>
    <row r="26" spans="1:15">
      <c r="A26" s="2" t="s">
        <v>12</v>
      </c>
      <c r="B26" s="2" t="s">
        <v>21</v>
      </c>
      <c r="C26" s="1">
        <v>1</v>
      </c>
      <c r="D26" s="2" t="s">
        <v>6</v>
      </c>
      <c r="E26" s="1">
        <v>11</v>
      </c>
      <c r="F26" s="1">
        <v>4</v>
      </c>
      <c r="G26" s="2" t="s">
        <v>8</v>
      </c>
      <c r="H26" s="5">
        <f>IF(IF(Table442818[[#This Row],[Pre or Post]]="Pre",1,0)+IF(ISNUMBER(Table442818[[#This Row],[Response]])=TRUE,1,0)=2,1,"")</f>
        <v>1</v>
      </c>
      <c r="I26" s="5" t="str">
        <f>IF(IF(Table442818[[#This Row],[Pre or Post]]="Post",1,0)+IF(ISNUMBER(Table442818[[#This Row],[Response]])=TRUE,1,0)=2,1,"")</f>
        <v/>
      </c>
      <c r="J26" s="5">
        <f>IF(IF(Table442818[[#This Row],[Pre or Post]]="Pre",1,0)+IF(ISNUMBER(Table442818[[#This Row],[Response]])=TRUE,1,0)=2,Table442818[[#This Row],[Response]],"")</f>
        <v>4</v>
      </c>
      <c r="K26" s="5" t="str">
        <f>IF(IF(Table442818[[#This Row],[Pre or Post]]="Post",1,0)+IF(ISNUMBER(Table442818[[#This Row],[Response]])=TRUE,1,0)=2,Table442818[[#This Row],[Response]],"")</f>
        <v/>
      </c>
      <c r="L26" s="5">
        <f>IF(IF(ISNUMBER(J26),1,0)+IF(ISNUMBER(K27),1,0)=2,IF(IF(C27=C26,1,0)+IF(B27=B26,1,0)+IF(D27="Post",1,0)+IF(D26="Pre",1,0)=4,Table442818[[#This Row],[Pre Total]],""),"")</f>
        <v>4</v>
      </c>
      <c r="M26" s="5" t="str">
        <f>IF(IF(ISNUMBER(J25),1,0)+IF(ISNUMBER(Table442818[[#This Row],[Post Total]]),1,0)=2,IF(IF(Table442818[[#This Row],[Student Number]]=C25,1,0)+IF(Table442818[[#This Row],[Session]]=B25,1,0)+IF(Table442818[[#This Row],[Pre or Post]]="Post",1,0)+IF(D25="Pre",1,0)=4,Table442818[[#This Row],[Post Total]],""),"")</f>
        <v/>
      </c>
      <c r="N26" s="5" t="str">
        <f>IF(IF(ISNUMBER(J25),1,0)+IF(ISNUMBER(Table442818[[#This Row],[Post Total]]),1,0)=2,IF(IF(Table442818[[#This Row],[Student Number]]=C25,1,0)+IF(Table442818[[#This Row],[Session]]=B25,1,0)+IF(Table442818[[#This Row],[Pre or Post]]="Post",1,0)+IF(D25="Pre",1,0)=4,Table442818[[#This Row],[Post Total]]-J25,""),"")</f>
        <v/>
      </c>
      <c r="O26" s="5" t="b">
        <f>ISNUMBER(Table442818[[#This Row],[Change]])</f>
        <v>0</v>
      </c>
    </row>
    <row r="27" spans="1:15">
      <c r="A27" s="2" t="s">
        <v>12</v>
      </c>
      <c r="B27" s="2" t="s">
        <v>21</v>
      </c>
      <c r="C27" s="1">
        <v>1</v>
      </c>
      <c r="D27" s="2" t="s">
        <v>16</v>
      </c>
      <c r="E27" s="1">
        <v>4</v>
      </c>
      <c r="F27" s="1">
        <v>2</v>
      </c>
      <c r="G27" s="2" t="s">
        <v>8</v>
      </c>
      <c r="H27" s="5" t="str">
        <f>IF(IF(Table442818[[#This Row],[Pre or Post]]="Pre",1,0)+IF(ISNUMBER(Table442818[[#This Row],[Response]])=TRUE,1,0)=2,1,"")</f>
        <v/>
      </c>
      <c r="I27" s="5">
        <f>IF(IF(Table442818[[#This Row],[Pre or Post]]="Post",1,0)+IF(ISNUMBER(Table442818[[#This Row],[Response]])=TRUE,1,0)=2,1,"")</f>
        <v>1</v>
      </c>
      <c r="J27" s="5" t="str">
        <f>IF(IF(Table442818[[#This Row],[Pre or Post]]="Pre",1,0)+IF(ISNUMBER(Table442818[[#This Row],[Response]])=TRUE,1,0)=2,Table442818[[#This Row],[Response]],"")</f>
        <v/>
      </c>
      <c r="K27" s="5">
        <f>IF(IF(Table442818[[#This Row],[Pre or Post]]="Post",1,0)+IF(ISNUMBER(Table442818[[#This Row],[Response]])=TRUE,1,0)=2,Table442818[[#This Row],[Response]],"")</f>
        <v>2</v>
      </c>
      <c r="L27" s="5" t="str">
        <f>IF(IF(ISNUMBER(J27),1,0)+IF(ISNUMBER(K28),1,0)=2,IF(IF(C28=C27,1,0)+IF(B28=B27,1,0)+IF(D28="Post",1,0)+IF(D27="Pre",1,0)=4,Table442818[[#This Row],[Pre Total]],""),"")</f>
        <v/>
      </c>
      <c r="M27" s="5">
        <f>IF(IF(ISNUMBER(J26),1,0)+IF(ISNUMBER(Table442818[[#This Row],[Post Total]]),1,0)=2,IF(IF(Table442818[[#This Row],[Student Number]]=C26,1,0)+IF(Table442818[[#This Row],[Session]]=B26,1,0)+IF(Table442818[[#This Row],[Pre or Post]]="Post",1,0)+IF(D26="Pre",1,0)=4,Table442818[[#This Row],[Post Total]],""),"")</f>
        <v>2</v>
      </c>
      <c r="N27" s="5">
        <f>IF(IF(ISNUMBER(J26),1,0)+IF(ISNUMBER(Table442818[[#This Row],[Post Total]]),1,0)=2,IF(IF(Table442818[[#This Row],[Student Number]]=C26,1,0)+IF(Table442818[[#This Row],[Session]]=B26,1,0)+IF(Table442818[[#This Row],[Pre or Post]]="Post",1,0)+IF(D26="Pre",1,0)=4,Table442818[[#This Row],[Post Total]]-J26,""),"")</f>
        <v>-2</v>
      </c>
      <c r="O27" s="5" t="b">
        <f>ISNUMBER(Table442818[[#This Row],[Change]])</f>
        <v>1</v>
      </c>
    </row>
    <row r="28" spans="1:15">
      <c r="A28" s="2" t="s">
        <v>12</v>
      </c>
      <c r="B28" s="2" t="s">
        <v>21</v>
      </c>
      <c r="C28" s="1">
        <v>2</v>
      </c>
      <c r="D28" s="2" t="s">
        <v>6</v>
      </c>
      <c r="E28" s="1">
        <v>11</v>
      </c>
      <c r="F28" s="1">
        <v>4</v>
      </c>
      <c r="G28" s="2" t="s">
        <v>8</v>
      </c>
      <c r="H28" s="5">
        <f>IF(IF(Table442818[[#This Row],[Pre or Post]]="Pre",1,0)+IF(ISNUMBER(Table442818[[#This Row],[Response]])=TRUE,1,0)=2,1,"")</f>
        <v>1</v>
      </c>
      <c r="I28" s="5" t="str">
        <f>IF(IF(Table442818[[#This Row],[Pre or Post]]="Post",1,0)+IF(ISNUMBER(Table442818[[#This Row],[Response]])=TRUE,1,0)=2,1,"")</f>
        <v/>
      </c>
      <c r="J28" s="5">
        <f>IF(IF(Table442818[[#This Row],[Pre or Post]]="Pre",1,0)+IF(ISNUMBER(Table442818[[#This Row],[Response]])=TRUE,1,0)=2,Table442818[[#This Row],[Response]],"")</f>
        <v>4</v>
      </c>
      <c r="K28" s="5" t="str">
        <f>IF(IF(Table442818[[#This Row],[Pre or Post]]="Post",1,0)+IF(ISNUMBER(Table442818[[#This Row],[Response]])=TRUE,1,0)=2,Table442818[[#This Row],[Response]],"")</f>
        <v/>
      </c>
      <c r="L28" s="5">
        <f>IF(IF(ISNUMBER(J28),1,0)+IF(ISNUMBER(K29),1,0)=2,IF(IF(C29=C28,1,0)+IF(B29=B28,1,0)+IF(D29="Post",1,0)+IF(D28="Pre",1,0)=4,Table442818[[#This Row],[Pre Total]],""),"")</f>
        <v>4</v>
      </c>
      <c r="M28" s="5" t="str">
        <f>IF(IF(ISNUMBER(J27),1,0)+IF(ISNUMBER(Table442818[[#This Row],[Post Total]]),1,0)=2,IF(IF(Table442818[[#This Row],[Student Number]]=C27,1,0)+IF(Table442818[[#This Row],[Session]]=B27,1,0)+IF(Table442818[[#This Row],[Pre or Post]]="Post",1,0)+IF(D27="Pre",1,0)=4,Table442818[[#This Row],[Post Total]],""),"")</f>
        <v/>
      </c>
      <c r="N28" s="5" t="str">
        <f>IF(IF(ISNUMBER(J27),1,0)+IF(ISNUMBER(Table442818[[#This Row],[Post Total]]),1,0)=2,IF(IF(Table442818[[#This Row],[Student Number]]=C27,1,0)+IF(Table442818[[#This Row],[Session]]=B27,1,0)+IF(Table442818[[#This Row],[Pre or Post]]="Post",1,0)+IF(D27="Pre",1,0)=4,Table442818[[#This Row],[Post Total]]-J27,""),"")</f>
        <v/>
      </c>
      <c r="O28" s="5" t="b">
        <f>ISNUMBER(Table442818[[#This Row],[Change]])</f>
        <v>0</v>
      </c>
    </row>
    <row r="29" spans="1:15">
      <c r="A29" s="2" t="s">
        <v>12</v>
      </c>
      <c r="B29" s="2" t="s">
        <v>21</v>
      </c>
      <c r="C29" s="1">
        <v>2</v>
      </c>
      <c r="D29" s="2" t="s">
        <v>16</v>
      </c>
      <c r="E29" s="1">
        <v>4</v>
      </c>
      <c r="F29" s="1">
        <v>3</v>
      </c>
      <c r="G29" s="2" t="s">
        <v>8</v>
      </c>
      <c r="H29" s="5" t="str">
        <f>IF(IF(Table442818[[#This Row],[Pre or Post]]="Pre",1,0)+IF(ISNUMBER(Table442818[[#This Row],[Response]])=TRUE,1,0)=2,1,"")</f>
        <v/>
      </c>
      <c r="I29" s="5">
        <f>IF(IF(Table442818[[#This Row],[Pre or Post]]="Post",1,0)+IF(ISNUMBER(Table442818[[#This Row],[Response]])=TRUE,1,0)=2,1,"")</f>
        <v>1</v>
      </c>
      <c r="J29" s="5" t="str">
        <f>IF(IF(Table442818[[#This Row],[Pre or Post]]="Pre",1,0)+IF(ISNUMBER(Table442818[[#This Row],[Response]])=TRUE,1,0)=2,Table442818[[#This Row],[Response]],"")</f>
        <v/>
      </c>
      <c r="K29" s="5">
        <f>IF(IF(Table442818[[#This Row],[Pre or Post]]="Post",1,0)+IF(ISNUMBER(Table442818[[#This Row],[Response]])=TRUE,1,0)=2,Table442818[[#This Row],[Response]],"")</f>
        <v>3</v>
      </c>
      <c r="L29" s="5" t="str">
        <f>IF(IF(ISNUMBER(J29),1,0)+IF(ISNUMBER(K30),1,0)=2,IF(IF(C30=C29,1,0)+IF(B30=B29,1,0)+IF(D30="Post",1,0)+IF(D29="Pre",1,0)=4,Table442818[[#This Row],[Pre Total]],""),"")</f>
        <v/>
      </c>
      <c r="M29" s="5">
        <f>IF(IF(ISNUMBER(J28),1,0)+IF(ISNUMBER(Table442818[[#This Row],[Post Total]]),1,0)=2,IF(IF(Table442818[[#This Row],[Student Number]]=C28,1,0)+IF(Table442818[[#This Row],[Session]]=B28,1,0)+IF(Table442818[[#This Row],[Pre or Post]]="Post",1,0)+IF(D28="Pre",1,0)=4,Table442818[[#This Row],[Post Total]],""),"")</f>
        <v>3</v>
      </c>
      <c r="N29" s="5">
        <f>IF(IF(ISNUMBER(J28),1,0)+IF(ISNUMBER(Table442818[[#This Row],[Post Total]]),1,0)=2,IF(IF(Table442818[[#This Row],[Student Number]]=C28,1,0)+IF(Table442818[[#This Row],[Session]]=B28,1,0)+IF(Table442818[[#This Row],[Pre or Post]]="Post",1,0)+IF(D28="Pre",1,0)=4,Table442818[[#This Row],[Post Total]]-J28,""),"")</f>
        <v>-1</v>
      </c>
      <c r="O29" s="5" t="b">
        <f>ISNUMBER(Table442818[[#This Row],[Change]])</f>
        <v>1</v>
      </c>
    </row>
    <row r="30" spans="1:15">
      <c r="A30" s="2" t="s">
        <v>12</v>
      </c>
      <c r="B30" s="2" t="s">
        <v>21</v>
      </c>
      <c r="C30" s="1">
        <v>3</v>
      </c>
      <c r="D30" s="2" t="s">
        <v>6</v>
      </c>
      <c r="E30" s="1">
        <v>11</v>
      </c>
      <c r="F30" s="1">
        <v>3</v>
      </c>
      <c r="G30" s="2" t="s">
        <v>8</v>
      </c>
      <c r="H30" s="5">
        <f>IF(IF(Table442818[[#This Row],[Pre or Post]]="Pre",1,0)+IF(ISNUMBER(Table442818[[#This Row],[Response]])=TRUE,1,0)=2,1,"")</f>
        <v>1</v>
      </c>
      <c r="I30" s="5" t="str">
        <f>IF(IF(Table442818[[#This Row],[Pre or Post]]="Post",1,0)+IF(ISNUMBER(Table442818[[#This Row],[Response]])=TRUE,1,0)=2,1,"")</f>
        <v/>
      </c>
      <c r="J30" s="5">
        <f>IF(IF(Table442818[[#This Row],[Pre or Post]]="Pre",1,0)+IF(ISNUMBER(Table442818[[#This Row],[Response]])=TRUE,1,0)=2,Table442818[[#This Row],[Response]],"")</f>
        <v>3</v>
      </c>
      <c r="K30" s="5" t="str">
        <f>IF(IF(Table442818[[#This Row],[Pre or Post]]="Post",1,0)+IF(ISNUMBER(Table442818[[#This Row],[Response]])=TRUE,1,0)=2,Table442818[[#This Row],[Response]],"")</f>
        <v/>
      </c>
      <c r="L30" s="5">
        <f>IF(IF(ISNUMBER(J30),1,0)+IF(ISNUMBER(K31),1,0)=2,IF(IF(C31=C30,1,0)+IF(B31=B30,1,0)+IF(D31="Post",1,0)+IF(D30="Pre",1,0)=4,Table442818[[#This Row],[Pre Total]],""),"")</f>
        <v>3</v>
      </c>
      <c r="M30" s="5" t="str">
        <f>IF(IF(ISNUMBER(J29),1,0)+IF(ISNUMBER(Table442818[[#This Row],[Post Total]]),1,0)=2,IF(IF(Table442818[[#This Row],[Student Number]]=C29,1,0)+IF(Table442818[[#This Row],[Session]]=B29,1,0)+IF(Table442818[[#This Row],[Pre or Post]]="Post",1,0)+IF(D29="Pre",1,0)=4,Table442818[[#This Row],[Post Total]],""),"")</f>
        <v/>
      </c>
      <c r="N30" s="5" t="str">
        <f>IF(IF(ISNUMBER(J29),1,0)+IF(ISNUMBER(Table442818[[#This Row],[Post Total]]),1,0)=2,IF(IF(Table442818[[#This Row],[Student Number]]=C29,1,0)+IF(Table442818[[#This Row],[Session]]=B29,1,0)+IF(Table442818[[#This Row],[Pre or Post]]="Post",1,0)+IF(D29="Pre",1,0)=4,Table442818[[#This Row],[Post Total]]-J29,""),"")</f>
        <v/>
      </c>
      <c r="O30" s="5" t="b">
        <f>ISNUMBER(Table442818[[#This Row],[Change]])</f>
        <v>0</v>
      </c>
    </row>
    <row r="31" spans="1:15">
      <c r="A31" s="2" t="s">
        <v>12</v>
      </c>
      <c r="B31" s="2" t="s">
        <v>21</v>
      </c>
      <c r="C31" s="1">
        <v>3</v>
      </c>
      <c r="D31" s="2" t="s">
        <v>16</v>
      </c>
      <c r="E31" s="1">
        <v>4</v>
      </c>
      <c r="F31" s="1">
        <v>2</v>
      </c>
      <c r="G31" s="2" t="s">
        <v>8</v>
      </c>
      <c r="H31" s="5" t="str">
        <f>IF(IF(Table442818[[#This Row],[Pre or Post]]="Pre",1,0)+IF(ISNUMBER(Table442818[[#This Row],[Response]])=TRUE,1,0)=2,1,"")</f>
        <v/>
      </c>
      <c r="I31" s="5">
        <f>IF(IF(Table442818[[#This Row],[Pre or Post]]="Post",1,0)+IF(ISNUMBER(Table442818[[#This Row],[Response]])=TRUE,1,0)=2,1,"")</f>
        <v>1</v>
      </c>
      <c r="J31" s="5" t="str">
        <f>IF(IF(Table442818[[#This Row],[Pre or Post]]="Pre",1,0)+IF(ISNUMBER(Table442818[[#This Row],[Response]])=TRUE,1,0)=2,Table442818[[#This Row],[Response]],"")</f>
        <v/>
      </c>
      <c r="K31" s="5">
        <f>IF(IF(Table442818[[#This Row],[Pre or Post]]="Post",1,0)+IF(ISNUMBER(Table442818[[#This Row],[Response]])=TRUE,1,0)=2,Table442818[[#This Row],[Response]],"")</f>
        <v>2</v>
      </c>
      <c r="L31" s="5" t="str">
        <f>IF(IF(ISNUMBER(J31),1,0)+IF(ISNUMBER(K32),1,0)=2,IF(IF(C32=C31,1,0)+IF(B32=B31,1,0)+IF(D32="Post",1,0)+IF(D31="Pre",1,0)=4,Table442818[[#This Row],[Pre Total]],""),"")</f>
        <v/>
      </c>
      <c r="M31" s="5">
        <f>IF(IF(ISNUMBER(J30),1,0)+IF(ISNUMBER(Table442818[[#This Row],[Post Total]]),1,0)=2,IF(IF(Table442818[[#This Row],[Student Number]]=C30,1,0)+IF(Table442818[[#This Row],[Session]]=B30,1,0)+IF(Table442818[[#This Row],[Pre or Post]]="Post",1,0)+IF(D30="Pre",1,0)=4,Table442818[[#This Row],[Post Total]],""),"")</f>
        <v>2</v>
      </c>
      <c r="N31" s="5">
        <f>IF(IF(ISNUMBER(J30),1,0)+IF(ISNUMBER(Table442818[[#This Row],[Post Total]]),1,0)=2,IF(IF(Table442818[[#This Row],[Student Number]]=C30,1,0)+IF(Table442818[[#This Row],[Session]]=B30,1,0)+IF(Table442818[[#This Row],[Pre or Post]]="Post",1,0)+IF(D30="Pre",1,0)=4,Table442818[[#This Row],[Post Total]]-J30,""),"")</f>
        <v>-1</v>
      </c>
      <c r="O31" s="5" t="b">
        <f>ISNUMBER(Table442818[[#This Row],[Change]])</f>
        <v>1</v>
      </c>
    </row>
    <row r="32" spans="1:15">
      <c r="A32" s="2" t="s">
        <v>12</v>
      </c>
      <c r="B32" s="2" t="s">
        <v>21</v>
      </c>
      <c r="C32" s="1">
        <v>4</v>
      </c>
      <c r="D32" s="2" t="s">
        <v>6</v>
      </c>
      <c r="E32" s="1">
        <v>11</v>
      </c>
      <c r="F32" s="1">
        <v>4</v>
      </c>
      <c r="G32" s="2" t="s">
        <v>8</v>
      </c>
      <c r="H32" s="5">
        <f>IF(IF(Table442818[[#This Row],[Pre or Post]]="Pre",1,0)+IF(ISNUMBER(Table442818[[#This Row],[Response]])=TRUE,1,0)=2,1,"")</f>
        <v>1</v>
      </c>
      <c r="I32" s="5" t="str">
        <f>IF(IF(Table442818[[#This Row],[Pre or Post]]="Post",1,0)+IF(ISNUMBER(Table442818[[#This Row],[Response]])=TRUE,1,0)=2,1,"")</f>
        <v/>
      </c>
      <c r="J32" s="5">
        <f>IF(IF(Table442818[[#This Row],[Pre or Post]]="Pre",1,0)+IF(ISNUMBER(Table442818[[#This Row],[Response]])=TRUE,1,0)=2,Table442818[[#This Row],[Response]],"")</f>
        <v>4</v>
      </c>
      <c r="K32" s="5" t="str">
        <f>IF(IF(Table442818[[#This Row],[Pre or Post]]="Post",1,0)+IF(ISNUMBER(Table442818[[#This Row],[Response]])=TRUE,1,0)=2,Table442818[[#This Row],[Response]],"")</f>
        <v/>
      </c>
      <c r="L32" s="5">
        <f>IF(IF(ISNUMBER(J32),1,0)+IF(ISNUMBER(K33),1,0)=2,IF(IF(C33=C32,1,0)+IF(B33=B32,1,0)+IF(D33="Post",1,0)+IF(D32="Pre",1,0)=4,Table442818[[#This Row],[Pre Total]],""),"")</f>
        <v>4</v>
      </c>
      <c r="M32" s="5" t="str">
        <f>IF(IF(ISNUMBER(J31),1,0)+IF(ISNUMBER(Table442818[[#This Row],[Post Total]]),1,0)=2,IF(IF(Table442818[[#This Row],[Student Number]]=C31,1,0)+IF(Table442818[[#This Row],[Session]]=B31,1,0)+IF(Table442818[[#This Row],[Pre or Post]]="Post",1,0)+IF(D31="Pre",1,0)=4,Table442818[[#This Row],[Post Total]],""),"")</f>
        <v/>
      </c>
      <c r="N32" s="5" t="str">
        <f>IF(IF(ISNUMBER(J31),1,0)+IF(ISNUMBER(Table442818[[#This Row],[Post Total]]),1,0)=2,IF(IF(Table442818[[#This Row],[Student Number]]=C31,1,0)+IF(Table442818[[#This Row],[Session]]=B31,1,0)+IF(Table442818[[#This Row],[Pre or Post]]="Post",1,0)+IF(D31="Pre",1,0)=4,Table442818[[#This Row],[Post Total]]-J31,""),"")</f>
        <v/>
      </c>
      <c r="O32" s="5" t="b">
        <f>ISNUMBER(Table442818[[#This Row],[Change]])</f>
        <v>0</v>
      </c>
    </row>
    <row r="33" spans="1:15">
      <c r="A33" s="2" t="s">
        <v>12</v>
      </c>
      <c r="B33" s="2" t="s">
        <v>21</v>
      </c>
      <c r="C33" s="1">
        <v>4</v>
      </c>
      <c r="D33" s="2" t="s">
        <v>16</v>
      </c>
      <c r="E33" s="1">
        <v>4</v>
      </c>
      <c r="F33" s="1">
        <v>5</v>
      </c>
      <c r="G33" s="2" t="s">
        <v>8</v>
      </c>
      <c r="H33" s="5" t="str">
        <f>IF(IF(Table442818[[#This Row],[Pre or Post]]="Pre",1,0)+IF(ISNUMBER(Table442818[[#This Row],[Response]])=TRUE,1,0)=2,1,"")</f>
        <v/>
      </c>
      <c r="I33" s="5">
        <f>IF(IF(Table442818[[#This Row],[Pre or Post]]="Post",1,0)+IF(ISNUMBER(Table442818[[#This Row],[Response]])=TRUE,1,0)=2,1,"")</f>
        <v>1</v>
      </c>
      <c r="J33" s="5" t="str">
        <f>IF(IF(Table442818[[#This Row],[Pre or Post]]="Pre",1,0)+IF(ISNUMBER(Table442818[[#This Row],[Response]])=TRUE,1,0)=2,Table442818[[#This Row],[Response]],"")</f>
        <v/>
      </c>
      <c r="K33" s="5">
        <f>IF(IF(Table442818[[#This Row],[Pre or Post]]="Post",1,0)+IF(ISNUMBER(Table442818[[#This Row],[Response]])=TRUE,1,0)=2,Table442818[[#This Row],[Response]],"")</f>
        <v>5</v>
      </c>
      <c r="L33" s="5" t="str">
        <f>IF(IF(ISNUMBER(J33),1,0)+IF(ISNUMBER(K34),1,0)=2,IF(IF(C34=C33,1,0)+IF(B34=B33,1,0)+IF(D34="Post",1,0)+IF(D33="Pre",1,0)=4,Table442818[[#This Row],[Pre Total]],""),"")</f>
        <v/>
      </c>
      <c r="M33" s="5">
        <f>IF(IF(ISNUMBER(J32),1,0)+IF(ISNUMBER(Table442818[[#This Row],[Post Total]]),1,0)=2,IF(IF(Table442818[[#This Row],[Student Number]]=C32,1,0)+IF(Table442818[[#This Row],[Session]]=B32,1,0)+IF(Table442818[[#This Row],[Pre or Post]]="Post",1,0)+IF(D32="Pre",1,0)=4,Table442818[[#This Row],[Post Total]],""),"")</f>
        <v>5</v>
      </c>
      <c r="N33" s="5">
        <f>IF(IF(ISNUMBER(J32),1,0)+IF(ISNUMBER(Table442818[[#This Row],[Post Total]]),1,0)=2,IF(IF(Table442818[[#This Row],[Student Number]]=C32,1,0)+IF(Table442818[[#This Row],[Session]]=B32,1,0)+IF(Table442818[[#This Row],[Pre or Post]]="Post",1,0)+IF(D32="Pre",1,0)=4,Table442818[[#This Row],[Post Total]]-J32,""),"")</f>
        <v>1</v>
      </c>
      <c r="O33" s="5" t="b">
        <f>ISNUMBER(Table442818[[#This Row],[Change]])</f>
        <v>1</v>
      </c>
    </row>
    <row r="34" spans="1:15">
      <c r="A34" s="2" t="s">
        <v>12</v>
      </c>
      <c r="B34" s="2" t="s">
        <v>21</v>
      </c>
      <c r="C34" s="1">
        <v>5</v>
      </c>
      <c r="D34" s="2" t="s">
        <v>6</v>
      </c>
      <c r="E34" s="1">
        <v>11</v>
      </c>
      <c r="F34" s="1">
        <v>1</v>
      </c>
      <c r="G34" s="2" t="s">
        <v>8</v>
      </c>
      <c r="H34" s="5">
        <f>IF(IF(Table442818[[#This Row],[Pre or Post]]="Pre",1,0)+IF(ISNUMBER(Table442818[[#This Row],[Response]])=TRUE,1,0)=2,1,"")</f>
        <v>1</v>
      </c>
      <c r="I34" s="5" t="str">
        <f>IF(IF(Table442818[[#This Row],[Pre or Post]]="Post",1,0)+IF(ISNUMBER(Table442818[[#This Row],[Response]])=TRUE,1,0)=2,1,"")</f>
        <v/>
      </c>
      <c r="J34" s="5">
        <f>IF(IF(Table442818[[#This Row],[Pre or Post]]="Pre",1,0)+IF(ISNUMBER(Table442818[[#This Row],[Response]])=TRUE,1,0)=2,Table442818[[#This Row],[Response]],"")</f>
        <v>1</v>
      </c>
      <c r="K34" s="5" t="str">
        <f>IF(IF(Table442818[[#This Row],[Pre or Post]]="Post",1,0)+IF(ISNUMBER(Table442818[[#This Row],[Response]])=TRUE,1,0)=2,Table442818[[#This Row],[Response]],"")</f>
        <v/>
      </c>
      <c r="L34" s="5">
        <f>IF(IF(ISNUMBER(J34),1,0)+IF(ISNUMBER(K35),1,0)=2,IF(IF(C35=C34,1,0)+IF(B35=B34,1,0)+IF(D35="Post",1,0)+IF(D34="Pre",1,0)=4,Table442818[[#This Row],[Pre Total]],""),"")</f>
        <v>1</v>
      </c>
      <c r="M34" s="5" t="str">
        <f>IF(IF(ISNUMBER(J33),1,0)+IF(ISNUMBER(Table442818[[#This Row],[Post Total]]),1,0)=2,IF(IF(Table442818[[#This Row],[Student Number]]=C33,1,0)+IF(Table442818[[#This Row],[Session]]=B33,1,0)+IF(Table442818[[#This Row],[Pre or Post]]="Post",1,0)+IF(D33="Pre",1,0)=4,Table442818[[#This Row],[Post Total]],""),"")</f>
        <v/>
      </c>
      <c r="N34" s="5" t="str">
        <f>IF(IF(ISNUMBER(J33),1,0)+IF(ISNUMBER(Table442818[[#This Row],[Post Total]]),1,0)=2,IF(IF(Table442818[[#This Row],[Student Number]]=C33,1,0)+IF(Table442818[[#This Row],[Session]]=B33,1,0)+IF(Table442818[[#This Row],[Pre or Post]]="Post",1,0)+IF(D33="Pre",1,0)=4,Table442818[[#This Row],[Post Total]]-J33,""),"")</f>
        <v/>
      </c>
      <c r="O34" s="5" t="b">
        <f>ISNUMBER(Table442818[[#This Row],[Change]])</f>
        <v>0</v>
      </c>
    </row>
    <row r="35" spans="1:15">
      <c r="A35" s="2" t="s">
        <v>12</v>
      </c>
      <c r="B35" s="2" t="s">
        <v>21</v>
      </c>
      <c r="C35" s="1">
        <v>5</v>
      </c>
      <c r="D35" s="2" t="s">
        <v>16</v>
      </c>
      <c r="E35" s="1">
        <v>4</v>
      </c>
      <c r="F35" s="1">
        <v>3</v>
      </c>
      <c r="G35" s="2" t="s">
        <v>8</v>
      </c>
      <c r="H35" s="5" t="str">
        <f>IF(IF(Table442818[[#This Row],[Pre or Post]]="Pre",1,0)+IF(ISNUMBER(Table442818[[#This Row],[Response]])=TRUE,1,0)=2,1,"")</f>
        <v/>
      </c>
      <c r="I35" s="5">
        <f>IF(IF(Table442818[[#This Row],[Pre or Post]]="Post",1,0)+IF(ISNUMBER(Table442818[[#This Row],[Response]])=TRUE,1,0)=2,1,"")</f>
        <v>1</v>
      </c>
      <c r="J35" s="5" t="str">
        <f>IF(IF(Table442818[[#This Row],[Pre or Post]]="Pre",1,0)+IF(ISNUMBER(Table442818[[#This Row],[Response]])=TRUE,1,0)=2,Table442818[[#This Row],[Response]],"")</f>
        <v/>
      </c>
      <c r="K35" s="5">
        <f>IF(IF(Table442818[[#This Row],[Pre or Post]]="Post",1,0)+IF(ISNUMBER(Table442818[[#This Row],[Response]])=TRUE,1,0)=2,Table442818[[#This Row],[Response]],"")</f>
        <v>3</v>
      </c>
      <c r="L35" s="5" t="str">
        <f>IF(IF(ISNUMBER(J35),1,0)+IF(ISNUMBER(K36),1,0)=2,IF(IF(C36=C35,1,0)+IF(B36=B35,1,0)+IF(D36="Post",1,0)+IF(D35="Pre",1,0)=4,Table442818[[#This Row],[Pre Total]],""),"")</f>
        <v/>
      </c>
      <c r="M35" s="5">
        <f>IF(IF(ISNUMBER(J34),1,0)+IF(ISNUMBER(Table442818[[#This Row],[Post Total]]),1,0)=2,IF(IF(Table442818[[#This Row],[Student Number]]=C34,1,0)+IF(Table442818[[#This Row],[Session]]=B34,1,0)+IF(Table442818[[#This Row],[Pre or Post]]="Post",1,0)+IF(D34="Pre",1,0)=4,Table442818[[#This Row],[Post Total]],""),"")</f>
        <v>3</v>
      </c>
      <c r="N35" s="5">
        <f>IF(IF(ISNUMBER(J34),1,0)+IF(ISNUMBER(Table442818[[#This Row],[Post Total]]),1,0)=2,IF(IF(Table442818[[#This Row],[Student Number]]=C34,1,0)+IF(Table442818[[#This Row],[Session]]=B34,1,0)+IF(Table442818[[#This Row],[Pre or Post]]="Post",1,0)+IF(D34="Pre",1,0)=4,Table442818[[#This Row],[Post Total]]-J34,""),"")</f>
        <v>2</v>
      </c>
      <c r="O35" s="5" t="b">
        <f>ISNUMBER(Table442818[[#This Row],[Change]])</f>
        <v>1</v>
      </c>
    </row>
    <row r="36" spans="1:15">
      <c r="A36" s="2" t="s">
        <v>12</v>
      </c>
      <c r="B36" s="2" t="s">
        <v>21</v>
      </c>
      <c r="C36" s="1">
        <v>6</v>
      </c>
      <c r="D36" s="2" t="s">
        <v>6</v>
      </c>
      <c r="E36" s="1">
        <v>11</v>
      </c>
      <c r="F36" s="1">
        <v>2</v>
      </c>
      <c r="G36" s="2" t="s">
        <v>8</v>
      </c>
      <c r="H36" s="5">
        <f>IF(IF(Table442818[[#This Row],[Pre or Post]]="Pre",1,0)+IF(ISNUMBER(Table442818[[#This Row],[Response]])=TRUE,1,0)=2,1,"")</f>
        <v>1</v>
      </c>
      <c r="I36" s="5" t="str">
        <f>IF(IF(Table442818[[#This Row],[Pre or Post]]="Post",1,0)+IF(ISNUMBER(Table442818[[#This Row],[Response]])=TRUE,1,0)=2,1,"")</f>
        <v/>
      </c>
      <c r="J36" s="5">
        <f>IF(IF(Table442818[[#This Row],[Pre or Post]]="Pre",1,0)+IF(ISNUMBER(Table442818[[#This Row],[Response]])=TRUE,1,0)=2,Table442818[[#This Row],[Response]],"")</f>
        <v>2</v>
      </c>
      <c r="K36" s="5" t="str">
        <f>IF(IF(Table442818[[#This Row],[Pre or Post]]="Post",1,0)+IF(ISNUMBER(Table442818[[#This Row],[Response]])=TRUE,1,0)=2,Table442818[[#This Row],[Response]],"")</f>
        <v/>
      </c>
      <c r="L36" s="5">
        <f>IF(IF(ISNUMBER(J36),1,0)+IF(ISNUMBER(K37),1,0)=2,IF(IF(C37=C36,1,0)+IF(B37=B36,1,0)+IF(D37="Post",1,0)+IF(D36="Pre",1,0)=4,Table442818[[#This Row],[Pre Total]],""),"")</f>
        <v>2</v>
      </c>
      <c r="M36" s="5" t="str">
        <f>IF(IF(ISNUMBER(J35),1,0)+IF(ISNUMBER(Table442818[[#This Row],[Post Total]]),1,0)=2,IF(IF(Table442818[[#This Row],[Student Number]]=C35,1,0)+IF(Table442818[[#This Row],[Session]]=B35,1,0)+IF(Table442818[[#This Row],[Pre or Post]]="Post",1,0)+IF(D35="Pre",1,0)=4,Table442818[[#This Row],[Post Total]],""),"")</f>
        <v/>
      </c>
      <c r="N36" s="5" t="str">
        <f>IF(IF(ISNUMBER(J35),1,0)+IF(ISNUMBER(Table442818[[#This Row],[Post Total]]),1,0)=2,IF(IF(Table442818[[#This Row],[Student Number]]=C35,1,0)+IF(Table442818[[#This Row],[Session]]=B35,1,0)+IF(Table442818[[#This Row],[Pre or Post]]="Post",1,0)+IF(D35="Pre",1,0)=4,Table442818[[#This Row],[Post Total]]-J35,""),"")</f>
        <v/>
      </c>
      <c r="O36" s="5" t="b">
        <f>ISNUMBER(Table442818[[#This Row],[Change]])</f>
        <v>0</v>
      </c>
    </row>
    <row r="37" spans="1:15">
      <c r="A37" s="2" t="s">
        <v>12</v>
      </c>
      <c r="B37" s="2" t="s">
        <v>21</v>
      </c>
      <c r="C37" s="1">
        <v>6</v>
      </c>
      <c r="D37" s="2" t="s">
        <v>16</v>
      </c>
      <c r="E37" s="1">
        <v>4</v>
      </c>
      <c r="F37" s="1">
        <v>4</v>
      </c>
      <c r="G37" s="2" t="s">
        <v>8</v>
      </c>
      <c r="H37" s="5" t="str">
        <f>IF(IF(Table442818[[#This Row],[Pre or Post]]="Pre",1,0)+IF(ISNUMBER(Table442818[[#This Row],[Response]])=TRUE,1,0)=2,1,"")</f>
        <v/>
      </c>
      <c r="I37" s="5">
        <f>IF(IF(Table442818[[#This Row],[Pre or Post]]="Post",1,0)+IF(ISNUMBER(Table442818[[#This Row],[Response]])=TRUE,1,0)=2,1,"")</f>
        <v>1</v>
      </c>
      <c r="J37" s="5" t="str">
        <f>IF(IF(Table442818[[#This Row],[Pre or Post]]="Pre",1,0)+IF(ISNUMBER(Table442818[[#This Row],[Response]])=TRUE,1,0)=2,Table442818[[#This Row],[Response]],"")</f>
        <v/>
      </c>
      <c r="K37" s="5">
        <f>IF(IF(Table442818[[#This Row],[Pre or Post]]="Post",1,0)+IF(ISNUMBER(Table442818[[#This Row],[Response]])=TRUE,1,0)=2,Table442818[[#This Row],[Response]],"")</f>
        <v>4</v>
      </c>
      <c r="L37" s="5" t="str">
        <f>IF(IF(ISNUMBER(J37),1,0)+IF(ISNUMBER(K38),1,0)=2,IF(IF(C38=C37,1,0)+IF(B38=B37,1,0)+IF(D38="Post",1,0)+IF(D37="Pre",1,0)=4,Table442818[[#This Row],[Pre Total]],""),"")</f>
        <v/>
      </c>
      <c r="M37" s="5">
        <f>IF(IF(ISNUMBER(J36),1,0)+IF(ISNUMBER(Table442818[[#This Row],[Post Total]]),1,0)=2,IF(IF(Table442818[[#This Row],[Student Number]]=C36,1,0)+IF(Table442818[[#This Row],[Session]]=B36,1,0)+IF(Table442818[[#This Row],[Pre or Post]]="Post",1,0)+IF(D36="Pre",1,0)=4,Table442818[[#This Row],[Post Total]],""),"")</f>
        <v>4</v>
      </c>
      <c r="N37" s="5">
        <f>IF(IF(ISNUMBER(J36),1,0)+IF(ISNUMBER(Table442818[[#This Row],[Post Total]]),1,0)=2,IF(IF(Table442818[[#This Row],[Student Number]]=C36,1,0)+IF(Table442818[[#This Row],[Session]]=B36,1,0)+IF(Table442818[[#This Row],[Pre or Post]]="Post",1,0)+IF(D36="Pre",1,0)=4,Table442818[[#This Row],[Post Total]]-J36,""),"")</f>
        <v>2</v>
      </c>
      <c r="O37" s="5" t="b">
        <f>ISNUMBER(Table442818[[#This Row],[Change]])</f>
        <v>1</v>
      </c>
    </row>
    <row r="38" spans="1:15">
      <c r="A38" s="2" t="s">
        <v>12</v>
      </c>
      <c r="B38" s="2" t="s">
        <v>21</v>
      </c>
      <c r="C38" s="1">
        <v>7</v>
      </c>
      <c r="D38" s="2" t="s">
        <v>6</v>
      </c>
      <c r="E38" s="2">
        <v>11</v>
      </c>
      <c r="F38" s="1">
        <v>5</v>
      </c>
      <c r="G38" s="2" t="s">
        <v>8</v>
      </c>
      <c r="H38" s="5">
        <f>IF(IF(Table442818[[#This Row],[Pre or Post]]="Pre",1,0)+IF(ISNUMBER(Table442818[[#This Row],[Response]])=TRUE,1,0)=2,1,"")</f>
        <v>1</v>
      </c>
      <c r="I38" s="5" t="str">
        <f>IF(IF(Table442818[[#This Row],[Pre or Post]]="Post",1,0)+IF(ISNUMBER(Table442818[[#This Row],[Response]])=TRUE,1,0)=2,1,"")</f>
        <v/>
      </c>
      <c r="J38" s="5">
        <f>IF(IF(Table442818[[#This Row],[Pre or Post]]="Pre",1,0)+IF(ISNUMBER(Table442818[[#This Row],[Response]])=TRUE,1,0)=2,Table442818[[#This Row],[Response]],"")</f>
        <v>5</v>
      </c>
      <c r="K38" s="5" t="str">
        <f>IF(IF(Table442818[[#This Row],[Pre or Post]]="Post",1,0)+IF(ISNUMBER(Table442818[[#This Row],[Response]])=TRUE,1,0)=2,Table442818[[#This Row],[Response]],"")</f>
        <v/>
      </c>
      <c r="L38" s="5">
        <f>IF(IF(ISNUMBER(J38),1,0)+IF(ISNUMBER(K39),1,0)=2,IF(IF(C39=C38,1,0)+IF(B39=B38,1,0)+IF(D39="Post",1,0)+IF(D38="Pre",1,0)=4,Table442818[[#This Row],[Pre Total]],""),"")</f>
        <v>5</v>
      </c>
      <c r="M38" s="5" t="str">
        <f>IF(IF(ISNUMBER(J37),1,0)+IF(ISNUMBER(Table442818[[#This Row],[Post Total]]),1,0)=2,IF(IF(Table442818[[#This Row],[Student Number]]=C37,1,0)+IF(Table442818[[#This Row],[Session]]=B37,1,0)+IF(Table442818[[#This Row],[Pre or Post]]="Post",1,0)+IF(D37="Pre",1,0)=4,Table442818[[#This Row],[Post Total]],""),"")</f>
        <v/>
      </c>
      <c r="N38" s="5" t="str">
        <f>IF(IF(ISNUMBER(J37),1,0)+IF(ISNUMBER(Table442818[[#This Row],[Post Total]]),1,0)=2,IF(IF(Table442818[[#This Row],[Student Number]]=C37,1,0)+IF(Table442818[[#This Row],[Session]]=B37,1,0)+IF(Table442818[[#This Row],[Pre or Post]]="Post",1,0)+IF(D37="Pre",1,0)=4,Table442818[[#This Row],[Post Total]]-J37,""),"")</f>
        <v/>
      </c>
      <c r="O38" s="5" t="b">
        <f>ISNUMBER(Table442818[[#This Row],[Change]])</f>
        <v>0</v>
      </c>
    </row>
    <row r="39" spans="1:15">
      <c r="A39" s="2" t="s">
        <v>12</v>
      </c>
      <c r="B39" s="2" t="s">
        <v>21</v>
      </c>
      <c r="C39" s="1">
        <v>7</v>
      </c>
      <c r="D39" s="2" t="s">
        <v>16</v>
      </c>
      <c r="E39" s="1">
        <v>4</v>
      </c>
      <c r="F39" s="1">
        <v>5</v>
      </c>
      <c r="G39" s="2" t="s">
        <v>8</v>
      </c>
      <c r="H39" s="5" t="str">
        <f>IF(IF(Table442818[[#This Row],[Pre or Post]]="Pre",1,0)+IF(ISNUMBER(Table442818[[#This Row],[Response]])=TRUE,1,0)=2,1,"")</f>
        <v/>
      </c>
      <c r="I39" s="5">
        <f>IF(IF(Table442818[[#This Row],[Pre or Post]]="Post",1,0)+IF(ISNUMBER(Table442818[[#This Row],[Response]])=TRUE,1,0)=2,1,"")</f>
        <v>1</v>
      </c>
      <c r="J39" s="5" t="str">
        <f>IF(IF(Table442818[[#This Row],[Pre or Post]]="Pre",1,0)+IF(ISNUMBER(Table442818[[#This Row],[Response]])=TRUE,1,0)=2,Table442818[[#This Row],[Response]],"")</f>
        <v/>
      </c>
      <c r="K39" s="5">
        <f>IF(IF(Table442818[[#This Row],[Pre or Post]]="Post",1,0)+IF(ISNUMBER(Table442818[[#This Row],[Response]])=TRUE,1,0)=2,Table442818[[#This Row],[Response]],"")</f>
        <v>5</v>
      </c>
      <c r="L39" s="5" t="str">
        <f>IF(IF(ISNUMBER(J39),1,0)+IF(ISNUMBER(K40),1,0)=2,IF(IF(C40=C39,1,0)+IF(B40=B39,1,0)+IF(D40="Post",1,0)+IF(D39="Pre",1,0)=4,Table442818[[#This Row],[Pre Total]],""),"")</f>
        <v/>
      </c>
      <c r="M39" s="5">
        <f>IF(IF(ISNUMBER(J38),1,0)+IF(ISNUMBER(Table442818[[#This Row],[Post Total]]),1,0)=2,IF(IF(Table442818[[#This Row],[Student Number]]=C38,1,0)+IF(Table442818[[#This Row],[Session]]=B38,1,0)+IF(Table442818[[#This Row],[Pre or Post]]="Post",1,0)+IF(D38="Pre",1,0)=4,Table442818[[#This Row],[Post Total]],""),"")</f>
        <v>5</v>
      </c>
      <c r="N39" s="5">
        <f>IF(IF(ISNUMBER(J38),1,0)+IF(ISNUMBER(Table442818[[#This Row],[Post Total]]),1,0)=2,IF(IF(Table442818[[#This Row],[Student Number]]=C38,1,0)+IF(Table442818[[#This Row],[Session]]=B38,1,0)+IF(Table442818[[#This Row],[Pre or Post]]="Post",1,0)+IF(D38="Pre",1,0)=4,Table442818[[#This Row],[Post Total]]-J38,""),"")</f>
        <v>0</v>
      </c>
      <c r="O39" s="5" t="b">
        <f>ISNUMBER(Table442818[[#This Row],[Change]])</f>
        <v>1</v>
      </c>
    </row>
    <row r="40" spans="1:15">
      <c r="A40" s="2" t="s">
        <v>12</v>
      </c>
      <c r="B40" s="2" t="s">
        <v>21</v>
      </c>
      <c r="C40" s="1">
        <v>8</v>
      </c>
      <c r="D40" s="2" t="s">
        <v>6</v>
      </c>
      <c r="E40" s="1">
        <v>11</v>
      </c>
      <c r="F40" s="1">
        <v>2</v>
      </c>
      <c r="G40" s="2" t="s">
        <v>8</v>
      </c>
      <c r="H40" s="5">
        <f>IF(IF(Table442818[[#This Row],[Pre or Post]]="Pre",1,0)+IF(ISNUMBER(Table442818[[#This Row],[Response]])=TRUE,1,0)=2,1,"")</f>
        <v>1</v>
      </c>
      <c r="I40" s="5" t="str">
        <f>IF(IF(Table442818[[#This Row],[Pre or Post]]="Post",1,0)+IF(ISNUMBER(Table442818[[#This Row],[Response]])=TRUE,1,0)=2,1,"")</f>
        <v/>
      </c>
      <c r="J40" s="5">
        <f>IF(IF(Table442818[[#This Row],[Pre or Post]]="Pre",1,0)+IF(ISNUMBER(Table442818[[#This Row],[Response]])=TRUE,1,0)=2,Table442818[[#This Row],[Response]],"")</f>
        <v>2</v>
      </c>
      <c r="K40" s="5" t="str">
        <f>IF(IF(Table442818[[#This Row],[Pre or Post]]="Post",1,0)+IF(ISNUMBER(Table442818[[#This Row],[Response]])=TRUE,1,0)=2,Table442818[[#This Row],[Response]],"")</f>
        <v/>
      </c>
      <c r="L40" s="5">
        <f>IF(IF(ISNUMBER(J40),1,0)+IF(ISNUMBER(K41),1,0)=2,IF(IF(C41=C40,1,0)+IF(B41=B40,1,0)+IF(D41="Post",1,0)+IF(D40="Pre",1,0)=4,Table442818[[#This Row],[Pre Total]],""),"")</f>
        <v>2</v>
      </c>
      <c r="M40" s="5" t="str">
        <f>IF(IF(ISNUMBER(J39),1,0)+IF(ISNUMBER(Table442818[[#This Row],[Post Total]]),1,0)=2,IF(IF(Table442818[[#This Row],[Student Number]]=C39,1,0)+IF(Table442818[[#This Row],[Session]]=B39,1,0)+IF(Table442818[[#This Row],[Pre or Post]]="Post",1,0)+IF(D39="Pre",1,0)=4,Table442818[[#This Row],[Post Total]],""),"")</f>
        <v/>
      </c>
      <c r="N40" s="5" t="str">
        <f>IF(IF(ISNUMBER(J39),1,0)+IF(ISNUMBER(Table442818[[#This Row],[Post Total]]),1,0)=2,IF(IF(Table442818[[#This Row],[Student Number]]=C39,1,0)+IF(Table442818[[#This Row],[Session]]=B39,1,0)+IF(Table442818[[#This Row],[Pre or Post]]="Post",1,0)+IF(D39="Pre",1,0)=4,Table442818[[#This Row],[Post Total]]-J39,""),"")</f>
        <v/>
      </c>
      <c r="O40" s="5" t="b">
        <f>ISNUMBER(Table442818[[#This Row],[Change]])</f>
        <v>0</v>
      </c>
    </row>
    <row r="41" spans="1:15">
      <c r="A41" s="2" t="s">
        <v>12</v>
      </c>
      <c r="B41" s="2" t="s">
        <v>21</v>
      </c>
      <c r="C41" s="1">
        <v>8</v>
      </c>
      <c r="D41" s="2" t="s">
        <v>16</v>
      </c>
      <c r="E41" s="1">
        <v>4</v>
      </c>
      <c r="F41" s="1">
        <v>3</v>
      </c>
      <c r="G41" s="2" t="s">
        <v>8</v>
      </c>
      <c r="H41" s="5" t="str">
        <f>IF(IF(Table442818[[#This Row],[Pre or Post]]="Pre",1,0)+IF(ISNUMBER(Table442818[[#This Row],[Response]])=TRUE,1,0)=2,1,"")</f>
        <v/>
      </c>
      <c r="I41" s="5">
        <f>IF(IF(Table442818[[#This Row],[Pre or Post]]="Post",1,0)+IF(ISNUMBER(Table442818[[#This Row],[Response]])=TRUE,1,0)=2,1,"")</f>
        <v>1</v>
      </c>
      <c r="J41" s="5" t="str">
        <f>IF(IF(Table442818[[#This Row],[Pre or Post]]="Pre",1,0)+IF(ISNUMBER(Table442818[[#This Row],[Response]])=TRUE,1,0)=2,Table442818[[#This Row],[Response]],"")</f>
        <v/>
      </c>
      <c r="K41" s="5">
        <f>IF(IF(Table442818[[#This Row],[Pre or Post]]="Post",1,0)+IF(ISNUMBER(Table442818[[#This Row],[Response]])=TRUE,1,0)=2,Table442818[[#This Row],[Response]],"")</f>
        <v>3</v>
      </c>
      <c r="L41" s="5" t="str">
        <f>IF(IF(ISNUMBER(J41),1,0)+IF(ISNUMBER(K42),1,0)=2,IF(IF(C42=C41,1,0)+IF(B42=B41,1,0)+IF(D42="Post",1,0)+IF(D41="Pre",1,0)=4,Table442818[[#This Row],[Pre Total]],""),"")</f>
        <v/>
      </c>
      <c r="M41" s="5">
        <f>IF(IF(ISNUMBER(J40),1,0)+IF(ISNUMBER(Table442818[[#This Row],[Post Total]]),1,0)=2,IF(IF(Table442818[[#This Row],[Student Number]]=C40,1,0)+IF(Table442818[[#This Row],[Session]]=B40,1,0)+IF(Table442818[[#This Row],[Pre or Post]]="Post",1,0)+IF(D40="Pre",1,0)=4,Table442818[[#This Row],[Post Total]],""),"")</f>
        <v>3</v>
      </c>
      <c r="N41" s="5">
        <f>IF(IF(ISNUMBER(J40),1,0)+IF(ISNUMBER(Table442818[[#This Row],[Post Total]]),1,0)=2,IF(IF(Table442818[[#This Row],[Student Number]]=C40,1,0)+IF(Table442818[[#This Row],[Session]]=B40,1,0)+IF(Table442818[[#This Row],[Pre or Post]]="Post",1,0)+IF(D40="Pre",1,0)=4,Table442818[[#This Row],[Post Total]]-J40,""),"")</f>
        <v>1</v>
      </c>
      <c r="O41" s="5" t="b">
        <f>ISNUMBER(Table442818[[#This Row],[Change]])</f>
        <v>1</v>
      </c>
    </row>
    <row r="42" spans="1:15">
      <c r="A42" s="2" t="s">
        <v>12</v>
      </c>
      <c r="B42" s="2" t="s">
        <v>21</v>
      </c>
      <c r="C42" s="1">
        <v>9</v>
      </c>
      <c r="D42" s="2" t="s">
        <v>6</v>
      </c>
      <c r="E42" s="2">
        <v>11</v>
      </c>
      <c r="F42" s="1">
        <v>1</v>
      </c>
      <c r="G42" s="2" t="s">
        <v>8</v>
      </c>
      <c r="H42" s="5">
        <f>IF(IF(Table442818[[#This Row],[Pre or Post]]="Pre",1,0)+IF(ISNUMBER(Table442818[[#This Row],[Response]])=TRUE,1,0)=2,1,"")</f>
        <v>1</v>
      </c>
      <c r="I42" s="5" t="str">
        <f>IF(IF(Table442818[[#This Row],[Pre or Post]]="Post",1,0)+IF(ISNUMBER(Table442818[[#This Row],[Response]])=TRUE,1,0)=2,1,"")</f>
        <v/>
      </c>
      <c r="J42" s="5">
        <f>IF(IF(Table442818[[#This Row],[Pre or Post]]="Pre",1,0)+IF(ISNUMBER(Table442818[[#This Row],[Response]])=TRUE,1,0)=2,Table442818[[#This Row],[Response]],"")</f>
        <v>1</v>
      </c>
      <c r="K42" s="5" t="str">
        <f>IF(IF(Table442818[[#This Row],[Pre or Post]]="Post",1,0)+IF(ISNUMBER(Table442818[[#This Row],[Response]])=TRUE,1,0)=2,Table442818[[#This Row],[Response]],"")</f>
        <v/>
      </c>
      <c r="L42" s="5">
        <f>IF(IF(ISNUMBER(J42),1,0)+IF(ISNUMBER(K43),1,0)=2,IF(IF(C43=C42,1,0)+IF(B43=B42,1,0)+IF(D43="Post",1,0)+IF(D42="Pre",1,0)=4,Table442818[[#This Row],[Pre Total]],""),"")</f>
        <v>1</v>
      </c>
      <c r="M42" s="5" t="str">
        <f>IF(IF(ISNUMBER(J41),1,0)+IF(ISNUMBER(Table442818[[#This Row],[Post Total]]),1,0)=2,IF(IF(Table442818[[#This Row],[Student Number]]=C41,1,0)+IF(Table442818[[#This Row],[Session]]=B41,1,0)+IF(Table442818[[#This Row],[Pre or Post]]="Post",1,0)+IF(D41="Pre",1,0)=4,Table442818[[#This Row],[Post Total]],""),"")</f>
        <v/>
      </c>
      <c r="N42" s="5" t="str">
        <f>IF(IF(ISNUMBER(J41),1,0)+IF(ISNUMBER(Table442818[[#This Row],[Post Total]]),1,0)=2,IF(IF(Table442818[[#This Row],[Student Number]]=C41,1,0)+IF(Table442818[[#This Row],[Session]]=B41,1,0)+IF(Table442818[[#This Row],[Pre or Post]]="Post",1,0)+IF(D41="Pre",1,0)=4,Table442818[[#This Row],[Post Total]]-J41,""),"")</f>
        <v/>
      </c>
      <c r="O42" s="5" t="b">
        <f>ISNUMBER(Table442818[[#This Row],[Change]])</f>
        <v>0</v>
      </c>
    </row>
    <row r="43" spans="1:15">
      <c r="A43" s="2" t="s">
        <v>12</v>
      </c>
      <c r="B43" s="2" t="s">
        <v>21</v>
      </c>
      <c r="C43" s="1">
        <v>9</v>
      </c>
      <c r="D43" s="2" t="s">
        <v>16</v>
      </c>
      <c r="E43" s="1">
        <v>4</v>
      </c>
      <c r="F43" s="1">
        <v>5</v>
      </c>
      <c r="G43" s="2" t="s">
        <v>8</v>
      </c>
      <c r="H43" s="5" t="str">
        <f>IF(IF(Table442818[[#This Row],[Pre or Post]]="Pre",1,0)+IF(ISNUMBER(Table442818[[#This Row],[Response]])=TRUE,1,0)=2,1,"")</f>
        <v/>
      </c>
      <c r="I43" s="5">
        <f>IF(IF(Table442818[[#This Row],[Pre or Post]]="Post",1,0)+IF(ISNUMBER(Table442818[[#This Row],[Response]])=TRUE,1,0)=2,1,"")</f>
        <v>1</v>
      </c>
      <c r="J43" s="5" t="str">
        <f>IF(IF(Table442818[[#This Row],[Pre or Post]]="Pre",1,0)+IF(ISNUMBER(Table442818[[#This Row],[Response]])=TRUE,1,0)=2,Table442818[[#This Row],[Response]],"")</f>
        <v/>
      </c>
      <c r="K43" s="5">
        <f>IF(IF(Table442818[[#This Row],[Pre or Post]]="Post",1,0)+IF(ISNUMBER(Table442818[[#This Row],[Response]])=TRUE,1,0)=2,Table442818[[#This Row],[Response]],"")</f>
        <v>5</v>
      </c>
      <c r="L43" s="5" t="str">
        <f>IF(IF(ISNUMBER(J43),1,0)+IF(ISNUMBER(K44),1,0)=2,IF(IF(C44=C43,1,0)+IF(B44=B43,1,0)+IF(D44="Post",1,0)+IF(D43="Pre",1,0)=4,Table442818[[#This Row],[Pre Total]],""),"")</f>
        <v/>
      </c>
      <c r="M43" s="5">
        <f>IF(IF(ISNUMBER(J42),1,0)+IF(ISNUMBER(Table442818[[#This Row],[Post Total]]),1,0)=2,IF(IF(Table442818[[#This Row],[Student Number]]=C42,1,0)+IF(Table442818[[#This Row],[Session]]=B42,1,0)+IF(Table442818[[#This Row],[Pre or Post]]="Post",1,0)+IF(D42="Pre",1,0)=4,Table442818[[#This Row],[Post Total]],""),"")</f>
        <v>5</v>
      </c>
      <c r="N43" s="5">
        <f>IF(IF(ISNUMBER(J42),1,0)+IF(ISNUMBER(Table442818[[#This Row],[Post Total]]),1,0)=2,IF(IF(Table442818[[#This Row],[Student Number]]=C42,1,0)+IF(Table442818[[#This Row],[Session]]=B42,1,0)+IF(Table442818[[#This Row],[Pre or Post]]="Post",1,0)+IF(D42="Pre",1,0)=4,Table442818[[#This Row],[Post Total]]-J42,""),"")</f>
        <v>4</v>
      </c>
      <c r="O43" s="5" t="b">
        <f>ISNUMBER(Table442818[[#This Row],[Change]])</f>
        <v>1</v>
      </c>
    </row>
    <row r="44" spans="1:15">
      <c r="A44" s="2" t="s">
        <v>12</v>
      </c>
      <c r="B44" s="2" t="s">
        <v>21</v>
      </c>
      <c r="C44" s="1">
        <v>10</v>
      </c>
      <c r="D44" s="2" t="s">
        <v>6</v>
      </c>
      <c r="E44" s="1">
        <v>11</v>
      </c>
      <c r="F44" s="1">
        <v>2</v>
      </c>
      <c r="G44" s="2" t="s">
        <v>8</v>
      </c>
      <c r="H44" s="5">
        <f>IF(IF(Table442818[[#This Row],[Pre or Post]]="Pre",1,0)+IF(ISNUMBER(Table442818[[#This Row],[Response]])=TRUE,1,0)=2,1,"")</f>
        <v>1</v>
      </c>
      <c r="I44" s="5" t="str">
        <f>IF(IF(Table442818[[#This Row],[Pre or Post]]="Post",1,0)+IF(ISNUMBER(Table442818[[#This Row],[Response]])=TRUE,1,0)=2,1,"")</f>
        <v/>
      </c>
      <c r="J44" s="5">
        <f>IF(IF(Table442818[[#This Row],[Pre or Post]]="Pre",1,0)+IF(ISNUMBER(Table442818[[#This Row],[Response]])=TRUE,1,0)=2,Table442818[[#This Row],[Response]],"")</f>
        <v>2</v>
      </c>
      <c r="K44" s="5" t="str">
        <f>IF(IF(Table442818[[#This Row],[Pre or Post]]="Post",1,0)+IF(ISNUMBER(Table442818[[#This Row],[Response]])=TRUE,1,0)=2,Table442818[[#This Row],[Response]],"")</f>
        <v/>
      </c>
      <c r="L44" s="5">
        <f>IF(IF(ISNUMBER(J44),1,0)+IF(ISNUMBER(K45),1,0)=2,IF(IF(C45=C44,1,0)+IF(B45=B44,1,0)+IF(D45="Post",1,0)+IF(D44="Pre",1,0)=4,Table442818[[#This Row],[Pre Total]],""),"")</f>
        <v>2</v>
      </c>
      <c r="M44" s="5" t="str">
        <f>IF(IF(ISNUMBER(J43),1,0)+IF(ISNUMBER(Table442818[[#This Row],[Post Total]]),1,0)=2,IF(IF(Table442818[[#This Row],[Student Number]]=C43,1,0)+IF(Table442818[[#This Row],[Session]]=B43,1,0)+IF(Table442818[[#This Row],[Pre or Post]]="Post",1,0)+IF(D43="Pre",1,0)=4,Table442818[[#This Row],[Post Total]],""),"")</f>
        <v/>
      </c>
      <c r="N44" s="5" t="str">
        <f>IF(IF(ISNUMBER(J43),1,0)+IF(ISNUMBER(Table442818[[#This Row],[Post Total]]),1,0)=2,IF(IF(Table442818[[#This Row],[Student Number]]=C43,1,0)+IF(Table442818[[#This Row],[Session]]=B43,1,0)+IF(Table442818[[#This Row],[Pre or Post]]="Post",1,0)+IF(D43="Pre",1,0)=4,Table442818[[#This Row],[Post Total]]-J43,""),"")</f>
        <v/>
      </c>
      <c r="O44" s="5" t="b">
        <f>ISNUMBER(Table442818[[#This Row],[Change]])</f>
        <v>0</v>
      </c>
    </row>
    <row r="45" spans="1:15">
      <c r="A45" s="2" t="s">
        <v>12</v>
      </c>
      <c r="B45" s="2" t="s">
        <v>21</v>
      </c>
      <c r="C45" s="1">
        <v>10</v>
      </c>
      <c r="D45" s="2" t="s">
        <v>16</v>
      </c>
      <c r="E45" s="1">
        <v>4</v>
      </c>
      <c r="F45" s="1">
        <v>1</v>
      </c>
      <c r="G45" s="2" t="s">
        <v>8</v>
      </c>
      <c r="H45" s="5" t="str">
        <f>IF(IF(Table442818[[#This Row],[Pre or Post]]="Pre",1,0)+IF(ISNUMBER(Table442818[[#This Row],[Response]])=TRUE,1,0)=2,1,"")</f>
        <v/>
      </c>
      <c r="I45" s="5">
        <f>IF(IF(Table442818[[#This Row],[Pre or Post]]="Post",1,0)+IF(ISNUMBER(Table442818[[#This Row],[Response]])=TRUE,1,0)=2,1,"")</f>
        <v>1</v>
      </c>
      <c r="J45" s="5" t="str">
        <f>IF(IF(Table442818[[#This Row],[Pre or Post]]="Pre",1,0)+IF(ISNUMBER(Table442818[[#This Row],[Response]])=TRUE,1,0)=2,Table442818[[#This Row],[Response]],"")</f>
        <v/>
      </c>
      <c r="K45" s="5">
        <f>IF(IF(Table442818[[#This Row],[Pre or Post]]="Post",1,0)+IF(ISNUMBER(Table442818[[#This Row],[Response]])=TRUE,1,0)=2,Table442818[[#This Row],[Response]],"")</f>
        <v>1</v>
      </c>
      <c r="L45" s="5" t="str">
        <f>IF(IF(ISNUMBER(J45),1,0)+IF(ISNUMBER(K46),1,0)=2,IF(IF(C46=C45,1,0)+IF(B46=B45,1,0)+IF(D46="Post",1,0)+IF(D45="Pre",1,0)=4,Table442818[[#This Row],[Pre Total]],""),"")</f>
        <v/>
      </c>
      <c r="M45" s="5">
        <f>IF(IF(ISNUMBER(J44),1,0)+IF(ISNUMBER(Table442818[[#This Row],[Post Total]]),1,0)=2,IF(IF(Table442818[[#This Row],[Student Number]]=C44,1,0)+IF(Table442818[[#This Row],[Session]]=B44,1,0)+IF(Table442818[[#This Row],[Pre or Post]]="Post",1,0)+IF(D44="Pre",1,0)=4,Table442818[[#This Row],[Post Total]],""),"")</f>
        <v>1</v>
      </c>
      <c r="N45" s="5">
        <f>IF(IF(ISNUMBER(J44),1,0)+IF(ISNUMBER(Table442818[[#This Row],[Post Total]]),1,0)=2,IF(IF(Table442818[[#This Row],[Student Number]]=C44,1,0)+IF(Table442818[[#This Row],[Session]]=B44,1,0)+IF(Table442818[[#This Row],[Pre or Post]]="Post",1,0)+IF(D44="Pre",1,0)=4,Table442818[[#This Row],[Post Total]]-J44,""),"")</f>
        <v>-1</v>
      </c>
      <c r="O45" s="5" t="b">
        <f>ISNUMBER(Table442818[[#This Row],[Change]])</f>
        <v>1</v>
      </c>
    </row>
    <row r="46" spans="1:15">
      <c r="A46" s="2" t="s">
        <v>12</v>
      </c>
      <c r="B46" s="2" t="s">
        <v>21</v>
      </c>
      <c r="C46" s="1">
        <v>11</v>
      </c>
      <c r="D46" s="2" t="s">
        <v>6</v>
      </c>
      <c r="E46" s="2">
        <v>11</v>
      </c>
      <c r="F46" s="1">
        <v>4</v>
      </c>
      <c r="G46" s="2" t="s">
        <v>8</v>
      </c>
      <c r="H46" s="5">
        <f>IF(IF(Table442818[[#This Row],[Pre or Post]]="Pre",1,0)+IF(ISNUMBER(Table442818[[#This Row],[Response]])=TRUE,1,0)=2,1,"")</f>
        <v>1</v>
      </c>
      <c r="I46" s="5" t="str">
        <f>IF(IF(Table442818[[#This Row],[Pre or Post]]="Post",1,0)+IF(ISNUMBER(Table442818[[#This Row],[Response]])=TRUE,1,0)=2,1,"")</f>
        <v/>
      </c>
      <c r="J46" s="5">
        <f>IF(IF(Table442818[[#This Row],[Pre or Post]]="Pre",1,0)+IF(ISNUMBER(Table442818[[#This Row],[Response]])=TRUE,1,0)=2,Table442818[[#This Row],[Response]],"")</f>
        <v>4</v>
      </c>
      <c r="K46" s="5" t="str">
        <f>IF(IF(Table442818[[#This Row],[Pre or Post]]="Post",1,0)+IF(ISNUMBER(Table442818[[#This Row],[Response]])=TRUE,1,0)=2,Table442818[[#This Row],[Response]],"")</f>
        <v/>
      </c>
      <c r="L46" s="5">
        <f>IF(IF(ISNUMBER(J46),1,0)+IF(ISNUMBER(K47),1,0)=2,IF(IF(C47=C46,1,0)+IF(B47=B46,1,0)+IF(D47="Post",1,0)+IF(D46="Pre",1,0)=4,Table442818[[#This Row],[Pre Total]],""),"")</f>
        <v>4</v>
      </c>
      <c r="M46" s="5" t="str">
        <f>IF(IF(ISNUMBER(J45),1,0)+IF(ISNUMBER(Table442818[[#This Row],[Post Total]]),1,0)=2,IF(IF(Table442818[[#This Row],[Student Number]]=C45,1,0)+IF(Table442818[[#This Row],[Session]]=B45,1,0)+IF(Table442818[[#This Row],[Pre or Post]]="Post",1,0)+IF(D45="Pre",1,0)=4,Table442818[[#This Row],[Post Total]],""),"")</f>
        <v/>
      </c>
      <c r="N46" s="5" t="str">
        <f>IF(IF(ISNUMBER(J45),1,0)+IF(ISNUMBER(Table442818[[#This Row],[Post Total]]),1,0)=2,IF(IF(Table442818[[#This Row],[Student Number]]=C45,1,0)+IF(Table442818[[#This Row],[Session]]=B45,1,0)+IF(Table442818[[#This Row],[Pre or Post]]="Post",1,0)+IF(D45="Pre",1,0)=4,Table442818[[#This Row],[Post Total]]-J45,""),"")</f>
        <v/>
      </c>
      <c r="O46" s="5" t="b">
        <f>ISNUMBER(Table442818[[#This Row],[Change]])</f>
        <v>0</v>
      </c>
    </row>
    <row r="47" spans="1:15">
      <c r="A47" s="2" t="s">
        <v>12</v>
      </c>
      <c r="B47" s="2" t="s">
        <v>21</v>
      </c>
      <c r="C47" s="1">
        <v>11</v>
      </c>
      <c r="D47" s="2" t="s">
        <v>16</v>
      </c>
      <c r="E47" s="1">
        <v>4</v>
      </c>
      <c r="F47" s="1">
        <v>4</v>
      </c>
      <c r="G47" s="2" t="s">
        <v>8</v>
      </c>
      <c r="H47" s="5" t="str">
        <f>IF(IF(Table442818[[#This Row],[Pre or Post]]="Pre",1,0)+IF(ISNUMBER(Table442818[[#This Row],[Response]])=TRUE,1,0)=2,1,"")</f>
        <v/>
      </c>
      <c r="I47" s="5">
        <f>IF(IF(Table442818[[#This Row],[Pre or Post]]="Post",1,0)+IF(ISNUMBER(Table442818[[#This Row],[Response]])=TRUE,1,0)=2,1,"")</f>
        <v>1</v>
      </c>
      <c r="J47" s="5" t="str">
        <f>IF(IF(Table442818[[#This Row],[Pre or Post]]="Pre",1,0)+IF(ISNUMBER(Table442818[[#This Row],[Response]])=TRUE,1,0)=2,Table442818[[#This Row],[Response]],"")</f>
        <v/>
      </c>
      <c r="K47" s="5">
        <f>IF(IF(Table442818[[#This Row],[Pre or Post]]="Post",1,0)+IF(ISNUMBER(Table442818[[#This Row],[Response]])=TRUE,1,0)=2,Table442818[[#This Row],[Response]],"")</f>
        <v>4</v>
      </c>
      <c r="L47" s="5" t="str">
        <f>IF(IF(ISNUMBER(J47),1,0)+IF(ISNUMBER(K48),1,0)=2,IF(IF(C48=C47,1,0)+IF(B48=B47,1,0)+IF(D48="Post",1,0)+IF(D47="Pre",1,0)=4,Table442818[[#This Row],[Pre Total]],""),"")</f>
        <v/>
      </c>
      <c r="M47" s="5">
        <f>IF(IF(ISNUMBER(J46),1,0)+IF(ISNUMBER(Table442818[[#This Row],[Post Total]]),1,0)=2,IF(IF(Table442818[[#This Row],[Student Number]]=C46,1,0)+IF(Table442818[[#This Row],[Session]]=B46,1,0)+IF(Table442818[[#This Row],[Pre or Post]]="Post",1,0)+IF(D46="Pre",1,0)=4,Table442818[[#This Row],[Post Total]],""),"")</f>
        <v>4</v>
      </c>
      <c r="N47" s="5">
        <f>IF(IF(ISNUMBER(J46),1,0)+IF(ISNUMBER(Table442818[[#This Row],[Post Total]]),1,0)=2,IF(IF(Table442818[[#This Row],[Student Number]]=C46,1,0)+IF(Table442818[[#This Row],[Session]]=B46,1,0)+IF(Table442818[[#This Row],[Pre or Post]]="Post",1,0)+IF(D46="Pre",1,0)=4,Table442818[[#This Row],[Post Total]]-J46,""),"")</f>
        <v>0</v>
      </c>
      <c r="O47" s="5" t="b">
        <f>ISNUMBER(Table442818[[#This Row],[Change]])</f>
        <v>1</v>
      </c>
    </row>
    <row r="48" spans="1:15">
      <c r="A48" s="2" t="s">
        <v>12</v>
      </c>
      <c r="B48" s="2" t="s">
        <v>21</v>
      </c>
      <c r="C48" s="1">
        <v>12</v>
      </c>
      <c r="D48" s="2" t="s">
        <v>6</v>
      </c>
      <c r="E48" s="1">
        <v>11</v>
      </c>
      <c r="F48" s="1">
        <v>1</v>
      </c>
      <c r="G48" s="2" t="s">
        <v>8</v>
      </c>
      <c r="H48" s="5">
        <f>IF(IF(Table442818[[#This Row],[Pre or Post]]="Pre",1,0)+IF(ISNUMBER(Table442818[[#This Row],[Response]])=TRUE,1,0)=2,1,"")</f>
        <v>1</v>
      </c>
      <c r="I48" s="5" t="str">
        <f>IF(IF(Table442818[[#This Row],[Pre or Post]]="Post",1,0)+IF(ISNUMBER(Table442818[[#This Row],[Response]])=TRUE,1,0)=2,1,"")</f>
        <v/>
      </c>
      <c r="J48" s="5">
        <f>IF(IF(Table442818[[#This Row],[Pre or Post]]="Pre",1,0)+IF(ISNUMBER(Table442818[[#This Row],[Response]])=TRUE,1,0)=2,Table442818[[#This Row],[Response]],"")</f>
        <v>1</v>
      </c>
      <c r="K48" s="5" t="str">
        <f>IF(IF(Table442818[[#This Row],[Pre or Post]]="Post",1,0)+IF(ISNUMBER(Table442818[[#This Row],[Response]])=TRUE,1,0)=2,Table442818[[#This Row],[Response]],"")</f>
        <v/>
      </c>
      <c r="L48" s="5">
        <f>IF(IF(ISNUMBER(J48),1,0)+IF(ISNUMBER(K49),1,0)=2,IF(IF(C49=C48,1,0)+IF(B49=B48,1,0)+IF(D49="Post",1,0)+IF(D48="Pre",1,0)=4,Table442818[[#This Row],[Pre Total]],""),"")</f>
        <v>1</v>
      </c>
      <c r="M48" s="5" t="str">
        <f>IF(IF(ISNUMBER(J47),1,0)+IF(ISNUMBER(Table442818[[#This Row],[Post Total]]),1,0)=2,IF(IF(Table442818[[#This Row],[Student Number]]=C47,1,0)+IF(Table442818[[#This Row],[Session]]=B47,1,0)+IF(Table442818[[#This Row],[Pre or Post]]="Post",1,0)+IF(D47="Pre",1,0)=4,Table442818[[#This Row],[Post Total]],""),"")</f>
        <v/>
      </c>
      <c r="N48" s="5" t="str">
        <f>IF(IF(ISNUMBER(J47),1,0)+IF(ISNUMBER(Table442818[[#This Row],[Post Total]]),1,0)=2,IF(IF(Table442818[[#This Row],[Student Number]]=C47,1,0)+IF(Table442818[[#This Row],[Session]]=B47,1,0)+IF(Table442818[[#This Row],[Pre or Post]]="Post",1,0)+IF(D47="Pre",1,0)=4,Table442818[[#This Row],[Post Total]]-J47,""),"")</f>
        <v/>
      </c>
      <c r="O48" s="5" t="b">
        <f>ISNUMBER(Table442818[[#This Row],[Change]])</f>
        <v>0</v>
      </c>
    </row>
    <row r="49" spans="1:15">
      <c r="A49" s="2" t="s">
        <v>12</v>
      </c>
      <c r="B49" s="2" t="s">
        <v>21</v>
      </c>
      <c r="C49" s="1">
        <v>12</v>
      </c>
      <c r="D49" s="2" t="s">
        <v>16</v>
      </c>
      <c r="E49" s="1">
        <v>4</v>
      </c>
      <c r="F49" s="1">
        <v>1</v>
      </c>
      <c r="G49" s="2" t="s">
        <v>8</v>
      </c>
      <c r="H49" s="5" t="str">
        <f>IF(IF(Table442818[[#This Row],[Pre or Post]]="Pre",1,0)+IF(ISNUMBER(Table442818[[#This Row],[Response]])=TRUE,1,0)=2,1,"")</f>
        <v/>
      </c>
      <c r="I49" s="5">
        <f>IF(IF(Table442818[[#This Row],[Pre or Post]]="Post",1,0)+IF(ISNUMBER(Table442818[[#This Row],[Response]])=TRUE,1,0)=2,1,"")</f>
        <v>1</v>
      </c>
      <c r="J49" s="5" t="str">
        <f>IF(IF(Table442818[[#This Row],[Pre or Post]]="Pre",1,0)+IF(ISNUMBER(Table442818[[#This Row],[Response]])=TRUE,1,0)=2,Table442818[[#This Row],[Response]],"")</f>
        <v/>
      </c>
      <c r="K49" s="5">
        <f>IF(IF(Table442818[[#This Row],[Pre or Post]]="Post",1,0)+IF(ISNUMBER(Table442818[[#This Row],[Response]])=TRUE,1,0)=2,Table442818[[#This Row],[Response]],"")</f>
        <v>1</v>
      </c>
      <c r="L49" s="5" t="str">
        <f>IF(IF(ISNUMBER(J49),1,0)+IF(ISNUMBER(K50),1,0)=2,IF(IF(C50=C49,1,0)+IF(B50=B49,1,0)+IF(D50="Post",1,0)+IF(D49="Pre",1,0)=4,Table442818[[#This Row],[Pre Total]],""),"")</f>
        <v/>
      </c>
      <c r="M49" s="5">
        <f>IF(IF(ISNUMBER(J48),1,0)+IF(ISNUMBER(Table442818[[#This Row],[Post Total]]),1,0)=2,IF(IF(Table442818[[#This Row],[Student Number]]=C48,1,0)+IF(Table442818[[#This Row],[Session]]=B48,1,0)+IF(Table442818[[#This Row],[Pre or Post]]="Post",1,0)+IF(D48="Pre",1,0)=4,Table442818[[#This Row],[Post Total]],""),"")</f>
        <v>1</v>
      </c>
      <c r="N49" s="5">
        <f>IF(IF(ISNUMBER(J48),1,0)+IF(ISNUMBER(Table442818[[#This Row],[Post Total]]),1,0)=2,IF(IF(Table442818[[#This Row],[Student Number]]=C48,1,0)+IF(Table442818[[#This Row],[Session]]=B48,1,0)+IF(Table442818[[#This Row],[Pre or Post]]="Post",1,0)+IF(D48="Pre",1,0)=4,Table442818[[#This Row],[Post Total]]-J48,""),"")</f>
        <v>0</v>
      </c>
      <c r="O49" s="5" t="b">
        <f>ISNUMBER(Table442818[[#This Row],[Change]])</f>
        <v>1</v>
      </c>
    </row>
    <row r="50" spans="1:15">
      <c r="A50" s="2" t="s">
        <v>12</v>
      </c>
      <c r="B50" s="2" t="s">
        <v>21</v>
      </c>
      <c r="C50" s="1">
        <v>13</v>
      </c>
      <c r="D50" s="2" t="s">
        <v>6</v>
      </c>
      <c r="E50" s="2">
        <v>11</v>
      </c>
      <c r="F50" s="1">
        <v>4</v>
      </c>
      <c r="G50" s="2" t="s">
        <v>8</v>
      </c>
      <c r="H50" s="5">
        <f>IF(IF(Table442818[[#This Row],[Pre or Post]]="Pre",1,0)+IF(ISNUMBER(Table442818[[#This Row],[Response]])=TRUE,1,0)=2,1,"")</f>
        <v>1</v>
      </c>
      <c r="I50" s="5" t="str">
        <f>IF(IF(Table442818[[#This Row],[Pre or Post]]="Post",1,0)+IF(ISNUMBER(Table442818[[#This Row],[Response]])=TRUE,1,0)=2,1,"")</f>
        <v/>
      </c>
      <c r="J50" s="5">
        <f>IF(IF(Table442818[[#This Row],[Pre or Post]]="Pre",1,0)+IF(ISNUMBER(Table442818[[#This Row],[Response]])=TRUE,1,0)=2,Table442818[[#This Row],[Response]],"")</f>
        <v>4</v>
      </c>
      <c r="K50" s="5" t="str">
        <f>IF(IF(Table442818[[#This Row],[Pre or Post]]="Post",1,0)+IF(ISNUMBER(Table442818[[#This Row],[Response]])=TRUE,1,0)=2,Table442818[[#This Row],[Response]],"")</f>
        <v/>
      </c>
      <c r="L50" s="5">
        <f>IF(IF(ISNUMBER(J50),1,0)+IF(ISNUMBER(K51),1,0)=2,IF(IF(C51=C50,1,0)+IF(B51=B50,1,0)+IF(D51="Post",1,0)+IF(D50="Pre",1,0)=4,Table442818[[#This Row],[Pre Total]],""),"")</f>
        <v>4</v>
      </c>
      <c r="M50" s="5" t="str">
        <f>IF(IF(ISNUMBER(J49),1,0)+IF(ISNUMBER(Table442818[[#This Row],[Post Total]]),1,0)=2,IF(IF(Table442818[[#This Row],[Student Number]]=C49,1,0)+IF(Table442818[[#This Row],[Session]]=B49,1,0)+IF(Table442818[[#This Row],[Pre or Post]]="Post",1,0)+IF(D49="Pre",1,0)=4,Table442818[[#This Row],[Post Total]],""),"")</f>
        <v/>
      </c>
      <c r="N50" s="5" t="str">
        <f>IF(IF(ISNUMBER(J49),1,0)+IF(ISNUMBER(Table442818[[#This Row],[Post Total]]),1,0)=2,IF(IF(Table442818[[#This Row],[Student Number]]=C49,1,0)+IF(Table442818[[#This Row],[Session]]=B49,1,0)+IF(Table442818[[#This Row],[Pre or Post]]="Post",1,0)+IF(D49="Pre",1,0)=4,Table442818[[#This Row],[Post Total]]-J49,""),"")</f>
        <v/>
      </c>
      <c r="O50" s="5" t="b">
        <f>ISNUMBER(Table442818[[#This Row],[Change]])</f>
        <v>0</v>
      </c>
    </row>
    <row r="51" spans="1:15">
      <c r="A51" s="2" t="s">
        <v>12</v>
      </c>
      <c r="B51" s="2" t="s">
        <v>21</v>
      </c>
      <c r="C51" s="1">
        <v>13</v>
      </c>
      <c r="D51" s="2" t="s">
        <v>16</v>
      </c>
      <c r="E51" s="1">
        <v>4</v>
      </c>
      <c r="F51" s="1">
        <v>5</v>
      </c>
      <c r="G51" s="2" t="s">
        <v>8</v>
      </c>
      <c r="H51" s="5" t="str">
        <f>IF(IF(Table442818[[#This Row],[Pre or Post]]="Pre",1,0)+IF(ISNUMBER(Table442818[[#This Row],[Response]])=TRUE,1,0)=2,1,"")</f>
        <v/>
      </c>
      <c r="I51" s="5">
        <f>IF(IF(Table442818[[#This Row],[Pre or Post]]="Post",1,0)+IF(ISNUMBER(Table442818[[#This Row],[Response]])=TRUE,1,0)=2,1,"")</f>
        <v>1</v>
      </c>
      <c r="J51" s="5" t="str">
        <f>IF(IF(Table442818[[#This Row],[Pre or Post]]="Pre",1,0)+IF(ISNUMBER(Table442818[[#This Row],[Response]])=TRUE,1,0)=2,Table442818[[#This Row],[Response]],"")</f>
        <v/>
      </c>
      <c r="K51" s="5">
        <f>IF(IF(Table442818[[#This Row],[Pre or Post]]="Post",1,0)+IF(ISNUMBER(Table442818[[#This Row],[Response]])=TRUE,1,0)=2,Table442818[[#This Row],[Response]],"")</f>
        <v>5</v>
      </c>
      <c r="L51" s="5" t="str">
        <f>IF(IF(ISNUMBER(J51),1,0)+IF(ISNUMBER(K52),1,0)=2,IF(IF(C52=C51,1,0)+IF(B52=B51,1,0)+IF(D52="Post",1,0)+IF(D51="Pre",1,0)=4,Table442818[[#This Row],[Pre Total]],""),"")</f>
        <v/>
      </c>
      <c r="M51" s="5">
        <f>IF(IF(ISNUMBER(J50),1,0)+IF(ISNUMBER(Table442818[[#This Row],[Post Total]]),1,0)=2,IF(IF(Table442818[[#This Row],[Student Number]]=C50,1,0)+IF(Table442818[[#This Row],[Session]]=B50,1,0)+IF(Table442818[[#This Row],[Pre or Post]]="Post",1,0)+IF(D50="Pre",1,0)=4,Table442818[[#This Row],[Post Total]],""),"")</f>
        <v>5</v>
      </c>
      <c r="N51" s="6">
        <f>IF(IF(ISNUMBER(J50),1,0)+IF(ISNUMBER(Table442818[[#This Row],[Post Total]]),1,0)=2,IF(IF(Table442818[[#This Row],[Student Number]]=C50,1,0)+IF(Table442818[[#This Row],[Session]]=B50,1,0)+IF(Table442818[[#This Row],[Pre or Post]]="Post",1,0)+IF(D50="Pre",1,0)=4,Table442818[[#This Row],[Post Total]]-J50,""),"")</f>
        <v>1</v>
      </c>
      <c r="O51" s="6" t="b">
        <f>ISNUMBER(Table442818[[#This Row],[Change]])</f>
        <v>1</v>
      </c>
    </row>
    <row r="52" spans="1:15">
      <c r="A52" s="2" t="s">
        <v>12</v>
      </c>
      <c r="B52" s="2" t="s">
        <v>21</v>
      </c>
      <c r="C52" s="1">
        <v>14</v>
      </c>
      <c r="D52" s="2" t="s">
        <v>6</v>
      </c>
      <c r="E52" s="1">
        <v>11</v>
      </c>
      <c r="F52" s="1">
        <v>2</v>
      </c>
      <c r="G52" s="2" t="s">
        <v>8</v>
      </c>
      <c r="H52" s="5">
        <f>IF(IF(Table442818[[#This Row],[Pre or Post]]="Pre",1,0)+IF(ISNUMBER(Table442818[[#This Row],[Response]])=TRUE,1,0)=2,1,"")</f>
        <v>1</v>
      </c>
      <c r="I52" s="5" t="str">
        <f>IF(IF(Table442818[[#This Row],[Pre or Post]]="Post",1,0)+IF(ISNUMBER(Table442818[[#This Row],[Response]])=TRUE,1,0)=2,1,"")</f>
        <v/>
      </c>
      <c r="J52" s="5">
        <f>IF(IF(Table442818[[#This Row],[Pre or Post]]="Pre",1,0)+IF(ISNUMBER(Table442818[[#This Row],[Response]])=TRUE,1,0)=2,Table442818[[#This Row],[Response]],"")</f>
        <v>2</v>
      </c>
      <c r="K52" s="5" t="str">
        <f>IF(IF(Table442818[[#This Row],[Pre or Post]]="Post",1,0)+IF(ISNUMBER(Table442818[[#This Row],[Response]])=TRUE,1,0)=2,Table442818[[#This Row],[Response]],"")</f>
        <v/>
      </c>
      <c r="L52" s="5">
        <f>IF(IF(ISNUMBER(J52),1,0)+IF(ISNUMBER(K53),1,0)=2,IF(IF(C53=C52,1,0)+IF(B53=B52,1,0)+IF(D53="Post",1,0)+IF(D52="Pre",1,0)=4,Table442818[[#This Row],[Pre Total]],""),"")</f>
        <v>2</v>
      </c>
      <c r="M52" s="5" t="str">
        <f>IF(IF(ISNUMBER(J51),1,0)+IF(ISNUMBER(Table442818[[#This Row],[Post Total]]),1,0)=2,IF(IF(Table442818[[#This Row],[Student Number]]=C51,1,0)+IF(Table442818[[#This Row],[Session]]=B51,1,0)+IF(Table442818[[#This Row],[Pre or Post]]="Post",1,0)+IF(D51="Pre",1,0)=4,Table442818[[#This Row],[Post Total]],""),"")</f>
        <v/>
      </c>
      <c r="N52" s="5" t="str">
        <f>IF(IF(ISNUMBER(J51),1,0)+IF(ISNUMBER(Table442818[[#This Row],[Post Total]]),1,0)=2,IF(IF(Table442818[[#This Row],[Student Number]]=C51,1,0)+IF(Table442818[[#This Row],[Session]]=B51,1,0)+IF(Table442818[[#This Row],[Pre or Post]]="Post",1,0)+IF(D51="Pre",1,0)=4,Table442818[[#This Row],[Post Total]]-J51,""),"")</f>
        <v/>
      </c>
      <c r="O52" s="5" t="b">
        <f>ISNUMBER(Table442818[[#This Row],[Change]])</f>
        <v>0</v>
      </c>
    </row>
    <row r="53" spans="1:15">
      <c r="A53" s="2" t="s">
        <v>12</v>
      </c>
      <c r="B53" s="2" t="s">
        <v>21</v>
      </c>
      <c r="C53" s="1">
        <v>14</v>
      </c>
      <c r="D53" s="2" t="s">
        <v>16</v>
      </c>
      <c r="E53" s="1">
        <v>4</v>
      </c>
      <c r="F53" s="1">
        <v>4</v>
      </c>
      <c r="G53" s="2" t="s">
        <v>8</v>
      </c>
      <c r="H53" s="5" t="str">
        <f>IF(IF(Table442818[[#This Row],[Pre or Post]]="Pre",1,0)+IF(ISNUMBER(Table442818[[#This Row],[Response]])=TRUE,1,0)=2,1,"")</f>
        <v/>
      </c>
      <c r="I53" s="5">
        <f>IF(IF(Table442818[[#This Row],[Pre or Post]]="Post",1,0)+IF(ISNUMBER(Table442818[[#This Row],[Response]])=TRUE,1,0)=2,1,"")</f>
        <v>1</v>
      </c>
      <c r="J53" s="5" t="str">
        <f>IF(IF(Table442818[[#This Row],[Pre or Post]]="Pre",1,0)+IF(ISNUMBER(Table442818[[#This Row],[Response]])=TRUE,1,0)=2,Table442818[[#This Row],[Response]],"")</f>
        <v/>
      </c>
      <c r="K53" s="5">
        <f>IF(IF(Table442818[[#This Row],[Pre or Post]]="Post",1,0)+IF(ISNUMBER(Table442818[[#This Row],[Response]])=TRUE,1,0)=2,Table442818[[#This Row],[Response]],"")</f>
        <v>4</v>
      </c>
      <c r="L53" s="5" t="str">
        <f>IF(IF(ISNUMBER(J53),1,0)+IF(ISNUMBER(K54),1,0)=2,IF(IF(C54=C53,1,0)+IF(B54=B53,1,0)+IF(D54="Post",1,0)+IF(D53="Pre",1,0)=4,Table442818[[#This Row],[Pre Total]],""),"")</f>
        <v/>
      </c>
      <c r="M53" s="5">
        <f>IF(IF(ISNUMBER(J52),1,0)+IF(ISNUMBER(Table442818[[#This Row],[Post Total]]),1,0)=2,IF(IF(Table442818[[#This Row],[Student Number]]=C52,1,0)+IF(Table442818[[#This Row],[Session]]=B52,1,0)+IF(Table442818[[#This Row],[Pre or Post]]="Post",1,0)+IF(D52="Pre",1,0)=4,Table442818[[#This Row],[Post Total]],""),"")</f>
        <v>4</v>
      </c>
      <c r="N53" s="5">
        <f>IF(IF(ISNUMBER(J52),1,0)+IF(ISNUMBER(Table442818[[#This Row],[Post Total]]),1,0)=2,IF(IF(Table442818[[#This Row],[Student Number]]=C52,1,0)+IF(Table442818[[#This Row],[Session]]=B52,1,0)+IF(Table442818[[#This Row],[Pre or Post]]="Post",1,0)+IF(D52="Pre",1,0)=4,Table442818[[#This Row],[Post Total]]-J52,""),"")</f>
        <v>2</v>
      </c>
      <c r="O53" s="5" t="b">
        <f>ISNUMBER(Table442818[[#This Row],[Change]])</f>
        <v>1</v>
      </c>
    </row>
    <row r="54" spans="1:15">
      <c r="A54" s="2" t="s">
        <v>12</v>
      </c>
      <c r="B54" s="2" t="s">
        <v>21</v>
      </c>
      <c r="C54" s="1">
        <v>15</v>
      </c>
      <c r="D54" s="2" t="s">
        <v>6</v>
      </c>
      <c r="E54" s="2">
        <v>11</v>
      </c>
      <c r="F54" s="1">
        <v>2</v>
      </c>
      <c r="G54" s="2" t="s">
        <v>8</v>
      </c>
      <c r="H54" s="5">
        <f>IF(IF(Table442818[[#This Row],[Pre or Post]]="Pre",1,0)+IF(ISNUMBER(Table442818[[#This Row],[Response]])=TRUE,1,0)=2,1,"")</f>
        <v>1</v>
      </c>
      <c r="I54" s="5" t="str">
        <f>IF(IF(Table442818[[#This Row],[Pre or Post]]="Post",1,0)+IF(ISNUMBER(Table442818[[#This Row],[Response]])=TRUE,1,0)=2,1,"")</f>
        <v/>
      </c>
      <c r="J54" s="5">
        <f>IF(IF(Table442818[[#This Row],[Pre or Post]]="Pre",1,0)+IF(ISNUMBER(Table442818[[#This Row],[Response]])=TRUE,1,0)=2,Table442818[[#This Row],[Response]],"")</f>
        <v>2</v>
      </c>
      <c r="K54" s="5" t="str">
        <f>IF(IF(Table442818[[#This Row],[Pre or Post]]="Post",1,0)+IF(ISNUMBER(Table442818[[#This Row],[Response]])=TRUE,1,0)=2,Table442818[[#This Row],[Response]],"")</f>
        <v/>
      </c>
      <c r="L54" s="5">
        <f>IF(IF(ISNUMBER(J54),1,0)+IF(ISNUMBER(K55),1,0)=2,IF(IF(C55=C54,1,0)+IF(B55=B54,1,0)+IF(D55="Post",1,0)+IF(D54="Pre",1,0)=4,Table442818[[#This Row],[Pre Total]],""),"")</f>
        <v>2</v>
      </c>
      <c r="M54" s="5" t="str">
        <f>IF(IF(ISNUMBER(J53),1,0)+IF(ISNUMBER(Table442818[[#This Row],[Post Total]]),1,0)=2,IF(IF(Table442818[[#This Row],[Student Number]]=C53,1,0)+IF(Table442818[[#This Row],[Session]]=B53,1,0)+IF(Table442818[[#This Row],[Pre or Post]]="Post",1,0)+IF(D53="Pre",1,0)=4,Table442818[[#This Row],[Post Total]],""),"")</f>
        <v/>
      </c>
      <c r="N54" s="5" t="str">
        <f>IF(IF(ISNUMBER(J53),1,0)+IF(ISNUMBER(Table442818[[#This Row],[Post Total]]),1,0)=2,IF(IF(Table442818[[#This Row],[Student Number]]=C53,1,0)+IF(Table442818[[#This Row],[Session]]=B53,1,0)+IF(Table442818[[#This Row],[Pre or Post]]="Post",1,0)+IF(D53="Pre",1,0)=4,Table442818[[#This Row],[Post Total]]-J53,""),"")</f>
        <v/>
      </c>
      <c r="O54" s="5" t="b">
        <f>ISNUMBER(Table442818[[#This Row],[Change]])</f>
        <v>0</v>
      </c>
    </row>
    <row r="55" spans="1:15">
      <c r="A55" s="2" t="s">
        <v>12</v>
      </c>
      <c r="B55" s="2" t="s">
        <v>21</v>
      </c>
      <c r="C55" s="1">
        <v>15</v>
      </c>
      <c r="D55" s="2" t="s">
        <v>16</v>
      </c>
      <c r="E55" s="1">
        <v>4</v>
      </c>
      <c r="F55" s="1">
        <v>2</v>
      </c>
      <c r="G55" s="2" t="s">
        <v>8</v>
      </c>
      <c r="H55" s="5" t="str">
        <f>IF(IF(Table442818[[#This Row],[Pre or Post]]="Pre",1,0)+IF(ISNUMBER(Table442818[[#This Row],[Response]])=TRUE,1,0)=2,1,"")</f>
        <v/>
      </c>
      <c r="I55" s="5">
        <f>IF(IF(Table442818[[#This Row],[Pre or Post]]="Post",1,0)+IF(ISNUMBER(Table442818[[#This Row],[Response]])=TRUE,1,0)=2,1,"")</f>
        <v>1</v>
      </c>
      <c r="J55" s="5" t="str">
        <f>IF(IF(Table442818[[#This Row],[Pre or Post]]="Pre",1,0)+IF(ISNUMBER(Table442818[[#This Row],[Response]])=TRUE,1,0)=2,Table442818[[#This Row],[Response]],"")</f>
        <v/>
      </c>
      <c r="K55" s="5">
        <f>IF(IF(Table442818[[#This Row],[Pre or Post]]="Post",1,0)+IF(ISNUMBER(Table442818[[#This Row],[Response]])=TRUE,1,0)=2,Table442818[[#This Row],[Response]],"")</f>
        <v>2</v>
      </c>
      <c r="L55" s="5" t="str">
        <f>IF(IF(ISNUMBER(J55),1,0)+IF(ISNUMBER(K56),1,0)=2,IF(IF(C56=C55,1,0)+IF(B56=B55,1,0)+IF(D56="Post",1,0)+IF(D55="Pre",1,0)=4,Table442818[[#This Row],[Pre Total]],""),"")</f>
        <v/>
      </c>
      <c r="M55" s="5">
        <f>IF(IF(ISNUMBER(J54),1,0)+IF(ISNUMBER(Table442818[[#This Row],[Post Total]]),1,0)=2,IF(IF(Table442818[[#This Row],[Student Number]]=C54,1,0)+IF(Table442818[[#This Row],[Session]]=B54,1,0)+IF(Table442818[[#This Row],[Pre or Post]]="Post",1,0)+IF(D54="Pre",1,0)=4,Table442818[[#This Row],[Post Total]],""),"")</f>
        <v>2</v>
      </c>
      <c r="N55" s="5">
        <f>IF(IF(ISNUMBER(J54),1,0)+IF(ISNUMBER(Table442818[[#This Row],[Post Total]]),1,0)=2,IF(IF(Table442818[[#This Row],[Student Number]]=C54,1,0)+IF(Table442818[[#This Row],[Session]]=B54,1,0)+IF(Table442818[[#This Row],[Pre or Post]]="Post",1,0)+IF(D54="Pre",1,0)=4,Table442818[[#This Row],[Post Total]]-J54,""),"")</f>
        <v>0</v>
      </c>
      <c r="O55" s="5" t="b">
        <f>ISNUMBER(Table442818[[#This Row],[Change]])</f>
        <v>1</v>
      </c>
    </row>
    <row r="56" spans="1:15">
      <c r="A56" s="2" t="s">
        <v>12</v>
      </c>
      <c r="B56" s="2" t="s">
        <v>21</v>
      </c>
      <c r="C56" s="1">
        <v>16</v>
      </c>
      <c r="D56" s="2" t="s">
        <v>6</v>
      </c>
      <c r="E56" s="1">
        <v>11</v>
      </c>
      <c r="F56" s="1">
        <v>2</v>
      </c>
      <c r="G56" s="2" t="s">
        <v>8</v>
      </c>
      <c r="H56" s="5">
        <f>IF(IF(Table442818[[#This Row],[Pre or Post]]="Pre",1,0)+IF(ISNUMBER(Table442818[[#This Row],[Response]])=TRUE,1,0)=2,1,"")</f>
        <v>1</v>
      </c>
      <c r="I56" s="5" t="str">
        <f>IF(IF(Table442818[[#This Row],[Pre or Post]]="Post",1,0)+IF(ISNUMBER(Table442818[[#This Row],[Response]])=TRUE,1,0)=2,1,"")</f>
        <v/>
      </c>
      <c r="J56" s="5">
        <f>IF(IF(Table442818[[#This Row],[Pre or Post]]="Pre",1,0)+IF(ISNUMBER(Table442818[[#This Row],[Response]])=TRUE,1,0)=2,Table442818[[#This Row],[Response]],"")</f>
        <v>2</v>
      </c>
      <c r="K56" s="5" t="str">
        <f>IF(IF(Table442818[[#This Row],[Pre or Post]]="Post",1,0)+IF(ISNUMBER(Table442818[[#This Row],[Response]])=TRUE,1,0)=2,Table442818[[#This Row],[Response]],"")</f>
        <v/>
      </c>
      <c r="L56" s="5">
        <f>IF(IF(ISNUMBER(J56),1,0)+IF(ISNUMBER(K57),1,0)=2,IF(IF(C57=C56,1,0)+IF(B57=B56,1,0)+IF(D57="Post",1,0)+IF(D56="Pre",1,0)=4,Table442818[[#This Row],[Pre Total]],""),"")</f>
        <v>2</v>
      </c>
      <c r="M56" s="5" t="str">
        <f>IF(IF(ISNUMBER(J55),1,0)+IF(ISNUMBER(Table442818[[#This Row],[Post Total]]),1,0)=2,IF(IF(Table442818[[#This Row],[Student Number]]=C55,1,0)+IF(Table442818[[#This Row],[Session]]=B55,1,0)+IF(Table442818[[#This Row],[Pre or Post]]="Post",1,0)+IF(D55="Pre",1,0)=4,Table442818[[#This Row],[Post Total]],""),"")</f>
        <v/>
      </c>
      <c r="N56" s="5" t="str">
        <f>IF(IF(ISNUMBER(J55),1,0)+IF(ISNUMBER(Table442818[[#This Row],[Post Total]]),1,0)=2,IF(IF(Table442818[[#This Row],[Student Number]]=C55,1,0)+IF(Table442818[[#This Row],[Session]]=B55,1,0)+IF(Table442818[[#This Row],[Pre or Post]]="Post",1,0)+IF(D55="Pre",1,0)=4,Table442818[[#This Row],[Post Total]]-J55,""),"")</f>
        <v/>
      </c>
      <c r="O56" s="5" t="b">
        <f>ISNUMBER(Table442818[[#This Row],[Change]])</f>
        <v>0</v>
      </c>
    </row>
    <row r="57" spans="1:15">
      <c r="A57" s="2" t="s">
        <v>12</v>
      </c>
      <c r="B57" s="2" t="s">
        <v>21</v>
      </c>
      <c r="C57" s="1">
        <v>16</v>
      </c>
      <c r="D57" s="2" t="s">
        <v>16</v>
      </c>
      <c r="E57" s="1">
        <v>4</v>
      </c>
      <c r="F57" s="1">
        <v>5</v>
      </c>
      <c r="G57" s="2" t="s">
        <v>8</v>
      </c>
      <c r="H57" s="5" t="str">
        <f>IF(IF(Table442818[[#This Row],[Pre or Post]]="Pre",1,0)+IF(ISNUMBER(Table442818[[#This Row],[Response]])=TRUE,1,0)=2,1,"")</f>
        <v/>
      </c>
      <c r="I57" s="5">
        <f>IF(IF(Table442818[[#This Row],[Pre or Post]]="Post",1,0)+IF(ISNUMBER(Table442818[[#This Row],[Response]])=TRUE,1,0)=2,1,"")</f>
        <v>1</v>
      </c>
      <c r="J57" s="5" t="str">
        <f>IF(IF(Table442818[[#This Row],[Pre or Post]]="Pre",1,0)+IF(ISNUMBER(Table442818[[#This Row],[Response]])=TRUE,1,0)=2,Table442818[[#This Row],[Response]],"")</f>
        <v/>
      </c>
      <c r="K57" s="5">
        <f>IF(IF(Table442818[[#This Row],[Pre or Post]]="Post",1,0)+IF(ISNUMBER(Table442818[[#This Row],[Response]])=TRUE,1,0)=2,Table442818[[#This Row],[Response]],"")</f>
        <v>5</v>
      </c>
      <c r="L57" s="5" t="str">
        <f>IF(IF(ISNUMBER(J57),1,0)+IF(ISNUMBER(K58),1,0)=2,IF(IF(C58=C57,1,0)+IF(B58=B57,1,0)+IF(D58="Post",1,0)+IF(D57="Pre",1,0)=4,Table442818[[#This Row],[Pre Total]],""),"")</f>
        <v/>
      </c>
      <c r="M57" s="5">
        <f>IF(IF(ISNUMBER(J56),1,0)+IF(ISNUMBER(Table442818[[#This Row],[Post Total]]),1,0)=2,IF(IF(Table442818[[#This Row],[Student Number]]=C56,1,0)+IF(Table442818[[#This Row],[Session]]=B56,1,0)+IF(Table442818[[#This Row],[Pre or Post]]="Post",1,0)+IF(D56="Pre",1,0)=4,Table442818[[#This Row],[Post Total]],""),"")</f>
        <v>5</v>
      </c>
      <c r="N57" s="5">
        <f>IF(IF(ISNUMBER(J56),1,0)+IF(ISNUMBER(Table442818[[#This Row],[Post Total]]),1,0)=2,IF(IF(Table442818[[#This Row],[Student Number]]=C56,1,0)+IF(Table442818[[#This Row],[Session]]=B56,1,0)+IF(Table442818[[#This Row],[Pre or Post]]="Post",1,0)+IF(D56="Pre",1,0)=4,Table442818[[#This Row],[Post Total]]-J56,""),"")</f>
        <v>3</v>
      </c>
      <c r="O57" s="5" t="b">
        <f>ISNUMBER(Table442818[[#This Row],[Change]])</f>
        <v>1</v>
      </c>
    </row>
    <row r="58" spans="1:15">
      <c r="A58" s="2" t="s">
        <v>12</v>
      </c>
      <c r="B58" s="2" t="s">
        <v>21</v>
      </c>
      <c r="C58" s="1">
        <v>17</v>
      </c>
      <c r="D58" s="2" t="s">
        <v>6</v>
      </c>
      <c r="E58" s="1">
        <v>11</v>
      </c>
      <c r="F58" s="1">
        <v>1</v>
      </c>
      <c r="G58" s="2" t="s">
        <v>8</v>
      </c>
      <c r="H58" s="5">
        <f>IF(IF(Table442818[[#This Row],[Pre or Post]]="Pre",1,0)+IF(ISNUMBER(Table442818[[#This Row],[Response]])=TRUE,1,0)=2,1,"")</f>
        <v>1</v>
      </c>
      <c r="I58" s="5" t="str">
        <f>IF(IF(Table442818[[#This Row],[Pre or Post]]="Post",1,0)+IF(ISNUMBER(Table442818[[#This Row],[Response]])=TRUE,1,0)=2,1,"")</f>
        <v/>
      </c>
      <c r="J58" s="5">
        <f>IF(IF(Table442818[[#This Row],[Pre or Post]]="Pre",1,0)+IF(ISNUMBER(Table442818[[#This Row],[Response]])=TRUE,1,0)=2,Table442818[[#This Row],[Response]],"")</f>
        <v>1</v>
      </c>
      <c r="K58" s="5" t="str">
        <f>IF(IF(Table442818[[#This Row],[Pre or Post]]="Post",1,0)+IF(ISNUMBER(Table442818[[#This Row],[Response]])=TRUE,1,0)=2,Table442818[[#This Row],[Response]],"")</f>
        <v/>
      </c>
      <c r="L58" s="5">
        <f>IF(IF(ISNUMBER(J58),1,0)+IF(ISNUMBER(K59),1,0)=2,IF(IF(C59=C58,1,0)+IF(B59=B58,1,0)+IF(D59="Post",1,0)+IF(D58="Pre",1,0)=4,Table442818[[#This Row],[Pre Total]],""),"")</f>
        <v>1</v>
      </c>
      <c r="M58" s="5" t="str">
        <f>IF(IF(ISNUMBER(J57),1,0)+IF(ISNUMBER(Table442818[[#This Row],[Post Total]]),1,0)=2,IF(IF(Table442818[[#This Row],[Student Number]]=C57,1,0)+IF(Table442818[[#This Row],[Session]]=B57,1,0)+IF(Table442818[[#This Row],[Pre or Post]]="Post",1,0)+IF(D57="Pre",1,0)=4,Table442818[[#This Row],[Post Total]],""),"")</f>
        <v/>
      </c>
      <c r="N58" s="5" t="str">
        <f>IF(IF(ISNUMBER(J57),1,0)+IF(ISNUMBER(Table442818[[#This Row],[Post Total]]),1,0)=2,IF(IF(Table442818[[#This Row],[Student Number]]=C57,1,0)+IF(Table442818[[#This Row],[Session]]=B57,1,0)+IF(Table442818[[#This Row],[Pre or Post]]="Post",1,0)+IF(D57="Pre",1,0)=4,Table442818[[#This Row],[Post Total]]-J57,""),"")</f>
        <v/>
      </c>
      <c r="O58" s="5" t="b">
        <f>ISNUMBER(Table442818[[#This Row],[Change]])</f>
        <v>0</v>
      </c>
    </row>
    <row r="59" spans="1:15">
      <c r="A59" s="2" t="s">
        <v>12</v>
      </c>
      <c r="B59" s="2" t="s">
        <v>21</v>
      </c>
      <c r="C59" s="1">
        <v>17</v>
      </c>
      <c r="D59" s="2" t="s">
        <v>16</v>
      </c>
      <c r="E59" s="1">
        <v>4</v>
      </c>
      <c r="F59" s="1">
        <v>1</v>
      </c>
      <c r="G59" s="2" t="s">
        <v>8</v>
      </c>
      <c r="H59" s="5" t="str">
        <f>IF(IF(Table442818[[#This Row],[Pre or Post]]="Pre",1,0)+IF(ISNUMBER(Table442818[[#This Row],[Response]])=TRUE,1,0)=2,1,"")</f>
        <v/>
      </c>
      <c r="I59" s="5">
        <f>IF(IF(Table442818[[#This Row],[Pre or Post]]="Post",1,0)+IF(ISNUMBER(Table442818[[#This Row],[Response]])=TRUE,1,0)=2,1,"")</f>
        <v>1</v>
      </c>
      <c r="J59" s="5" t="str">
        <f>IF(IF(Table442818[[#This Row],[Pre or Post]]="Pre",1,0)+IF(ISNUMBER(Table442818[[#This Row],[Response]])=TRUE,1,0)=2,Table442818[[#This Row],[Response]],"")</f>
        <v/>
      </c>
      <c r="K59" s="5">
        <f>IF(IF(Table442818[[#This Row],[Pre or Post]]="Post",1,0)+IF(ISNUMBER(Table442818[[#This Row],[Response]])=TRUE,1,0)=2,Table442818[[#This Row],[Response]],"")</f>
        <v>1</v>
      </c>
      <c r="L59" s="5" t="str">
        <f>IF(IF(ISNUMBER(J59),1,0)+IF(ISNUMBER(K60),1,0)=2,IF(IF(C60=C59,1,0)+IF(B60=B59,1,0)+IF(D60="Post",1,0)+IF(D59="Pre",1,0)=4,Table442818[[#This Row],[Pre Total]],""),"")</f>
        <v/>
      </c>
      <c r="M59" s="5">
        <f>IF(IF(ISNUMBER(J58),1,0)+IF(ISNUMBER(Table442818[[#This Row],[Post Total]]),1,0)=2,IF(IF(Table442818[[#This Row],[Student Number]]=C58,1,0)+IF(Table442818[[#This Row],[Session]]=B58,1,0)+IF(Table442818[[#This Row],[Pre or Post]]="Post",1,0)+IF(D58="Pre",1,0)=4,Table442818[[#This Row],[Post Total]],""),"")</f>
        <v>1</v>
      </c>
      <c r="N59" s="5">
        <f>IF(IF(ISNUMBER(J58),1,0)+IF(ISNUMBER(Table442818[[#This Row],[Post Total]]),1,0)=2,IF(IF(Table442818[[#This Row],[Student Number]]=C58,1,0)+IF(Table442818[[#This Row],[Session]]=B58,1,0)+IF(Table442818[[#This Row],[Pre or Post]]="Post",1,0)+IF(D58="Pre",1,0)=4,Table442818[[#This Row],[Post Total]]-J58,""),"")</f>
        <v>0</v>
      </c>
      <c r="O59" s="5" t="b">
        <f>ISNUMBER(Table442818[[#This Row],[Change]])</f>
        <v>1</v>
      </c>
    </row>
    <row r="60" spans="1:15">
      <c r="A60" s="2" t="s">
        <v>12</v>
      </c>
      <c r="B60" s="2" t="s">
        <v>21</v>
      </c>
      <c r="C60" s="1">
        <v>18</v>
      </c>
      <c r="D60" s="2" t="s">
        <v>6</v>
      </c>
      <c r="E60" s="2">
        <v>11</v>
      </c>
      <c r="F60" s="1">
        <v>5</v>
      </c>
      <c r="G60" s="2" t="s">
        <v>8</v>
      </c>
      <c r="H60" s="5">
        <f>IF(IF(Table442818[[#This Row],[Pre or Post]]="Pre",1,0)+IF(ISNUMBER(Table442818[[#This Row],[Response]])=TRUE,1,0)=2,1,"")</f>
        <v>1</v>
      </c>
      <c r="I60" s="5" t="str">
        <f>IF(IF(Table442818[[#This Row],[Pre or Post]]="Post",1,0)+IF(ISNUMBER(Table442818[[#This Row],[Response]])=TRUE,1,0)=2,1,"")</f>
        <v/>
      </c>
      <c r="J60" s="5">
        <f>IF(IF(Table442818[[#This Row],[Pre or Post]]="Pre",1,0)+IF(ISNUMBER(Table442818[[#This Row],[Response]])=TRUE,1,0)=2,Table442818[[#This Row],[Response]],"")</f>
        <v>5</v>
      </c>
      <c r="K60" s="5" t="str">
        <f>IF(IF(Table442818[[#This Row],[Pre or Post]]="Post",1,0)+IF(ISNUMBER(Table442818[[#This Row],[Response]])=TRUE,1,0)=2,Table442818[[#This Row],[Response]],"")</f>
        <v/>
      </c>
      <c r="L60" s="5">
        <f>IF(IF(ISNUMBER(J60),1,0)+IF(ISNUMBER(K61),1,0)=2,IF(IF(C61=C60,1,0)+IF(B61=B60,1,0)+IF(D61="Post",1,0)+IF(D60="Pre",1,0)=4,Table442818[[#This Row],[Pre Total]],""),"")</f>
        <v>5</v>
      </c>
      <c r="M60" s="5" t="str">
        <f>IF(IF(ISNUMBER(J59),1,0)+IF(ISNUMBER(Table442818[[#This Row],[Post Total]]),1,0)=2,IF(IF(Table442818[[#This Row],[Student Number]]=C59,1,0)+IF(Table442818[[#This Row],[Session]]=B59,1,0)+IF(Table442818[[#This Row],[Pre or Post]]="Post",1,0)+IF(D59="Pre",1,0)=4,Table442818[[#This Row],[Post Total]],""),"")</f>
        <v/>
      </c>
      <c r="N60" s="5" t="str">
        <f>IF(IF(ISNUMBER(J59),1,0)+IF(ISNUMBER(Table442818[[#This Row],[Post Total]]),1,0)=2,IF(IF(Table442818[[#This Row],[Student Number]]=C59,1,0)+IF(Table442818[[#This Row],[Session]]=B59,1,0)+IF(Table442818[[#This Row],[Pre or Post]]="Post",1,0)+IF(D59="Pre",1,0)=4,Table442818[[#This Row],[Post Total]]-J59,""),"")</f>
        <v/>
      </c>
      <c r="O60" s="5" t="b">
        <f>ISNUMBER(Table442818[[#This Row],[Change]])</f>
        <v>0</v>
      </c>
    </row>
    <row r="61" spans="1:15">
      <c r="A61" s="2" t="s">
        <v>12</v>
      </c>
      <c r="B61" s="2" t="s">
        <v>21</v>
      </c>
      <c r="C61" s="1">
        <v>18</v>
      </c>
      <c r="D61" s="2" t="s">
        <v>16</v>
      </c>
      <c r="E61" s="1">
        <v>4</v>
      </c>
      <c r="F61" s="1">
        <v>5</v>
      </c>
      <c r="G61" s="2" t="s">
        <v>8</v>
      </c>
      <c r="H61" s="5" t="str">
        <f>IF(IF(Table442818[[#This Row],[Pre or Post]]="Pre",1,0)+IF(ISNUMBER(Table442818[[#This Row],[Response]])=TRUE,1,0)=2,1,"")</f>
        <v/>
      </c>
      <c r="I61" s="5">
        <f>IF(IF(Table442818[[#This Row],[Pre or Post]]="Post",1,0)+IF(ISNUMBER(Table442818[[#This Row],[Response]])=TRUE,1,0)=2,1,"")</f>
        <v>1</v>
      </c>
      <c r="J61" s="5" t="str">
        <f>IF(IF(Table442818[[#This Row],[Pre or Post]]="Pre",1,0)+IF(ISNUMBER(Table442818[[#This Row],[Response]])=TRUE,1,0)=2,Table442818[[#This Row],[Response]],"")</f>
        <v/>
      </c>
      <c r="K61" s="5">
        <f>IF(IF(Table442818[[#This Row],[Pre or Post]]="Post",1,0)+IF(ISNUMBER(Table442818[[#This Row],[Response]])=TRUE,1,0)=2,Table442818[[#This Row],[Response]],"")</f>
        <v>5</v>
      </c>
      <c r="L61" s="5" t="str">
        <f>IF(IF(ISNUMBER(J61),1,0)+IF(ISNUMBER(K62),1,0)=2,IF(IF(C62=C61,1,0)+IF(B62=B61,1,0)+IF(D62="Post",1,0)+IF(D61="Pre",1,0)=4,Table442818[[#This Row],[Pre Total]],""),"")</f>
        <v/>
      </c>
      <c r="M61" s="5">
        <f>IF(IF(ISNUMBER(J60),1,0)+IF(ISNUMBER(Table442818[[#This Row],[Post Total]]),1,0)=2,IF(IF(Table442818[[#This Row],[Student Number]]=C60,1,0)+IF(Table442818[[#This Row],[Session]]=B60,1,0)+IF(Table442818[[#This Row],[Pre or Post]]="Post",1,0)+IF(D60="Pre",1,0)=4,Table442818[[#This Row],[Post Total]],""),"")</f>
        <v>5</v>
      </c>
      <c r="N61" s="5">
        <f>IF(IF(ISNUMBER(J60),1,0)+IF(ISNUMBER(Table442818[[#This Row],[Post Total]]),1,0)=2,IF(IF(Table442818[[#This Row],[Student Number]]=C60,1,0)+IF(Table442818[[#This Row],[Session]]=B60,1,0)+IF(Table442818[[#This Row],[Pre or Post]]="Post",1,0)+IF(D60="Pre",1,0)=4,Table442818[[#This Row],[Post Total]]-J60,""),"")</f>
        <v>0</v>
      </c>
      <c r="O61" s="5" t="b">
        <f>ISNUMBER(Table442818[[#This Row],[Change]])</f>
        <v>1</v>
      </c>
    </row>
    <row r="62" spans="1:15">
      <c r="A62" s="2" t="s">
        <v>12</v>
      </c>
      <c r="B62" s="2" t="s">
        <v>21</v>
      </c>
      <c r="C62" s="1">
        <v>19</v>
      </c>
      <c r="D62" s="2" t="s">
        <v>6</v>
      </c>
      <c r="E62" s="2">
        <v>11</v>
      </c>
      <c r="F62" s="1">
        <v>5</v>
      </c>
      <c r="G62" s="2" t="s">
        <v>8</v>
      </c>
      <c r="H62" s="5">
        <f>IF(IF(Table442818[[#This Row],[Pre or Post]]="Pre",1,0)+IF(ISNUMBER(Table442818[[#This Row],[Response]])=TRUE,1,0)=2,1,"")</f>
        <v>1</v>
      </c>
      <c r="I62" s="5" t="str">
        <f>IF(IF(Table442818[[#This Row],[Pre or Post]]="Post",1,0)+IF(ISNUMBER(Table442818[[#This Row],[Response]])=TRUE,1,0)=2,1,"")</f>
        <v/>
      </c>
      <c r="J62" s="5">
        <f>IF(IF(Table442818[[#This Row],[Pre or Post]]="Pre",1,0)+IF(ISNUMBER(Table442818[[#This Row],[Response]])=TRUE,1,0)=2,Table442818[[#This Row],[Response]],"")</f>
        <v>5</v>
      </c>
      <c r="K62" s="5" t="str">
        <f>IF(IF(Table442818[[#This Row],[Pre or Post]]="Post",1,0)+IF(ISNUMBER(Table442818[[#This Row],[Response]])=TRUE,1,0)=2,Table442818[[#This Row],[Response]],"")</f>
        <v/>
      </c>
      <c r="L62" s="5">
        <f>IF(IF(ISNUMBER(J62),1,0)+IF(ISNUMBER(K63),1,0)=2,IF(IF(C63=C62,1,0)+IF(B63=B62,1,0)+IF(D63="Post",1,0)+IF(D62="Pre",1,0)=4,Table442818[[#This Row],[Pre Total]],""),"")</f>
        <v>5</v>
      </c>
      <c r="M62" s="5" t="str">
        <f>IF(IF(ISNUMBER(J61),1,0)+IF(ISNUMBER(Table442818[[#This Row],[Post Total]]),1,0)=2,IF(IF(Table442818[[#This Row],[Student Number]]=C61,1,0)+IF(Table442818[[#This Row],[Session]]=B61,1,0)+IF(Table442818[[#This Row],[Pre or Post]]="Post",1,0)+IF(D61="Pre",1,0)=4,Table442818[[#This Row],[Post Total]],""),"")</f>
        <v/>
      </c>
      <c r="N62" s="5" t="str">
        <f>IF(IF(ISNUMBER(J61),1,0)+IF(ISNUMBER(Table442818[[#This Row],[Post Total]]),1,0)=2,IF(IF(Table442818[[#This Row],[Student Number]]=C61,1,0)+IF(Table442818[[#This Row],[Session]]=B61,1,0)+IF(Table442818[[#This Row],[Pre or Post]]="Post",1,0)+IF(D61="Pre",1,0)=4,Table442818[[#This Row],[Post Total]]-J61,""),"")</f>
        <v/>
      </c>
      <c r="O62" s="5" t="b">
        <f>ISNUMBER(Table442818[[#This Row],[Change]])</f>
        <v>0</v>
      </c>
    </row>
    <row r="63" spans="1:15">
      <c r="A63" s="2" t="s">
        <v>12</v>
      </c>
      <c r="B63" s="2" t="s">
        <v>21</v>
      </c>
      <c r="C63" s="1">
        <v>19</v>
      </c>
      <c r="D63" s="2" t="s">
        <v>16</v>
      </c>
      <c r="E63" s="1">
        <v>4</v>
      </c>
      <c r="F63" s="1">
        <v>3</v>
      </c>
      <c r="G63" s="2" t="s">
        <v>8</v>
      </c>
      <c r="H63" s="5" t="str">
        <f>IF(IF(Table442818[[#This Row],[Pre or Post]]="Pre",1,0)+IF(ISNUMBER(Table442818[[#This Row],[Response]])=TRUE,1,0)=2,1,"")</f>
        <v/>
      </c>
      <c r="I63" s="5">
        <f>IF(IF(Table442818[[#This Row],[Pre or Post]]="Post",1,0)+IF(ISNUMBER(Table442818[[#This Row],[Response]])=TRUE,1,0)=2,1,"")</f>
        <v>1</v>
      </c>
      <c r="J63" s="5" t="str">
        <f>IF(IF(Table442818[[#This Row],[Pre or Post]]="Pre",1,0)+IF(ISNUMBER(Table442818[[#This Row],[Response]])=TRUE,1,0)=2,Table442818[[#This Row],[Response]],"")</f>
        <v/>
      </c>
      <c r="K63" s="5">
        <f>IF(IF(Table442818[[#This Row],[Pre or Post]]="Post",1,0)+IF(ISNUMBER(Table442818[[#This Row],[Response]])=TRUE,1,0)=2,Table442818[[#This Row],[Response]],"")</f>
        <v>3</v>
      </c>
      <c r="L63" s="5" t="str">
        <f>IF(IF(ISNUMBER(J63),1,0)+IF(ISNUMBER(K64),1,0)=2,IF(IF(C64=C63,1,0)+IF(B64=B63,1,0)+IF(D64="Post",1,0)+IF(D63="Pre",1,0)=4,Table442818[[#This Row],[Pre Total]],""),"")</f>
        <v/>
      </c>
      <c r="M63" s="5">
        <f>IF(IF(ISNUMBER(J62),1,0)+IF(ISNUMBER(Table442818[[#This Row],[Post Total]]),1,0)=2,IF(IF(Table442818[[#This Row],[Student Number]]=C62,1,0)+IF(Table442818[[#This Row],[Session]]=B62,1,0)+IF(Table442818[[#This Row],[Pre or Post]]="Post",1,0)+IF(D62="Pre",1,0)=4,Table442818[[#This Row],[Post Total]],""),"")</f>
        <v>3</v>
      </c>
      <c r="N63" s="5">
        <f>IF(IF(ISNUMBER(J62),1,0)+IF(ISNUMBER(Table442818[[#This Row],[Post Total]]),1,0)=2,IF(IF(Table442818[[#This Row],[Student Number]]=C62,1,0)+IF(Table442818[[#This Row],[Session]]=B62,1,0)+IF(Table442818[[#This Row],[Pre or Post]]="Post",1,0)+IF(D62="Pre",1,0)=4,Table442818[[#This Row],[Post Total]]-J62,""),"")</f>
        <v>-2</v>
      </c>
      <c r="O63" s="5" t="b">
        <f>ISNUMBER(Table442818[[#This Row],[Change]])</f>
        <v>1</v>
      </c>
    </row>
    <row r="64" spans="1:15">
      <c r="A64" s="2" t="s">
        <v>12</v>
      </c>
      <c r="B64" s="2" t="s">
        <v>21</v>
      </c>
      <c r="C64" s="1">
        <v>20</v>
      </c>
      <c r="D64" s="2" t="s">
        <v>6</v>
      </c>
      <c r="E64" s="1">
        <v>11</v>
      </c>
      <c r="F64" s="1">
        <v>3</v>
      </c>
      <c r="G64" s="2" t="s">
        <v>8</v>
      </c>
      <c r="H64" s="5">
        <f>IF(IF(Table442818[[#This Row],[Pre or Post]]="Pre",1,0)+IF(ISNUMBER(Table442818[[#This Row],[Response]])=TRUE,1,0)=2,1,"")</f>
        <v>1</v>
      </c>
      <c r="I64" s="5" t="str">
        <f>IF(IF(Table442818[[#This Row],[Pre or Post]]="Post",1,0)+IF(ISNUMBER(Table442818[[#This Row],[Response]])=TRUE,1,0)=2,1,"")</f>
        <v/>
      </c>
      <c r="J64" s="5">
        <f>IF(IF(Table442818[[#This Row],[Pre or Post]]="Pre",1,0)+IF(ISNUMBER(Table442818[[#This Row],[Response]])=TRUE,1,0)=2,Table442818[[#This Row],[Response]],"")</f>
        <v>3</v>
      </c>
      <c r="K64" s="5" t="str">
        <f>IF(IF(Table442818[[#This Row],[Pre or Post]]="Post",1,0)+IF(ISNUMBER(Table442818[[#This Row],[Response]])=TRUE,1,0)=2,Table442818[[#This Row],[Response]],"")</f>
        <v/>
      </c>
      <c r="L64" s="5">
        <f>IF(IF(ISNUMBER(J64),1,0)+IF(ISNUMBER(K65),1,0)=2,IF(IF(C65=C64,1,0)+IF(B65=B64,1,0)+IF(D65="Post",1,0)+IF(D64="Pre",1,0)=4,Table442818[[#This Row],[Pre Total]],""),"")</f>
        <v>3</v>
      </c>
      <c r="M64" s="5" t="str">
        <f>IF(IF(ISNUMBER(J63),1,0)+IF(ISNUMBER(Table442818[[#This Row],[Post Total]]),1,0)=2,IF(IF(Table442818[[#This Row],[Student Number]]=C63,1,0)+IF(Table442818[[#This Row],[Session]]=B63,1,0)+IF(Table442818[[#This Row],[Pre or Post]]="Post",1,0)+IF(D63="Pre",1,0)=4,Table442818[[#This Row],[Post Total]],""),"")</f>
        <v/>
      </c>
      <c r="N64" s="5" t="str">
        <f>IF(IF(ISNUMBER(J63),1,0)+IF(ISNUMBER(Table442818[[#This Row],[Post Total]]),1,0)=2,IF(IF(Table442818[[#This Row],[Student Number]]=C63,1,0)+IF(Table442818[[#This Row],[Session]]=B63,1,0)+IF(Table442818[[#This Row],[Pre or Post]]="Post",1,0)+IF(D63="Pre",1,0)=4,Table442818[[#This Row],[Post Total]]-J63,""),"")</f>
        <v/>
      </c>
      <c r="O64" s="5" t="b">
        <f>ISNUMBER(Table442818[[#This Row],[Change]])</f>
        <v>0</v>
      </c>
    </row>
    <row r="65" spans="1:15">
      <c r="A65" s="2" t="s">
        <v>12</v>
      </c>
      <c r="B65" s="2" t="s">
        <v>21</v>
      </c>
      <c r="C65" s="1">
        <v>20</v>
      </c>
      <c r="D65" s="2" t="s">
        <v>16</v>
      </c>
      <c r="E65" s="1">
        <v>4</v>
      </c>
      <c r="F65" s="1">
        <v>3</v>
      </c>
      <c r="G65" s="2" t="s">
        <v>8</v>
      </c>
      <c r="H65" s="5" t="str">
        <f>IF(IF(Table442818[[#This Row],[Pre or Post]]="Pre",1,0)+IF(ISNUMBER(Table442818[[#This Row],[Response]])=TRUE,1,0)=2,1,"")</f>
        <v/>
      </c>
      <c r="I65" s="5">
        <f>IF(IF(Table442818[[#This Row],[Pre or Post]]="Post",1,0)+IF(ISNUMBER(Table442818[[#This Row],[Response]])=TRUE,1,0)=2,1,"")</f>
        <v>1</v>
      </c>
      <c r="J65" s="5" t="str">
        <f>IF(IF(Table442818[[#This Row],[Pre or Post]]="Pre",1,0)+IF(ISNUMBER(Table442818[[#This Row],[Response]])=TRUE,1,0)=2,Table442818[[#This Row],[Response]],"")</f>
        <v/>
      </c>
      <c r="K65" s="5">
        <f>IF(IF(Table442818[[#This Row],[Pre or Post]]="Post",1,0)+IF(ISNUMBER(Table442818[[#This Row],[Response]])=TRUE,1,0)=2,Table442818[[#This Row],[Response]],"")</f>
        <v>3</v>
      </c>
      <c r="L65" s="5" t="str">
        <f>IF(IF(ISNUMBER(J65),1,0)+IF(ISNUMBER(K66),1,0)=2,IF(IF(C66=C65,1,0)+IF(B66=B65,1,0)+IF(D66="Post",1,0)+IF(D65="Pre",1,0)=4,Table442818[[#This Row],[Pre Total]],""),"")</f>
        <v/>
      </c>
      <c r="M65" s="5">
        <f>IF(IF(ISNUMBER(J64),1,0)+IF(ISNUMBER(Table442818[[#This Row],[Post Total]]),1,0)=2,IF(IF(Table442818[[#This Row],[Student Number]]=C64,1,0)+IF(Table442818[[#This Row],[Session]]=B64,1,0)+IF(Table442818[[#This Row],[Pre or Post]]="Post",1,0)+IF(D64="Pre",1,0)=4,Table442818[[#This Row],[Post Total]],""),"")</f>
        <v>3</v>
      </c>
      <c r="N65" s="5">
        <f>IF(IF(ISNUMBER(J64),1,0)+IF(ISNUMBER(Table442818[[#This Row],[Post Total]]),1,0)=2,IF(IF(Table442818[[#This Row],[Student Number]]=C64,1,0)+IF(Table442818[[#This Row],[Session]]=B64,1,0)+IF(Table442818[[#This Row],[Pre or Post]]="Post",1,0)+IF(D64="Pre",1,0)=4,Table442818[[#This Row],[Post Total]]-J64,""),"")</f>
        <v>0</v>
      </c>
      <c r="O65" s="5" t="b">
        <f>ISNUMBER(Table442818[[#This Row],[Change]])</f>
        <v>1</v>
      </c>
    </row>
    <row r="66" spans="1:15">
      <c r="A66" s="2" t="s">
        <v>12</v>
      </c>
      <c r="B66" s="2" t="s">
        <v>21</v>
      </c>
      <c r="C66" s="1">
        <v>21</v>
      </c>
      <c r="D66" s="2" t="s">
        <v>6</v>
      </c>
      <c r="E66" s="1">
        <v>11</v>
      </c>
      <c r="F66" s="1">
        <v>1</v>
      </c>
      <c r="G66" s="2" t="s">
        <v>8</v>
      </c>
      <c r="H66" s="5">
        <f>IF(IF(Table442818[[#This Row],[Pre or Post]]="Pre",1,0)+IF(ISNUMBER(Table442818[[#This Row],[Response]])=TRUE,1,0)=2,1,"")</f>
        <v>1</v>
      </c>
      <c r="I66" s="5" t="str">
        <f>IF(IF(Table442818[[#This Row],[Pre or Post]]="Post",1,0)+IF(ISNUMBER(Table442818[[#This Row],[Response]])=TRUE,1,0)=2,1,"")</f>
        <v/>
      </c>
      <c r="J66" s="5">
        <f>IF(IF(Table442818[[#This Row],[Pre or Post]]="Pre",1,0)+IF(ISNUMBER(Table442818[[#This Row],[Response]])=TRUE,1,0)=2,Table442818[[#This Row],[Response]],"")</f>
        <v>1</v>
      </c>
      <c r="K66" s="5" t="str">
        <f>IF(IF(Table442818[[#This Row],[Pre or Post]]="Post",1,0)+IF(ISNUMBER(Table442818[[#This Row],[Response]])=TRUE,1,0)=2,Table442818[[#This Row],[Response]],"")</f>
        <v/>
      </c>
      <c r="L66" s="5">
        <f>IF(IF(ISNUMBER(J66),1,0)+IF(ISNUMBER(K67),1,0)=2,IF(IF(C67=C66,1,0)+IF(B67=B66,1,0)+IF(D67="Post",1,0)+IF(D66="Pre",1,0)=4,Table442818[[#This Row],[Pre Total]],""),"")</f>
        <v>1</v>
      </c>
      <c r="M66" s="5" t="str">
        <f>IF(IF(ISNUMBER(J65),1,0)+IF(ISNUMBER(Table442818[[#This Row],[Post Total]]),1,0)=2,IF(IF(Table442818[[#This Row],[Student Number]]=C65,1,0)+IF(Table442818[[#This Row],[Session]]=B65,1,0)+IF(Table442818[[#This Row],[Pre or Post]]="Post",1,0)+IF(D65="Pre",1,0)=4,Table442818[[#This Row],[Post Total]],""),"")</f>
        <v/>
      </c>
      <c r="N66" s="5" t="str">
        <f>IF(IF(ISNUMBER(J65),1,0)+IF(ISNUMBER(Table442818[[#This Row],[Post Total]]),1,0)=2,IF(IF(Table442818[[#This Row],[Student Number]]=C65,1,0)+IF(Table442818[[#This Row],[Session]]=B65,1,0)+IF(Table442818[[#This Row],[Pre or Post]]="Post",1,0)+IF(D65="Pre",1,0)=4,Table442818[[#This Row],[Post Total]]-J65,""),"")</f>
        <v/>
      </c>
      <c r="O66" s="5" t="b">
        <f>ISNUMBER(Table442818[[#This Row],[Change]])</f>
        <v>0</v>
      </c>
    </row>
    <row r="67" spans="1:15">
      <c r="A67" s="2" t="s">
        <v>12</v>
      </c>
      <c r="B67" s="2" t="s">
        <v>21</v>
      </c>
      <c r="C67" s="1">
        <v>21</v>
      </c>
      <c r="D67" s="2" t="s">
        <v>16</v>
      </c>
      <c r="E67" s="1">
        <v>4</v>
      </c>
      <c r="F67" s="1">
        <v>3</v>
      </c>
      <c r="G67" s="2" t="s">
        <v>8</v>
      </c>
      <c r="H67" s="5" t="str">
        <f>IF(IF(Table442818[[#This Row],[Pre or Post]]="Pre",1,0)+IF(ISNUMBER(Table442818[[#This Row],[Response]])=TRUE,1,0)=2,1,"")</f>
        <v/>
      </c>
      <c r="I67" s="5">
        <f>IF(IF(Table442818[[#This Row],[Pre or Post]]="Post",1,0)+IF(ISNUMBER(Table442818[[#This Row],[Response]])=TRUE,1,0)=2,1,"")</f>
        <v>1</v>
      </c>
      <c r="J67" s="5" t="str">
        <f>IF(IF(Table442818[[#This Row],[Pre or Post]]="Pre",1,0)+IF(ISNUMBER(Table442818[[#This Row],[Response]])=TRUE,1,0)=2,Table442818[[#This Row],[Response]],"")</f>
        <v/>
      </c>
      <c r="K67" s="5">
        <f>IF(IF(Table442818[[#This Row],[Pre or Post]]="Post",1,0)+IF(ISNUMBER(Table442818[[#This Row],[Response]])=TRUE,1,0)=2,Table442818[[#This Row],[Response]],"")</f>
        <v>3</v>
      </c>
      <c r="L67" s="5" t="str">
        <f>IF(IF(ISNUMBER(J67),1,0)+IF(ISNUMBER(K68),1,0)=2,IF(IF(C68=C67,1,0)+IF(B68=B67,1,0)+IF(D68="Post",1,0)+IF(D67="Pre",1,0)=4,Table442818[[#This Row],[Pre Total]],""),"")</f>
        <v/>
      </c>
      <c r="M67" s="5">
        <f>IF(IF(ISNUMBER(J66),1,0)+IF(ISNUMBER(Table442818[[#This Row],[Post Total]]),1,0)=2,IF(IF(Table442818[[#This Row],[Student Number]]=C66,1,0)+IF(Table442818[[#This Row],[Session]]=B66,1,0)+IF(Table442818[[#This Row],[Pre or Post]]="Post",1,0)+IF(D66="Pre",1,0)=4,Table442818[[#This Row],[Post Total]],""),"")</f>
        <v>3</v>
      </c>
      <c r="N67" s="5">
        <f>IF(IF(ISNUMBER(J66),1,0)+IF(ISNUMBER(Table442818[[#This Row],[Post Total]]),1,0)=2,IF(IF(Table442818[[#This Row],[Student Number]]=C66,1,0)+IF(Table442818[[#This Row],[Session]]=B66,1,0)+IF(Table442818[[#This Row],[Pre or Post]]="Post",1,0)+IF(D66="Pre",1,0)=4,Table442818[[#This Row],[Post Total]]-J66,""),"")</f>
        <v>2</v>
      </c>
      <c r="O67" s="5" t="b">
        <f>ISNUMBER(Table442818[[#This Row],[Change]])</f>
        <v>1</v>
      </c>
    </row>
    <row r="68" spans="1:15">
      <c r="A68" s="2" t="s">
        <v>12</v>
      </c>
      <c r="B68" s="2" t="s">
        <v>21</v>
      </c>
      <c r="C68" s="1">
        <v>22</v>
      </c>
      <c r="D68" s="2" t="s">
        <v>6</v>
      </c>
      <c r="E68" s="2">
        <v>11</v>
      </c>
      <c r="F68" s="1">
        <v>1</v>
      </c>
      <c r="G68" s="2" t="s">
        <v>8</v>
      </c>
      <c r="H68" s="5">
        <f>IF(IF(Table442818[[#This Row],[Pre or Post]]="Pre",1,0)+IF(ISNUMBER(Table442818[[#This Row],[Response]])=TRUE,1,0)=2,1,"")</f>
        <v>1</v>
      </c>
      <c r="I68" s="5" t="str">
        <f>IF(IF(Table442818[[#This Row],[Pre or Post]]="Post",1,0)+IF(ISNUMBER(Table442818[[#This Row],[Response]])=TRUE,1,0)=2,1,"")</f>
        <v/>
      </c>
      <c r="J68" s="5">
        <f>IF(IF(Table442818[[#This Row],[Pre or Post]]="Pre",1,0)+IF(ISNUMBER(Table442818[[#This Row],[Response]])=TRUE,1,0)=2,Table442818[[#This Row],[Response]],"")</f>
        <v>1</v>
      </c>
      <c r="K68" s="5" t="str">
        <f>IF(IF(Table442818[[#This Row],[Pre or Post]]="Post",1,0)+IF(ISNUMBER(Table442818[[#This Row],[Response]])=TRUE,1,0)=2,Table442818[[#This Row],[Response]],"")</f>
        <v/>
      </c>
      <c r="L68" s="5">
        <f>IF(IF(ISNUMBER(J68),1,0)+IF(ISNUMBER(K69),1,0)=2,IF(IF(C69=C68,1,0)+IF(B69=B68,1,0)+IF(D69="Post",1,0)+IF(D68="Pre",1,0)=4,Table442818[[#This Row],[Pre Total]],""),"")</f>
        <v>1</v>
      </c>
      <c r="M68" s="5" t="str">
        <f>IF(IF(ISNUMBER(J67),1,0)+IF(ISNUMBER(Table442818[[#This Row],[Post Total]]),1,0)=2,IF(IF(Table442818[[#This Row],[Student Number]]=C67,1,0)+IF(Table442818[[#This Row],[Session]]=B67,1,0)+IF(Table442818[[#This Row],[Pre or Post]]="Post",1,0)+IF(D67="Pre",1,0)=4,Table442818[[#This Row],[Post Total]],""),"")</f>
        <v/>
      </c>
      <c r="N68" s="5" t="str">
        <f>IF(IF(ISNUMBER(J67),1,0)+IF(ISNUMBER(Table442818[[#This Row],[Post Total]]),1,0)=2,IF(IF(Table442818[[#This Row],[Student Number]]=C67,1,0)+IF(Table442818[[#This Row],[Session]]=B67,1,0)+IF(Table442818[[#This Row],[Pre or Post]]="Post",1,0)+IF(D67="Pre",1,0)=4,Table442818[[#This Row],[Post Total]]-J67,""),"")</f>
        <v/>
      </c>
      <c r="O68" s="5" t="b">
        <f>ISNUMBER(Table442818[[#This Row],[Change]])</f>
        <v>0</v>
      </c>
    </row>
    <row r="69" spans="1:15">
      <c r="A69" s="2" t="s">
        <v>12</v>
      </c>
      <c r="B69" s="2" t="s">
        <v>21</v>
      </c>
      <c r="C69" s="1">
        <v>22</v>
      </c>
      <c r="D69" s="2" t="s">
        <v>16</v>
      </c>
      <c r="E69" s="1">
        <v>4</v>
      </c>
      <c r="F69" s="1">
        <v>3</v>
      </c>
      <c r="G69" s="2" t="s">
        <v>8</v>
      </c>
      <c r="H69" s="5" t="str">
        <f>IF(IF(Table442818[[#This Row],[Pre or Post]]="Pre",1,0)+IF(ISNUMBER(Table442818[[#This Row],[Response]])=TRUE,1,0)=2,1,"")</f>
        <v/>
      </c>
      <c r="I69" s="5">
        <f>IF(IF(Table442818[[#This Row],[Pre or Post]]="Post",1,0)+IF(ISNUMBER(Table442818[[#This Row],[Response]])=TRUE,1,0)=2,1,"")</f>
        <v>1</v>
      </c>
      <c r="J69" s="5" t="str">
        <f>IF(IF(Table442818[[#This Row],[Pre or Post]]="Pre",1,0)+IF(ISNUMBER(Table442818[[#This Row],[Response]])=TRUE,1,0)=2,Table442818[[#This Row],[Response]],"")</f>
        <v/>
      </c>
      <c r="K69" s="5">
        <f>IF(IF(Table442818[[#This Row],[Pre or Post]]="Post",1,0)+IF(ISNUMBER(Table442818[[#This Row],[Response]])=TRUE,1,0)=2,Table442818[[#This Row],[Response]],"")</f>
        <v>3</v>
      </c>
      <c r="L69" s="5" t="str">
        <f>IF(IF(ISNUMBER(J69),1,0)+IF(ISNUMBER(K70),1,0)=2,IF(IF(C70=C69,1,0)+IF(B70=B69,1,0)+IF(D70="Post",1,0)+IF(D69="Pre",1,0)=4,Table442818[[#This Row],[Pre Total]],""),"")</f>
        <v/>
      </c>
      <c r="M69" s="5">
        <f>IF(IF(ISNUMBER(J68),1,0)+IF(ISNUMBER(Table442818[[#This Row],[Post Total]]),1,0)=2,IF(IF(Table442818[[#This Row],[Student Number]]=C68,1,0)+IF(Table442818[[#This Row],[Session]]=B68,1,0)+IF(Table442818[[#This Row],[Pre or Post]]="Post",1,0)+IF(D68="Pre",1,0)=4,Table442818[[#This Row],[Post Total]],""),"")</f>
        <v>3</v>
      </c>
      <c r="N69" s="5">
        <f>IF(IF(ISNUMBER(J68),1,0)+IF(ISNUMBER(Table442818[[#This Row],[Post Total]]),1,0)=2,IF(IF(Table442818[[#This Row],[Student Number]]=C68,1,0)+IF(Table442818[[#This Row],[Session]]=B68,1,0)+IF(Table442818[[#This Row],[Pre or Post]]="Post",1,0)+IF(D68="Pre",1,0)=4,Table442818[[#This Row],[Post Total]]-J68,""),"")</f>
        <v>2</v>
      </c>
      <c r="O69" s="5" t="b">
        <f>ISNUMBER(Table442818[[#This Row],[Change]])</f>
        <v>1</v>
      </c>
    </row>
    <row r="70" spans="1:15">
      <c r="A70" s="2" t="s">
        <v>12</v>
      </c>
      <c r="B70" s="2" t="s">
        <v>21</v>
      </c>
      <c r="C70" s="1">
        <v>23</v>
      </c>
      <c r="D70" s="2" t="s">
        <v>6</v>
      </c>
      <c r="E70" s="2">
        <v>11</v>
      </c>
      <c r="F70" s="2">
        <v>2</v>
      </c>
      <c r="G70" s="2" t="s">
        <v>8</v>
      </c>
      <c r="H70" s="5">
        <f>IF(IF(Table442818[[#This Row],[Pre or Post]]="Pre",1,0)+IF(ISNUMBER(Table442818[[#This Row],[Response]])=TRUE,1,0)=2,1,"")</f>
        <v>1</v>
      </c>
      <c r="I70" s="5" t="str">
        <f>IF(IF(Table442818[[#This Row],[Pre or Post]]="Post",1,0)+IF(ISNUMBER(Table442818[[#This Row],[Response]])=TRUE,1,0)=2,1,"")</f>
        <v/>
      </c>
      <c r="J70" s="5">
        <f>IF(IF(Table442818[[#This Row],[Pre or Post]]="Pre",1,0)+IF(ISNUMBER(Table442818[[#This Row],[Response]])=TRUE,1,0)=2,Table442818[[#This Row],[Response]],"")</f>
        <v>2</v>
      </c>
      <c r="K70" s="5" t="str">
        <f>IF(IF(Table442818[[#This Row],[Pre or Post]]="Post",1,0)+IF(ISNUMBER(Table442818[[#This Row],[Response]])=TRUE,1,0)=2,Table442818[[#This Row],[Response]],"")</f>
        <v/>
      </c>
      <c r="L70" s="5">
        <f>IF(IF(ISNUMBER(J70),1,0)+IF(ISNUMBER(K71),1,0)=2,IF(IF(C71=C70,1,0)+IF(B71=B70,1,0)+IF(D71="Post",1,0)+IF(D70="Pre",1,0)=4,Table442818[[#This Row],[Pre Total]],""),"")</f>
        <v>2</v>
      </c>
      <c r="M70" s="5" t="str">
        <f>IF(IF(ISNUMBER(J69),1,0)+IF(ISNUMBER(Table442818[[#This Row],[Post Total]]),1,0)=2,IF(IF(Table442818[[#This Row],[Student Number]]=C69,1,0)+IF(Table442818[[#This Row],[Session]]=B69,1,0)+IF(Table442818[[#This Row],[Pre or Post]]="Post",1,0)+IF(D69="Pre",1,0)=4,Table442818[[#This Row],[Post Total]],""),"")</f>
        <v/>
      </c>
      <c r="N70" s="5" t="str">
        <f>IF(IF(ISNUMBER(J69),1,0)+IF(ISNUMBER(Table442818[[#This Row],[Post Total]]),1,0)=2,IF(IF(Table442818[[#This Row],[Student Number]]=C69,1,0)+IF(Table442818[[#This Row],[Session]]=B69,1,0)+IF(Table442818[[#This Row],[Pre or Post]]="Post",1,0)+IF(D69="Pre",1,0)=4,Table442818[[#This Row],[Post Total]]-J69,""),"")</f>
        <v/>
      </c>
      <c r="O70" s="5" t="b">
        <f>ISNUMBER(Table442818[[#This Row],[Change]])</f>
        <v>0</v>
      </c>
    </row>
    <row r="71" spans="1:15">
      <c r="A71" s="2" t="s">
        <v>12</v>
      </c>
      <c r="B71" s="2" t="s">
        <v>21</v>
      </c>
      <c r="C71" s="1">
        <v>23</v>
      </c>
      <c r="D71" s="2" t="s">
        <v>16</v>
      </c>
      <c r="E71" s="1">
        <v>4</v>
      </c>
      <c r="F71" s="1">
        <v>5</v>
      </c>
      <c r="G71" s="2" t="s">
        <v>8</v>
      </c>
      <c r="H71" s="5" t="str">
        <f>IF(IF(Table442818[[#This Row],[Pre or Post]]="Pre",1,0)+IF(ISNUMBER(Table442818[[#This Row],[Response]])=TRUE,1,0)=2,1,"")</f>
        <v/>
      </c>
      <c r="I71" s="5">
        <f>IF(IF(Table442818[[#This Row],[Pre or Post]]="Post",1,0)+IF(ISNUMBER(Table442818[[#This Row],[Response]])=TRUE,1,0)=2,1,"")</f>
        <v>1</v>
      </c>
      <c r="J71" s="5" t="str">
        <f>IF(IF(Table442818[[#This Row],[Pre or Post]]="Pre",1,0)+IF(ISNUMBER(Table442818[[#This Row],[Response]])=TRUE,1,0)=2,Table442818[[#This Row],[Response]],"")</f>
        <v/>
      </c>
      <c r="K71" s="5">
        <f>IF(IF(Table442818[[#This Row],[Pre or Post]]="Post",1,0)+IF(ISNUMBER(Table442818[[#This Row],[Response]])=TRUE,1,0)=2,Table442818[[#This Row],[Response]],"")</f>
        <v>5</v>
      </c>
      <c r="L71" s="5" t="str">
        <f>IF(IF(ISNUMBER(J71),1,0)+IF(ISNUMBER(K72),1,0)=2,IF(IF(C72=C71,1,0)+IF(B72=B71,1,0)+IF(D72="Post",1,0)+IF(D71="Pre",1,0)=4,Table442818[[#This Row],[Pre Total]],""),"")</f>
        <v/>
      </c>
      <c r="M71" s="5">
        <f>IF(IF(ISNUMBER(J70),1,0)+IF(ISNUMBER(Table442818[[#This Row],[Post Total]]),1,0)=2,IF(IF(Table442818[[#This Row],[Student Number]]=C70,1,0)+IF(Table442818[[#This Row],[Session]]=B70,1,0)+IF(Table442818[[#This Row],[Pre or Post]]="Post",1,0)+IF(D70="Pre",1,0)=4,Table442818[[#This Row],[Post Total]],""),"")</f>
        <v>5</v>
      </c>
      <c r="N71" s="5">
        <f>IF(IF(ISNUMBER(J70),1,0)+IF(ISNUMBER(Table442818[[#This Row],[Post Total]]),1,0)=2,IF(IF(Table442818[[#This Row],[Student Number]]=C70,1,0)+IF(Table442818[[#This Row],[Session]]=B70,1,0)+IF(Table442818[[#This Row],[Pre or Post]]="Post",1,0)+IF(D70="Pre",1,0)=4,Table442818[[#This Row],[Post Total]]-J70,""),"")</f>
        <v>3</v>
      </c>
      <c r="O71" s="5" t="b">
        <f>ISNUMBER(Table442818[[#This Row],[Change]])</f>
        <v>1</v>
      </c>
    </row>
    <row r="72" spans="1:15">
      <c r="A72" s="1" t="s">
        <v>12</v>
      </c>
      <c r="B72" s="1" t="s">
        <v>10</v>
      </c>
      <c r="C72" s="1">
        <v>1</v>
      </c>
      <c r="D72" s="1" t="s">
        <v>6</v>
      </c>
      <c r="E72" s="1">
        <v>11</v>
      </c>
      <c r="F72" s="1">
        <v>2</v>
      </c>
      <c r="G72" s="1" t="s">
        <v>8</v>
      </c>
      <c r="H72" s="5">
        <f>IF(IF(Table442818[[#This Row],[Pre or Post]]="Pre",1,0)+IF(ISNUMBER(Table442818[[#This Row],[Response]])=TRUE,1,0)=2,1,"")</f>
        <v>1</v>
      </c>
      <c r="I72" s="5" t="str">
        <f>IF(IF(Table442818[[#This Row],[Pre or Post]]="Post",1,0)+IF(ISNUMBER(Table442818[[#This Row],[Response]])=TRUE,1,0)=2,1,"")</f>
        <v/>
      </c>
      <c r="J72" s="5">
        <f>IF(IF(Table442818[[#This Row],[Pre or Post]]="Pre",1,0)+IF(ISNUMBER(Table442818[[#This Row],[Response]])=TRUE,1,0)=2,Table442818[[#This Row],[Response]],"")</f>
        <v>2</v>
      </c>
      <c r="K72" s="5" t="str">
        <f>IF(IF(Table442818[[#This Row],[Pre or Post]]="Post",1,0)+IF(ISNUMBER(Table442818[[#This Row],[Response]])=TRUE,1,0)=2,Table442818[[#This Row],[Response]],"")</f>
        <v/>
      </c>
      <c r="L72" s="5">
        <f>IF(IF(ISNUMBER(J72),1,0)+IF(ISNUMBER(K73),1,0)=2,IF(IF(C73=C72,1,0)+IF(B73=B72,1,0)+IF(D73="Post",1,0)+IF(D72="Pre",1,0)=4,Table442818[[#This Row],[Pre Total]],""),"")</f>
        <v>2</v>
      </c>
      <c r="M72" s="5" t="str">
        <f>IF(IF(ISNUMBER(J71),1,0)+IF(ISNUMBER(Table442818[[#This Row],[Post Total]]),1,0)=2,IF(IF(Table442818[[#This Row],[Student Number]]=C71,1,0)+IF(Table442818[[#This Row],[Session]]=B71,1,0)+IF(Table442818[[#This Row],[Pre or Post]]="Post",1,0)+IF(D71="Pre",1,0)=4,Table442818[[#This Row],[Post Total]],""),"")</f>
        <v/>
      </c>
      <c r="N72" s="5" t="str">
        <f>IF(IF(ISNUMBER(J71),1,0)+IF(ISNUMBER(Table442818[[#This Row],[Post Total]]),1,0)=2,IF(IF(Table442818[[#This Row],[Student Number]]=C71,1,0)+IF(Table442818[[#This Row],[Session]]=B71,1,0)+IF(Table442818[[#This Row],[Pre or Post]]="Post",1,0)+IF(D71="Pre",1,0)=4,Table442818[[#This Row],[Post Total]]-J71,""),"")</f>
        <v/>
      </c>
      <c r="O72" s="5" t="b">
        <f>ISNUMBER(Table442818[[#This Row],[Change]])</f>
        <v>0</v>
      </c>
    </row>
    <row r="73" spans="1:15">
      <c r="A73" s="1" t="s">
        <v>12</v>
      </c>
      <c r="B73" s="1" t="s">
        <v>10</v>
      </c>
      <c r="C73" s="1">
        <v>1</v>
      </c>
      <c r="D73" s="1" t="s">
        <v>16</v>
      </c>
      <c r="E73" s="1">
        <v>4</v>
      </c>
      <c r="F73" s="1">
        <v>3</v>
      </c>
      <c r="G73" s="1" t="s">
        <v>8</v>
      </c>
      <c r="H73" s="5" t="str">
        <f>IF(IF(Table442818[[#This Row],[Pre or Post]]="Pre",1,0)+IF(ISNUMBER(Table442818[[#This Row],[Response]])=TRUE,1,0)=2,1,"")</f>
        <v/>
      </c>
      <c r="I73" s="5">
        <f>IF(IF(Table442818[[#This Row],[Pre or Post]]="Post",1,0)+IF(ISNUMBER(Table442818[[#This Row],[Response]])=TRUE,1,0)=2,1,"")</f>
        <v>1</v>
      </c>
      <c r="J73" s="5" t="str">
        <f>IF(IF(Table442818[[#This Row],[Pre or Post]]="Pre",1,0)+IF(ISNUMBER(Table442818[[#This Row],[Response]])=TRUE,1,0)=2,Table442818[[#This Row],[Response]],"")</f>
        <v/>
      </c>
      <c r="K73" s="5">
        <f>IF(IF(Table442818[[#This Row],[Pre or Post]]="Post",1,0)+IF(ISNUMBER(Table442818[[#This Row],[Response]])=TRUE,1,0)=2,Table442818[[#This Row],[Response]],"")</f>
        <v>3</v>
      </c>
      <c r="L73" s="5" t="str">
        <f>IF(IF(ISNUMBER(J73),1,0)+IF(ISNUMBER(K74),1,0)=2,IF(IF(C74=C73,1,0)+IF(B74=B73,1,0)+IF(D74="Post",1,0)+IF(D73="Pre",1,0)=4,Table442818[[#This Row],[Pre Total]],""),"")</f>
        <v/>
      </c>
      <c r="M73" s="5">
        <f>IF(IF(ISNUMBER(J72),1,0)+IF(ISNUMBER(Table442818[[#This Row],[Post Total]]),1,0)=2,IF(IF(Table442818[[#This Row],[Student Number]]=C72,1,0)+IF(Table442818[[#This Row],[Session]]=B72,1,0)+IF(Table442818[[#This Row],[Pre or Post]]="Post",1,0)+IF(D72="Pre",1,0)=4,Table442818[[#This Row],[Post Total]],""),"")</f>
        <v>3</v>
      </c>
      <c r="N73" s="5">
        <f>IF(IF(ISNUMBER(J72),1,0)+IF(ISNUMBER(Table442818[[#This Row],[Post Total]]),1,0)=2,IF(IF(Table442818[[#This Row],[Student Number]]=C72,1,0)+IF(Table442818[[#This Row],[Session]]=B72,1,0)+IF(Table442818[[#This Row],[Pre or Post]]="Post",1,0)+IF(D72="Pre",1,0)=4,Table442818[[#This Row],[Post Total]]-J72,""),"")</f>
        <v>1</v>
      </c>
      <c r="O73" s="5" t="b">
        <f>ISNUMBER(Table442818[[#This Row],[Change]])</f>
        <v>1</v>
      </c>
    </row>
    <row r="74" spans="1:15">
      <c r="A74" s="1" t="s">
        <v>12</v>
      </c>
      <c r="B74" s="1" t="s">
        <v>10</v>
      </c>
      <c r="C74" s="1">
        <v>2</v>
      </c>
      <c r="D74" s="1" t="s">
        <v>6</v>
      </c>
      <c r="E74" s="1">
        <v>11</v>
      </c>
      <c r="F74" s="1">
        <v>3</v>
      </c>
      <c r="G74" s="1" t="s">
        <v>8</v>
      </c>
      <c r="H74" s="5">
        <f>IF(IF(Table442818[[#This Row],[Pre or Post]]="Pre",1,0)+IF(ISNUMBER(Table442818[[#This Row],[Response]])=TRUE,1,0)=2,1,"")</f>
        <v>1</v>
      </c>
      <c r="I74" s="5" t="str">
        <f>IF(IF(Table442818[[#This Row],[Pre or Post]]="Post",1,0)+IF(ISNUMBER(Table442818[[#This Row],[Response]])=TRUE,1,0)=2,1,"")</f>
        <v/>
      </c>
      <c r="J74" s="5">
        <f>IF(IF(Table442818[[#This Row],[Pre or Post]]="Pre",1,0)+IF(ISNUMBER(Table442818[[#This Row],[Response]])=TRUE,1,0)=2,Table442818[[#This Row],[Response]],"")</f>
        <v>3</v>
      </c>
      <c r="K74" s="5" t="str">
        <f>IF(IF(Table442818[[#This Row],[Pre or Post]]="Post",1,0)+IF(ISNUMBER(Table442818[[#This Row],[Response]])=TRUE,1,0)=2,Table442818[[#This Row],[Response]],"")</f>
        <v/>
      </c>
      <c r="L74" s="5">
        <f>IF(IF(ISNUMBER(J74),1,0)+IF(ISNUMBER(K75),1,0)=2,IF(IF(C75=C74,1,0)+IF(B75=B74,1,0)+IF(D75="Post",1,0)+IF(D74="Pre",1,0)=4,Table442818[[#This Row],[Pre Total]],""),"")</f>
        <v>3</v>
      </c>
      <c r="M74" s="5" t="str">
        <f>IF(IF(ISNUMBER(J73),1,0)+IF(ISNUMBER(Table442818[[#This Row],[Post Total]]),1,0)=2,IF(IF(Table442818[[#This Row],[Student Number]]=C73,1,0)+IF(Table442818[[#This Row],[Session]]=B73,1,0)+IF(Table442818[[#This Row],[Pre or Post]]="Post",1,0)+IF(D73="Pre",1,0)=4,Table442818[[#This Row],[Post Total]],""),"")</f>
        <v/>
      </c>
      <c r="N74" s="5" t="str">
        <f>IF(IF(ISNUMBER(J73),1,0)+IF(ISNUMBER(Table442818[[#This Row],[Post Total]]),1,0)=2,IF(IF(Table442818[[#This Row],[Student Number]]=C73,1,0)+IF(Table442818[[#This Row],[Session]]=B73,1,0)+IF(Table442818[[#This Row],[Pre or Post]]="Post",1,0)+IF(D73="Pre",1,0)=4,Table442818[[#This Row],[Post Total]]-J73,""),"")</f>
        <v/>
      </c>
      <c r="O74" s="5" t="b">
        <f>ISNUMBER(Table442818[[#This Row],[Change]])</f>
        <v>0</v>
      </c>
    </row>
    <row r="75" spans="1:15">
      <c r="A75" s="1" t="s">
        <v>12</v>
      </c>
      <c r="B75" s="1" t="s">
        <v>10</v>
      </c>
      <c r="C75" s="1">
        <v>2</v>
      </c>
      <c r="D75" s="1" t="s">
        <v>16</v>
      </c>
      <c r="E75" s="1">
        <v>4</v>
      </c>
      <c r="F75" s="1">
        <v>2</v>
      </c>
      <c r="G75" s="1" t="s">
        <v>8</v>
      </c>
      <c r="H75" s="5" t="str">
        <f>IF(IF(Table442818[[#This Row],[Pre or Post]]="Pre",1,0)+IF(ISNUMBER(Table442818[[#This Row],[Response]])=TRUE,1,0)=2,1,"")</f>
        <v/>
      </c>
      <c r="I75" s="5">
        <f>IF(IF(Table442818[[#This Row],[Pre or Post]]="Post",1,0)+IF(ISNUMBER(Table442818[[#This Row],[Response]])=TRUE,1,0)=2,1,"")</f>
        <v>1</v>
      </c>
      <c r="J75" s="5" t="str">
        <f>IF(IF(Table442818[[#This Row],[Pre or Post]]="Pre",1,0)+IF(ISNUMBER(Table442818[[#This Row],[Response]])=TRUE,1,0)=2,Table442818[[#This Row],[Response]],"")</f>
        <v/>
      </c>
      <c r="K75" s="5">
        <f>IF(IF(Table442818[[#This Row],[Pre or Post]]="Post",1,0)+IF(ISNUMBER(Table442818[[#This Row],[Response]])=TRUE,1,0)=2,Table442818[[#This Row],[Response]],"")</f>
        <v>2</v>
      </c>
      <c r="L75" s="5" t="str">
        <f>IF(IF(ISNUMBER(J75),1,0)+IF(ISNUMBER(K76),1,0)=2,IF(IF(C76=C75,1,0)+IF(B76=B75,1,0)+IF(D76="Post",1,0)+IF(D75="Pre",1,0)=4,Table442818[[#This Row],[Pre Total]],""),"")</f>
        <v/>
      </c>
      <c r="M75" s="5">
        <f>IF(IF(ISNUMBER(J74),1,0)+IF(ISNUMBER(Table442818[[#This Row],[Post Total]]),1,0)=2,IF(IF(Table442818[[#This Row],[Student Number]]=C74,1,0)+IF(Table442818[[#This Row],[Session]]=B74,1,0)+IF(Table442818[[#This Row],[Pre or Post]]="Post",1,0)+IF(D74="Pre",1,0)=4,Table442818[[#This Row],[Post Total]],""),"")</f>
        <v>2</v>
      </c>
      <c r="N75" s="5">
        <f>IF(IF(ISNUMBER(J74),1,0)+IF(ISNUMBER(Table442818[[#This Row],[Post Total]]),1,0)=2,IF(IF(Table442818[[#This Row],[Student Number]]=C74,1,0)+IF(Table442818[[#This Row],[Session]]=B74,1,0)+IF(Table442818[[#This Row],[Pre or Post]]="Post",1,0)+IF(D74="Pre",1,0)=4,Table442818[[#This Row],[Post Total]]-J74,""),"")</f>
        <v>-1</v>
      </c>
      <c r="O75" s="5" t="b">
        <f>ISNUMBER(Table442818[[#This Row],[Change]])</f>
        <v>1</v>
      </c>
    </row>
    <row r="76" spans="1:15">
      <c r="A76" s="1" t="s">
        <v>12</v>
      </c>
      <c r="B76" s="1" t="s">
        <v>10</v>
      </c>
      <c r="C76" s="1">
        <v>3</v>
      </c>
      <c r="D76" s="1" t="s">
        <v>6</v>
      </c>
      <c r="E76" s="1">
        <v>11</v>
      </c>
      <c r="F76" s="1">
        <v>4</v>
      </c>
      <c r="G76" s="1" t="s">
        <v>8</v>
      </c>
      <c r="H76" s="5">
        <f>IF(IF(Table442818[[#This Row],[Pre or Post]]="Pre",1,0)+IF(ISNUMBER(Table442818[[#This Row],[Response]])=TRUE,1,0)=2,1,"")</f>
        <v>1</v>
      </c>
      <c r="I76" s="5" t="str">
        <f>IF(IF(Table442818[[#This Row],[Pre or Post]]="Post",1,0)+IF(ISNUMBER(Table442818[[#This Row],[Response]])=TRUE,1,0)=2,1,"")</f>
        <v/>
      </c>
      <c r="J76" s="5">
        <f>IF(IF(Table442818[[#This Row],[Pre or Post]]="Pre",1,0)+IF(ISNUMBER(Table442818[[#This Row],[Response]])=TRUE,1,0)=2,Table442818[[#This Row],[Response]],"")</f>
        <v>4</v>
      </c>
      <c r="K76" s="5" t="str">
        <f>IF(IF(Table442818[[#This Row],[Pre or Post]]="Post",1,0)+IF(ISNUMBER(Table442818[[#This Row],[Response]])=TRUE,1,0)=2,Table442818[[#This Row],[Response]],"")</f>
        <v/>
      </c>
      <c r="L76" s="5">
        <f>IF(IF(ISNUMBER(J76),1,0)+IF(ISNUMBER(K77),1,0)=2,IF(IF(C77=C76,1,0)+IF(B77=B76,1,0)+IF(D77="Post",1,0)+IF(D76="Pre",1,0)=4,Table442818[[#This Row],[Pre Total]],""),"")</f>
        <v>4</v>
      </c>
      <c r="M76" s="5" t="str">
        <f>IF(IF(ISNUMBER(J75),1,0)+IF(ISNUMBER(Table442818[[#This Row],[Post Total]]),1,0)=2,IF(IF(Table442818[[#This Row],[Student Number]]=C75,1,0)+IF(Table442818[[#This Row],[Session]]=B75,1,0)+IF(Table442818[[#This Row],[Pre or Post]]="Post",1,0)+IF(D75="Pre",1,0)=4,Table442818[[#This Row],[Post Total]],""),"")</f>
        <v/>
      </c>
      <c r="N76" s="5" t="str">
        <f>IF(IF(ISNUMBER(J75),1,0)+IF(ISNUMBER(Table442818[[#This Row],[Post Total]]),1,0)=2,IF(IF(Table442818[[#This Row],[Student Number]]=C75,1,0)+IF(Table442818[[#This Row],[Session]]=B75,1,0)+IF(Table442818[[#This Row],[Pre or Post]]="Post",1,0)+IF(D75="Pre",1,0)=4,Table442818[[#This Row],[Post Total]]-J75,""),"")</f>
        <v/>
      </c>
      <c r="O76" s="5" t="b">
        <f>ISNUMBER(Table442818[[#This Row],[Change]])</f>
        <v>0</v>
      </c>
    </row>
    <row r="77" spans="1:15">
      <c r="A77" s="1" t="s">
        <v>12</v>
      </c>
      <c r="B77" s="1" t="s">
        <v>10</v>
      </c>
      <c r="C77" s="1">
        <v>3</v>
      </c>
      <c r="D77" s="1" t="s">
        <v>16</v>
      </c>
      <c r="E77" s="1">
        <v>4</v>
      </c>
      <c r="F77" s="1">
        <v>4</v>
      </c>
      <c r="G77" s="1" t="s">
        <v>8</v>
      </c>
      <c r="H77" s="5" t="str">
        <f>IF(IF(Table442818[[#This Row],[Pre or Post]]="Pre",1,0)+IF(ISNUMBER(Table442818[[#This Row],[Response]])=TRUE,1,0)=2,1,"")</f>
        <v/>
      </c>
      <c r="I77" s="5">
        <f>IF(IF(Table442818[[#This Row],[Pre or Post]]="Post",1,0)+IF(ISNUMBER(Table442818[[#This Row],[Response]])=TRUE,1,0)=2,1,"")</f>
        <v>1</v>
      </c>
      <c r="J77" s="5" t="str">
        <f>IF(IF(Table442818[[#This Row],[Pre or Post]]="Pre",1,0)+IF(ISNUMBER(Table442818[[#This Row],[Response]])=TRUE,1,0)=2,Table442818[[#This Row],[Response]],"")</f>
        <v/>
      </c>
      <c r="K77" s="5">
        <f>IF(IF(Table442818[[#This Row],[Pre or Post]]="Post",1,0)+IF(ISNUMBER(Table442818[[#This Row],[Response]])=TRUE,1,0)=2,Table442818[[#This Row],[Response]],"")</f>
        <v>4</v>
      </c>
      <c r="L77" s="5" t="str">
        <f>IF(IF(ISNUMBER(J77),1,0)+IF(ISNUMBER(K78),1,0)=2,IF(IF(C78=C77,1,0)+IF(B78=B77,1,0)+IF(D78="Post",1,0)+IF(D77="Pre",1,0)=4,Table442818[[#This Row],[Pre Total]],""),"")</f>
        <v/>
      </c>
      <c r="M77" s="5">
        <f>IF(IF(ISNUMBER(J76),1,0)+IF(ISNUMBER(Table442818[[#This Row],[Post Total]]),1,0)=2,IF(IF(Table442818[[#This Row],[Student Number]]=C76,1,0)+IF(Table442818[[#This Row],[Session]]=B76,1,0)+IF(Table442818[[#This Row],[Pre or Post]]="Post",1,0)+IF(D76="Pre",1,0)=4,Table442818[[#This Row],[Post Total]],""),"")</f>
        <v>4</v>
      </c>
      <c r="N77" s="5">
        <f>IF(IF(ISNUMBER(J76),1,0)+IF(ISNUMBER(Table442818[[#This Row],[Post Total]]),1,0)=2,IF(IF(Table442818[[#This Row],[Student Number]]=C76,1,0)+IF(Table442818[[#This Row],[Session]]=B76,1,0)+IF(Table442818[[#This Row],[Pre or Post]]="Post",1,0)+IF(D76="Pre",1,0)=4,Table442818[[#This Row],[Post Total]]-J76,""),"")</f>
        <v>0</v>
      </c>
      <c r="O77" s="5" t="b">
        <f>ISNUMBER(Table442818[[#This Row],[Change]])</f>
        <v>1</v>
      </c>
    </row>
    <row r="78" spans="1:15">
      <c r="A78" s="1" t="s">
        <v>12</v>
      </c>
      <c r="B78" s="1" t="s">
        <v>10</v>
      </c>
      <c r="C78" s="1">
        <v>4</v>
      </c>
      <c r="D78" s="1" t="s">
        <v>6</v>
      </c>
      <c r="E78" s="1">
        <v>11</v>
      </c>
      <c r="F78" s="1">
        <v>2</v>
      </c>
      <c r="G78" s="1" t="s">
        <v>8</v>
      </c>
      <c r="H78" s="5">
        <f>IF(IF(Table442818[[#This Row],[Pre or Post]]="Pre",1,0)+IF(ISNUMBER(Table442818[[#This Row],[Response]])=TRUE,1,0)=2,1,"")</f>
        <v>1</v>
      </c>
      <c r="I78" s="5" t="str">
        <f>IF(IF(Table442818[[#This Row],[Pre or Post]]="Post",1,0)+IF(ISNUMBER(Table442818[[#This Row],[Response]])=TRUE,1,0)=2,1,"")</f>
        <v/>
      </c>
      <c r="J78" s="5">
        <f>IF(IF(Table442818[[#This Row],[Pre or Post]]="Pre",1,0)+IF(ISNUMBER(Table442818[[#This Row],[Response]])=TRUE,1,0)=2,Table442818[[#This Row],[Response]],"")</f>
        <v>2</v>
      </c>
      <c r="K78" s="5" t="str">
        <f>IF(IF(Table442818[[#This Row],[Pre or Post]]="Post",1,0)+IF(ISNUMBER(Table442818[[#This Row],[Response]])=TRUE,1,0)=2,Table442818[[#This Row],[Response]],"")</f>
        <v/>
      </c>
      <c r="L78" s="5">
        <f>IF(IF(ISNUMBER(J78),1,0)+IF(ISNUMBER(K79),1,0)=2,IF(IF(C79=C78,1,0)+IF(B79=B78,1,0)+IF(D79="Post",1,0)+IF(D78="Pre",1,0)=4,Table442818[[#This Row],[Pre Total]],""),"")</f>
        <v>2</v>
      </c>
      <c r="M78" s="5" t="str">
        <f>IF(IF(ISNUMBER(J77),1,0)+IF(ISNUMBER(Table442818[[#This Row],[Post Total]]),1,0)=2,IF(IF(Table442818[[#This Row],[Student Number]]=C77,1,0)+IF(Table442818[[#This Row],[Session]]=B77,1,0)+IF(Table442818[[#This Row],[Pre or Post]]="Post",1,0)+IF(D77="Pre",1,0)=4,Table442818[[#This Row],[Post Total]],""),"")</f>
        <v/>
      </c>
      <c r="N78" s="5" t="str">
        <f>IF(IF(ISNUMBER(J77),1,0)+IF(ISNUMBER(Table442818[[#This Row],[Post Total]]),1,0)=2,IF(IF(Table442818[[#This Row],[Student Number]]=C77,1,0)+IF(Table442818[[#This Row],[Session]]=B77,1,0)+IF(Table442818[[#This Row],[Pre or Post]]="Post",1,0)+IF(D77="Pre",1,0)=4,Table442818[[#This Row],[Post Total]]-J77,""),"")</f>
        <v/>
      </c>
      <c r="O78" s="5" t="b">
        <f>ISNUMBER(Table442818[[#This Row],[Change]])</f>
        <v>0</v>
      </c>
    </row>
    <row r="79" spans="1:15">
      <c r="A79" s="1" t="s">
        <v>12</v>
      </c>
      <c r="B79" s="1" t="s">
        <v>10</v>
      </c>
      <c r="C79" s="1">
        <v>4</v>
      </c>
      <c r="D79" s="1" t="s">
        <v>16</v>
      </c>
      <c r="E79" s="1">
        <v>4</v>
      </c>
      <c r="F79" s="1">
        <v>3</v>
      </c>
      <c r="G79" s="1" t="s">
        <v>8</v>
      </c>
      <c r="H79" s="5" t="str">
        <f>IF(IF(Table442818[[#This Row],[Pre or Post]]="Pre",1,0)+IF(ISNUMBER(Table442818[[#This Row],[Response]])=TRUE,1,0)=2,1,"")</f>
        <v/>
      </c>
      <c r="I79" s="5">
        <f>IF(IF(Table442818[[#This Row],[Pre or Post]]="Post",1,0)+IF(ISNUMBER(Table442818[[#This Row],[Response]])=TRUE,1,0)=2,1,"")</f>
        <v>1</v>
      </c>
      <c r="J79" s="5" t="str">
        <f>IF(IF(Table442818[[#This Row],[Pre or Post]]="Pre",1,0)+IF(ISNUMBER(Table442818[[#This Row],[Response]])=TRUE,1,0)=2,Table442818[[#This Row],[Response]],"")</f>
        <v/>
      </c>
      <c r="K79" s="5">
        <f>IF(IF(Table442818[[#This Row],[Pre or Post]]="Post",1,0)+IF(ISNUMBER(Table442818[[#This Row],[Response]])=TRUE,1,0)=2,Table442818[[#This Row],[Response]],"")</f>
        <v>3</v>
      </c>
      <c r="L79" s="5" t="str">
        <f>IF(IF(ISNUMBER(J79),1,0)+IF(ISNUMBER(K80),1,0)=2,IF(IF(C80=C79,1,0)+IF(B80=B79,1,0)+IF(D80="Post",1,0)+IF(D79="Pre",1,0)=4,Table442818[[#This Row],[Pre Total]],""),"")</f>
        <v/>
      </c>
      <c r="M79" s="5">
        <f>IF(IF(ISNUMBER(J78),1,0)+IF(ISNUMBER(Table442818[[#This Row],[Post Total]]),1,0)=2,IF(IF(Table442818[[#This Row],[Student Number]]=C78,1,0)+IF(Table442818[[#This Row],[Session]]=B78,1,0)+IF(Table442818[[#This Row],[Pre or Post]]="Post",1,0)+IF(D78="Pre",1,0)=4,Table442818[[#This Row],[Post Total]],""),"")</f>
        <v>3</v>
      </c>
      <c r="N79" s="5">
        <f>IF(IF(ISNUMBER(J78),1,0)+IF(ISNUMBER(Table442818[[#This Row],[Post Total]]),1,0)=2,IF(IF(Table442818[[#This Row],[Student Number]]=C78,1,0)+IF(Table442818[[#This Row],[Session]]=B78,1,0)+IF(Table442818[[#This Row],[Pre or Post]]="Post",1,0)+IF(D78="Pre",1,0)=4,Table442818[[#This Row],[Post Total]]-J78,""),"")</f>
        <v>1</v>
      </c>
      <c r="O79" s="5" t="b">
        <f>ISNUMBER(Table442818[[#This Row],[Change]])</f>
        <v>1</v>
      </c>
    </row>
    <row r="80" spans="1:15">
      <c r="A80" s="1" t="s">
        <v>12</v>
      </c>
      <c r="B80" s="1" t="s">
        <v>10</v>
      </c>
      <c r="C80" s="1">
        <v>5</v>
      </c>
      <c r="D80" s="1" t="s">
        <v>6</v>
      </c>
      <c r="E80" s="1">
        <v>11</v>
      </c>
      <c r="F80" s="1">
        <v>3</v>
      </c>
      <c r="G80" s="1" t="s">
        <v>8</v>
      </c>
      <c r="H80" s="5">
        <f>IF(IF(Table442818[[#This Row],[Pre or Post]]="Pre",1,0)+IF(ISNUMBER(Table442818[[#This Row],[Response]])=TRUE,1,0)=2,1,"")</f>
        <v>1</v>
      </c>
      <c r="I80" s="5" t="str">
        <f>IF(IF(Table442818[[#This Row],[Pre or Post]]="Post",1,0)+IF(ISNUMBER(Table442818[[#This Row],[Response]])=TRUE,1,0)=2,1,"")</f>
        <v/>
      </c>
      <c r="J80" s="5">
        <f>IF(IF(Table442818[[#This Row],[Pre or Post]]="Pre",1,0)+IF(ISNUMBER(Table442818[[#This Row],[Response]])=TRUE,1,0)=2,Table442818[[#This Row],[Response]],"")</f>
        <v>3</v>
      </c>
      <c r="K80" s="5" t="str">
        <f>IF(IF(Table442818[[#This Row],[Pre or Post]]="Post",1,0)+IF(ISNUMBER(Table442818[[#This Row],[Response]])=TRUE,1,0)=2,Table442818[[#This Row],[Response]],"")</f>
        <v/>
      </c>
      <c r="L80" s="5">
        <f>IF(IF(ISNUMBER(J80),1,0)+IF(ISNUMBER(K81),1,0)=2,IF(IF(C81=C80,1,0)+IF(B81=B80,1,0)+IF(D81="Post",1,0)+IF(D80="Pre",1,0)=4,Table442818[[#This Row],[Pre Total]],""),"")</f>
        <v>3</v>
      </c>
      <c r="M80" s="5" t="str">
        <f>IF(IF(ISNUMBER(J79),1,0)+IF(ISNUMBER(Table442818[[#This Row],[Post Total]]),1,0)=2,IF(IF(Table442818[[#This Row],[Student Number]]=C79,1,0)+IF(Table442818[[#This Row],[Session]]=B79,1,0)+IF(Table442818[[#This Row],[Pre or Post]]="Post",1,0)+IF(D79="Pre",1,0)=4,Table442818[[#This Row],[Post Total]],""),"")</f>
        <v/>
      </c>
      <c r="N80" s="5" t="str">
        <f>IF(IF(ISNUMBER(J79),1,0)+IF(ISNUMBER(Table442818[[#This Row],[Post Total]]),1,0)=2,IF(IF(Table442818[[#This Row],[Student Number]]=C79,1,0)+IF(Table442818[[#This Row],[Session]]=B79,1,0)+IF(Table442818[[#This Row],[Pre or Post]]="Post",1,0)+IF(D79="Pre",1,0)=4,Table442818[[#This Row],[Post Total]]-J79,""),"")</f>
        <v/>
      </c>
      <c r="O80" s="5" t="b">
        <f>ISNUMBER(Table442818[[#This Row],[Change]])</f>
        <v>0</v>
      </c>
    </row>
    <row r="81" spans="1:15">
      <c r="A81" s="1" t="s">
        <v>12</v>
      </c>
      <c r="B81" s="1" t="s">
        <v>10</v>
      </c>
      <c r="C81" s="1">
        <v>5</v>
      </c>
      <c r="D81" s="1" t="s">
        <v>16</v>
      </c>
      <c r="E81" s="1">
        <v>4</v>
      </c>
      <c r="F81" s="1">
        <v>3</v>
      </c>
      <c r="G81" s="1" t="s">
        <v>8</v>
      </c>
      <c r="H81" s="5" t="str">
        <f>IF(IF(Table442818[[#This Row],[Pre or Post]]="Pre",1,0)+IF(ISNUMBER(Table442818[[#This Row],[Response]])=TRUE,1,0)=2,1,"")</f>
        <v/>
      </c>
      <c r="I81" s="5">
        <f>IF(IF(Table442818[[#This Row],[Pre or Post]]="Post",1,0)+IF(ISNUMBER(Table442818[[#This Row],[Response]])=TRUE,1,0)=2,1,"")</f>
        <v>1</v>
      </c>
      <c r="J81" s="5" t="str">
        <f>IF(IF(Table442818[[#This Row],[Pre or Post]]="Pre",1,0)+IF(ISNUMBER(Table442818[[#This Row],[Response]])=TRUE,1,0)=2,Table442818[[#This Row],[Response]],"")</f>
        <v/>
      </c>
      <c r="K81" s="5">
        <f>IF(IF(Table442818[[#This Row],[Pre or Post]]="Post",1,0)+IF(ISNUMBER(Table442818[[#This Row],[Response]])=TRUE,1,0)=2,Table442818[[#This Row],[Response]],"")</f>
        <v>3</v>
      </c>
      <c r="L81" s="5" t="str">
        <f>IF(IF(ISNUMBER(J81),1,0)+IF(ISNUMBER(K82),1,0)=2,IF(IF(C82=C81,1,0)+IF(B82=B81,1,0)+IF(D82="Post",1,0)+IF(D81="Pre",1,0)=4,Table442818[[#This Row],[Pre Total]],""),"")</f>
        <v/>
      </c>
      <c r="M81" s="5">
        <f>IF(IF(ISNUMBER(J80),1,0)+IF(ISNUMBER(Table442818[[#This Row],[Post Total]]),1,0)=2,IF(IF(Table442818[[#This Row],[Student Number]]=C80,1,0)+IF(Table442818[[#This Row],[Session]]=B80,1,0)+IF(Table442818[[#This Row],[Pre or Post]]="Post",1,0)+IF(D80="Pre",1,0)=4,Table442818[[#This Row],[Post Total]],""),"")</f>
        <v>3</v>
      </c>
      <c r="N81" s="5">
        <f>IF(IF(ISNUMBER(J80),1,0)+IF(ISNUMBER(Table442818[[#This Row],[Post Total]]),1,0)=2,IF(IF(Table442818[[#This Row],[Student Number]]=C80,1,0)+IF(Table442818[[#This Row],[Session]]=B80,1,0)+IF(Table442818[[#This Row],[Pre or Post]]="Post",1,0)+IF(D80="Pre",1,0)=4,Table442818[[#This Row],[Post Total]]-J80,""),"")</f>
        <v>0</v>
      </c>
      <c r="O81" s="5" t="b">
        <f>ISNUMBER(Table442818[[#This Row],[Change]])</f>
        <v>1</v>
      </c>
    </row>
    <row r="82" spans="1:15">
      <c r="A82" s="1" t="s">
        <v>12</v>
      </c>
      <c r="B82" s="1" t="s">
        <v>10</v>
      </c>
      <c r="C82" s="1">
        <v>6</v>
      </c>
      <c r="D82" s="1" t="s">
        <v>6</v>
      </c>
      <c r="E82" s="1">
        <v>11</v>
      </c>
      <c r="F82" s="1">
        <v>3</v>
      </c>
      <c r="G82" s="1" t="s">
        <v>8</v>
      </c>
      <c r="H82" s="5">
        <f>IF(IF(Table442818[[#This Row],[Pre or Post]]="Pre",1,0)+IF(ISNUMBER(Table442818[[#This Row],[Response]])=TRUE,1,0)=2,1,"")</f>
        <v>1</v>
      </c>
      <c r="I82" s="5" t="str">
        <f>IF(IF(Table442818[[#This Row],[Pre or Post]]="Post",1,0)+IF(ISNUMBER(Table442818[[#This Row],[Response]])=TRUE,1,0)=2,1,"")</f>
        <v/>
      </c>
      <c r="J82" s="5">
        <f>IF(IF(Table442818[[#This Row],[Pre or Post]]="Pre",1,0)+IF(ISNUMBER(Table442818[[#This Row],[Response]])=TRUE,1,0)=2,Table442818[[#This Row],[Response]],"")</f>
        <v>3</v>
      </c>
      <c r="K82" s="5" t="str">
        <f>IF(IF(Table442818[[#This Row],[Pre or Post]]="Post",1,0)+IF(ISNUMBER(Table442818[[#This Row],[Response]])=TRUE,1,0)=2,Table442818[[#This Row],[Response]],"")</f>
        <v/>
      </c>
      <c r="L82" s="5">
        <f>IF(IF(ISNUMBER(J82),1,0)+IF(ISNUMBER(K83),1,0)=2,IF(IF(C83=C82,1,0)+IF(B83=B82,1,0)+IF(D83="Post",1,0)+IF(D82="Pre",1,0)=4,Table442818[[#This Row],[Pre Total]],""),"")</f>
        <v>3</v>
      </c>
      <c r="M82" s="5" t="str">
        <f>IF(IF(ISNUMBER(J81),1,0)+IF(ISNUMBER(Table442818[[#This Row],[Post Total]]),1,0)=2,IF(IF(Table442818[[#This Row],[Student Number]]=C81,1,0)+IF(Table442818[[#This Row],[Session]]=B81,1,0)+IF(Table442818[[#This Row],[Pre or Post]]="Post",1,0)+IF(D81="Pre",1,0)=4,Table442818[[#This Row],[Post Total]],""),"")</f>
        <v/>
      </c>
      <c r="N82" s="5" t="str">
        <f>IF(IF(ISNUMBER(J81),1,0)+IF(ISNUMBER(Table442818[[#This Row],[Post Total]]),1,0)=2,IF(IF(Table442818[[#This Row],[Student Number]]=C81,1,0)+IF(Table442818[[#This Row],[Session]]=B81,1,0)+IF(Table442818[[#This Row],[Pre or Post]]="Post",1,0)+IF(D81="Pre",1,0)=4,Table442818[[#This Row],[Post Total]]-J81,""),"")</f>
        <v/>
      </c>
      <c r="O82" s="5" t="b">
        <f>ISNUMBER(Table442818[[#This Row],[Change]])</f>
        <v>0</v>
      </c>
    </row>
    <row r="83" spans="1:15">
      <c r="A83" s="1" t="s">
        <v>12</v>
      </c>
      <c r="B83" s="1" t="s">
        <v>10</v>
      </c>
      <c r="C83" s="1">
        <v>6</v>
      </c>
      <c r="D83" s="1" t="s">
        <v>16</v>
      </c>
      <c r="E83" s="1">
        <v>4</v>
      </c>
      <c r="F83" s="1">
        <v>5</v>
      </c>
      <c r="G83" s="1" t="s">
        <v>8</v>
      </c>
      <c r="H83" s="5" t="str">
        <f>IF(IF(Table442818[[#This Row],[Pre or Post]]="Pre",1,0)+IF(ISNUMBER(Table442818[[#This Row],[Response]])=TRUE,1,0)=2,1,"")</f>
        <v/>
      </c>
      <c r="I83" s="5">
        <f>IF(IF(Table442818[[#This Row],[Pre or Post]]="Post",1,0)+IF(ISNUMBER(Table442818[[#This Row],[Response]])=TRUE,1,0)=2,1,"")</f>
        <v>1</v>
      </c>
      <c r="J83" s="5" t="str">
        <f>IF(IF(Table442818[[#This Row],[Pre or Post]]="Pre",1,0)+IF(ISNUMBER(Table442818[[#This Row],[Response]])=TRUE,1,0)=2,Table442818[[#This Row],[Response]],"")</f>
        <v/>
      </c>
      <c r="K83" s="5">
        <f>IF(IF(Table442818[[#This Row],[Pre or Post]]="Post",1,0)+IF(ISNUMBER(Table442818[[#This Row],[Response]])=TRUE,1,0)=2,Table442818[[#This Row],[Response]],"")</f>
        <v>5</v>
      </c>
      <c r="L83" s="5" t="str">
        <f>IF(IF(ISNUMBER(J83),1,0)+IF(ISNUMBER(K84),1,0)=2,IF(IF(C84=C83,1,0)+IF(B84=B83,1,0)+IF(D84="Post",1,0)+IF(D83="Pre",1,0)=4,Table442818[[#This Row],[Pre Total]],""),"")</f>
        <v/>
      </c>
      <c r="M83" s="5">
        <f>IF(IF(ISNUMBER(J82),1,0)+IF(ISNUMBER(Table442818[[#This Row],[Post Total]]),1,0)=2,IF(IF(Table442818[[#This Row],[Student Number]]=C82,1,0)+IF(Table442818[[#This Row],[Session]]=B82,1,0)+IF(Table442818[[#This Row],[Pre or Post]]="Post",1,0)+IF(D82="Pre",1,0)=4,Table442818[[#This Row],[Post Total]],""),"")</f>
        <v>5</v>
      </c>
      <c r="N83" s="5">
        <f>IF(IF(ISNUMBER(J82),1,0)+IF(ISNUMBER(Table442818[[#This Row],[Post Total]]),1,0)=2,IF(IF(Table442818[[#This Row],[Student Number]]=C82,1,0)+IF(Table442818[[#This Row],[Session]]=B82,1,0)+IF(Table442818[[#This Row],[Pre or Post]]="Post",1,0)+IF(D82="Pre",1,0)=4,Table442818[[#This Row],[Post Total]]-J82,""),"")</f>
        <v>2</v>
      </c>
      <c r="O83" s="5" t="b">
        <f>ISNUMBER(Table442818[[#This Row],[Change]])</f>
        <v>1</v>
      </c>
    </row>
    <row r="84" spans="1:15">
      <c r="A84" s="1" t="s">
        <v>12</v>
      </c>
      <c r="B84" s="1" t="s">
        <v>10</v>
      </c>
      <c r="C84" s="1">
        <v>7</v>
      </c>
      <c r="D84" s="1" t="s">
        <v>6</v>
      </c>
      <c r="E84" s="1">
        <v>11</v>
      </c>
      <c r="F84" s="1">
        <v>3</v>
      </c>
      <c r="G84" s="1" t="s">
        <v>8</v>
      </c>
      <c r="H84" s="5">
        <f>IF(IF(Table442818[[#This Row],[Pre or Post]]="Pre",1,0)+IF(ISNUMBER(Table442818[[#This Row],[Response]])=TRUE,1,0)=2,1,"")</f>
        <v>1</v>
      </c>
      <c r="I84" s="5" t="str">
        <f>IF(IF(Table442818[[#This Row],[Pre or Post]]="Post",1,0)+IF(ISNUMBER(Table442818[[#This Row],[Response]])=TRUE,1,0)=2,1,"")</f>
        <v/>
      </c>
      <c r="J84" s="5">
        <f>IF(IF(Table442818[[#This Row],[Pre or Post]]="Pre",1,0)+IF(ISNUMBER(Table442818[[#This Row],[Response]])=TRUE,1,0)=2,Table442818[[#This Row],[Response]],"")</f>
        <v>3</v>
      </c>
      <c r="K84" s="5" t="str">
        <f>IF(IF(Table442818[[#This Row],[Pre or Post]]="Post",1,0)+IF(ISNUMBER(Table442818[[#This Row],[Response]])=TRUE,1,0)=2,Table442818[[#This Row],[Response]],"")</f>
        <v/>
      </c>
      <c r="L84" s="5">
        <f>IF(IF(ISNUMBER(J84),1,0)+IF(ISNUMBER(K85),1,0)=2,IF(IF(C85=C84,1,0)+IF(B85=B84,1,0)+IF(D85="Post",1,0)+IF(D84="Pre",1,0)=4,Table442818[[#This Row],[Pre Total]],""),"")</f>
        <v>3</v>
      </c>
      <c r="M84" s="5" t="str">
        <f>IF(IF(ISNUMBER(J83),1,0)+IF(ISNUMBER(Table442818[[#This Row],[Post Total]]),1,0)=2,IF(IF(Table442818[[#This Row],[Student Number]]=C83,1,0)+IF(Table442818[[#This Row],[Session]]=B83,1,0)+IF(Table442818[[#This Row],[Pre or Post]]="Post",1,0)+IF(D83="Pre",1,0)=4,Table442818[[#This Row],[Post Total]],""),"")</f>
        <v/>
      </c>
      <c r="N84" s="5" t="str">
        <f>IF(IF(ISNUMBER(J83),1,0)+IF(ISNUMBER(Table442818[[#This Row],[Post Total]]),1,0)=2,IF(IF(Table442818[[#This Row],[Student Number]]=C83,1,0)+IF(Table442818[[#This Row],[Session]]=B83,1,0)+IF(Table442818[[#This Row],[Pre or Post]]="Post",1,0)+IF(D83="Pre",1,0)=4,Table442818[[#This Row],[Post Total]]-J83,""),"")</f>
        <v/>
      </c>
      <c r="O84" s="5" t="b">
        <f>ISNUMBER(Table442818[[#This Row],[Change]])</f>
        <v>0</v>
      </c>
    </row>
    <row r="85" spans="1:15">
      <c r="A85" s="1" t="s">
        <v>12</v>
      </c>
      <c r="B85" s="1" t="s">
        <v>10</v>
      </c>
      <c r="C85" s="1">
        <v>7</v>
      </c>
      <c r="D85" s="1" t="s">
        <v>16</v>
      </c>
      <c r="E85" s="1">
        <v>4</v>
      </c>
      <c r="F85" s="1">
        <v>5</v>
      </c>
      <c r="G85" s="1" t="s">
        <v>8</v>
      </c>
      <c r="H85" s="5" t="str">
        <f>IF(IF(Table442818[[#This Row],[Pre or Post]]="Pre",1,0)+IF(ISNUMBER(Table442818[[#This Row],[Response]])=TRUE,1,0)=2,1,"")</f>
        <v/>
      </c>
      <c r="I85" s="5">
        <f>IF(IF(Table442818[[#This Row],[Pre or Post]]="Post",1,0)+IF(ISNUMBER(Table442818[[#This Row],[Response]])=TRUE,1,0)=2,1,"")</f>
        <v>1</v>
      </c>
      <c r="J85" s="5" t="str">
        <f>IF(IF(Table442818[[#This Row],[Pre or Post]]="Pre",1,0)+IF(ISNUMBER(Table442818[[#This Row],[Response]])=TRUE,1,0)=2,Table442818[[#This Row],[Response]],"")</f>
        <v/>
      </c>
      <c r="K85" s="5">
        <f>IF(IF(Table442818[[#This Row],[Pre or Post]]="Post",1,0)+IF(ISNUMBER(Table442818[[#This Row],[Response]])=TRUE,1,0)=2,Table442818[[#This Row],[Response]],"")</f>
        <v>5</v>
      </c>
      <c r="L85" s="5" t="str">
        <f>IF(IF(ISNUMBER(J85),1,0)+IF(ISNUMBER(K86),1,0)=2,IF(IF(C86=C85,1,0)+IF(B86=B85,1,0)+IF(D86="Post",1,0)+IF(D85="Pre",1,0)=4,Table442818[[#This Row],[Pre Total]],""),"")</f>
        <v/>
      </c>
      <c r="M85" s="5">
        <f>IF(IF(ISNUMBER(J84),1,0)+IF(ISNUMBER(Table442818[[#This Row],[Post Total]]),1,0)=2,IF(IF(Table442818[[#This Row],[Student Number]]=C84,1,0)+IF(Table442818[[#This Row],[Session]]=B84,1,0)+IF(Table442818[[#This Row],[Pre or Post]]="Post",1,0)+IF(D84="Pre",1,0)=4,Table442818[[#This Row],[Post Total]],""),"")</f>
        <v>5</v>
      </c>
      <c r="N85" s="5">
        <f>IF(IF(ISNUMBER(J84),1,0)+IF(ISNUMBER(Table442818[[#This Row],[Post Total]]),1,0)=2,IF(IF(Table442818[[#This Row],[Student Number]]=C84,1,0)+IF(Table442818[[#This Row],[Session]]=B84,1,0)+IF(Table442818[[#This Row],[Pre or Post]]="Post",1,0)+IF(D84="Pre",1,0)=4,Table442818[[#This Row],[Post Total]]-J84,""),"")</f>
        <v>2</v>
      </c>
      <c r="O85" s="5" t="b">
        <f>ISNUMBER(Table442818[[#This Row],[Change]])</f>
        <v>1</v>
      </c>
    </row>
    <row r="86" spans="1:15">
      <c r="A86" s="1" t="s">
        <v>12</v>
      </c>
      <c r="B86" s="1" t="s">
        <v>10</v>
      </c>
      <c r="C86" s="1">
        <v>8</v>
      </c>
      <c r="D86" s="1" t="s">
        <v>6</v>
      </c>
      <c r="E86" s="2">
        <v>11</v>
      </c>
      <c r="F86" s="2">
        <v>2</v>
      </c>
      <c r="G86" s="1" t="s">
        <v>8</v>
      </c>
      <c r="H86" s="5">
        <f>IF(IF(Table442818[[#This Row],[Pre or Post]]="Pre",1,0)+IF(ISNUMBER(Table442818[[#This Row],[Response]])=TRUE,1,0)=2,1,"")</f>
        <v>1</v>
      </c>
      <c r="I86" s="5" t="str">
        <f>IF(IF(Table442818[[#This Row],[Pre or Post]]="Post",1,0)+IF(ISNUMBER(Table442818[[#This Row],[Response]])=TRUE,1,0)=2,1,"")</f>
        <v/>
      </c>
      <c r="J86" s="5">
        <f>IF(IF(Table442818[[#This Row],[Pre or Post]]="Pre",1,0)+IF(ISNUMBER(Table442818[[#This Row],[Response]])=TRUE,1,0)=2,Table442818[[#This Row],[Response]],"")</f>
        <v>2</v>
      </c>
      <c r="K86" s="5" t="str">
        <f>IF(IF(Table442818[[#This Row],[Pre or Post]]="Post",1,0)+IF(ISNUMBER(Table442818[[#This Row],[Response]])=TRUE,1,0)=2,Table442818[[#This Row],[Response]],"")</f>
        <v/>
      </c>
      <c r="L86" s="5">
        <f>IF(IF(ISNUMBER(J86),1,0)+IF(ISNUMBER(K87),1,0)=2,IF(IF(C87=C86,1,0)+IF(B87=B86,1,0)+IF(D87="Post",1,0)+IF(D86="Pre",1,0)=4,Table442818[[#This Row],[Pre Total]],""),"")</f>
        <v>2</v>
      </c>
      <c r="M86" s="5" t="str">
        <f>IF(IF(ISNUMBER(J85),1,0)+IF(ISNUMBER(Table442818[[#This Row],[Post Total]]),1,0)=2,IF(IF(Table442818[[#This Row],[Student Number]]=C85,1,0)+IF(Table442818[[#This Row],[Session]]=B85,1,0)+IF(Table442818[[#This Row],[Pre or Post]]="Post",1,0)+IF(D85="Pre",1,0)=4,Table442818[[#This Row],[Post Total]],""),"")</f>
        <v/>
      </c>
      <c r="N86" s="5" t="str">
        <f>IF(IF(ISNUMBER(J85),1,0)+IF(ISNUMBER(Table442818[[#This Row],[Post Total]]),1,0)=2,IF(IF(Table442818[[#This Row],[Student Number]]=C85,1,0)+IF(Table442818[[#This Row],[Session]]=B85,1,0)+IF(Table442818[[#This Row],[Pre or Post]]="Post",1,0)+IF(D85="Pre",1,0)=4,Table442818[[#This Row],[Post Total]]-J85,""),"")</f>
        <v/>
      </c>
      <c r="O86" s="5" t="b">
        <f>ISNUMBER(Table442818[[#This Row],[Change]])</f>
        <v>0</v>
      </c>
    </row>
    <row r="87" spans="1:15">
      <c r="A87" s="1" t="s">
        <v>12</v>
      </c>
      <c r="B87" s="1" t="s">
        <v>10</v>
      </c>
      <c r="C87" s="1">
        <v>8</v>
      </c>
      <c r="D87" s="1" t="s">
        <v>16</v>
      </c>
      <c r="E87" s="1">
        <v>4</v>
      </c>
      <c r="F87" s="1">
        <v>4</v>
      </c>
      <c r="G87" s="1" t="s">
        <v>8</v>
      </c>
      <c r="H87" s="5" t="str">
        <f>IF(IF(Table442818[[#This Row],[Pre or Post]]="Pre",1,0)+IF(ISNUMBER(Table442818[[#This Row],[Response]])=TRUE,1,0)=2,1,"")</f>
        <v/>
      </c>
      <c r="I87" s="5">
        <f>IF(IF(Table442818[[#This Row],[Pre or Post]]="Post",1,0)+IF(ISNUMBER(Table442818[[#This Row],[Response]])=TRUE,1,0)=2,1,"")</f>
        <v>1</v>
      </c>
      <c r="J87" s="5" t="str">
        <f>IF(IF(Table442818[[#This Row],[Pre or Post]]="Pre",1,0)+IF(ISNUMBER(Table442818[[#This Row],[Response]])=TRUE,1,0)=2,Table442818[[#This Row],[Response]],"")</f>
        <v/>
      </c>
      <c r="K87" s="5">
        <f>IF(IF(Table442818[[#This Row],[Pre or Post]]="Post",1,0)+IF(ISNUMBER(Table442818[[#This Row],[Response]])=TRUE,1,0)=2,Table442818[[#This Row],[Response]],"")</f>
        <v>4</v>
      </c>
      <c r="L87" s="5" t="str">
        <f>IF(IF(ISNUMBER(J87),1,0)+IF(ISNUMBER(K88),1,0)=2,IF(IF(C88=C87,1,0)+IF(B88=B87,1,0)+IF(D88="Post",1,0)+IF(D87="Pre",1,0)=4,Table442818[[#This Row],[Pre Total]],""),"")</f>
        <v/>
      </c>
      <c r="M87" s="5">
        <f>IF(IF(ISNUMBER(J86),1,0)+IF(ISNUMBER(Table442818[[#This Row],[Post Total]]),1,0)=2,IF(IF(Table442818[[#This Row],[Student Number]]=C86,1,0)+IF(Table442818[[#This Row],[Session]]=B86,1,0)+IF(Table442818[[#This Row],[Pre or Post]]="Post",1,0)+IF(D86="Pre",1,0)=4,Table442818[[#This Row],[Post Total]],""),"")</f>
        <v>4</v>
      </c>
      <c r="N87" s="5">
        <f>IF(IF(ISNUMBER(J86),1,0)+IF(ISNUMBER(Table442818[[#This Row],[Post Total]]),1,0)=2,IF(IF(Table442818[[#This Row],[Student Number]]=C86,1,0)+IF(Table442818[[#This Row],[Session]]=B86,1,0)+IF(Table442818[[#This Row],[Pre or Post]]="Post",1,0)+IF(D86="Pre",1,0)=4,Table442818[[#This Row],[Post Total]]-J86,""),"")</f>
        <v>2</v>
      </c>
      <c r="O87" s="5" t="b">
        <f>ISNUMBER(Table442818[[#This Row],[Change]])</f>
        <v>1</v>
      </c>
    </row>
    <row r="88" spans="1:15">
      <c r="A88" s="1" t="s">
        <v>12</v>
      </c>
      <c r="B88" s="1" t="s">
        <v>10</v>
      </c>
      <c r="C88" s="1">
        <v>9</v>
      </c>
      <c r="D88" s="1" t="s">
        <v>6</v>
      </c>
      <c r="E88" s="1">
        <v>11</v>
      </c>
      <c r="F88" s="1">
        <v>3</v>
      </c>
      <c r="G88" s="1" t="s">
        <v>8</v>
      </c>
      <c r="H88" s="5">
        <f>IF(IF(Table442818[[#This Row],[Pre or Post]]="Pre",1,0)+IF(ISNUMBER(Table442818[[#This Row],[Response]])=TRUE,1,0)=2,1,"")</f>
        <v>1</v>
      </c>
      <c r="I88" s="5" t="str">
        <f>IF(IF(Table442818[[#This Row],[Pre or Post]]="Post",1,0)+IF(ISNUMBER(Table442818[[#This Row],[Response]])=TRUE,1,0)=2,1,"")</f>
        <v/>
      </c>
      <c r="J88" s="5">
        <f>IF(IF(Table442818[[#This Row],[Pre or Post]]="Pre",1,0)+IF(ISNUMBER(Table442818[[#This Row],[Response]])=TRUE,1,0)=2,Table442818[[#This Row],[Response]],"")</f>
        <v>3</v>
      </c>
      <c r="K88" s="5" t="str">
        <f>IF(IF(Table442818[[#This Row],[Pre or Post]]="Post",1,0)+IF(ISNUMBER(Table442818[[#This Row],[Response]])=TRUE,1,0)=2,Table442818[[#This Row],[Response]],"")</f>
        <v/>
      </c>
      <c r="L88" s="5">
        <f>IF(IF(ISNUMBER(J88),1,0)+IF(ISNUMBER(K89),1,0)=2,IF(IF(C89=C88,1,0)+IF(B89=B88,1,0)+IF(D89="Post",1,0)+IF(D88="Pre",1,0)=4,Table442818[[#This Row],[Pre Total]],""),"")</f>
        <v>3</v>
      </c>
      <c r="M88" s="5" t="str">
        <f>IF(IF(ISNUMBER(J87),1,0)+IF(ISNUMBER(Table442818[[#This Row],[Post Total]]),1,0)=2,IF(IF(Table442818[[#This Row],[Student Number]]=C87,1,0)+IF(Table442818[[#This Row],[Session]]=B87,1,0)+IF(Table442818[[#This Row],[Pre or Post]]="Post",1,0)+IF(D87="Pre",1,0)=4,Table442818[[#This Row],[Post Total]],""),"")</f>
        <v/>
      </c>
      <c r="N88" s="5" t="str">
        <f>IF(IF(ISNUMBER(J87),1,0)+IF(ISNUMBER(Table442818[[#This Row],[Post Total]]),1,0)=2,IF(IF(Table442818[[#This Row],[Student Number]]=C87,1,0)+IF(Table442818[[#This Row],[Session]]=B87,1,0)+IF(Table442818[[#This Row],[Pre or Post]]="Post",1,0)+IF(D87="Pre",1,0)=4,Table442818[[#This Row],[Post Total]]-J87,""),"")</f>
        <v/>
      </c>
      <c r="O88" s="5" t="b">
        <f>ISNUMBER(Table442818[[#This Row],[Change]])</f>
        <v>0</v>
      </c>
    </row>
    <row r="89" spans="1:15">
      <c r="A89" s="1" t="s">
        <v>12</v>
      </c>
      <c r="B89" s="1" t="s">
        <v>10</v>
      </c>
      <c r="C89" s="1">
        <v>9</v>
      </c>
      <c r="D89" s="1" t="s">
        <v>16</v>
      </c>
      <c r="E89" s="1">
        <v>4</v>
      </c>
      <c r="F89" s="1">
        <v>4</v>
      </c>
      <c r="G89" s="1" t="s">
        <v>8</v>
      </c>
      <c r="H89" s="5" t="str">
        <f>IF(IF(Table442818[[#This Row],[Pre or Post]]="Pre",1,0)+IF(ISNUMBER(Table442818[[#This Row],[Response]])=TRUE,1,0)=2,1,"")</f>
        <v/>
      </c>
      <c r="I89" s="5">
        <f>IF(IF(Table442818[[#This Row],[Pre or Post]]="Post",1,0)+IF(ISNUMBER(Table442818[[#This Row],[Response]])=TRUE,1,0)=2,1,"")</f>
        <v>1</v>
      </c>
      <c r="J89" s="5" t="str">
        <f>IF(IF(Table442818[[#This Row],[Pre or Post]]="Pre",1,0)+IF(ISNUMBER(Table442818[[#This Row],[Response]])=TRUE,1,0)=2,Table442818[[#This Row],[Response]],"")</f>
        <v/>
      </c>
      <c r="K89" s="5">
        <f>IF(IF(Table442818[[#This Row],[Pre or Post]]="Post",1,0)+IF(ISNUMBER(Table442818[[#This Row],[Response]])=TRUE,1,0)=2,Table442818[[#This Row],[Response]],"")</f>
        <v>4</v>
      </c>
      <c r="L89" s="5" t="str">
        <f>IF(IF(ISNUMBER(J89),1,0)+IF(ISNUMBER(K90),1,0)=2,IF(IF(C90=C89,1,0)+IF(B90=B89,1,0)+IF(D90="Post",1,0)+IF(D89="Pre",1,0)=4,Table442818[[#This Row],[Pre Total]],""),"")</f>
        <v/>
      </c>
      <c r="M89" s="5">
        <f>IF(IF(ISNUMBER(J88),1,0)+IF(ISNUMBER(Table442818[[#This Row],[Post Total]]),1,0)=2,IF(IF(Table442818[[#This Row],[Student Number]]=C88,1,0)+IF(Table442818[[#This Row],[Session]]=B88,1,0)+IF(Table442818[[#This Row],[Pre or Post]]="Post",1,0)+IF(D88="Pre",1,0)=4,Table442818[[#This Row],[Post Total]],""),"")</f>
        <v>4</v>
      </c>
      <c r="N89" s="5">
        <f>IF(IF(ISNUMBER(J88),1,0)+IF(ISNUMBER(Table442818[[#This Row],[Post Total]]),1,0)=2,IF(IF(Table442818[[#This Row],[Student Number]]=C88,1,0)+IF(Table442818[[#This Row],[Session]]=B88,1,0)+IF(Table442818[[#This Row],[Pre or Post]]="Post",1,0)+IF(D88="Pre",1,0)=4,Table442818[[#This Row],[Post Total]]-J88,""),"")</f>
        <v>1</v>
      </c>
      <c r="O89" s="5" t="b">
        <f>ISNUMBER(Table442818[[#This Row],[Change]])</f>
        <v>1</v>
      </c>
    </row>
    <row r="90" spans="1:15">
      <c r="A90" s="1" t="s">
        <v>12</v>
      </c>
      <c r="B90" s="1" t="s">
        <v>10</v>
      </c>
      <c r="C90" s="1">
        <v>10</v>
      </c>
      <c r="D90" s="1" t="s">
        <v>6</v>
      </c>
      <c r="E90" s="1">
        <v>11</v>
      </c>
      <c r="F90" s="1">
        <v>2</v>
      </c>
      <c r="G90" s="1" t="s">
        <v>8</v>
      </c>
      <c r="H90" s="5">
        <f>IF(IF(Table442818[[#This Row],[Pre or Post]]="Pre",1,0)+IF(ISNUMBER(Table442818[[#This Row],[Response]])=TRUE,1,0)=2,1,"")</f>
        <v>1</v>
      </c>
      <c r="I90" s="5" t="str">
        <f>IF(IF(Table442818[[#This Row],[Pre or Post]]="Post",1,0)+IF(ISNUMBER(Table442818[[#This Row],[Response]])=TRUE,1,0)=2,1,"")</f>
        <v/>
      </c>
      <c r="J90" s="5">
        <f>IF(IF(Table442818[[#This Row],[Pre or Post]]="Pre",1,0)+IF(ISNUMBER(Table442818[[#This Row],[Response]])=TRUE,1,0)=2,Table442818[[#This Row],[Response]],"")</f>
        <v>2</v>
      </c>
      <c r="K90" s="5" t="str">
        <f>IF(IF(Table442818[[#This Row],[Pre or Post]]="Post",1,0)+IF(ISNUMBER(Table442818[[#This Row],[Response]])=TRUE,1,0)=2,Table442818[[#This Row],[Response]],"")</f>
        <v/>
      </c>
      <c r="L90" s="5">
        <f>IF(IF(ISNUMBER(J90),1,0)+IF(ISNUMBER(K91),1,0)=2,IF(IF(C91=C90,1,0)+IF(B91=B90,1,0)+IF(D91="Post",1,0)+IF(D90="Pre",1,0)=4,Table442818[[#This Row],[Pre Total]],""),"")</f>
        <v>2</v>
      </c>
      <c r="M90" s="5" t="str">
        <f>IF(IF(ISNUMBER(J89),1,0)+IF(ISNUMBER(Table442818[[#This Row],[Post Total]]),1,0)=2,IF(IF(Table442818[[#This Row],[Student Number]]=C89,1,0)+IF(Table442818[[#This Row],[Session]]=B89,1,0)+IF(Table442818[[#This Row],[Pre or Post]]="Post",1,0)+IF(D89="Pre",1,0)=4,Table442818[[#This Row],[Post Total]],""),"")</f>
        <v/>
      </c>
      <c r="N90" s="5" t="str">
        <f>IF(IF(ISNUMBER(J89),1,0)+IF(ISNUMBER(Table442818[[#This Row],[Post Total]]),1,0)=2,IF(IF(Table442818[[#This Row],[Student Number]]=C89,1,0)+IF(Table442818[[#This Row],[Session]]=B89,1,0)+IF(Table442818[[#This Row],[Pre or Post]]="Post",1,0)+IF(D89="Pre",1,0)=4,Table442818[[#This Row],[Post Total]]-J89,""),"")</f>
        <v/>
      </c>
      <c r="O90" s="5" t="b">
        <f>ISNUMBER(Table442818[[#This Row],[Change]])</f>
        <v>0</v>
      </c>
    </row>
    <row r="91" spans="1:15">
      <c r="A91" s="1" t="s">
        <v>12</v>
      </c>
      <c r="B91" s="1" t="s">
        <v>10</v>
      </c>
      <c r="C91" s="1">
        <v>10</v>
      </c>
      <c r="D91" s="1" t="s">
        <v>16</v>
      </c>
      <c r="E91" s="1">
        <v>4</v>
      </c>
      <c r="F91" s="1">
        <v>4</v>
      </c>
      <c r="G91" s="1" t="s">
        <v>8</v>
      </c>
      <c r="H91" s="5" t="str">
        <f>IF(IF(Table442818[[#This Row],[Pre or Post]]="Pre",1,0)+IF(ISNUMBER(Table442818[[#This Row],[Response]])=TRUE,1,0)=2,1,"")</f>
        <v/>
      </c>
      <c r="I91" s="5">
        <f>IF(IF(Table442818[[#This Row],[Pre or Post]]="Post",1,0)+IF(ISNUMBER(Table442818[[#This Row],[Response]])=TRUE,1,0)=2,1,"")</f>
        <v>1</v>
      </c>
      <c r="J91" s="5" t="str">
        <f>IF(IF(Table442818[[#This Row],[Pre or Post]]="Pre",1,0)+IF(ISNUMBER(Table442818[[#This Row],[Response]])=TRUE,1,0)=2,Table442818[[#This Row],[Response]],"")</f>
        <v/>
      </c>
      <c r="K91" s="5">
        <f>IF(IF(Table442818[[#This Row],[Pre or Post]]="Post",1,0)+IF(ISNUMBER(Table442818[[#This Row],[Response]])=TRUE,1,0)=2,Table442818[[#This Row],[Response]],"")</f>
        <v>4</v>
      </c>
      <c r="L91" s="5" t="str">
        <f>IF(IF(ISNUMBER(J91),1,0)+IF(ISNUMBER(K92),1,0)=2,IF(IF(C92=C91,1,0)+IF(B92=B91,1,0)+IF(D92="Post",1,0)+IF(D91="Pre",1,0)=4,Table442818[[#This Row],[Pre Total]],""),"")</f>
        <v/>
      </c>
      <c r="M91" s="5">
        <f>IF(IF(ISNUMBER(J90),1,0)+IF(ISNUMBER(Table442818[[#This Row],[Post Total]]),1,0)=2,IF(IF(Table442818[[#This Row],[Student Number]]=C90,1,0)+IF(Table442818[[#This Row],[Session]]=B90,1,0)+IF(Table442818[[#This Row],[Pre or Post]]="Post",1,0)+IF(D90="Pre",1,0)=4,Table442818[[#This Row],[Post Total]],""),"")</f>
        <v>4</v>
      </c>
      <c r="N91" s="5">
        <f>IF(IF(ISNUMBER(J90),1,0)+IF(ISNUMBER(Table442818[[#This Row],[Post Total]]),1,0)=2,IF(IF(Table442818[[#This Row],[Student Number]]=C90,1,0)+IF(Table442818[[#This Row],[Session]]=B90,1,0)+IF(Table442818[[#This Row],[Pre or Post]]="Post",1,0)+IF(D90="Pre",1,0)=4,Table442818[[#This Row],[Post Total]]-J90,""),"")</f>
        <v>2</v>
      </c>
      <c r="O91" s="5" t="b">
        <f>ISNUMBER(Table442818[[#This Row],[Change]])</f>
        <v>1</v>
      </c>
    </row>
    <row r="92" spans="1:15">
      <c r="A92" s="1" t="s">
        <v>12</v>
      </c>
      <c r="B92" s="1" t="s">
        <v>10</v>
      </c>
      <c r="C92" s="1">
        <v>11</v>
      </c>
      <c r="D92" s="1" t="s">
        <v>6</v>
      </c>
      <c r="E92" s="1">
        <v>11</v>
      </c>
      <c r="F92" s="1">
        <v>3</v>
      </c>
      <c r="G92" s="1" t="s">
        <v>8</v>
      </c>
      <c r="H92" s="5">
        <f>IF(IF(Table442818[[#This Row],[Pre or Post]]="Pre",1,0)+IF(ISNUMBER(Table442818[[#This Row],[Response]])=TRUE,1,0)=2,1,"")</f>
        <v>1</v>
      </c>
      <c r="I92" s="5" t="str">
        <f>IF(IF(Table442818[[#This Row],[Pre or Post]]="Post",1,0)+IF(ISNUMBER(Table442818[[#This Row],[Response]])=TRUE,1,0)=2,1,"")</f>
        <v/>
      </c>
      <c r="J92" s="5">
        <f>IF(IF(Table442818[[#This Row],[Pre or Post]]="Pre",1,0)+IF(ISNUMBER(Table442818[[#This Row],[Response]])=TRUE,1,0)=2,Table442818[[#This Row],[Response]],"")</f>
        <v>3</v>
      </c>
      <c r="K92" s="5" t="str">
        <f>IF(IF(Table442818[[#This Row],[Pre or Post]]="Post",1,0)+IF(ISNUMBER(Table442818[[#This Row],[Response]])=TRUE,1,0)=2,Table442818[[#This Row],[Response]],"")</f>
        <v/>
      </c>
      <c r="L92" s="5">
        <f>IF(IF(ISNUMBER(J92),1,0)+IF(ISNUMBER(K93),1,0)=2,IF(IF(C93=C92,1,0)+IF(B93=B92,1,0)+IF(D93="Post",1,0)+IF(D92="Pre",1,0)=4,Table442818[[#This Row],[Pre Total]],""),"")</f>
        <v>3</v>
      </c>
      <c r="M92" s="5" t="str">
        <f>IF(IF(ISNUMBER(J91),1,0)+IF(ISNUMBER(Table442818[[#This Row],[Post Total]]),1,0)=2,IF(IF(Table442818[[#This Row],[Student Number]]=C91,1,0)+IF(Table442818[[#This Row],[Session]]=B91,1,0)+IF(Table442818[[#This Row],[Pre or Post]]="Post",1,0)+IF(D91="Pre",1,0)=4,Table442818[[#This Row],[Post Total]],""),"")</f>
        <v/>
      </c>
      <c r="N92" s="5" t="str">
        <f>IF(IF(ISNUMBER(J91),1,0)+IF(ISNUMBER(Table442818[[#This Row],[Post Total]]),1,0)=2,IF(IF(Table442818[[#This Row],[Student Number]]=C91,1,0)+IF(Table442818[[#This Row],[Session]]=B91,1,0)+IF(Table442818[[#This Row],[Pre or Post]]="Post",1,0)+IF(D91="Pre",1,0)=4,Table442818[[#This Row],[Post Total]]-J91,""),"")</f>
        <v/>
      </c>
      <c r="O92" s="5" t="b">
        <f>ISNUMBER(Table442818[[#This Row],[Change]])</f>
        <v>0</v>
      </c>
    </row>
    <row r="93" spans="1:15">
      <c r="A93" s="1" t="s">
        <v>12</v>
      </c>
      <c r="B93" s="1" t="s">
        <v>10</v>
      </c>
      <c r="C93" s="1">
        <v>11</v>
      </c>
      <c r="D93" s="1" t="s">
        <v>16</v>
      </c>
      <c r="E93" s="1">
        <v>4</v>
      </c>
      <c r="F93" s="1">
        <v>3</v>
      </c>
      <c r="G93" s="1" t="s">
        <v>8</v>
      </c>
      <c r="H93" s="5" t="str">
        <f>IF(IF(Table442818[[#This Row],[Pre or Post]]="Pre",1,0)+IF(ISNUMBER(Table442818[[#This Row],[Response]])=TRUE,1,0)=2,1,"")</f>
        <v/>
      </c>
      <c r="I93" s="5">
        <f>IF(IF(Table442818[[#This Row],[Pre or Post]]="Post",1,0)+IF(ISNUMBER(Table442818[[#This Row],[Response]])=TRUE,1,0)=2,1,"")</f>
        <v>1</v>
      </c>
      <c r="J93" s="5" t="str">
        <f>IF(IF(Table442818[[#This Row],[Pre or Post]]="Pre",1,0)+IF(ISNUMBER(Table442818[[#This Row],[Response]])=TRUE,1,0)=2,Table442818[[#This Row],[Response]],"")</f>
        <v/>
      </c>
      <c r="K93" s="5">
        <f>IF(IF(Table442818[[#This Row],[Pre or Post]]="Post",1,0)+IF(ISNUMBER(Table442818[[#This Row],[Response]])=TRUE,1,0)=2,Table442818[[#This Row],[Response]],"")</f>
        <v>3</v>
      </c>
      <c r="L93" s="5" t="str">
        <f>IF(IF(ISNUMBER(J93),1,0)+IF(ISNUMBER(K94),1,0)=2,IF(IF(C94=C93,1,0)+IF(B94=B93,1,0)+IF(D94="Post",1,0)+IF(D93="Pre",1,0)=4,Table442818[[#This Row],[Pre Total]],""),"")</f>
        <v/>
      </c>
      <c r="M93" s="5">
        <f>IF(IF(ISNUMBER(J92),1,0)+IF(ISNUMBER(Table442818[[#This Row],[Post Total]]),1,0)=2,IF(IF(Table442818[[#This Row],[Student Number]]=C92,1,0)+IF(Table442818[[#This Row],[Session]]=B92,1,0)+IF(Table442818[[#This Row],[Pre or Post]]="Post",1,0)+IF(D92="Pre",1,0)=4,Table442818[[#This Row],[Post Total]],""),"")</f>
        <v>3</v>
      </c>
      <c r="N93" s="5">
        <f>IF(IF(ISNUMBER(J92),1,0)+IF(ISNUMBER(Table442818[[#This Row],[Post Total]]),1,0)=2,IF(IF(Table442818[[#This Row],[Student Number]]=C92,1,0)+IF(Table442818[[#This Row],[Session]]=B92,1,0)+IF(Table442818[[#This Row],[Pre or Post]]="Post",1,0)+IF(D92="Pre",1,0)=4,Table442818[[#This Row],[Post Total]]-J92,""),"")</f>
        <v>0</v>
      </c>
      <c r="O93" s="5" t="b">
        <f>ISNUMBER(Table442818[[#This Row],[Change]])</f>
        <v>1</v>
      </c>
    </row>
    <row r="94" spans="1:15">
      <c r="A94" s="1" t="s">
        <v>12</v>
      </c>
      <c r="B94" s="1" t="s">
        <v>10</v>
      </c>
      <c r="C94" s="1">
        <v>12</v>
      </c>
      <c r="D94" s="1" t="s">
        <v>6</v>
      </c>
      <c r="E94" s="1">
        <v>11</v>
      </c>
      <c r="F94" s="1">
        <v>3</v>
      </c>
      <c r="G94" s="1" t="s">
        <v>8</v>
      </c>
      <c r="H94" s="5">
        <f>IF(IF(Table442818[[#This Row],[Pre or Post]]="Pre",1,0)+IF(ISNUMBER(Table442818[[#This Row],[Response]])=TRUE,1,0)=2,1,"")</f>
        <v>1</v>
      </c>
      <c r="I94" s="5" t="str">
        <f>IF(IF(Table442818[[#This Row],[Pre or Post]]="Post",1,0)+IF(ISNUMBER(Table442818[[#This Row],[Response]])=TRUE,1,0)=2,1,"")</f>
        <v/>
      </c>
      <c r="J94" s="5">
        <f>IF(IF(Table442818[[#This Row],[Pre or Post]]="Pre",1,0)+IF(ISNUMBER(Table442818[[#This Row],[Response]])=TRUE,1,0)=2,Table442818[[#This Row],[Response]],"")</f>
        <v>3</v>
      </c>
      <c r="K94" s="5" t="str">
        <f>IF(IF(Table442818[[#This Row],[Pre or Post]]="Post",1,0)+IF(ISNUMBER(Table442818[[#This Row],[Response]])=TRUE,1,0)=2,Table442818[[#This Row],[Response]],"")</f>
        <v/>
      </c>
      <c r="L94" s="5">
        <f>IF(IF(ISNUMBER(J94),1,0)+IF(ISNUMBER(K95),1,0)=2,IF(IF(C95=C94,1,0)+IF(B95=B94,1,0)+IF(D95="Post",1,0)+IF(D94="Pre",1,0)=4,Table442818[[#This Row],[Pre Total]],""),"")</f>
        <v>3</v>
      </c>
      <c r="M94" s="5" t="str">
        <f>IF(IF(ISNUMBER(J93),1,0)+IF(ISNUMBER(Table442818[[#This Row],[Post Total]]),1,0)=2,IF(IF(Table442818[[#This Row],[Student Number]]=C93,1,0)+IF(Table442818[[#This Row],[Session]]=B93,1,0)+IF(Table442818[[#This Row],[Pre or Post]]="Post",1,0)+IF(D93="Pre",1,0)=4,Table442818[[#This Row],[Post Total]],""),"")</f>
        <v/>
      </c>
      <c r="N94" s="5" t="str">
        <f>IF(IF(ISNUMBER(J93),1,0)+IF(ISNUMBER(Table442818[[#This Row],[Post Total]]),1,0)=2,IF(IF(Table442818[[#This Row],[Student Number]]=C93,1,0)+IF(Table442818[[#This Row],[Session]]=B93,1,0)+IF(Table442818[[#This Row],[Pre or Post]]="Post",1,0)+IF(D93="Pre",1,0)=4,Table442818[[#This Row],[Post Total]]-J93,""),"")</f>
        <v/>
      </c>
      <c r="O94" s="5" t="b">
        <f>ISNUMBER(Table442818[[#This Row],[Change]])</f>
        <v>0</v>
      </c>
    </row>
    <row r="95" spans="1:15">
      <c r="A95" s="1" t="s">
        <v>12</v>
      </c>
      <c r="B95" s="1" t="s">
        <v>10</v>
      </c>
      <c r="C95" s="1">
        <v>12</v>
      </c>
      <c r="D95" s="1" t="s">
        <v>16</v>
      </c>
      <c r="E95" s="1">
        <v>4</v>
      </c>
      <c r="F95" s="1">
        <v>3</v>
      </c>
      <c r="G95" s="1" t="s">
        <v>8</v>
      </c>
      <c r="H95" s="5" t="str">
        <f>IF(IF(Table442818[[#This Row],[Pre or Post]]="Pre",1,0)+IF(ISNUMBER(Table442818[[#This Row],[Response]])=TRUE,1,0)=2,1,"")</f>
        <v/>
      </c>
      <c r="I95" s="5">
        <f>IF(IF(Table442818[[#This Row],[Pre or Post]]="Post",1,0)+IF(ISNUMBER(Table442818[[#This Row],[Response]])=TRUE,1,0)=2,1,"")</f>
        <v>1</v>
      </c>
      <c r="J95" s="5" t="str">
        <f>IF(IF(Table442818[[#This Row],[Pre or Post]]="Pre",1,0)+IF(ISNUMBER(Table442818[[#This Row],[Response]])=TRUE,1,0)=2,Table442818[[#This Row],[Response]],"")</f>
        <v/>
      </c>
      <c r="K95" s="5">
        <f>IF(IF(Table442818[[#This Row],[Pre or Post]]="Post",1,0)+IF(ISNUMBER(Table442818[[#This Row],[Response]])=TRUE,1,0)=2,Table442818[[#This Row],[Response]],"")</f>
        <v>3</v>
      </c>
      <c r="L95" s="5" t="str">
        <f>IF(IF(ISNUMBER(J95),1,0)+IF(ISNUMBER(K96),1,0)=2,IF(IF(C96=C95,1,0)+IF(B96=B95,1,0)+IF(D96="Post",1,0)+IF(D95="Pre",1,0)=4,Table442818[[#This Row],[Pre Total]],""),"")</f>
        <v/>
      </c>
      <c r="M95" s="5">
        <f>IF(IF(ISNUMBER(J94),1,0)+IF(ISNUMBER(Table442818[[#This Row],[Post Total]]),1,0)=2,IF(IF(Table442818[[#This Row],[Student Number]]=C94,1,0)+IF(Table442818[[#This Row],[Session]]=B94,1,0)+IF(Table442818[[#This Row],[Pre or Post]]="Post",1,0)+IF(D94="Pre",1,0)=4,Table442818[[#This Row],[Post Total]],""),"")</f>
        <v>3</v>
      </c>
      <c r="N95" s="5">
        <f>IF(IF(ISNUMBER(J94),1,0)+IF(ISNUMBER(Table442818[[#This Row],[Post Total]]),1,0)=2,IF(IF(Table442818[[#This Row],[Student Number]]=C94,1,0)+IF(Table442818[[#This Row],[Session]]=B94,1,0)+IF(Table442818[[#This Row],[Pre or Post]]="Post",1,0)+IF(D94="Pre",1,0)=4,Table442818[[#This Row],[Post Total]]-J94,""),"")</f>
        <v>0</v>
      </c>
      <c r="O95" s="5" t="b">
        <f>ISNUMBER(Table442818[[#This Row],[Change]])</f>
        <v>1</v>
      </c>
    </row>
    <row r="96" spans="1:15">
      <c r="A96" s="1" t="s">
        <v>12</v>
      </c>
      <c r="B96" s="1" t="s">
        <v>10</v>
      </c>
      <c r="C96" s="1">
        <v>13</v>
      </c>
      <c r="D96" s="1" t="s">
        <v>6</v>
      </c>
      <c r="E96" s="1">
        <v>11</v>
      </c>
      <c r="F96" s="1">
        <v>1</v>
      </c>
      <c r="G96" s="1" t="s">
        <v>8</v>
      </c>
      <c r="H96" s="5">
        <f>IF(IF(Table442818[[#This Row],[Pre or Post]]="Pre",1,0)+IF(ISNUMBER(Table442818[[#This Row],[Response]])=TRUE,1,0)=2,1,"")</f>
        <v>1</v>
      </c>
      <c r="I96" s="5" t="str">
        <f>IF(IF(Table442818[[#This Row],[Pre or Post]]="Post",1,0)+IF(ISNUMBER(Table442818[[#This Row],[Response]])=TRUE,1,0)=2,1,"")</f>
        <v/>
      </c>
      <c r="J96" s="5">
        <f>IF(IF(Table442818[[#This Row],[Pre or Post]]="Pre",1,0)+IF(ISNUMBER(Table442818[[#This Row],[Response]])=TRUE,1,0)=2,Table442818[[#This Row],[Response]],"")</f>
        <v>1</v>
      </c>
      <c r="K96" s="5" t="str">
        <f>IF(IF(Table442818[[#This Row],[Pre or Post]]="Post",1,0)+IF(ISNUMBER(Table442818[[#This Row],[Response]])=TRUE,1,0)=2,Table442818[[#This Row],[Response]],"")</f>
        <v/>
      </c>
      <c r="L96" s="5">
        <f>IF(IF(ISNUMBER(J96),1,0)+IF(ISNUMBER(K97),1,0)=2,IF(IF(C97=C96,1,0)+IF(B97=B96,1,0)+IF(D97="Post",1,0)+IF(D96="Pre",1,0)=4,Table442818[[#This Row],[Pre Total]],""),"")</f>
        <v>1</v>
      </c>
      <c r="M96" s="5" t="str">
        <f>IF(IF(ISNUMBER(J95),1,0)+IF(ISNUMBER(Table442818[[#This Row],[Post Total]]),1,0)=2,IF(IF(Table442818[[#This Row],[Student Number]]=C95,1,0)+IF(Table442818[[#This Row],[Session]]=B95,1,0)+IF(Table442818[[#This Row],[Pre or Post]]="Post",1,0)+IF(D95="Pre",1,0)=4,Table442818[[#This Row],[Post Total]],""),"")</f>
        <v/>
      </c>
      <c r="N96" s="5" t="str">
        <f>IF(IF(ISNUMBER(J95),1,0)+IF(ISNUMBER(Table442818[[#This Row],[Post Total]]),1,0)=2,IF(IF(Table442818[[#This Row],[Student Number]]=C95,1,0)+IF(Table442818[[#This Row],[Session]]=B95,1,0)+IF(Table442818[[#This Row],[Pre or Post]]="Post",1,0)+IF(D95="Pre",1,0)=4,Table442818[[#This Row],[Post Total]]-J95,""),"")</f>
        <v/>
      </c>
      <c r="O96" s="5" t="b">
        <f>ISNUMBER(Table442818[[#This Row],[Change]])</f>
        <v>0</v>
      </c>
    </row>
    <row r="97" spans="1:15">
      <c r="A97" s="1" t="s">
        <v>12</v>
      </c>
      <c r="B97" s="1" t="s">
        <v>10</v>
      </c>
      <c r="C97" s="1">
        <v>13</v>
      </c>
      <c r="D97" s="1" t="s">
        <v>16</v>
      </c>
      <c r="E97" s="1">
        <v>4</v>
      </c>
      <c r="F97" s="1">
        <v>3</v>
      </c>
      <c r="G97" s="1" t="s">
        <v>8</v>
      </c>
      <c r="H97" s="5" t="str">
        <f>IF(IF(Table442818[[#This Row],[Pre or Post]]="Pre",1,0)+IF(ISNUMBER(Table442818[[#This Row],[Response]])=TRUE,1,0)=2,1,"")</f>
        <v/>
      </c>
      <c r="I97" s="5">
        <f>IF(IF(Table442818[[#This Row],[Pre or Post]]="Post",1,0)+IF(ISNUMBER(Table442818[[#This Row],[Response]])=TRUE,1,0)=2,1,"")</f>
        <v>1</v>
      </c>
      <c r="J97" s="5" t="str">
        <f>IF(IF(Table442818[[#This Row],[Pre or Post]]="Pre",1,0)+IF(ISNUMBER(Table442818[[#This Row],[Response]])=TRUE,1,0)=2,Table442818[[#This Row],[Response]],"")</f>
        <v/>
      </c>
      <c r="K97" s="5">
        <f>IF(IF(Table442818[[#This Row],[Pre or Post]]="Post",1,0)+IF(ISNUMBER(Table442818[[#This Row],[Response]])=TRUE,1,0)=2,Table442818[[#This Row],[Response]],"")</f>
        <v>3</v>
      </c>
      <c r="L97" s="5" t="str">
        <f>IF(IF(ISNUMBER(J97),1,0)+IF(ISNUMBER(K98),1,0)=2,IF(IF(C98=C97,1,0)+IF(B98=B97,1,0)+IF(D98="Post",1,0)+IF(D97="Pre",1,0)=4,Table442818[[#This Row],[Pre Total]],""),"")</f>
        <v/>
      </c>
      <c r="M97" s="5">
        <f>IF(IF(ISNUMBER(J96),1,0)+IF(ISNUMBER(Table442818[[#This Row],[Post Total]]),1,0)=2,IF(IF(Table442818[[#This Row],[Student Number]]=C96,1,0)+IF(Table442818[[#This Row],[Session]]=B96,1,0)+IF(Table442818[[#This Row],[Pre or Post]]="Post",1,0)+IF(D96="Pre",1,0)=4,Table442818[[#This Row],[Post Total]],""),"")</f>
        <v>3</v>
      </c>
      <c r="N97" s="5">
        <f>IF(IF(ISNUMBER(J96),1,0)+IF(ISNUMBER(Table442818[[#This Row],[Post Total]]),1,0)=2,IF(IF(Table442818[[#This Row],[Student Number]]=C96,1,0)+IF(Table442818[[#This Row],[Session]]=B96,1,0)+IF(Table442818[[#This Row],[Pre or Post]]="Post",1,0)+IF(D96="Pre",1,0)=4,Table442818[[#This Row],[Post Total]]-J96,""),"")</f>
        <v>2</v>
      </c>
      <c r="O97" s="5" t="b">
        <f>ISNUMBER(Table442818[[#This Row],[Change]])</f>
        <v>1</v>
      </c>
    </row>
    <row r="98" spans="1:15">
      <c r="A98" s="1" t="s">
        <v>12</v>
      </c>
      <c r="B98" s="1" t="s">
        <v>10</v>
      </c>
      <c r="C98" s="1">
        <v>14</v>
      </c>
      <c r="D98" s="1" t="s">
        <v>6</v>
      </c>
      <c r="E98" s="1">
        <v>11</v>
      </c>
      <c r="F98" s="1">
        <v>3</v>
      </c>
      <c r="G98" s="1" t="s">
        <v>8</v>
      </c>
      <c r="H98" s="5">
        <f>IF(IF(Table442818[[#This Row],[Pre or Post]]="Pre",1,0)+IF(ISNUMBER(Table442818[[#This Row],[Response]])=TRUE,1,0)=2,1,"")</f>
        <v>1</v>
      </c>
      <c r="I98" s="5" t="str">
        <f>IF(IF(Table442818[[#This Row],[Pre or Post]]="Post",1,0)+IF(ISNUMBER(Table442818[[#This Row],[Response]])=TRUE,1,0)=2,1,"")</f>
        <v/>
      </c>
      <c r="J98" s="5">
        <f>IF(IF(Table442818[[#This Row],[Pre or Post]]="Pre",1,0)+IF(ISNUMBER(Table442818[[#This Row],[Response]])=TRUE,1,0)=2,Table442818[[#This Row],[Response]],"")</f>
        <v>3</v>
      </c>
      <c r="K98" s="5" t="str">
        <f>IF(IF(Table442818[[#This Row],[Pre or Post]]="Post",1,0)+IF(ISNUMBER(Table442818[[#This Row],[Response]])=TRUE,1,0)=2,Table442818[[#This Row],[Response]],"")</f>
        <v/>
      </c>
      <c r="L98" s="5">
        <f>IF(IF(ISNUMBER(J98),1,0)+IF(ISNUMBER(K99),1,0)=2,IF(IF(C99=C98,1,0)+IF(B99=B98,1,0)+IF(D99="Post",1,0)+IF(D98="Pre",1,0)=4,Table442818[[#This Row],[Pre Total]],""),"")</f>
        <v>3</v>
      </c>
      <c r="M98" s="5" t="str">
        <f>IF(IF(ISNUMBER(J97),1,0)+IF(ISNUMBER(Table442818[[#This Row],[Post Total]]),1,0)=2,IF(IF(Table442818[[#This Row],[Student Number]]=C97,1,0)+IF(Table442818[[#This Row],[Session]]=B97,1,0)+IF(Table442818[[#This Row],[Pre or Post]]="Post",1,0)+IF(D97="Pre",1,0)=4,Table442818[[#This Row],[Post Total]],""),"")</f>
        <v/>
      </c>
      <c r="N98" s="5" t="str">
        <f>IF(IF(ISNUMBER(J97),1,0)+IF(ISNUMBER(Table442818[[#This Row],[Post Total]]),1,0)=2,IF(IF(Table442818[[#This Row],[Student Number]]=C97,1,0)+IF(Table442818[[#This Row],[Session]]=B97,1,0)+IF(Table442818[[#This Row],[Pre or Post]]="Post",1,0)+IF(D97="Pre",1,0)=4,Table442818[[#This Row],[Post Total]]-J97,""),"")</f>
        <v/>
      </c>
      <c r="O98" s="5" t="b">
        <f>ISNUMBER(Table442818[[#This Row],[Change]])</f>
        <v>0</v>
      </c>
    </row>
    <row r="99" spans="1:15">
      <c r="A99" s="1" t="s">
        <v>12</v>
      </c>
      <c r="B99" s="1" t="s">
        <v>10</v>
      </c>
      <c r="C99" s="1">
        <v>14</v>
      </c>
      <c r="D99" s="1" t="s">
        <v>16</v>
      </c>
      <c r="E99" s="1">
        <v>4</v>
      </c>
      <c r="F99" s="1">
        <v>3</v>
      </c>
      <c r="G99" s="1" t="s">
        <v>8</v>
      </c>
      <c r="H99" s="5" t="str">
        <f>IF(IF(Table442818[[#This Row],[Pre or Post]]="Pre",1,0)+IF(ISNUMBER(Table442818[[#This Row],[Response]])=TRUE,1,0)=2,1,"")</f>
        <v/>
      </c>
      <c r="I99" s="5">
        <f>IF(IF(Table442818[[#This Row],[Pre or Post]]="Post",1,0)+IF(ISNUMBER(Table442818[[#This Row],[Response]])=TRUE,1,0)=2,1,"")</f>
        <v>1</v>
      </c>
      <c r="J99" s="5" t="str">
        <f>IF(IF(Table442818[[#This Row],[Pre or Post]]="Pre",1,0)+IF(ISNUMBER(Table442818[[#This Row],[Response]])=TRUE,1,0)=2,Table442818[[#This Row],[Response]],"")</f>
        <v/>
      </c>
      <c r="K99" s="5">
        <f>IF(IF(Table442818[[#This Row],[Pre or Post]]="Post",1,0)+IF(ISNUMBER(Table442818[[#This Row],[Response]])=TRUE,1,0)=2,Table442818[[#This Row],[Response]],"")</f>
        <v>3</v>
      </c>
      <c r="L99" s="5" t="str">
        <f>IF(IF(ISNUMBER(J99),1,0)+IF(ISNUMBER(K100),1,0)=2,IF(IF(C100=C99,1,0)+IF(B100=B99,1,0)+IF(D100="Post",1,0)+IF(D99="Pre",1,0)=4,Table442818[[#This Row],[Pre Total]],""),"")</f>
        <v/>
      </c>
      <c r="M99" s="5">
        <f>IF(IF(ISNUMBER(J98),1,0)+IF(ISNUMBER(Table442818[[#This Row],[Post Total]]),1,0)=2,IF(IF(Table442818[[#This Row],[Student Number]]=C98,1,0)+IF(Table442818[[#This Row],[Session]]=B98,1,0)+IF(Table442818[[#This Row],[Pre or Post]]="Post",1,0)+IF(D98="Pre",1,0)=4,Table442818[[#This Row],[Post Total]],""),"")</f>
        <v>3</v>
      </c>
      <c r="N99" s="5">
        <f>IF(IF(ISNUMBER(J98),1,0)+IF(ISNUMBER(Table442818[[#This Row],[Post Total]]),1,0)=2,IF(IF(Table442818[[#This Row],[Student Number]]=C98,1,0)+IF(Table442818[[#This Row],[Session]]=B98,1,0)+IF(Table442818[[#This Row],[Pre or Post]]="Post",1,0)+IF(D98="Pre",1,0)=4,Table442818[[#This Row],[Post Total]]-J98,""),"")</f>
        <v>0</v>
      </c>
      <c r="O99" s="5" t="b">
        <f>ISNUMBER(Table442818[[#This Row],[Change]])</f>
        <v>1</v>
      </c>
    </row>
    <row r="100" spans="1:15">
      <c r="A100" s="1" t="s">
        <v>12</v>
      </c>
      <c r="B100" s="1" t="s">
        <v>10</v>
      </c>
      <c r="C100" s="1">
        <v>15</v>
      </c>
      <c r="D100" s="1" t="s">
        <v>6</v>
      </c>
      <c r="E100" s="1">
        <v>11</v>
      </c>
      <c r="F100" s="1">
        <v>1</v>
      </c>
      <c r="G100" s="1" t="s">
        <v>8</v>
      </c>
      <c r="H100" s="5">
        <f>IF(IF(Table442818[[#This Row],[Pre or Post]]="Pre",1,0)+IF(ISNUMBER(Table442818[[#This Row],[Response]])=TRUE,1,0)=2,1,"")</f>
        <v>1</v>
      </c>
      <c r="I100" s="5" t="str">
        <f>IF(IF(Table442818[[#This Row],[Pre or Post]]="Post",1,0)+IF(ISNUMBER(Table442818[[#This Row],[Response]])=TRUE,1,0)=2,1,"")</f>
        <v/>
      </c>
      <c r="J100" s="5">
        <f>IF(IF(Table442818[[#This Row],[Pre or Post]]="Pre",1,0)+IF(ISNUMBER(Table442818[[#This Row],[Response]])=TRUE,1,0)=2,Table442818[[#This Row],[Response]],"")</f>
        <v>1</v>
      </c>
      <c r="K100" s="5" t="str">
        <f>IF(IF(Table442818[[#This Row],[Pre or Post]]="Post",1,0)+IF(ISNUMBER(Table442818[[#This Row],[Response]])=TRUE,1,0)=2,Table442818[[#This Row],[Response]],"")</f>
        <v/>
      </c>
      <c r="L100" s="5">
        <f>IF(IF(ISNUMBER(J100),1,0)+IF(ISNUMBER(K101),1,0)=2,IF(IF(C101=C100,1,0)+IF(B101=B100,1,0)+IF(D101="Post",1,0)+IF(D100="Pre",1,0)=4,Table442818[[#This Row],[Pre Total]],""),"")</f>
        <v>1</v>
      </c>
      <c r="M100" s="5" t="str">
        <f>IF(IF(ISNUMBER(J99),1,0)+IF(ISNUMBER(Table442818[[#This Row],[Post Total]]),1,0)=2,IF(IF(Table442818[[#This Row],[Student Number]]=C99,1,0)+IF(Table442818[[#This Row],[Session]]=B99,1,0)+IF(Table442818[[#This Row],[Pre or Post]]="Post",1,0)+IF(D99="Pre",1,0)=4,Table442818[[#This Row],[Post Total]],""),"")</f>
        <v/>
      </c>
      <c r="N100" s="5" t="str">
        <f>IF(IF(ISNUMBER(J99),1,0)+IF(ISNUMBER(Table442818[[#This Row],[Post Total]]),1,0)=2,IF(IF(Table442818[[#This Row],[Student Number]]=C99,1,0)+IF(Table442818[[#This Row],[Session]]=B99,1,0)+IF(Table442818[[#This Row],[Pre or Post]]="Post",1,0)+IF(D99="Pre",1,0)=4,Table442818[[#This Row],[Post Total]]-J99,""),"")</f>
        <v/>
      </c>
      <c r="O100" s="5" t="b">
        <f>ISNUMBER(Table442818[[#This Row],[Change]])</f>
        <v>0</v>
      </c>
    </row>
    <row r="101" spans="1:15">
      <c r="A101" s="1" t="s">
        <v>12</v>
      </c>
      <c r="B101" s="1" t="s">
        <v>10</v>
      </c>
      <c r="C101" s="1">
        <v>15</v>
      </c>
      <c r="D101" s="1" t="s">
        <v>16</v>
      </c>
      <c r="E101" s="1">
        <v>4</v>
      </c>
      <c r="F101" s="1">
        <v>1</v>
      </c>
      <c r="G101" s="1" t="s">
        <v>8</v>
      </c>
      <c r="H101" s="5" t="str">
        <f>IF(IF(Table442818[[#This Row],[Pre or Post]]="Pre",1,0)+IF(ISNUMBER(Table442818[[#This Row],[Response]])=TRUE,1,0)=2,1,"")</f>
        <v/>
      </c>
      <c r="I101" s="5">
        <f>IF(IF(Table442818[[#This Row],[Pre or Post]]="Post",1,0)+IF(ISNUMBER(Table442818[[#This Row],[Response]])=TRUE,1,0)=2,1,"")</f>
        <v>1</v>
      </c>
      <c r="J101" s="5" t="str">
        <f>IF(IF(Table442818[[#This Row],[Pre or Post]]="Pre",1,0)+IF(ISNUMBER(Table442818[[#This Row],[Response]])=TRUE,1,0)=2,Table442818[[#This Row],[Response]],"")</f>
        <v/>
      </c>
      <c r="K101" s="5">
        <f>IF(IF(Table442818[[#This Row],[Pre or Post]]="Post",1,0)+IF(ISNUMBER(Table442818[[#This Row],[Response]])=TRUE,1,0)=2,Table442818[[#This Row],[Response]],"")</f>
        <v>1</v>
      </c>
      <c r="L101" s="5" t="str">
        <f>IF(IF(ISNUMBER(J101),1,0)+IF(ISNUMBER(K102),1,0)=2,IF(IF(C102=C101,1,0)+IF(B102=B101,1,0)+IF(D102="Post",1,0)+IF(D101="Pre",1,0)=4,Table442818[[#This Row],[Pre Total]],""),"")</f>
        <v/>
      </c>
      <c r="M101" s="5">
        <f>IF(IF(ISNUMBER(J100),1,0)+IF(ISNUMBER(Table442818[[#This Row],[Post Total]]),1,0)=2,IF(IF(Table442818[[#This Row],[Student Number]]=C100,1,0)+IF(Table442818[[#This Row],[Session]]=B100,1,0)+IF(Table442818[[#This Row],[Pre or Post]]="Post",1,0)+IF(D100="Pre",1,0)=4,Table442818[[#This Row],[Post Total]],""),"")</f>
        <v>1</v>
      </c>
      <c r="N101" s="5">
        <f>IF(IF(ISNUMBER(J100),1,0)+IF(ISNUMBER(Table442818[[#This Row],[Post Total]]),1,0)=2,IF(IF(Table442818[[#This Row],[Student Number]]=C100,1,0)+IF(Table442818[[#This Row],[Session]]=B100,1,0)+IF(Table442818[[#This Row],[Pre or Post]]="Post",1,0)+IF(D100="Pre",1,0)=4,Table442818[[#This Row],[Post Total]]-J100,""),"")</f>
        <v>0</v>
      </c>
      <c r="O101" s="5" t="b">
        <f>ISNUMBER(Table442818[[#This Row],[Change]])</f>
        <v>1</v>
      </c>
    </row>
    <row r="102" spans="1:15">
      <c r="A102" s="1" t="s">
        <v>12</v>
      </c>
      <c r="B102" s="1" t="s">
        <v>10</v>
      </c>
      <c r="C102" s="1">
        <v>16</v>
      </c>
      <c r="D102" s="1" t="s">
        <v>6</v>
      </c>
      <c r="E102" s="2">
        <v>11</v>
      </c>
      <c r="F102" s="2">
        <v>3</v>
      </c>
      <c r="G102" s="1" t="s">
        <v>8</v>
      </c>
      <c r="H102" s="5">
        <f>IF(IF(Table442818[[#This Row],[Pre or Post]]="Pre",1,0)+IF(ISNUMBER(Table442818[[#This Row],[Response]])=TRUE,1,0)=2,1,"")</f>
        <v>1</v>
      </c>
      <c r="I102" s="5" t="str">
        <f>IF(IF(Table442818[[#This Row],[Pre or Post]]="Post",1,0)+IF(ISNUMBER(Table442818[[#This Row],[Response]])=TRUE,1,0)=2,1,"")</f>
        <v/>
      </c>
      <c r="J102" s="5">
        <f>IF(IF(Table442818[[#This Row],[Pre or Post]]="Pre",1,0)+IF(ISNUMBER(Table442818[[#This Row],[Response]])=TRUE,1,0)=2,Table442818[[#This Row],[Response]],"")</f>
        <v>3</v>
      </c>
      <c r="K102" s="5" t="str">
        <f>IF(IF(Table442818[[#This Row],[Pre or Post]]="Post",1,0)+IF(ISNUMBER(Table442818[[#This Row],[Response]])=TRUE,1,0)=2,Table442818[[#This Row],[Response]],"")</f>
        <v/>
      </c>
      <c r="L102" s="5">
        <f>IF(IF(ISNUMBER(J102),1,0)+IF(ISNUMBER(K103),1,0)=2,IF(IF(C103=C102,1,0)+IF(B103=B102,1,0)+IF(D103="Post",1,0)+IF(D102="Pre",1,0)=4,Table442818[[#This Row],[Pre Total]],""),"")</f>
        <v>3</v>
      </c>
      <c r="M102" s="5" t="str">
        <f>IF(IF(ISNUMBER(J101),1,0)+IF(ISNUMBER(Table442818[[#This Row],[Post Total]]),1,0)=2,IF(IF(Table442818[[#This Row],[Student Number]]=C101,1,0)+IF(Table442818[[#This Row],[Session]]=B101,1,0)+IF(Table442818[[#This Row],[Pre or Post]]="Post",1,0)+IF(D101="Pre",1,0)=4,Table442818[[#This Row],[Post Total]],""),"")</f>
        <v/>
      </c>
      <c r="N102" s="5" t="str">
        <f>IF(IF(ISNUMBER(J101),1,0)+IF(ISNUMBER(Table442818[[#This Row],[Post Total]]),1,0)=2,IF(IF(Table442818[[#This Row],[Student Number]]=C101,1,0)+IF(Table442818[[#This Row],[Session]]=B101,1,0)+IF(Table442818[[#This Row],[Pre or Post]]="Post",1,0)+IF(D101="Pre",1,0)=4,Table442818[[#This Row],[Post Total]]-J101,""),"")</f>
        <v/>
      </c>
      <c r="O102" s="5" t="b">
        <f>ISNUMBER(Table442818[[#This Row],[Change]])</f>
        <v>0</v>
      </c>
    </row>
    <row r="103" spans="1:15">
      <c r="A103" s="1" t="s">
        <v>12</v>
      </c>
      <c r="B103" s="1" t="s">
        <v>10</v>
      </c>
      <c r="C103" s="1">
        <v>16</v>
      </c>
      <c r="D103" s="1" t="s">
        <v>16</v>
      </c>
      <c r="E103" s="1">
        <v>4</v>
      </c>
      <c r="F103" s="1">
        <v>4</v>
      </c>
      <c r="G103" s="1" t="s">
        <v>8</v>
      </c>
      <c r="H103" s="5" t="str">
        <f>IF(IF(Table442818[[#This Row],[Pre or Post]]="Pre",1,0)+IF(ISNUMBER(Table442818[[#This Row],[Response]])=TRUE,1,0)=2,1,"")</f>
        <v/>
      </c>
      <c r="I103" s="5">
        <f>IF(IF(Table442818[[#This Row],[Pre or Post]]="Post",1,0)+IF(ISNUMBER(Table442818[[#This Row],[Response]])=TRUE,1,0)=2,1,"")</f>
        <v>1</v>
      </c>
      <c r="J103" s="5" t="str">
        <f>IF(IF(Table442818[[#This Row],[Pre or Post]]="Pre",1,0)+IF(ISNUMBER(Table442818[[#This Row],[Response]])=TRUE,1,0)=2,Table442818[[#This Row],[Response]],"")</f>
        <v/>
      </c>
      <c r="K103" s="5">
        <f>IF(IF(Table442818[[#This Row],[Pre or Post]]="Post",1,0)+IF(ISNUMBER(Table442818[[#This Row],[Response]])=TRUE,1,0)=2,Table442818[[#This Row],[Response]],"")</f>
        <v>4</v>
      </c>
      <c r="L103" s="5" t="str">
        <f>IF(IF(ISNUMBER(J103),1,0)+IF(ISNUMBER(K104),1,0)=2,IF(IF(C104=C103,1,0)+IF(B104=B103,1,0)+IF(D104="Post",1,0)+IF(D103="Pre",1,0)=4,Table442818[[#This Row],[Pre Total]],""),"")</f>
        <v/>
      </c>
      <c r="M103" s="5">
        <f>IF(IF(ISNUMBER(J102),1,0)+IF(ISNUMBER(Table442818[[#This Row],[Post Total]]),1,0)=2,IF(IF(Table442818[[#This Row],[Student Number]]=C102,1,0)+IF(Table442818[[#This Row],[Session]]=B102,1,0)+IF(Table442818[[#This Row],[Pre or Post]]="Post",1,0)+IF(D102="Pre",1,0)=4,Table442818[[#This Row],[Post Total]],""),"")</f>
        <v>4</v>
      </c>
      <c r="N103" s="5">
        <f>IF(IF(ISNUMBER(J102),1,0)+IF(ISNUMBER(Table442818[[#This Row],[Post Total]]),1,0)=2,IF(IF(Table442818[[#This Row],[Student Number]]=C102,1,0)+IF(Table442818[[#This Row],[Session]]=B102,1,0)+IF(Table442818[[#This Row],[Pre or Post]]="Post",1,0)+IF(D102="Pre",1,0)=4,Table442818[[#This Row],[Post Total]]-J102,""),"")</f>
        <v>1</v>
      </c>
      <c r="O103" s="5" t="b">
        <f>ISNUMBER(Table442818[[#This Row],[Change]])</f>
        <v>1</v>
      </c>
    </row>
    <row r="104" spans="1:15">
      <c r="A104" s="1" t="s">
        <v>12</v>
      </c>
      <c r="B104" s="1" t="s">
        <v>10</v>
      </c>
      <c r="C104" s="1">
        <v>17</v>
      </c>
      <c r="D104" s="1" t="s">
        <v>6</v>
      </c>
      <c r="E104" s="1">
        <v>11</v>
      </c>
      <c r="F104" s="1">
        <v>4</v>
      </c>
      <c r="G104" s="1" t="s">
        <v>8</v>
      </c>
      <c r="H104" s="5">
        <f>IF(IF(Table442818[[#This Row],[Pre or Post]]="Pre",1,0)+IF(ISNUMBER(Table442818[[#This Row],[Response]])=TRUE,1,0)=2,1,"")</f>
        <v>1</v>
      </c>
      <c r="I104" s="5" t="str">
        <f>IF(IF(Table442818[[#This Row],[Pre or Post]]="Post",1,0)+IF(ISNUMBER(Table442818[[#This Row],[Response]])=TRUE,1,0)=2,1,"")</f>
        <v/>
      </c>
      <c r="J104" s="5">
        <f>IF(IF(Table442818[[#This Row],[Pre or Post]]="Pre",1,0)+IF(ISNUMBER(Table442818[[#This Row],[Response]])=TRUE,1,0)=2,Table442818[[#This Row],[Response]],"")</f>
        <v>4</v>
      </c>
      <c r="K104" s="5" t="str">
        <f>IF(IF(Table442818[[#This Row],[Pre or Post]]="Post",1,0)+IF(ISNUMBER(Table442818[[#This Row],[Response]])=TRUE,1,0)=2,Table442818[[#This Row],[Response]],"")</f>
        <v/>
      </c>
      <c r="L104" s="5">
        <f>IF(IF(ISNUMBER(J104),1,0)+IF(ISNUMBER(K105),1,0)=2,IF(IF(C105=C104,1,0)+IF(B105=B104,1,0)+IF(D105="Post",1,0)+IF(D104="Pre",1,0)=4,Table442818[[#This Row],[Pre Total]],""),"")</f>
        <v>4</v>
      </c>
      <c r="M104" s="5" t="str">
        <f>IF(IF(ISNUMBER(J103),1,0)+IF(ISNUMBER(Table442818[[#This Row],[Post Total]]),1,0)=2,IF(IF(Table442818[[#This Row],[Student Number]]=C103,1,0)+IF(Table442818[[#This Row],[Session]]=B103,1,0)+IF(Table442818[[#This Row],[Pre or Post]]="Post",1,0)+IF(D103="Pre",1,0)=4,Table442818[[#This Row],[Post Total]],""),"")</f>
        <v/>
      </c>
      <c r="N104" s="5" t="str">
        <f>IF(IF(ISNUMBER(J103),1,0)+IF(ISNUMBER(Table442818[[#This Row],[Post Total]]),1,0)=2,IF(IF(Table442818[[#This Row],[Student Number]]=C103,1,0)+IF(Table442818[[#This Row],[Session]]=B103,1,0)+IF(Table442818[[#This Row],[Pre or Post]]="Post",1,0)+IF(D103="Pre",1,0)=4,Table442818[[#This Row],[Post Total]]-J103,""),"")</f>
        <v/>
      </c>
      <c r="O104" s="5" t="b">
        <f>ISNUMBER(Table442818[[#This Row],[Change]])</f>
        <v>0</v>
      </c>
    </row>
    <row r="105" spans="1:15">
      <c r="A105" s="1" t="s">
        <v>12</v>
      </c>
      <c r="B105" s="1" t="s">
        <v>10</v>
      </c>
      <c r="C105" s="1">
        <v>17</v>
      </c>
      <c r="D105" s="1" t="s">
        <v>16</v>
      </c>
      <c r="E105" s="1">
        <v>4</v>
      </c>
      <c r="F105" s="1">
        <v>4</v>
      </c>
      <c r="G105" s="1" t="s">
        <v>8</v>
      </c>
      <c r="H105" s="5" t="str">
        <f>IF(IF(Table442818[[#This Row],[Pre or Post]]="Pre",1,0)+IF(ISNUMBER(Table442818[[#This Row],[Response]])=TRUE,1,0)=2,1,"")</f>
        <v/>
      </c>
      <c r="I105" s="5">
        <f>IF(IF(Table442818[[#This Row],[Pre or Post]]="Post",1,0)+IF(ISNUMBER(Table442818[[#This Row],[Response]])=TRUE,1,0)=2,1,"")</f>
        <v>1</v>
      </c>
      <c r="J105" s="5" t="str">
        <f>IF(IF(Table442818[[#This Row],[Pre or Post]]="Pre",1,0)+IF(ISNUMBER(Table442818[[#This Row],[Response]])=TRUE,1,0)=2,Table442818[[#This Row],[Response]],"")</f>
        <v/>
      </c>
      <c r="K105" s="5">
        <f>IF(IF(Table442818[[#This Row],[Pre or Post]]="Post",1,0)+IF(ISNUMBER(Table442818[[#This Row],[Response]])=TRUE,1,0)=2,Table442818[[#This Row],[Response]],"")</f>
        <v>4</v>
      </c>
      <c r="L105" s="5" t="str">
        <f>IF(IF(ISNUMBER(J105),1,0)+IF(ISNUMBER(K106),1,0)=2,IF(IF(C106=C105,1,0)+IF(B106=B105,1,0)+IF(D106="Post",1,0)+IF(D105="Pre",1,0)=4,Table442818[[#This Row],[Pre Total]],""),"")</f>
        <v/>
      </c>
      <c r="M105" s="5">
        <f>IF(IF(ISNUMBER(J104),1,0)+IF(ISNUMBER(Table442818[[#This Row],[Post Total]]),1,0)=2,IF(IF(Table442818[[#This Row],[Student Number]]=C104,1,0)+IF(Table442818[[#This Row],[Session]]=B104,1,0)+IF(Table442818[[#This Row],[Pre or Post]]="Post",1,0)+IF(D104="Pre",1,0)=4,Table442818[[#This Row],[Post Total]],""),"")</f>
        <v>4</v>
      </c>
      <c r="N105" s="5">
        <f>IF(IF(ISNUMBER(J104),1,0)+IF(ISNUMBER(Table442818[[#This Row],[Post Total]]),1,0)=2,IF(IF(Table442818[[#This Row],[Student Number]]=C104,1,0)+IF(Table442818[[#This Row],[Session]]=B104,1,0)+IF(Table442818[[#This Row],[Pre or Post]]="Post",1,0)+IF(D104="Pre",1,0)=4,Table442818[[#This Row],[Post Total]]-J104,""),"")</f>
        <v>0</v>
      </c>
      <c r="O105" s="5" t="b">
        <f>ISNUMBER(Table442818[[#This Row],[Change]])</f>
        <v>1</v>
      </c>
    </row>
    <row r="106" spans="1:15">
      <c r="A106" s="1" t="s">
        <v>12</v>
      </c>
      <c r="B106" s="1" t="s">
        <v>10</v>
      </c>
      <c r="C106" s="1">
        <v>18</v>
      </c>
      <c r="D106" s="1" t="s">
        <v>16</v>
      </c>
      <c r="E106" s="1">
        <v>4</v>
      </c>
      <c r="F106" s="1">
        <v>3</v>
      </c>
      <c r="G106" s="1" t="s">
        <v>9</v>
      </c>
      <c r="H106" s="5" t="str">
        <f>IF(IF(Table442818[[#This Row],[Pre or Post]]="Pre",1,0)+IF(ISNUMBER(Table442818[[#This Row],[Response]])=TRUE,1,0)=2,1,"")</f>
        <v/>
      </c>
      <c r="I106" s="5">
        <f>IF(IF(Table442818[[#This Row],[Pre or Post]]="Post",1,0)+IF(ISNUMBER(Table442818[[#This Row],[Response]])=TRUE,1,0)=2,1,"")</f>
        <v>1</v>
      </c>
      <c r="J106" s="5" t="str">
        <f>IF(IF(Table442818[[#This Row],[Pre or Post]]="Pre",1,0)+IF(ISNUMBER(Table442818[[#This Row],[Response]])=TRUE,1,0)=2,Table442818[[#This Row],[Response]],"")</f>
        <v/>
      </c>
      <c r="K106" s="5">
        <f>IF(IF(Table442818[[#This Row],[Pre or Post]]="Post",1,0)+IF(ISNUMBER(Table442818[[#This Row],[Response]])=TRUE,1,0)=2,Table442818[[#This Row],[Response]],"")</f>
        <v>3</v>
      </c>
      <c r="L106" s="5" t="str">
        <f>IF(IF(ISNUMBER(J106),1,0)+IF(ISNUMBER(K107),1,0)=2,IF(IF(C107=C106,1,0)+IF(B107=B106,1,0)+IF(D107="Post",1,0)+IF(D106="Pre",1,0)=4,Table442818[[#This Row],[Pre Total]],""),"")</f>
        <v/>
      </c>
      <c r="M106" s="5" t="str">
        <f>IF(IF(ISNUMBER(J105),1,0)+IF(ISNUMBER(Table442818[[#This Row],[Post Total]]),1,0)=2,IF(IF(Table442818[[#This Row],[Student Number]]=C105,1,0)+IF(Table442818[[#This Row],[Session]]=B105,1,0)+IF(Table442818[[#This Row],[Pre or Post]]="Post",1,0)+IF(D105="Pre",1,0)=4,Table442818[[#This Row],[Post Total]],""),"")</f>
        <v/>
      </c>
      <c r="N106" s="5" t="str">
        <f>IF(IF(ISNUMBER(J105),1,0)+IF(ISNUMBER(Table442818[[#This Row],[Post Total]]),1,0)=2,IF(IF(Table442818[[#This Row],[Student Number]]=C105,1,0)+IF(Table442818[[#This Row],[Session]]=B105,1,0)+IF(Table442818[[#This Row],[Pre or Post]]="Post",1,0)+IF(D105="Pre",1,0)=4,Table442818[[#This Row],[Post Total]]-J105,""),"")</f>
        <v/>
      </c>
      <c r="O106" s="5" t="b">
        <f>ISNUMBER(Table442818[[#This Row],[Change]])</f>
        <v>0</v>
      </c>
    </row>
    <row r="107" spans="1:15">
      <c r="A107" s="2"/>
      <c r="B107" s="2"/>
      <c r="C107" s="2"/>
      <c r="D107" s="2"/>
      <c r="E107" s="2"/>
      <c r="F107" s="2"/>
      <c r="G107" s="2"/>
      <c r="H107" s="6">
        <f>SUM([Pre Answers])</f>
        <v>40</v>
      </c>
      <c r="I107" s="6">
        <f>SUM([Post Answers])</f>
        <v>65</v>
      </c>
      <c r="J107" s="2">
        <f>SUM([Pre Total])</f>
        <v>106</v>
      </c>
      <c r="K107" s="2">
        <f>SUM([Post Total])</f>
        <v>211</v>
      </c>
      <c r="L107" s="2">
        <f>SUM(Table442818[[#Headers],[#Data],[Pre Total (Pooled)]])</f>
        <v>106</v>
      </c>
      <c r="M107" s="2">
        <f>SUM([Post Total (Pooled)])</f>
        <v>135</v>
      </c>
      <c r="N107" s="2">
        <f>SUM([Change])</f>
        <v>29</v>
      </c>
      <c r="O107" s="2">
        <f>COUNTIF([Number 2 Resp],TRUE)</f>
        <v>40</v>
      </c>
    </row>
    <row r="109" spans="1:15" s="16" customFormat="1" ht="45">
      <c r="A109" s="16" t="s">
        <v>4</v>
      </c>
      <c r="B109" s="16" t="s">
        <v>36</v>
      </c>
      <c r="C109" s="16" t="s">
        <v>37</v>
      </c>
      <c r="D109" s="16" t="s">
        <v>68</v>
      </c>
      <c r="E109" s="16" t="s">
        <v>69</v>
      </c>
      <c r="F109" s="16" t="s">
        <v>84</v>
      </c>
    </row>
    <row r="110" spans="1:15">
      <c r="A110" s="1" t="s">
        <v>6</v>
      </c>
      <c r="B110" s="1">
        <f>COUNTIF(Table442818[Pre or Post],"Pre")</f>
        <v>40</v>
      </c>
      <c r="C110" s="1">
        <f>Table442818[[#Totals],[Pre Answers]]</f>
        <v>40</v>
      </c>
      <c r="D110" s="1">
        <f>Table442818[[#Totals],[Pre Total]]/Table5122919[[#This Row],[Total Answers]]</f>
        <v>2.65</v>
      </c>
      <c r="E110" s="1">
        <f>STDEV(Table442818[Pre Total])</f>
        <v>1.2100010595460504</v>
      </c>
      <c r="F110" s="5">
        <f>STDEV(Table442818[Change])</f>
        <v>1.3584965294445255</v>
      </c>
    </row>
    <row r="111" spans="1:15">
      <c r="A111" s="1" t="s">
        <v>16</v>
      </c>
      <c r="B111" s="1">
        <f>COUNTIF(Table442818[Pre or Post],"Post")</f>
        <v>65</v>
      </c>
      <c r="C111" s="1">
        <f>Table442818[[#Totals],[Post Answers]]</f>
        <v>65</v>
      </c>
      <c r="D111" s="1">
        <f>Table442818[[#Totals],[Post Total]]/Table5122919[[#This Row],[Total Answers]]</f>
        <v>3.2461538461538462</v>
      </c>
      <c r="E111" s="1">
        <f>STDEV(Table442818[Post Total])</f>
        <v>1.2123165999282277</v>
      </c>
      <c r="F111" s="5">
        <f>STDEV(Table442818[Change])</f>
        <v>1.3584965294445255</v>
      </c>
    </row>
    <row r="113" spans="1:13" ht="30">
      <c r="A113" s="16" t="s">
        <v>46</v>
      </c>
      <c r="B113" s="16" t="s">
        <v>82</v>
      </c>
      <c r="C113" s="16" t="s">
        <v>70</v>
      </c>
      <c r="D113" s="16" t="s">
        <v>71</v>
      </c>
      <c r="E113" s="16" t="s">
        <v>73</v>
      </c>
      <c r="F113" s="16" t="s">
        <v>74</v>
      </c>
      <c r="G113" s="16" t="s">
        <v>75</v>
      </c>
      <c r="H113" s="16" t="s">
        <v>76</v>
      </c>
      <c r="I113" s="16" t="s">
        <v>77</v>
      </c>
      <c r="J113" s="16" t="s">
        <v>78</v>
      </c>
      <c r="K113" s="16" t="s">
        <v>79</v>
      </c>
      <c r="L113" s="16" t="s">
        <v>80</v>
      </c>
      <c r="M113" s="16" t="s">
        <v>81</v>
      </c>
    </row>
    <row r="114" spans="1:13">
      <c r="A114" s="1">
        <f>COUNTIF(Table442818[Pre and Post?],"Yes")/2</f>
        <v>40</v>
      </c>
      <c r="B114" s="1">
        <f>COUNTIF(Table442818[Number 2 Resp],TRUE)</f>
        <v>40</v>
      </c>
      <c r="C114" s="1">
        <f>COUNTIF(Table442818[Change],1)</f>
        <v>7</v>
      </c>
      <c r="D114" s="1">
        <f>COUNTIF(Table442818[Change],2)</f>
        <v>10</v>
      </c>
      <c r="E114" s="1">
        <f>COUNTIF(Table442818[Change],3)</f>
        <v>2</v>
      </c>
      <c r="F114" s="1">
        <f>COUNTIF(Table442818[Change],4)</f>
        <v>1</v>
      </c>
      <c r="G114" s="1">
        <f>COUNTIF(Table442818[Change],-1)</f>
        <v>4</v>
      </c>
      <c r="H114" s="1">
        <f>COUNTIF(Table442818[Change],-2)</f>
        <v>2</v>
      </c>
      <c r="I114" s="1">
        <f>COUNTIF(Table442818[Change],-3)</f>
        <v>0</v>
      </c>
      <c r="J114" s="1">
        <f>COUNTIF(Table442818[Change],-4)</f>
        <v>0</v>
      </c>
      <c r="K114" s="1">
        <f>SUM(Table6133039[[Increased by 1]:[Increased by 4]])</f>
        <v>20</v>
      </c>
      <c r="L114" s="1">
        <f>SUM(Table6133039[[Decreased by 1]:[Decreased by 4]])</f>
        <v>6</v>
      </c>
      <c r="M114" s="1">
        <f>COUNTIF(Table442818[Change],0)</f>
        <v>14</v>
      </c>
    </row>
    <row r="116" spans="1:13">
      <c r="A116" s="1" t="s">
        <v>87</v>
      </c>
    </row>
    <row r="117" spans="1:13" ht="45">
      <c r="A117" t="s">
        <v>4</v>
      </c>
      <c r="B117" s="16" t="s">
        <v>36</v>
      </c>
      <c r="C117" s="16" t="s">
        <v>84</v>
      </c>
      <c r="D117" s="16" t="s">
        <v>68</v>
      </c>
      <c r="E117" s="16" t="s">
        <v>69</v>
      </c>
    </row>
    <row r="118" spans="1:13">
      <c r="A118" t="s">
        <v>6</v>
      </c>
      <c r="B118" s="1">
        <f>Table442818[[#Totals],[Number 2 Resp]]</f>
        <v>40</v>
      </c>
      <c r="C118" s="5">
        <f>STDEV(Table442818[Change])</f>
        <v>1.3584965294445255</v>
      </c>
      <c r="D118" s="5">
        <f>Table442818[[#Totals],[Pre Total (Pooled)]]/B118</f>
        <v>2.65</v>
      </c>
      <c r="E118" s="1">
        <f>STDEV(Table442818[Pre Total (Pooled)])</f>
        <v>1.2100010595460504</v>
      </c>
    </row>
    <row r="119" spans="1:13">
      <c r="A119" t="s">
        <v>16</v>
      </c>
      <c r="B119" s="1">
        <f>Table442818[[#Totals],[Number 2 Resp]]</f>
        <v>40</v>
      </c>
      <c r="C119" s="5">
        <f>STDEV(Table442818[Change])</f>
        <v>1.3584965294445255</v>
      </c>
      <c r="D119" s="5">
        <f>Table442818[[#Totals],[Post Total (Pooled)]]/B119</f>
        <v>3.375</v>
      </c>
      <c r="E119" s="1">
        <f>STDEV(Table442818[Post Total (Pooled)])</f>
        <v>1.2338702919820614</v>
      </c>
    </row>
  </sheetData>
  <conditionalFormatting sqref="F2:G106 F109:F111 C117:C119">
    <cfRule type="cellIs" dxfId="912" priority="1" operator="equal">
      <formula>"No"</formula>
    </cfRule>
    <cfRule type="cellIs" dxfId="911" priority="2" operator="equal">
      <formula>"Yes"</formula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71"/>
  <sheetViews>
    <sheetView workbookViewId="0">
      <pane ySplit="1" topLeftCell="A128" activePane="bottomLeft" state="frozen"/>
      <selection activeCell="E37" sqref="E37"/>
      <selection pane="bottomLeft" activeCell="E37" sqref="E37"/>
    </sheetView>
  </sheetViews>
  <sheetFormatPr defaultColWidth="16.7109375" defaultRowHeight="15"/>
  <cols>
    <col min="1" max="16384" width="16.7109375" style="1"/>
  </cols>
  <sheetData>
    <row r="1" spans="1:15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20</v>
      </c>
      <c r="H1" s="1" t="s">
        <v>64</v>
      </c>
      <c r="I1" s="1" t="s">
        <v>65</v>
      </c>
      <c r="J1" s="1" t="s">
        <v>66</v>
      </c>
      <c r="K1" s="1" t="s">
        <v>67</v>
      </c>
      <c r="L1" s="1" t="s">
        <v>88</v>
      </c>
      <c r="M1" s="1" t="s">
        <v>89</v>
      </c>
      <c r="N1" s="1" t="s">
        <v>72</v>
      </c>
      <c r="O1" s="1" t="s">
        <v>83</v>
      </c>
    </row>
    <row r="2" spans="1:15">
      <c r="A2" s="2" t="s">
        <v>24</v>
      </c>
      <c r="B2" s="2" t="s">
        <v>30</v>
      </c>
      <c r="C2" s="1">
        <v>1</v>
      </c>
      <c r="D2" s="2" t="s">
        <v>16</v>
      </c>
      <c r="E2" s="1">
        <v>4</v>
      </c>
      <c r="F2" s="1">
        <v>3</v>
      </c>
      <c r="G2" s="2" t="s">
        <v>9</v>
      </c>
      <c r="H2" s="5" t="str">
        <f>IF(IF(Table44243140[[#This Row],[Pre or Post]]="Pre",1,0)+IF(ISNUMBER(Table44243140[[#This Row],[Response]])=TRUE,1,0)=2,1,"")</f>
        <v/>
      </c>
      <c r="I2" s="5">
        <f>IF(IF(Table44243140[[#This Row],[Pre or Post]]="Post",1,0)+IF(ISNUMBER(Table44243140[[#This Row],[Response]])=TRUE,1,0)=2,1,"")</f>
        <v>1</v>
      </c>
      <c r="J2" s="5" t="str">
        <f>IF(IF(Table44243140[[#This Row],[Pre or Post]]="Pre",1,0)+IF(ISNUMBER(Table44243140[[#This Row],[Response]])=TRUE,1,0)=2,Table44243140[[#This Row],[Response]],"")</f>
        <v/>
      </c>
      <c r="K2" s="5">
        <f>IF(IF(Table44243140[[#This Row],[Pre or Post]]="Post",1,0)+IF(ISNUMBER(Table44243140[[#This Row],[Response]])=TRUE,1,0)=2,Table44243140[[#This Row],[Response]],"")</f>
        <v>3</v>
      </c>
      <c r="L2" s="5" t="str">
        <f>IF(IF(ISNUMBER(J2),1,0)+IF(ISNUMBER(K3),1,0)=2,IF(IF(C3=C2,1,0)+IF(B3=B2,1,0)+IF(D3="Post",1,0)+IF(D2="Pre",1,0)=4,Table44243140[[#This Row],[Pre Total]],""),"")</f>
        <v/>
      </c>
      <c r="M2" s="5" t="str">
        <f>IF(IF(ISNUMBER(J1),1,0)+IF(ISNUMBER(Table44243140[[#This Row],[Post Total]]),1,0)=2,IF(IF(Table44243140[[#This Row],[Student Number]]=C1,1,0)+IF(Table44243140[[#This Row],[Session]]=B1,1,0)+IF(Table44243140[[#This Row],[Pre or Post]]="Post",1,0)+IF(D1="Pre",1,0)=4,Table44243140[[#This Row],[Post Total]],""),"")</f>
        <v/>
      </c>
      <c r="N2" s="5" t="str">
        <f>IF(IF(ISNUMBER(J1),1,0)+IF(ISNUMBER(Table44243140[[#This Row],[Post Total]]),1,0)=2,IF(IF(Table44243140[[#This Row],[Student Number]]=C1,1,0)+IF(Table44243140[[#This Row],[Session]]=B1,1,0)+IF(Table44243140[[#This Row],[Pre or Post]]="Post",1,0)+IF(D1="Pre",1,0)=4,Table44243140[[#This Row],[Post Total]]-J1,""),"")</f>
        <v/>
      </c>
      <c r="O2" s="5" t="b">
        <f>ISNUMBER(Table44243140[[#This Row],[Change]])</f>
        <v>0</v>
      </c>
    </row>
    <row r="3" spans="1:15">
      <c r="A3" s="2" t="s">
        <v>24</v>
      </c>
      <c r="B3" s="2" t="s">
        <v>30</v>
      </c>
      <c r="C3" s="1">
        <v>2</v>
      </c>
      <c r="D3" s="2" t="s">
        <v>16</v>
      </c>
      <c r="E3" s="1">
        <v>4</v>
      </c>
      <c r="F3" s="1">
        <v>4</v>
      </c>
      <c r="G3" s="2" t="s">
        <v>9</v>
      </c>
      <c r="H3" s="6" t="str">
        <f>IF(IF(Table44243140[[#This Row],[Pre or Post]]="Pre",1,0)+IF(ISNUMBER(Table44243140[[#This Row],[Response]])=TRUE,1,0)=2,1,"")</f>
        <v/>
      </c>
      <c r="I3" s="6">
        <f>IF(IF(Table44243140[[#This Row],[Pre or Post]]="Post",1,0)+IF(ISNUMBER(Table44243140[[#This Row],[Response]])=TRUE,1,0)=2,1,"")</f>
        <v>1</v>
      </c>
      <c r="J3" s="6" t="str">
        <f>IF(IF(Table44243140[[#This Row],[Pre or Post]]="Pre",1,0)+IF(ISNUMBER(Table44243140[[#This Row],[Response]])=TRUE,1,0)=2,Table44243140[[#This Row],[Response]],"")</f>
        <v/>
      </c>
      <c r="K3" s="6">
        <f>IF(IF(Table44243140[[#This Row],[Pre or Post]]="Post",1,0)+IF(ISNUMBER(Table44243140[[#This Row],[Response]])=TRUE,1,0)=2,Table44243140[[#This Row],[Response]],"")</f>
        <v>4</v>
      </c>
      <c r="L3" s="6" t="str">
        <f>IF(IF(ISNUMBER(J3),1,0)+IF(ISNUMBER(K4),1,0)=2,IF(IF(C4=C3,1,0)+IF(B4=B3,1,0)+IF(D4="Post",1,0)+IF(D3="Pre",1,0)=4,Table44243140[[#This Row],[Pre Total]],""),"")</f>
        <v/>
      </c>
      <c r="M3" s="6" t="str">
        <f>IF(IF(ISNUMBER(J2),1,0)+IF(ISNUMBER(Table44243140[[#This Row],[Post Total]]),1,0)=2,IF(IF(Table44243140[[#This Row],[Student Number]]=C2,1,0)+IF(Table44243140[[#This Row],[Session]]=B2,1,0)+IF(Table44243140[[#This Row],[Pre or Post]]="Post",1,0)+IF(D2="Pre",1,0)=4,Table44243140[[#This Row],[Post Total]],""),"")</f>
        <v/>
      </c>
      <c r="N3" s="6" t="str">
        <f>IF(IF(ISNUMBER(J2),1,0)+IF(ISNUMBER(Table44243140[[#This Row],[Post Total]]),1,0)=2,IF(IF(Table44243140[[#This Row],[Student Number]]=C2,1,0)+IF(Table44243140[[#This Row],[Session]]=B2,1,0)+IF(Table44243140[[#This Row],[Pre or Post]]="Post",1,0)+IF(D2="Pre",1,0)=4,Table44243140[[#This Row],[Post Total]]-J2,""),"")</f>
        <v/>
      </c>
      <c r="O3" s="6" t="b">
        <f>ISNUMBER(Table44243140[[#This Row],[Change]])</f>
        <v>0</v>
      </c>
    </row>
    <row r="4" spans="1:15">
      <c r="A4" s="2" t="s">
        <v>24</v>
      </c>
      <c r="B4" s="2" t="s">
        <v>30</v>
      </c>
      <c r="C4" s="1">
        <v>3</v>
      </c>
      <c r="D4" s="2" t="s">
        <v>16</v>
      </c>
      <c r="E4" s="1">
        <v>4</v>
      </c>
      <c r="F4" s="1">
        <v>2</v>
      </c>
      <c r="G4" s="2" t="s">
        <v>9</v>
      </c>
      <c r="H4" s="5" t="str">
        <f>IF(IF(Table44243140[[#This Row],[Pre or Post]]="Pre",1,0)+IF(ISNUMBER(Table44243140[[#This Row],[Response]])=TRUE,1,0)=2,1,"")</f>
        <v/>
      </c>
      <c r="I4" s="5">
        <f>IF(IF(Table44243140[[#This Row],[Pre or Post]]="Post",1,0)+IF(ISNUMBER(Table44243140[[#This Row],[Response]])=TRUE,1,0)=2,1,"")</f>
        <v>1</v>
      </c>
      <c r="J4" s="5" t="str">
        <f>IF(IF(Table44243140[[#This Row],[Pre or Post]]="Pre",1,0)+IF(ISNUMBER(Table44243140[[#This Row],[Response]])=TRUE,1,0)=2,Table44243140[[#This Row],[Response]],"")</f>
        <v/>
      </c>
      <c r="K4" s="5">
        <f>IF(IF(Table44243140[[#This Row],[Pre or Post]]="Post",1,0)+IF(ISNUMBER(Table44243140[[#This Row],[Response]])=TRUE,1,0)=2,Table44243140[[#This Row],[Response]],"")</f>
        <v>2</v>
      </c>
      <c r="L4" s="5" t="str">
        <f>IF(IF(ISNUMBER(J4),1,0)+IF(ISNUMBER(K5),1,0)=2,IF(IF(C5=C4,1,0)+IF(B5=B4,1,0)+IF(D5="Post",1,0)+IF(D4="Pre",1,0)=4,Table44243140[[#This Row],[Pre Total]],""),"")</f>
        <v/>
      </c>
      <c r="M4" s="5" t="str">
        <f>IF(IF(ISNUMBER(J3),1,0)+IF(ISNUMBER(Table44243140[[#This Row],[Post Total]]),1,0)=2,IF(IF(Table44243140[[#This Row],[Student Number]]=C3,1,0)+IF(Table44243140[[#This Row],[Session]]=B3,1,0)+IF(Table44243140[[#This Row],[Pre or Post]]="Post",1,0)+IF(D3="Pre",1,0)=4,Table44243140[[#This Row],[Post Total]],""),"")</f>
        <v/>
      </c>
      <c r="N4" s="5" t="str">
        <f>IF(IF(ISNUMBER(J3),1,0)+IF(ISNUMBER(Table44243140[[#This Row],[Post Total]]),1,0)=2,IF(IF(Table44243140[[#This Row],[Student Number]]=C3,1,0)+IF(Table44243140[[#This Row],[Session]]=B3,1,0)+IF(Table44243140[[#This Row],[Pre or Post]]="Post",1,0)+IF(D3="Pre",1,0)=4,Table44243140[[#This Row],[Post Total]]-J3,""),"")</f>
        <v/>
      </c>
      <c r="O4" s="5" t="b">
        <f>ISNUMBER(Table44243140[[#This Row],[Change]])</f>
        <v>0</v>
      </c>
    </row>
    <row r="5" spans="1:15">
      <c r="A5" s="2" t="s">
        <v>24</v>
      </c>
      <c r="B5" s="2" t="s">
        <v>30</v>
      </c>
      <c r="C5" s="1">
        <v>4</v>
      </c>
      <c r="D5" s="2" t="s">
        <v>16</v>
      </c>
      <c r="E5" s="1">
        <v>4</v>
      </c>
      <c r="F5" s="1">
        <v>3</v>
      </c>
      <c r="G5" s="2" t="s">
        <v>9</v>
      </c>
      <c r="H5" s="6" t="str">
        <f>IF(IF(Table44243140[[#This Row],[Pre or Post]]="Pre",1,0)+IF(ISNUMBER(Table44243140[[#This Row],[Response]])=TRUE,1,0)=2,1,"")</f>
        <v/>
      </c>
      <c r="I5" s="6">
        <f>IF(IF(Table44243140[[#This Row],[Pre or Post]]="Post",1,0)+IF(ISNUMBER(Table44243140[[#This Row],[Response]])=TRUE,1,0)=2,1,"")</f>
        <v>1</v>
      </c>
      <c r="J5" s="6" t="str">
        <f>IF(IF(Table44243140[[#This Row],[Pre or Post]]="Pre",1,0)+IF(ISNUMBER(Table44243140[[#This Row],[Response]])=TRUE,1,0)=2,Table44243140[[#This Row],[Response]],"")</f>
        <v/>
      </c>
      <c r="K5" s="6">
        <f>IF(IF(Table44243140[[#This Row],[Pre or Post]]="Post",1,0)+IF(ISNUMBER(Table44243140[[#This Row],[Response]])=TRUE,1,0)=2,Table44243140[[#This Row],[Response]],"")</f>
        <v>3</v>
      </c>
      <c r="L5" s="6" t="str">
        <f>IF(IF(ISNUMBER(J5),1,0)+IF(ISNUMBER(K6),1,0)=2,IF(IF(C6=C5,1,0)+IF(B6=B5,1,0)+IF(D6="Post",1,0)+IF(D5="Pre",1,0)=4,Table44243140[[#This Row],[Pre Total]],""),"")</f>
        <v/>
      </c>
      <c r="M5" s="6" t="str">
        <f>IF(IF(ISNUMBER(J4),1,0)+IF(ISNUMBER(Table44243140[[#This Row],[Post Total]]),1,0)=2,IF(IF(Table44243140[[#This Row],[Student Number]]=C4,1,0)+IF(Table44243140[[#This Row],[Session]]=B4,1,0)+IF(Table44243140[[#This Row],[Pre or Post]]="Post",1,0)+IF(D4="Pre",1,0)=4,Table44243140[[#This Row],[Post Total]],""),"")</f>
        <v/>
      </c>
      <c r="N5" s="6" t="str">
        <f>IF(IF(ISNUMBER(J4),1,0)+IF(ISNUMBER(Table44243140[[#This Row],[Post Total]]),1,0)=2,IF(IF(Table44243140[[#This Row],[Student Number]]=C4,1,0)+IF(Table44243140[[#This Row],[Session]]=B4,1,0)+IF(Table44243140[[#This Row],[Pre or Post]]="Post",1,0)+IF(D4="Pre",1,0)=4,Table44243140[[#This Row],[Post Total]]-J4,""),"")</f>
        <v/>
      </c>
      <c r="O5" s="6" t="b">
        <f>ISNUMBER(Table44243140[[#This Row],[Change]])</f>
        <v>0</v>
      </c>
    </row>
    <row r="6" spans="1:15">
      <c r="A6" s="2" t="s">
        <v>24</v>
      </c>
      <c r="B6" s="2" t="s">
        <v>30</v>
      </c>
      <c r="C6" s="1">
        <v>5</v>
      </c>
      <c r="D6" s="2" t="s">
        <v>16</v>
      </c>
      <c r="E6" s="1">
        <v>4</v>
      </c>
      <c r="F6" s="1">
        <v>5</v>
      </c>
      <c r="G6" s="2" t="s">
        <v>9</v>
      </c>
      <c r="H6" s="5" t="str">
        <f>IF(IF(Table44243140[[#This Row],[Pre or Post]]="Pre",1,0)+IF(ISNUMBER(Table44243140[[#This Row],[Response]])=TRUE,1,0)=2,1,"")</f>
        <v/>
      </c>
      <c r="I6" s="5">
        <f>IF(IF(Table44243140[[#This Row],[Pre or Post]]="Post",1,0)+IF(ISNUMBER(Table44243140[[#This Row],[Response]])=TRUE,1,0)=2,1,"")</f>
        <v>1</v>
      </c>
      <c r="J6" s="5"/>
      <c r="K6" s="5">
        <f>IF(IF(Table44243140[[#This Row],[Pre or Post]]="Post",1,0)+IF(ISNUMBER(Table44243140[[#This Row],[Response]])=TRUE,1,0)=2,Table44243140[[#This Row],[Response]],"")</f>
        <v>5</v>
      </c>
      <c r="L6" s="5" t="str">
        <f>IF(IF(ISNUMBER(J6),1,0)+IF(ISNUMBER(K7),1,0)=2,IF(IF(C7=C6,1,0)+IF(B7=B6,1,0)+IF(D7="Post",1,0)+IF(D6="Pre",1,0)=4,Table44243140[[#This Row],[Pre Total]],""),"")</f>
        <v/>
      </c>
      <c r="M6" s="5" t="str">
        <f>IF(IF(ISNUMBER(J5),1,0)+IF(ISNUMBER(Table44243140[[#This Row],[Post Total]]),1,0)=2,IF(IF(Table44243140[[#This Row],[Student Number]]=C5,1,0)+IF(Table44243140[[#This Row],[Session]]=B5,1,0)+IF(Table44243140[[#This Row],[Pre or Post]]="Post",1,0)+IF(D5="Pre",1,0)=4,Table44243140[[#This Row],[Post Total]],""),"")</f>
        <v/>
      </c>
      <c r="N6" s="5" t="str">
        <f>IF(IF(ISNUMBER(J5),1,0)+IF(ISNUMBER(Table44243140[[#This Row],[Post Total]]),1,0)=2,IF(IF(Table44243140[[#This Row],[Student Number]]=C5,1,0)+IF(Table44243140[[#This Row],[Session]]=B5,1,0)+IF(Table44243140[[#This Row],[Pre or Post]]="Post",1,0)+IF(D5="Pre",1,0)=4,Table44243140[[#This Row],[Post Total]]-J5,""),"")</f>
        <v/>
      </c>
      <c r="O6" s="5" t="b">
        <f>ISNUMBER(Table44243140[[#This Row],[Change]])</f>
        <v>0</v>
      </c>
    </row>
    <row r="7" spans="1:15">
      <c r="A7" s="2" t="s">
        <v>24</v>
      </c>
      <c r="B7" s="2" t="s">
        <v>30</v>
      </c>
      <c r="C7" s="1">
        <v>6</v>
      </c>
      <c r="D7" s="2" t="s">
        <v>16</v>
      </c>
      <c r="E7" s="1">
        <v>4</v>
      </c>
      <c r="F7" s="1">
        <v>3</v>
      </c>
      <c r="G7" s="2" t="s">
        <v>9</v>
      </c>
      <c r="H7" s="6" t="str">
        <f>IF(IF(Table44243140[[#This Row],[Pre or Post]]="Pre",1,0)+IF(ISNUMBER(Table44243140[[#This Row],[Response]])=TRUE,1,0)=2,1,"")</f>
        <v/>
      </c>
      <c r="I7" s="6">
        <f>IF(IF(Table44243140[[#This Row],[Pre or Post]]="Post",1,0)+IF(ISNUMBER(Table44243140[[#This Row],[Response]])=TRUE,1,0)=2,1,"")</f>
        <v>1</v>
      </c>
      <c r="J7" s="6" t="str">
        <f>IF(IF(Table44243140[[#This Row],[Pre or Post]]="Pre",1,0)+IF(ISNUMBER(Table44243140[[#This Row],[Response]])=TRUE,1,0)=2,Table44243140[[#This Row],[Response]],"")</f>
        <v/>
      </c>
      <c r="K7" s="6">
        <f>IF(IF(Table44243140[[#This Row],[Pre or Post]]="Post",1,0)+IF(ISNUMBER(Table44243140[[#This Row],[Response]])=TRUE,1,0)=2,Table44243140[[#This Row],[Response]],"")</f>
        <v>3</v>
      </c>
      <c r="L7" s="6" t="str">
        <f>IF(IF(ISNUMBER(J7),1,0)+IF(ISNUMBER(K8),1,0)=2,IF(IF(C8=C7,1,0)+IF(B8=B7,1,0)+IF(D8="Post",1,0)+IF(D7="Pre",1,0)=4,Table44243140[[#This Row],[Pre Total]],""),"")</f>
        <v/>
      </c>
      <c r="M7" s="6" t="str">
        <f>IF(IF(ISNUMBER(J6),1,0)+IF(ISNUMBER(Table44243140[[#This Row],[Post Total]]),1,0)=2,IF(IF(Table44243140[[#This Row],[Student Number]]=C6,1,0)+IF(Table44243140[[#This Row],[Session]]=B6,1,0)+IF(Table44243140[[#This Row],[Pre or Post]]="Post",1,0)+IF(D6="Pre",1,0)=4,Table44243140[[#This Row],[Post Total]],""),"")</f>
        <v/>
      </c>
      <c r="N7" s="6" t="str">
        <f>IF(IF(ISNUMBER(J6),1,0)+IF(ISNUMBER(Table44243140[[#This Row],[Post Total]]),1,0)=2,IF(IF(Table44243140[[#This Row],[Student Number]]=C6,1,0)+IF(Table44243140[[#This Row],[Session]]=B6,1,0)+IF(Table44243140[[#This Row],[Pre or Post]]="Post",1,0)+IF(D6="Pre",1,0)=4,Table44243140[[#This Row],[Post Total]]-J6,""),"")</f>
        <v/>
      </c>
      <c r="O7" s="6" t="b">
        <f>ISNUMBER(Table44243140[[#This Row],[Change]])</f>
        <v>0</v>
      </c>
    </row>
    <row r="8" spans="1:15">
      <c r="A8" s="2" t="s">
        <v>24</v>
      </c>
      <c r="B8" s="2" t="s">
        <v>30</v>
      </c>
      <c r="C8" s="1">
        <v>7</v>
      </c>
      <c r="D8" s="2" t="s">
        <v>16</v>
      </c>
      <c r="E8" s="1">
        <v>4</v>
      </c>
      <c r="F8" s="1">
        <v>4</v>
      </c>
      <c r="G8" s="2" t="s">
        <v>9</v>
      </c>
      <c r="H8" s="5" t="str">
        <f>IF(IF(Table44243140[[#This Row],[Pre or Post]]="Pre",1,0)+IF(ISNUMBER(Table44243140[[#This Row],[Response]])=TRUE,1,0)=2,1,"")</f>
        <v/>
      </c>
      <c r="I8" s="5">
        <f>IF(IF(Table44243140[[#This Row],[Pre or Post]]="Post",1,0)+IF(ISNUMBER(Table44243140[[#This Row],[Response]])=TRUE,1,0)=2,1,"")</f>
        <v>1</v>
      </c>
      <c r="J8" s="5" t="str">
        <f>IF(IF(Table44243140[[#This Row],[Pre or Post]]="Pre",1,0)+IF(ISNUMBER(Table44243140[[#This Row],[Response]])=TRUE,1,0)=2,Table44243140[[#This Row],[Response]],"")</f>
        <v/>
      </c>
      <c r="K8" s="5">
        <f>IF(IF(Table44243140[[#This Row],[Pre or Post]]="Post",1,0)+IF(ISNUMBER(Table44243140[[#This Row],[Response]])=TRUE,1,0)=2,Table44243140[[#This Row],[Response]],"")</f>
        <v>4</v>
      </c>
      <c r="L8" s="5" t="str">
        <f>IF(IF(ISNUMBER(J8),1,0)+IF(ISNUMBER(K9),1,0)=2,IF(IF(C9=C8,1,0)+IF(B9=B8,1,0)+IF(D9="Post",1,0)+IF(D8="Pre",1,0)=4,Table44243140[[#This Row],[Pre Total]],""),"")</f>
        <v/>
      </c>
      <c r="M8" s="5" t="str">
        <f>IF(IF(ISNUMBER(J7),1,0)+IF(ISNUMBER(Table44243140[[#This Row],[Post Total]]),1,0)=2,IF(IF(Table44243140[[#This Row],[Student Number]]=C7,1,0)+IF(Table44243140[[#This Row],[Session]]=B7,1,0)+IF(Table44243140[[#This Row],[Pre or Post]]="Post",1,0)+IF(D7="Pre",1,0)=4,Table44243140[[#This Row],[Post Total]],""),"")</f>
        <v/>
      </c>
      <c r="N8" s="5" t="str">
        <f>IF(IF(ISNUMBER(J7),1,0)+IF(ISNUMBER(Table44243140[[#This Row],[Post Total]]),1,0)=2,IF(IF(Table44243140[[#This Row],[Student Number]]=C7,1,0)+IF(Table44243140[[#This Row],[Session]]=B7,1,0)+IF(Table44243140[[#This Row],[Pre or Post]]="Post",1,0)+IF(D7="Pre",1,0)=4,Table44243140[[#This Row],[Post Total]]-J7,""),"")</f>
        <v/>
      </c>
      <c r="O8" s="5" t="b">
        <f>ISNUMBER(Table44243140[[#This Row],[Change]])</f>
        <v>0</v>
      </c>
    </row>
    <row r="9" spans="1:15">
      <c r="A9" s="2" t="s">
        <v>24</v>
      </c>
      <c r="B9" s="2" t="s">
        <v>30</v>
      </c>
      <c r="C9" s="1">
        <v>8</v>
      </c>
      <c r="D9" s="2" t="s">
        <v>16</v>
      </c>
      <c r="E9" s="1">
        <v>4</v>
      </c>
      <c r="F9" s="1">
        <v>4</v>
      </c>
      <c r="G9" s="2" t="s">
        <v>9</v>
      </c>
      <c r="H9" s="5" t="str">
        <f>IF(IF(Table44243140[[#This Row],[Pre or Post]]="Pre",1,0)+IF(ISNUMBER(Table44243140[[#This Row],[Response]])=TRUE,1,0)=2,1,"")</f>
        <v/>
      </c>
      <c r="I9" s="5">
        <f>IF(IF(Table44243140[[#This Row],[Pre or Post]]="Post",1,0)+IF(ISNUMBER(Table44243140[[#This Row],[Response]])=TRUE,1,0)=2,1,"")</f>
        <v>1</v>
      </c>
      <c r="J9" s="5" t="str">
        <f>IF(IF(Table44243140[[#This Row],[Pre or Post]]="Pre",1,0)+IF(ISNUMBER(Table44243140[[#This Row],[Response]])=TRUE,1,0)=2,Table44243140[[#This Row],[Response]],"")</f>
        <v/>
      </c>
      <c r="K9" s="5">
        <f>IF(IF(Table44243140[[#This Row],[Pre or Post]]="Post",1,0)+IF(ISNUMBER(Table44243140[[#This Row],[Response]])=TRUE,1,0)=2,Table44243140[[#This Row],[Response]],"")</f>
        <v>4</v>
      </c>
      <c r="L9" s="5" t="str">
        <f>IF(IF(ISNUMBER(J9),1,0)+IF(ISNUMBER(K10),1,0)=2,IF(IF(C10=C9,1,0)+IF(B10=B9,1,0)+IF(D10="Post",1,0)+IF(D9="Pre",1,0)=4,Table44243140[[#This Row],[Pre Total]],""),"")</f>
        <v/>
      </c>
      <c r="M9" s="5" t="str">
        <f>IF(IF(ISNUMBER(J8),1,0)+IF(ISNUMBER(Table44243140[[#This Row],[Post Total]]),1,0)=2,IF(IF(Table44243140[[#This Row],[Student Number]]=C8,1,0)+IF(Table44243140[[#This Row],[Session]]=B8,1,0)+IF(Table44243140[[#This Row],[Pre or Post]]="Post",1,0)+IF(D8="Pre",1,0)=4,Table44243140[[#This Row],[Post Total]],""),"")</f>
        <v/>
      </c>
      <c r="N9" s="5" t="str">
        <f>IF(IF(ISNUMBER(J8),1,0)+IF(ISNUMBER(Table44243140[[#This Row],[Post Total]]),1,0)=2,IF(IF(Table44243140[[#This Row],[Student Number]]=C8,1,0)+IF(Table44243140[[#This Row],[Session]]=B8,1,0)+IF(Table44243140[[#This Row],[Pre or Post]]="Post",1,0)+IF(D8="Pre",1,0)=4,Table44243140[[#This Row],[Post Total]]-J8,""),"")</f>
        <v/>
      </c>
      <c r="O9" s="5" t="b">
        <f>ISNUMBER(Table44243140[[#This Row],[Change]])</f>
        <v>0</v>
      </c>
    </row>
    <row r="10" spans="1:15">
      <c r="A10" s="2" t="s">
        <v>24</v>
      </c>
      <c r="B10" s="2" t="s">
        <v>30</v>
      </c>
      <c r="C10" s="1">
        <v>9</v>
      </c>
      <c r="D10" s="2" t="s">
        <v>16</v>
      </c>
      <c r="E10" s="1">
        <v>4</v>
      </c>
      <c r="F10" s="1">
        <v>4</v>
      </c>
      <c r="G10" s="2" t="s">
        <v>9</v>
      </c>
      <c r="H10" s="5" t="str">
        <f>IF(IF(Table44243140[[#This Row],[Pre or Post]]="Pre",1,0)+IF(ISNUMBER(Table44243140[[#This Row],[Response]])=TRUE,1,0)=2,1,"")</f>
        <v/>
      </c>
      <c r="I10" s="5">
        <f>IF(IF(Table44243140[[#This Row],[Pre or Post]]="Post",1,0)+IF(ISNUMBER(Table44243140[[#This Row],[Response]])=TRUE,1,0)=2,1,"")</f>
        <v>1</v>
      </c>
      <c r="J10" s="5"/>
      <c r="K10" s="5">
        <f>IF(IF(Table44243140[[#This Row],[Pre or Post]]="Post",1,0)+IF(ISNUMBER(Table44243140[[#This Row],[Response]])=TRUE,1,0)=2,Table44243140[[#This Row],[Response]],"")</f>
        <v>4</v>
      </c>
      <c r="L10" s="5" t="str">
        <f>IF(IF(ISNUMBER(J10),1,0)+IF(ISNUMBER(K11),1,0)=2,IF(IF(C11=C10,1,0)+IF(B11=B10,1,0)+IF(D11="Post",1,0)+IF(D10="Pre",1,0)=4,Table44243140[[#This Row],[Pre Total]],""),"")</f>
        <v/>
      </c>
      <c r="M10" s="5" t="str">
        <f>IF(IF(ISNUMBER(J9),1,0)+IF(ISNUMBER(Table44243140[[#This Row],[Post Total]]),1,0)=2,IF(IF(Table44243140[[#This Row],[Student Number]]=C9,1,0)+IF(Table44243140[[#This Row],[Session]]=B9,1,0)+IF(Table44243140[[#This Row],[Pre or Post]]="Post",1,0)+IF(D9="Pre",1,0)=4,Table44243140[[#This Row],[Post Total]],""),"")</f>
        <v/>
      </c>
      <c r="N10" s="5" t="str">
        <f>IF(IF(ISNUMBER(J9),1,0)+IF(ISNUMBER(Table44243140[[#This Row],[Post Total]]),1,0)=2,IF(IF(Table44243140[[#This Row],[Student Number]]=C9,1,0)+IF(Table44243140[[#This Row],[Session]]=B9,1,0)+IF(Table44243140[[#This Row],[Pre or Post]]="Post",1,0)+IF(D9="Pre",1,0)=4,Table44243140[[#This Row],[Post Total]]-J9,""),"")</f>
        <v/>
      </c>
      <c r="O10" s="5" t="b">
        <f>ISNUMBER(Table44243140[[#This Row],[Change]])</f>
        <v>0</v>
      </c>
    </row>
    <row r="11" spans="1:15">
      <c r="A11" s="2" t="s">
        <v>24</v>
      </c>
      <c r="B11" s="2" t="s">
        <v>30</v>
      </c>
      <c r="C11" s="1">
        <v>10</v>
      </c>
      <c r="D11" s="2" t="s">
        <v>16</v>
      </c>
      <c r="E11" s="1">
        <v>4</v>
      </c>
      <c r="F11" s="1">
        <v>4</v>
      </c>
      <c r="G11" s="2" t="s">
        <v>9</v>
      </c>
      <c r="H11" s="6" t="str">
        <f>IF(IF(Table44243140[[#This Row],[Pre or Post]]="Pre",1,0)+IF(ISNUMBER(Table44243140[[#This Row],[Response]])=TRUE,1,0)=2,1,"")</f>
        <v/>
      </c>
      <c r="I11" s="6">
        <f>IF(IF(Table44243140[[#This Row],[Pre or Post]]="Post",1,0)+IF(ISNUMBER(Table44243140[[#This Row],[Response]])=TRUE,1,0)=2,1,"")</f>
        <v>1</v>
      </c>
      <c r="J11" s="6" t="str">
        <f>IF(IF(Table44243140[[#This Row],[Pre or Post]]="Pre",1,0)+IF(ISNUMBER(Table44243140[[#This Row],[Response]])=TRUE,1,0)=2,Table44243140[[#This Row],[Response]],"")</f>
        <v/>
      </c>
      <c r="K11" s="6">
        <f>IF(IF(Table44243140[[#This Row],[Pre or Post]]="Post",1,0)+IF(ISNUMBER(Table44243140[[#This Row],[Response]])=TRUE,1,0)=2,Table44243140[[#This Row],[Response]],"")</f>
        <v>4</v>
      </c>
      <c r="L11" s="6" t="str">
        <f>IF(IF(ISNUMBER(J11),1,0)+IF(ISNUMBER(K12),1,0)=2,IF(IF(C12=C11,1,0)+IF(B12=B11,1,0)+IF(D12="Post",1,0)+IF(D11="Pre",1,0)=4,Table44243140[[#This Row],[Pre Total]],""),"")</f>
        <v/>
      </c>
      <c r="M11" s="6" t="str">
        <f>IF(IF(ISNUMBER(J10),1,0)+IF(ISNUMBER(Table44243140[[#This Row],[Post Total]]),1,0)=2,IF(IF(Table44243140[[#This Row],[Student Number]]=C10,1,0)+IF(Table44243140[[#This Row],[Session]]=B10,1,0)+IF(Table44243140[[#This Row],[Pre or Post]]="Post",1,0)+IF(D10="Pre",1,0)=4,Table44243140[[#This Row],[Post Total]],""),"")</f>
        <v/>
      </c>
      <c r="N11" s="6" t="str">
        <f>IF(IF(ISNUMBER(J10),1,0)+IF(ISNUMBER(Table44243140[[#This Row],[Post Total]]),1,0)=2,IF(IF(Table44243140[[#This Row],[Student Number]]=C10,1,0)+IF(Table44243140[[#This Row],[Session]]=B10,1,0)+IF(Table44243140[[#This Row],[Pre or Post]]="Post",1,0)+IF(D10="Pre",1,0)=4,Table44243140[[#This Row],[Post Total]]-J10,""),"")</f>
        <v/>
      </c>
      <c r="O11" s="6" t="b">
        <f>ISNUMBER(Table44243140[[#This Row],[Change]])</f>
        <v>0</v>
      </c>
    </row>
    <row r="12" spans="1:15">
      <c r="A12" s="2" t="s">
        <v>24</v>
      </c>
      <c r="B12" s="2" t="s">
        <v>30</v>
      </c>
      <c r="C12" s="1">
        <v>11</v>
      </c>
      <c r="D12" s="2" t="s">
        <v>16</v>
      </c>
      <c r="E12" s="1">
        <v>4</v>
      </c>
      <c r="F12" s="1">
        <v>2</v>
      </c>
      <c r="G12" s="2" t="s">
        <v>9</v>
      </c>
      <c r="H12" s="5" t="str">
        <f>IF(IF(Table44243140[[#This Row],[Pre or Post]]="Pre",1,0)+IF(ISNUMBER(Table44243140[[#This Row],[Response]])=TRUE,1,0)=2,1,"")</f>
        <v/>
      </c>
      <c r="I12" s="5">
        <f>IF(IF(Table44243140[[#This Row],[Pre or Post]]="Post",1,0)+IF(ISNUMBER(Table44243140[[#This Row],[Response]])=TRUE,1,0)=2,1,"")</f>
        <v>1</v>
      </c>
      <c r="J12" s="5" t="str">
        <f>IF(IF(Table44243140[[#This Row],[Pre or Post]]="Pre",1,0)+IF(ISNUMBER(Table44243140[[#This Row],[Response]])=TRUE,1,0)=2,Table44243140[[#This Row],[Response]],"")</f>
        <v/>
      </c>
      <c r="K12" s="5">
        <f>IF(IF(Table44243140[[#This Row],[Pre or Post]]="Post",1,0)+IF(ISNUMBER(Table44243140[[#This Row],[Response]])=TRUE,1,0)=2,Table44243140[[#This Row],[Response]],"")</f>
        <v>2</v>
      </c>
      <c r="L12" s="5" t="str">
        <f>IF(IF(ISNUMBER(J12),1,0)+IF(ISNUMBER(K13),1,0)=2,IF(IF(C13=C12,1,0)+IF(B13=B12,1,0)+IF(D13="Post",1,0)+IF(D12="Pre",1,0)=4,Table44243140[[#This Row],[Pre Total]],""),"")</f>
        <v/>
      </c>
      <c r="M12" s="5" t="str">
        <f>IF(IF(ISNUMBER(J11),1,0)+IF(ISNUMBER(Table44243140[[#This Row],[Post Total]]),1,0)=2,IF(IF(Table44243140[[#This Row],[Student Number]]=C11,1,0)+IF(Table44243140[[#This Row],[Session]]=B11,1,0)+IF(Table44243140[[#This Row],[Pre or Post]]="Post",1,0)+IF(D11="Pre",1,0)=4,Table44243140[[#This Row],[Post Total]],""),"")</f>
        <v/>
      </c>
      <c r="N12" s="5" t="str">
        <f>IF(IF(ISNUMBER(J11),1,0)+IF(ISNUMBER(Table44243140[[#This Row],[Post Total]]),1,0)=2,IF(IF(Table44243140[[#This Row],[Student Number]]=C11,1,0)+IF(Table44243140[[#This Row],[Session]]=B11,1,0)+IF(Table44243140[[#This Row],[Pre or Post]]="Post",1,0)+IF(D11="Pre",1,0)=4,Table44243140[[#This Row],[Post Total]]-J11,""),"")</f>
        <v/>
      </c>
      <c r="O12" s="5" t="b">
        <f>ISNUMBER(Table44243140[[#This Row],[Change]])</f>
        <v>0</v>
      </c>
    </row>
    <row r="13" spans="1:15">
      <c r="A13" s="2" t="s">
        <v>24</v>
      </c>
      <c r="B13" s="2" t="s">
        <v>30</v>
      </c>
      <c r="C13" s="1">
        <v>12</v>
      </c>
      <c r="D13" s="2" t="s">
        <v>16</v>
      </c>
      <c r="E13" s="1">
        <v>4</v>
      </c>
      <c r="F13" s="1">
        <v>4</v>
      </c>
      <c r="G13" s="2" t="s">
        <v>9</v>
      </c>
      <c r="H13" s="5" t="str">
        <f>IF(IF(Table44243140[[#This Row],[Pre or Post]]="Pre",1,0)+IF(ISNUMBER(Table44243140[[#This Row],[Response]])=TRUE,1,0)=2,1,"")</f>
        <v/>
      </c>
      <c r="I13" s="5">
        <f>IF(IF(Table44243140[[#This Row],[Pre or Post]]="Post",1,0)+IF(ISNUMBER(Table44243140[[#This Row],[Response]])=TRUE,1,0)=2,1,"")</f>
        <v>1</v>
      </c>
      <c r="J13" s="5" t="str">
        <f>IF(IF(Table44243140[[#This Row],[Pre or Post]]="Pre",1,0)+IF(ISNUMBER(Table44243140[[#This Row],[Response]])=TRUE,1,0)=2,Table44243140[[#This Row],[Response]],"")</f>
        <v/>
      </c>
      <c r="K13" s="5">
        <f>IF(IF(Table44243140[[#This Row],[Pre or Post]]="Post",1,0)+IF(ISNUMBER(Table44243140[[#This Row],[Response]])=TRUE,1,0)=2,Table44243140[[#This Row],[Response]],"")</f>
        <v>4</v>
      </c>
      <c r="L13" s="5" t="str">
        <f>IF(IF(ISNUMBER(J13),1,0)+IF(ISNUMBER(K14),1,0)=2,IF(IF(C14=C13,1,0)+IF(B14=B13,1,0)+IF(D14="Post",1,0)+IF(D13="Pre",1,0)=4,Table44243140[[#This Row],[Pre Total]],""),"")</f>
        <v/>
      </c>
      <c r="M13" s="5" t="str">
        <f>IF(IF(ISNUMBER(J12),1,0)+IF(ISNUMBER(Table44243140[[#This Row],[Post Total]]),1,0)=2,IF(IF(Table44243140[[#This Row],[Student Number]]=C12,1,0)+IF(Table44243140[[#This Row],[Session]]=B12,1,0)+IF(Table44243140[[#This Row],[Pre or Post]]="Post",1,0)+IF(D12="Pre",1,0)=4,Table44243140[[#This Row],[Post Total]],""),"")</f>
        <v/>
      </c>
      <c r="N13" s="5" t="str">
        <f>IF(IF(ISNUMBER(J12),1,0)+IF(ISNUMBER(Table44243140[[#This Row],[Post Total]]),1,0)=2,IF(IF(Table44243140[[#This Row],[Student Number]]=C12,1,0)+IF(Table44243140[[#This Row],[Session]]=B12,1,0)+IF(Table44243140[[#This Row],[Pre or Post]]="Post",1,0)+IF(D12="Pre",1,0)=4,Table44243140[[#This Row],[Post Total]]-J12,""),"")</f>
        <v/>
      </c>
      <c r="O13" s="5" t="b">
        <f>ISNUMBER(Table44243140[[#This Row],[Change]])</f>
        <v>0</v>
      </c>
    </row>
    <row r="14" spans="1:15">
      <c r="A14" s="2" t="s">
        <v>24</v>
      </c>
      <c r="B14" s="2" t="s">
        <v>30</v>
      </c>
      <c r="C14" s="1">
        <v>13</v>
      </c>
      <c r="D14" s="2" t="s">
        <v>16</v>
      </c>
      <c r="E14" s="1">
        <v>4</v>
      </c>
      <c r="F14" s="1">
        <v>3</v>
      </c>
      <c r="G14" s="2" t="s">
        <v>9</v>
      </c>
      <c r="H14" s="5" t="str">
        <f>IF(IF(Table44243140[[#This Row],[Pre or Post]]="Pre",1,0)+IF(ISNUMBER(Table44243140[[#This Row],[Response]])=TRUE,1,0)=2,1,"")</f>
        <v/>
      </c>
      <c r="I14" s="5">
        <f>IF(IF(Table44243140[[#This Row],[Pre or Post]]="Post",1,0)+IF(ISNUMBER(Table44243140[[#This Row],[Response]])=TRUE,1,0)=2,1,"")</f>
        <v>1</v>
      </c>
      <c r="J14" s="5"/>
      <c r="K14" s="5">
        <f>IF(IF(Table44243140[[#This Row],[Pre or Post]]="Post",1,0)+IF(ISNUMBER(Table44243140[[#This Row],[Response]])=TRUE,1,0)=2,Table44243140[[#This Row],[Response]],"")</f>
        <v>3</v>
      </c>
      <c r="L14" s="5" t="str">
        <f>IF(IF(ISNUMBER(J14),1,0)+IF(ISNUMBER(K15),1,0)=2,IF(IF(C15=C14,1,0)+IF(B15=B14,1,0)+IF(D15="Post",1,0)+IF(D14="Pre",1,0)=4,Table44243140[[#This Row],[Pre Total]],""),"")</f>
        <v/>
      </c>
      <c r="M14" s="5" t="str">
        <f>IF(IF(ISNUMBER(J13),1,0)+IF(ISNUMBER(Table44243140[[#This Row],[Post Total]]),1,0)=2,IF(IF(Table44243140[[#This Row],[Student Number]]=C13,1,0)+IF(Table44243140[[#This Row],[Session]]=B13,1,0)+IF(Table44243140[[#This Row],[Pre or Post]]="Post",1,0)+IF(D13="Pre",1,0)=4,Table44243140[[#This Row],[Post Total]],""),"")</f>
        <v/>
      </c>
      <c r="N14" s="5" t="str">
        <f>IF(IF(ISNUMBER(J13),1,0)+IF(ISNUMBER(Table44243140[[#This Row],[Post Total]]),1,0)=2,IF(IF(Table44243140[[#This Row],[Student Number]]=C13,1,0)+IF(Table44243140[[#This Row],[Session]]=B13,1,0)+IF(Table44243140[[#This Row],[Pre or Post]]="Post",1,0)+IF(D13="Pre",1,0)=4,Table44243140[[#This Row],[Post Total]]-J13,""),"")</f>
        <v/>
      </c>
      <c r="O14" s="5" t="b">
        <f>ISNUMBER(Table44243140[[#This Row],[Change]])</f>
        <v>0</v>
      </c>
    </row>
    <row r="15" spans="1:15">
      <c r="A15" s="2" t="s">
        <v>24</v>
      </c>
      <c r="B15" s="2" t="s">
        <v>30</v>
      </c>
      <c r="C15" s="1">
        <v>14</v>
      </c>
      <c r="D15" s="2" t="s">
        <v>16</v>
      </c>
      <c r="E15" s="1">
        <v>4</v>
      </c>
      <c r="F15" s="1">
        <v>3</v>
      </c>
      <c r="G15" s="2" t="s">
        <v>9</v>
      </c>
      <c r="H15" s="6" t="str">
        <f>IF(IF(Table44243140[[#This Row],[Pre or Post]]="Pre",1,0)+IF(ISNUMBER(Table44243140[[#This Row],[Response]])=TRUE,1,0)=2,1,"")</f>
        <v/>
      </c>
      <c r="I15" s="6">
        <f>IF(IF(Table44243140[[#This Row],[Pre or Post]]="Post",1,0)+IF(ISNUMBER(Table44243140[[#This Row],[Response]])=TRUE,1,0)=2,1,"")</f>
        <v>1</v>
      </c>
      <c r="J15" s="6" t="str">
        <f>IF(IF(Table44243140[[#This Row],[Pre or Post]]="Pre",1,0)+IF(ISNUMBER(Table44243140[[#This Row],[Response]])=TRUE,1,0)=2,Table44243140[[#This Row],[Response]],"")</f>
        <v/>
      </c>
      <c r="K15" s="6">
        <f>IF(IF(Table44243140[[#This Row],[Pre or Post]]="Post",1,0)+IF(ISNUMBER(Table44243140[[#This Row],[Response]])=TRUE,1,0)=2,Table44243140[[#This Row],[Response]],"")</f>
        <v>3</v>
      </c>
      <c r="L15" s="6" t="str">
        <f>IF(IF(ISNUMBER(J15),1,0)+IF(ISNUMBER(K16),1,0)=2,IF(IF(C16=C15,1,0)+IF(B16=B15,1,0)+IF(D16="Post",1,0)+IF(D15="Pre",1,0)=4,Table44243140[[#This Row],[Pre Total]],""),"")</f>
        <v/>
      </c>
      <c r="M15" s="6" t="str">
        <f>IF(IF(ISNUMBER(J14),1,0)+IF(ISNUMBER(Table44243140[[#This Row],[Post Total]]),1,0)=2,IF(IF(Table44243140[[#This Row],[Student Number]]=C14,1,0)+IF(Table44243140[[#This Row],[Session]]=B14,1,0)+IF(Table44243140[[#This Row],[Pre or Post]]="Post",1,0)+IF(D14="Pre",1,0)=4,Table44243140[[#This Row],[Post Total]],""),"")</f>
        <v/>
      </c>
      <c r="N15" s="6" t="str">
        <f>IF(IF(ISNUMBER(J14),1,0)+IF(ISNUMBER(Table44243140[[#This Row],[Post Total]]),1,0)=2,IF(IF(Table44243140[[#This Row],[Student Number]]=C14,1,0)+IF(Table44243140[[#This Row],[Session]]=B14,1,0)+IF(Table44243140[[#This Row],[Pre or Post]]="Post",1,0)+IF(D14="Pre",1,0)=4,Table44243140[[#This Row],[Post Total]]-J14,""),"")</f>
        <v/>
      </c>
      <c r="O15" s="6" t="b">
        <f>ISNUMBER(Table44243140[[#This Row],[Change]])</f>
        <v>0</v>
      </c>
    </row>
    <row r="16" spans="1:15">
      <c r="A16" s="2" t="s">
        <v>24</v>
      </c>
      <c r="B16" s="2" t="s">
        <v>30</v>
      </c>
      <c r="C16" s="1">
        <v>15</v>
      </c>
      <c r="D16" s="2" t="s">
        <v>16</v>
      </c>
      <c r="E16" s="1">
        <v>4</v>
      </c>
      <c r="F16" s="1">
        <v>3</v>
      </c>
      <c r="G16" s="2" t="s">
        <v>9</v>
      </c>
      <c r="H16" s="5" t="str">
        <f>IF(IF(Table44243140[[#This Row],[Pre or Post]]="Pre",1,0)+IF(ISNUMBER(Table44243140[[#This Row],[Response]])=TRUE,1,0)=2,1,"")</f>
        <v/>
      </c>
      <c r="I16" s="5">
        <f>IF(IF(Table44243140[[#This Row],[Pre or Post]]="Post",1,0)+IF(ISNUMBER(Table44243140[[#This Row],[Response]])=TRUE,1,0)=2,1,"")</f>
        <v>1</v>
      </c>
      <c r="J16" s="5" t="str">
        <f>IF(IF(Table44243140[[#This Row],[Pre or Post]]="Pre",1,0)+IF(ISNUMBER(Table44243140[[#This Row],[Response]])=TRUE,1,0)=2,Table44243140[[#This Row],[Response]],"")</f>
        <v/>
      </c>
      <c r="K16" s="5">
        <f>IF(IF(Table44243140[[#This Row],[Pre or Post]]="Post",1,0)+IF(ISNUMBER(Table44243140[[#This Row],[Response]])=TRUE,1,0)=2,Table44243140[[#This Row],[Response]],"")</f>
        <v>3</v>
      </c>
      <c r="L16" s="5" t="str">
        <f>IF(IF(ISNUMBER(J16),1,0)+IF(ISNUMBER(K17),1,0)=2,IF(IF(C17=C16,1,0)+IF(B17=B16,1,0)+IF(D17="Post",1,0)+IF(D16="Pre",1,0)=4,Table44243140[[#This Row],[Pre Total]],""),"")</f>
        <v/>
      </c>
      <c r="M16" s="5" t="str">
        <f>IF(IF(ISNUMBER(J15),1,0)+IF(ISNUMBER(Table44243140[[#This Row],[Post Total]]),1,0)=2,IF(IF(Table44243140[[#This Row],[Student Number]]=C15,1,0)+IF(Table44243140[[#This Row],[Session]]=B15,1,0)+IF(Table44243140[[#This Row],[Pre or Post]]="Post",1,0)+IF(D15="Pre",1,0)=4,Table44243140[[#This Row],[Post Total]],""),"")</f>
        <v/>
      </c>
      <c r="N16" s="5" t="str">
        <f>IF(IF(ISNUMBER(J15),1,0)+IF(ISNUMBER(Table44243140[[#This Row],[Post Total]]),1,0)=2,IF(IF(Table44243140[[#This Row],[Student Number]]=C15,1,0)+IF(Table44243140[[#This Row],[Session]]=B15,1,0)+IF(Table44243140[[#This Row],[Pre or Post]]="Post",1,0)+IF(D15="Pre",1,0)=4,Table44243140[[#This Row],[Post Total]]-J15,""),"")</f>
        <v/>
      </c>
      <c r="O16" s="5" t="b">
        <f>ISNUMBER(Table44243140[[#This Row],[Change]])</f>
        <v>0</v>
      </c>
    </row>
    <row r="17" spans="1:15">
      <c r="A17" s="2" t="s">
        <v>24</v>
      </c>
      <c r="B17" s="2" t="s">
        <v>30</v>
      </c>
      <c r="C17" s="1">
        <v>16</v>
      </c>
      <c r="D17" s="2" t="s">
        <v>16</v>
      </c>
      <c r="E17" s="1">
        <v>4</v>
      </c>
      <c r="F17" s="1">
        <v>5</v>
      </c>
      <c r="G17" s="2" t="s">
        <v>9</v>
      </c>
      <c r="H17" s="5" t="str">
        <f>IF(IF(Table44243140[[#This Row],[Pre or Post]]="Pre",1,0)+IF(ISNUMBER(Table44243140[[#This Row],[Response]])=TRUE,1,0)=2,1,"")</f>
        <v/>
      </c>
      <c r="I17" s="5">
        <f>IF(IF(Table44243140[[#This Row],[Pre or Post]]="Post",1,0)+IF(ISNUMBER(Table44243140[[#This Row],[Response]])=TRUE,1,0)=2,1,"")</f>
        <v>1</v>
      </c>
      <c r="J17" s="5" t="str">
        <f>IF(IF(Table44243140[[#This Row],[Pre or Post]]="Pre",1,0)+IF(ISNUMBER(Table44243140[[#This Row],[Response]])=TRUE,1,0)=2,Table44243140[[#This Row],[Response]],"")</f>
        <v/>
      </c>
      <c r="K17" s="5">
        <f>IF(IF(Table44243140[[#This Row],[Pre or Post]]="Post",1,0)+IF(ISNUMBER(Table44243140[[#This Row],[Response]])=TRUE,1,0)=2,Table44243140[[#This Row],[Response]],"")</f>
        <v>5</v>
      </c>
      <c r="L17" s="5" t="str">
        <f>IF(IF(ISNUMBER(J17),1,0)+IF(ISNUMBER(K18),1,0)=2,IF(IF(C18=C17,1,0)+IF(B18=B17,1,0)+IF(D18="Post",1,0)+IF(D17="Pre",1,0)=4,Table44243140[[#This Row],[Pre Total]],""),"")</f>
        <v/>
      </c>
      <c r="M17" s="5" t="str">
        <f>IF(IF(ISNUMBER(J16),1,0)+IF(ISNUMBER(Table44243140[[#This Row],[Post Total]]),1,0)=2,IF(IF(Table44243140[[#This Row],[Student Number]]=C16,1,0)+IF(Table44243140[[#This Row],[Session]]=B16,1,0)+IF(Table44243140[[#This Row],[Pre or Post]]="Post",1,0)+IF(D16="Pre",1,0)=4,Table44243140[[#This Row],[Post Total]],""),"")</f>
        <v/>
      </c>
      <c r="N17" s="5" t="str">
        <f>IF(IF(ISNUMBER(J16),1,0)+IF(ISNUMBER(Table44243140[[#This Row],[Post Total]]),1,0)=2,IF(IF(Table44243140[[#This Row],[Student Number]]=C16,1,0)+IF(Table44243140[[#This Row],[Session]]=B16,1,0)+IF(Table44243140[[#This Row],[Pre or Post]]="Post",1,0)+IF(D16="Pre",1,0)=4,Table44243140[[#This Row],[Post Total]]-J16,""),"")</f>
        <v/>
      </c>
      <c r="O17" s="5" t="b">
        <f>ISNUMBER(Table44243140[[#This Row],[Change]])</f>
        <v>0</v>
      </c>
    </row>
    <row r="18" spans="1:15">
      <c r="A18" s="2" t="s">
        <v>24</v>
      </c>
      <c r="B18" s="2" t="s">
        <v>30</v>
      </c>
      <c r="C18" s="1">
        <v>17</v>
      </c>
      <c r="D18" s="2" t="s">
        <v>16</v>
      </c>
      <c r="E18" s="1">
        <v>4</v>
      </c>
      <c r="F18" s="1">
        <v>3</v>
      </c>
      <c r="G18" s="2" t="s">
        <v>9</v>
      </c>
      <c r="H18" s="5" t="str">
        <f>IF(IF(Table44243140[[#This Row],[Pre or Post]]="Pre",1,0)+IF(ISNUMBER(Table44243140[[#This Row],[Response]])=TRUE,1,0)=2,1,"")</f>
        <v/>
      </c>
      <c r="I18" s="5">
        <f>IF(IF(Table44243140[[#This Row],[Pre or Post]]="Post",1,0)+IF(ISNUMBER(Table44243140[[#This Row],[Response]])=TRUE,1,0)=2,1,"")</f>
        <v>1</v>
      </c>
      <c r="J18" s="5"/>
      <c r="K18" s="5">
        <f>IF(IF(Table44243140[[#This Row],[Pre or Post]]="Post",1,0)+IF(ISNUMBER(Table44243140[[#This Row],[Response]])=TRUE,1,0)=2,Table44243140[[#This Row],[Response]],"")</f>
        <v>3</v>
      </c>
      <c r="L18" s="5" t="str">
        <f>IF(IF(ISNUMBER(J18),1,0)+IF(ISNUMBER(K19),1,0)=2,IF(IF(C19=C18,1,0)+IF(B19=B18,1,0)+IF(D19="Post",1,0)+IF(D18="Pre",1,0)=4,Table44243140[[#This Row],[Pre Total]],""),"")</f>
        <v/>
      </c>
      <c r="M18" s="5" t="str">
        <f>IF(IF(ISNUMBER(J17),1,0)+IF(ISNUMBER(Table44243140[[#This Row],[Post Total]]),1,0)=2,IF(IF(Table44243140[[#This Row],[Student Number]]=C17,1,0)+IF(Table44243140[[#This Row],[Session]]=B17,1,0)+IF(Table44243140[[#This Row],[Pre or Post]]="Post",1,0)+IF(D17="Pre",1,0)=4,Table44243140[[#This Row],[Post Total]],""),"")</f>
        <v/>
      </c>
      <c r="N18" s="5" t="str">
        <f>IF(IF(ISNUMBER(J17),1,0)+IF(ISNUMBER(Table44243140[[#This Row],[Post Total]]),1,0)=2,IF(IF(Table44243140[[#This Row],[Student Number]]=C17,1,0)+IF(Table44243140[[#This Row],[Session]]=B17,1,0)+IF(Table44243140[[#This Row],[Pre or Post]]="Post",1,0)+IF(D17="Pre",1,0)=4,Table44243140[[#This Row],[Post Total]]-J17,""),"")</f>
        <v/>
      </c>
      <c r="O18" s="5" t="b">
        <f>ISNUMBER(Table44243140[[#This Row],[Change]])</f>
        <v>0</v>
      </c>
    </row>
    <row r="19" spans="1:15">
      <c r="A19" s="2" t="s">
        <v>24</v>
      </c>
      <c r="B19" s="2" t="s">
        <v>30</v>
      </c>
      <c r="C19" s="1">
        <v>18</v>
      </c>
      <c r="D19" s="2" t="s">
        <v>16</v>
      </c>
      <c r="E19" s="1">
        <v>4</v>
      </c>
      <c r="F19" s="1">
        <v>2</v>
      </c>
      <c r="G19" s="2" t="s">
        <v>9</v>
      </c>
      <c r="H19" s="6" t="str">
        <f>IF(IF(Table44243140[[#This Row],[Pre or Post]]="Pre",1,0)+IF(ISNUMBER(Table44243140[[#This Row],[Response]])=TRUE,1,0)=2,1,"")</f>
        <v/>
      </c>
      <c r="I19" s="6">
        <f>IF(IF(Table44243140[[#This Row],[Pre or Post]]="Post",1,0)+IF(ISNUMBER(Table44243140[[#This Row],[Response]])=TRUE,1,0)=2,1,"")</f>
        <v>1</v>
      </c>
      <c r="J19" s="6" t="str">
        <f>IF(IF(Table44243140[[#This Row],[Pre or Post]]="Pre",1,0)+IF(ISNUMBER(Table44243140[[#This Row],[Response]])=TRUE,1,0)=2,Table44243140[[#This Row],[Response]],"")</f>
        <v/>
      </c>
      <c r="K19" s="6">
        <f>IF(IF(Table44243140[[#This Row],[Pre or Post]]="Post",1,0)+IF(ISNUMBER(Table44243140[[#This Row],[Response]])=TRUE,1,0)=2,Table44243140[[#This Row],[Response]],"")</f>
        <v>2</v>
      </c>
      <c r="L19" s="6" t="str">
        <f>IF(IF(ISNUMBER(J19),1,0)+IF(ISNUMBER(K20),1,0)=2,IF(IF(C20=C19,1,0)+IF(B20=B19,1,0)+IF(D20="Post",1,0)+IF(D19="Pre",1,0)=4,Table44243140[[#This Row],[Pre Total]],""),"")</f>
        <v/>
      </c>
      <c r="M19" s="6" t="str">
        <f>IF(IF(ISNUMBER(J18),1,0)+IF(ISNUMBER(Table44243140[[#This Row],[Post Total]]),1,0)=2,IF(IF(Table44243140[[#This Row],[Student Number]]=C18,1,0)+IF(Table44243140[[#This Row],[Session]]=B18,1,0)+IF(Table44243140[[#This Row],[Pre or Post]]="Post",1,0)+IF(D18="Pre",1,0)=4,Table44243140[[#This Row],[Post Total]],""),"")</f>
        <v/>
      </c>
      <c r="N19" s="6" t="str">
        <f>IF(IF(ISNUMBER(J18),1,0)+IF(ISNUMBER(Table44243140[[#This Row],[Post Total]]),1,0)=2,IF(IF(Table44243140[[#This Row],[Student Number]]=C18,1,0)+IF(Table44243140[[#This Row],[Session]]=B18,1,0)+IF(Table44243140[[#This Row],[Pre or Post]]="Post",1,0)+IF(D18="Pre",1,0)=4,Table44243140[[#This Row],[Post Total]]-J18,""),"")</f>
        <v/>
      </c>
      <c r="O19" s="6" t="b">
        <f>ISNUMBER(Table44243140[[#This Row],[Change]])</f>
        <v>0</v>
      </c>
    </row>
    <row r="20" spans="1:15">
      <c r="A20" s="2" t="s">
        <v>24</v>
      </c>
      <c r="B20" s="2" t="s">
        <v>30</v>
      </c>
      <c r="C20" s="2">
        <v>19</v>
      </c>
      <c r="D20" s="2" t="s">
        <v>16</v>
      </c>
      <c r="E20" s="1">
        <v>4</v>
      </c>
      <c r="F20" s="1">
        <v>2</v>
      </c>
      <c r="G20" s="2" t="s">
        <v>9</v>
      </c>
      <c r="H20" s="5" t="str">
        <f>IF(IF(Table44243140[[#This Row],[Pre or Post]]="Pre",1,0)+IF(ISNUMBER(Table44243140[[#This Row],[Response]])=TRUE,1,0)=2,1,"")</f>
        <v/>
      </c>
      <c r="I20" s="5">
        <f>IF(IF(Table44243140[[#This Row],[Pre or Post]]="Post",1,0)+IF(ISNUMBER(Table44243140[[#This Row],[Response]])=TRUE,1,0)=2,1,"")</f>
        <v>1</v>
      </c>
      <c r="J20" s="5" t="str">
        <f>IF(IF(Table44243140[[#This Row],[Pre or Post]]="Pre",1,0)+IF(ISNUMBER(Table44243140[[#This Row],[Response]])=TRUE,1,0)=2,Table44243140[[#This Row],[Response]],"")</f>
        <v/>
      </c>
      <c r="K20" s="5">
        <f>IF(IF(Table44243140[[#This Row],[Pre or Post]]="Post",1,0)+IF(ISNUMBER(Table44243140[[#This Row],[Response]])=TRUE,1,0)=2,Table44243140[[#This Row],[Response]],"")</f>
        <v>2</v>
      </c>
      <c r="L20" s="5" t="str">
        <f>IF(IF(ISNUMBER(J20),1,0)+IF(ISNUMBER(K21),1,0)=2,IF(IF(C21=C20,1,0)+IF(B21=B20,1,0)+IF(D21="Post",1,0)+IF(D20="Pre",1,0)=4,Table44243140[[#This Row],[Pre Total]],""),"")</f>
        <v/>
      </c>
      <c r="M20" s="5" t="str">
        <f>IF(IF(ISNUMBER(J19),1,0)+IF(ISNUMBER(Table44243140[[#This Row],[Post Total]]),1,0)=2,IF(IF(Table44243140[[#This Row],[Student Number]]=C19,1,0)+IF(Table44243140[[#This Row],[Session]]=B19,1,0)+IF(Table44243140[[#This Row],[Pre or Post]]="Post",1,0)+IF(D19="Pre",1,0)=4,Table44243140[[#This Row],[Post Total]],""),"")</f>
        <v/>
      </c>
      <c r="N20" s="5" t="str">
        <f>IF(IF(ISNUMBER(J19),1,0)+IF(ISNUMBER(Table44243140[[#This Row],[Post Total]]),1,0)=2,IF(IF(Table44243140[[#This Row],[Student Number]]=C19,1,0)+IF(Table44243140[[#This Row],[Session]]=B19,1,0)+IF(Table44243140[[#This Row],[Pre or Post]]="Post",1,0)+IF(D19="Pre",1,0)=4,Table44243140[[#This Row],[Post Total]]-J19,""),"")</f>
        <v/>
      </c>
      <c r="O20" s="5" t="b">
        <f>ISNUMBER(Table44243140[[#This Row],[Change]])</f>
        <v>0</v>
      </c>
    </row>
    <row r="21" spans="1:15">
      <c r="A21" s="1" t="s">
        <v>24</v>
      </c>
      <c r="B21" s="1" t="s">
        <v>23</v>
      </c>
      <c r="C21" s="1">
        <v>1</v>
      </c>
      <c r="D21" s="1" t="s">
        <v>6</v>
      </c>
      <c r="E21" s="1">
        <v>11</v>
      </c>
      <c r="F21" s="1">
        <v>2</v>
      </c>
      <c r="G21" s="1" t="s">
        <v>8</v>
      </c>
      <c r="H21" s="6">
        <f>IF(IF(Table44243140[[#This Row],[Pre or Post]]="Pre",1,0)+IF(ISNUMBER(Table44243140[[#This Row],[Response]])=TRUE,1,0)=2,1,"")</f>
        <v>1</v>
      </c>
      <c r="I21" s="6" t="str">
        <f>IF(IF(Table44243140[[#This Row],[Pre or Post]]="Post",1,0)+IF(ISNUMBER(Table44243140[[#This Row],[Response]])=TRUE,1,0)=2,1,"")</f>
        <v/>
      </c>
      <c r="J21" s="6">
        <f>IF(IF(Table44243140[[#This Row],[Pre or Post]]="Pre",1,0)+IF(ISNUMBER(Table44243140[[#This Row],[Response]])=TRUE,1,0)=2,Table44243140[[#This Row],[Response]],"")</f>
        <v>2</v>
      </c>
      <c r="K21" s="6" t="str">
        <f>IF(IF(Table44243140[[#This Row],[Pre or Post]]="Post",1,0)+IF(ISNUMBER(Table44243140[[#This Row],[Response]])=TRUE,1,0)=2,Table44243140[[#This Row],[Response]],"")</f>
        <v/>
      </c>
      <c r="L21" s="6">
        <f>IF(IF(ISNUMBER(J21),1,0)+IF(ISNUMBER(K22),1,0)=2,IF(IF(C22=C21,1,0)+IF(B22=B21,1,0)+IF(D22="Post",1,0)+IF(D21="Pre",1,0)=4,Table44243140[[#This Row],[Pre Total]],""),"")</f>
        <v>2</v>
      </c>
      <c r="M21" s="6" t="str">
        <f>IF(IF(ISNUMBER(J20),1,0)+IF(ISNUMBER(Table44243140[[#This Row],[Post Total]]),1,0)=2,IF(IF(Table44243140[[#This Row],[Student Number]]=C20,1,0)+IF(Table44243140[[#This Row],[Session]]=B20,1,0)+IF(Table44243140[[#This Row],[Pre or Post]]="Post",1,0)+IF(D20="Pre",1,0)=4,Table44243140[[#This Row],[Post Total]],""),"")</f>
        <v/>
      </c>
      <c r="N21" s="6" t="str">
        <f>IF(IF(ISNUMBER(J20),1,0)+IF(ISNUMBER(Table44243140[[#This Row],[Post Total]]),1,0)=2,IF(IF(Table44243140[[#This Row],[Student Number]]=C20,1,0)+IF(Table44243140[[#This Row],[Session]]=B20,1,0)+IF(Table44243140[[#This Row],[Pre or Post]]="Post",1,0)+IF(D20="Pre",1,0)=4,Table44243140[[#This Row],[Post Total]]-J20,""),"")</f>
        <v/>
      </c>
      <c r="O21" s="6" t="b">
        <f>ISNUMBER(Table44243140[[#This Row],[Change]])</f>
        <v>0</v>
      </c>
    </row>
    <row r="22" spans="1:15">
      <c r="A22" s="1" t="s">
        <v>24</v>
      </c>
      <c r="B22" s="1" t="s">
        <v>23</v>
      </c>
      <c r="C22" s="1">
        <v>1</v>
      </c>
      <c r="D22" s="1" t="s">
        <v>16</v>
      </c>
      <c r="E22" s="1">
        <v>4</v>
      </c>
      <c r="F22" s="1">
        <v>3</v>
      </c>
      <c r="G22" s="1" t="s">
        <v>8</v>
      </c>
      <c r="H22" s="5" t="str">
        <f>IF(IF(Table44243140[[#This Row],[Pre or Post]]="Pre",1,0)+IF(ISNUMBER(Table44243140[[#This Row],[Response]])=TRUE,1,0)=2,1,"")</f>
        <v/>
      </c>
      <c r="I22" s="5">
        <f>IF(IF(Table44243140[[#This Row],[Pre or Post]]="Post",1,0)+IF(ISNUMBER(Table44243140[[#This Row],[Response]])=TRUE,1,0)=2,1,"")</f>
        <v>1</v>
      </c>
      <c r="J22" s="5" t="str">
        <f>IF(IF(Table44243140[[#This Row],[Pre or Post]]="Pre",1,0)+IF(ISNUMBER(Table44243140[[#This Row],[Response]])=TRUE,1,0)=2,Table44243140[[#This Row],[Response]],"")</f>
        <v/>
      </c>
      <c r="K22" s="5">
        <f>IF(IF(Table44243140[[#This Row],[Pre or Post]]="Post",1,0)+IF(ISNUMBER(Table44243140[[#This Row],[Response]])=TRUE,1,0)=2,Table44243140[[#This Row],[Response]],"")</f>
        <v>3</v>
      </c>
      <c r="L22" s="5" t="str">
        <f>IF(IF(ISNUMBER(J22),1,0)+IF(ISNUMBER(K23),1,0)=2,IF(IF(C23=C22,1,0)+IF(B23=B22,1,0)+IF(D23="Post",1,0)+IF(D22="Pre",1,0)=4,Table44243140[[#This Row],[Pre Total]],""),"")</f>
        <v/>
      </c>
      <c r="M22" s="5">
        <f>IF(IF(ISNUMBER(J21),1,0)+IF(ISNUMBER(Table44243140[[#This Row],[Post Total]]),1,0)=2,IF(IF(Table44243140[[#This Row],[Student Number]]=C21,1,0)+IF(Table44243140[[#This Row],[Session]]=B21,1,0)+IF(Table44243140[[#This Row],[Pre or Post]]="Post",1,0)+IF(D21="Pre",1,0)=4,Table44243140[[#This Row],[Post Total]],""),"")</f>
        <v>3</v>
      </c>
      <c r="N22" s="5">
        <f>IF(IF(ISNUMBER(J21),1,0)+IF(ISNUMBER(Table44243140[[#This Row],[Post Total]]),1,0)=2,IF(IF(Table44243140[[#This Row],[Student Number]]=C21,1,0)+IF(Table44243140[[#This Row],[Session]]=B21,1,0)+IF(Table44243140[[#This Row],[Pre or Post]]="Post",1,0)+IF(D21="Pre",1,0)=4,Table44243140[[#This Row],[Post Total]]-J21,""),"")</f>
        <v>1</v>
      </c>
      <c r="O22" s="5" t="b">
        <f>ISNUMBER(Table44243140[[#This Row],[Change]])</f>
        <v>1</v>
      </c>
    </row>
    <row r="23" spans="1:15">
      <c r="A23" s="1" t="s">
        <v>24</v>
      </c>
      <c r="B23" s="1" t="s">
        <v>23</v>
      </c>
      <c r="C23" s="1">
        <v>2</v>
      </c>
      <c r="D23" s="1" t="s">
        <v>6</v>
      </c>
      <c r="E23" s="1">
        <v>11</v>
      </c>
      <c r="F23" s="1">
        <v>1</v>
      </c>
      <c r="G23" s="1" t="s">
        <v>8</v>
      </c>
      <c r="H23" s="6">
        <f>IF(IF(Table44243140[[#This Row],[Pre or Post]]="Pre",1,0)+IF(ISNUMBER(Table44243140[[#This Row],[Response]])=TRUE,1,0)=2,1,"")</f>
        <v>1</v>
      </c>
      <c r="I23" s="6" t="str">
        <f>IF(IF(Table44243140[[#This Row],[Pre or Post]]="Post",1,0)+IF(ISNUMBER(Table44243140[[#This Row],[Response]])=TRUE,1,0)=2,1,"")</f>
        <v/>
      </c>
      <c r="J23" s="6">
        <f>IF(IF(Table44243140[[#This Row],[Pre or Post]]="Pre",1,0)+IF(ISNUMBER(Table44243140[[#This Row],[Response]])=TRUE,1,0)=2,Table44243140[[#This Row],[Response]],"")</f>
        <v>1</v>
      </c>
      <c r="K23" s="6" t="str">
        <f>IF(IF(Table44243140[[#This Row],[Pre or Post]]="Post",1,0)+IF(ISNUMBER(Table44243140[[#This Row],[Response]])=TRUE,1,0)=2,Table44243140[[#This Row],[Response]],"")</f>
        <v/>
      </c>
      <c r="L23" s="6">
        <f>IF(IF(ISNUMBER(J23),1,0)+IF(ISNUMBER(K24),1,0)=2,IF(IF(C24=C23,1,0)+IF(B24=B23,1,0)+IF(D24="Post",1,0)+IF(D23="Pre",1,0)=4,Table44243140[[#This Row],[Pre Total]],""),"")</f>
        <v>1</v>
      </c>
      <c r="M23" s="6" t="str">
        <f>IF(IF(ISNUMBER(J22),1,0)+IF(ISNUMBER(Table44243140[[#This Row],[Post Total]]),1,0)=2,IF(IF(Table44243140[[#This Row],[Student Number]]=C22,1,0)+IF(Table44243140[[#This Row],[Session]]=B22,1,0)+IF(Table44243140[[#This Row],[Pre or Post]]="Post",1,0)+IF(D22="Pre",1,0)=4,Table44243140[[#This Row],[Post Total]],""),"")</f>
        <v/>
      </c>
      <c r="N23" s="6" t="str">
        <f>IF(IF(ISNUMBER(J22),1,0)+IF(ISNUMBER(Table44243140[[#This Row],[Post Total]]),1,0)=2,IF(IF(Table44243140[[#This Row],[Student Number]]=C22,1,0)+IF(Table44243140[[#This Row],[Session]]=B22,1,0)+IF(Table44243140[[#This Row],[Pre or Post]]="Post",1,0)+IF(D22="Pre",1,0)=4,Table44243140[[#This Row],[Post Total]]-J22,""),"")</f>
        <v/>
      </c>
      <c r="O23" s="6" t="b">
        <f>ISNUMBER(Table44243140[[#This Row],[Change]])</f>
        <v>0</v>
      </c>
    </row>
    <row r="24" spans="1:15">
      <c r="A24" s="1" t="s">
        <v>24</v>
      </c>
      <c r="B24" s="1" t="s">
        <v>23</v>
      </c>
      <c r="C24" s="1">
        <v>2</v>
      </c>
      <c r="D24" s="1" t="s">
        <v>16</v>
      </c>
      <c r="E24" s="1">
        <v>4</v>
      </c>
      <c r="F24" s="1">
        <v>1</v>
      </c>
      <c r="G24" s="1" t="s">
        <v>8</v>
      </c>
      <c r="H24" s="5" t="str">
        <f>IF(IF(Table44243140[[#This Row],[Pre or Post]]="Pre",1,0)+IF(ISNUMBER(Table44243140[[#This Row],[Response]])=TRUE,1,0)=2,1,"")</f>
        <v/>
      </c>
      <c r="I24" s="5">
        <f>IF(IF(Table44243140[[#This Row],[Pre or Post]]="Post",1,0)+IF(ISNUMBER(Table44243140[[#This Row],[Response]])=TRUE,1,0)=2,1,"")</f>
        <v>1</v>
      </c>
      <c r="J24" s="5" t="str">
        <f>IF(IF(Table44243140[[#This Row],[Pre or Post]]="Pre",1,0)+IF(ISNUMBER(Table44243140[[#This Row],[Response]])=TRUE,1,0)=2,Table44243140[[#This Row],[Response]],"")</f>
        <v/>
      </c>
      <c r="K24" s="5">
        <f>IF(IF(Table44243140[[#This Row],[Pre or Post]]="Post",1,0)+IF(ISNUMBER(Table44243140[[#This Row],[Response]])=TRUE,1,0)=2,Table44243140[[#This Row],[Response]],"")</f>
        <v>1</v>
      </c>
      <c r="L24" s="5" t="str">
        <f>IF(IF(ISNUMBER(J24),1,0)+IF(ISNUMBER(K25),1,0)=2,IF(IF(C25=C24,1,0)+IF(B25=B24,1,0)+IF(D25="Post",1,0)+IF(D24="Pre",1,0)=4,Table44243140[[#This Row],[Pre Total]],""),"")</f>
        <v/>
      </c>
      <c r="M24" s="5">
        <f>IF(IF(ISNUMBER(J23),1,0)+IF(ISNUMBER(Table44243140[[#This Row],[Post Total]]),1,0)=2,IF(IF(Table44243140[[#This Row],[Student Number]]=C23,1,0)+IF(Table44243140[[#This Row],[Session]]=B23,1,0)+IF(Table44243140[[#This Row],[Pre or Post]]="Post",1,0)+IF(D23="Pre",1,0)=4,Table44243140[[#This Row],[Post Total]],""),"")</f>
        <v>1</v>
      </c>
      <c r="N24" s="5">
        <f>IF(IF(ISNUMBER(J23),1,0)+IF(ISNUMBER(Table44243140[[#This Row],[Post Total]]),1,0)=2,IF(IF(Table44243140[[#This Row],[Student Number]]=C23,1,0)+IF(Table44243140[[#This Row],[Session]]=B23,1,0)+IF(Table44243140[[#This Row],[Pre or Post]]="Post",1,0)+IF(D23="Pre",1,0)=4,Table44243140[[#This Row],[Post Total]]-J23,""),"")</f>
        <v>0</v>
      </c>
      <c r="O24" s="5" t="b">
        <f>ISNUMBER(Table44243140[[#This Row],[Change]])</f>
        <v>1</v>
      </c>
    </row>
    <row r="25" spans="1:15">
      <c r="A25" s="1" t="s">
        <v>24</v>
      </c>
      <c r="B25" s="1" t="s">
        <v>23</v>
      </c>
      <c r="C25" s="1">
        <v>3</v>
      </c>
      <c r="D25" s="1" t="s">
        <v>6</v>
      </c>
      <c r="E25" s="1">
        <v>11</v>
      </c>
      <c r="F25" s="1">
        <v>3</v>
      </c>
      <c r="G25" s="1" t="s">
        <v>8</v>
      </c>
      <c r="H25" s="6">
        <f>IF(IF(Table44243140[[#This Row],[Pre or Post]]="Pre",1,0)+IF(ISNUMBER(Table44243140[[#This Row],[Response]])=TRUE,1,0)=2,1,"")</f>
        <v>1</v>
      </c>
      <c r="I25" s="6" t="str">
        <f>IF(IF(Table44243140[[#This Row],[Pre or Post]]="Post",1,0)+IF(ISNUMBER(Table44243140[[#This Row],[Response]])=TRUE,1,0)=2,1,"")</f>
        <v/>
      </c>
      <c r="J25" s="6">
        <f>IF(IF(Table44243140[[#This Row],[Pre or Post]]="Pre",1,0)+IF(ISNUMBER(Table44243140[[#This Row],[Response]])=TRUE,1,0)=2,Table44243140[[#This Row],[Response]],"")</f>
        <v>3</v>
      </c>
      <c r="K25" s="6" t="str">
        <f>IF(IF(Table44243140[[#This Row],[Pre or Post]]="Post",1,0)+IF(ISNUMBER(Table44243140[[#This Row],[Response]])=TRUE,1,0)=2,Table44243140[[#This Row],[Response]],"")</f>
        <v/>
      </c>
      <c r="L25" s="6">
        <f>IF(IF(ISNUMBER(J25),1,0)+IF(ISNUMBER(K26),1,0)=2,IF(IF(C26=C25,1,0)+IF(B26=B25,1,0)+IF(D26="Post",1,0)+IF(D25="Pre",1,0)=4,Table44243140[[#This Row],[Pre Total]],""),"")</f>
        <v>3</v>
      </c>
      <c r="M25" s="6" t="str">
        <f>IF(IF(ISNUMBER(J24),1,0)+IF(ISNUMBER(Table44243140[[#This Row],[Post Total]]),1,0)=2,IF(IF(Table44243140[[#This Row],[Student Number]]=C24,1,0)+IF(Table44243140[[#This Row],[Session]]=B24,1,0)+IF(Table44243140[[#This Row],[Pre or Post]]="Post",1,0)+IF(D24="Pre",1,0)=4,Table44243140[[#This Row],[Post Total]],""),"")</f>
        <v/>
      </c>
      <c r="N25" s="6" t="str">
        <f>IF(IF(ISNUMBER(J24),1,0)+IF(ISNUMBER(Table44243140[[#This Row],[Post Total]]),1,0)=2,IF(IF(Table44243140[[#This Row],[Student Number]]=C24,1,0)+IF(Table44243140[[#This Row],[Session]]=B24,1,0)+IF(Table44243140[[#This Row],[Pre or Post]]="Post",1,0)+IF(D24="Pre",1,0)=4,Table44243140[[#This Row],[Post Total]]-J24,""),"")</f>
        <v/>
      </c>
      <c r="O25" s="6" t="b">
        <f>ISNUMBER(Table44243140[[#This Row],[Change]])</f>
        <v>0</v>
      </c>
    </row>
    <row r="26" spans="1:15">
      <c r="A26" s="1" t="s">
        <v>24</v>
      </c>
      <c r="B26" s="1" t="s">
        <v>23</v>
      </c>
      <c r="C26" s="1">
        <v>3</v>
      </c>
      <c r="D26" s="1" t="s">
        <v>16</v>
      </c>
      <c r="E26" s="1">
        <v>4</v>
      </c>
      <c r="F26" s="1">
        <v>3</v>
      </c>
      <c r="G26" s="1" t="s">
        <v>8</v>
      </c>
      <c r="H26" s="5" t="str">
        <f>IF(IF(Table44243140[[#This Row],[Pre or Post]]="Pre",1,0)+IF(ISNUMBER(Table44243140[[#This Row],[Response]])=TRUE,1,0)=2,1,"")</f>
        <v/>
      </c>
      <c r="I26" s="5">
        <f>IF(IF(Table44243140[[#This Row],[Pre or Post]]="Post",1,0)+IF(ISNUMBER(Table44243140[[#This Row],[Response]])=TRUE,1,0)=2,1,"")</f>
        <v>1</v>
      </c>
      <c r="J26" s="5" t="str">
        <f>IF(IF(Table44243140[[#This Row],[Pre or Post]]="Pre",1,0)+IF(ISNUMBER(Table44243140[[#This Row],[Response]])=TRUE,1,0)=2,Table44243140[[#This Row],[Response]],"")</f>
        <v/>
      </c>
      <c r="K26" s="5">
        <f>IF(IF(Table44243140[[#This Row],[Pre or Post]]="Post",1,0)+IF(ISNUMBER(Table44243140[[#This Row],[Response]])=TRUE,1,0)=2,Table44243140[[#This Row],[Response]],"")</f>
        <v>3</v>
      </c>
      <c r="L26" s="5" t="str">
        <f>IF(IF(ISNUMBER(J26),1,0)+IF(ISNUMBER(K27),1,0)=2,IF(IF(C27=C26,1,0)+IF(B27=B26,1,0)+IF(D27="Post",1,0)+IF(D26="Pre",1,0)=4,Table44243140[[#This Row],[Pre Total]],""),"")</f>
        <v/>
      </c>
      <c r="M26" s="5">
        <f>IF(IF(ISNUMBER(J25),1,0)+IF(ISNUMBER(Table44243140[[#This Row],[Post Total]]),1,0)=2,IF(IF(Table44243140[[#This Row],[Student Number]]=C25,1,0)+IF(Table44243140[[#This Row],[Session]]=B25,1,0)+IF(Table44243140[[#This Row],[Pre or Post]]="Post",1,0)+IF(D25="Pre",1,0)=4,Table44243140[[#This Row],[Post Total]],""),"")</f>
        <v>3</v>
      </c>
      <c r="N26" s="5">
        <f>IF(IF(ISNUMBER(J25),1,0)+IF(ISNUMBER(Table44243140[[#This Row],[Post Total]]),1,0)=2,IF(IF(Table44243140[[#This Row],[Student Number]]=C25,1,0)+IF(Table44243140[[#This Row],[Session]]=B25,1,0)+IF(Table44243140[[#This Row],[Pre or Post]]="Post",1,0)+IF(D25="Pre",1,0)=4,Table44243140[[#This Row],[Post Total]]-J25,""),"")</f>
        <v>0</v>
      </c>
      <c r="O26" s="5" t="b">
        <f>ISNUMBER(Table44243140[[#This Row],[Change]])</f>
        <v>1</v>
      </c>
    </row>
    <row r="27" spans="1:15">
      <c r="A27" s="1" t="s">
        <v>24</v>
      </c>
      <c r="B27" s="1" t="s">
        <v>23</v>
      </c>
      <c r="C27" s="1">
        <v>4</v>
      </c>
      <c r="D27" s="1" t="s">
        <v>6</v>
      </c>
      <c r="E27" s="1">
        <v>11</v>
      </c>
      <c r="F27" s="1">
        <v>2</v>
      </c>
      <c r="G27" s="1" t="s">
        <v>8</v>
      </c>
      <c r="H27" s="6">
        <f>IF(IF(Table44243140[[#This Row],[Pre or Post]]="Pre",1,0)+IF(ISNUMBER(Table44243140[[#This Row],[Response]])=TRUE,1,0)=2,1,"")</f>
        <v>1</v>
      </c>
      <c r="I27" s="6" t="str">
        <f>IF(IF(Table44243140[[#This Row],[Pre or Post]]="Post",1,0)+IF(ISNUMBER(Table44243140[[#This Row],[Response]])=TRUE,1,0)=2,1,"")</f>
        <v/>
      </c>
      <c r="J27" s="6">
        <f>IF(IF(Table44243140[[#This Row],[Pre or Post]]="Pre",1,0)+IF(ISNUMBER(Table44243140[[#This Row],[Response]])=TRUE,1,0)=2,Table44243140[[#This Row],[Response]],"")</f>
        <v>2</v>
      </c>
      <c r="K27" s="6" t="str">
        <f>IF(IF(Table44243140[[#This Row],[Pre or Post]]="Post",1,0)+IF(ISNUMBER(Table44243140[[#This Row],[Response]])=TRUE,1,0)=2,Table44243140[[#This Row],[Response]],"")</f>
        <v/>
      </c>
      <c r="L27" s="6">
        <f>IF(IF(ISNUMBER(J27),1,0)+IF(ISNUMBER(K28),1,0)=2,IF(IF(C28=C27,1,0)+IF(B28=B27,1,0)+IF(D28="Post",1,0)+IF(D27="Pre",1,0)=4,Table44243140[[#This Row],[Pre Total]],""),"")</f>
        <v>2</v>
      </c>
      <c r="M27" s="6" t="str">
        <f>IF(IF(ISNUMBER(J26),1,0)+IF(ISNUMBER(Table44243140[[#This Row],[Post Total]]),1,0)=2,IF(IF(Table44243140[[#This Row],[Student Number]]=C26,1,0)+IF(Table44243140[[#This Row],[Session]]=B26,1,0)+IF(Table44243140[[#This Row],[Pre or Post]]="Post",1,0)+IF(D26="Pre",1,0)=4,Table44243140[[#This Row],[Post Total]],""),"")</f>
        <v/>
      </c>
      <c r="N27" s="6" t="str">
        <f>IF(IF(ISNUMBER(J26),1,0)+IF(ISNUMBER(Table44243140[[#This Row],[Post Total]]),1,0)=2,IF(IF(Table44243140[[#This Row],[Student Number]]=C26,1,0)+IF(Table44243140[[#This Row],[Session]]=B26,1,0)+IF(Table44243140[[#This Row],[Pre or Post]]="Post",1,0)+IF(D26="Pre",1,0)=4,Table44243140[[#This Row],[Post Total]]-J26,""),"")</f>
        <v/>
      </c>
      <c r="O27" s="6" t="b">
        <f>ISNUMBER(Table44243140[[#This Row],[Change]])</f>
        <v>0</v>
      </c>
    </row>
    <row r="28" spans="1:15">
      <c r="A28" s="1" t="s">
        <v>24</v>
      </c>
      <c r="B28" s="1" t="s">
        <v>23</v>
      </c>
      <c r="C28" s="1">
        <v>4</v>
      </c>
      <c r="D28" s="1" t="s">
        <v>16</v>
      </c>
      <c r="E28" s="1">
        <v>4</v>
      </c>
      <c r="F28" s="1">
        <v>3</v>
      </c>
      <c r="G28" s="1" t="s">
        <v>8</v>
      </c>
      <c r="H28" s="5" t="str">
        <f>IF(IF(Table44243140[[#This Row],[Pre or Post]]="Pre",1,0)+IF(ISNUMBER(Table44243140[[#This Row],[Response]])=TRUE,1,0)=2,1,"")</f>
        <v/>
      </c>
      <c r="I28" s="5">
        <f>IF(IF(Table44243140[[#This Row],[Pre or Post]]="Post",1,0)+IF(ISNUMBER(Table44243140[[#This Row],[Response]])=TRUE,1,0)=2,1,"")</f>
        <v>1</v>
      </c>
      <c r="J28" s="5" t="str">
        <f>IF(IF(Table44243140[[#This Row],[Pre or Post]]="Pre",1,0)+IF(ISNUMBER(Table44243140[[#This Row],[Response]])=TRUE,1,0)=2,Table44243140[[#This Row],[Response]],"")</f>
        <v/>
      </c>
      <c r="K28" s="5">
        <f>IF(IF(Table44243140[[#This Row],[Pre or Post]]="Post",1,0)+IF(ISNUMBER(Table44243140[[#This Row],[Response]])=TRUE,1,0)=2,Table44243140[[#This Row],[Response]],"")</f>
        <v>3</v>
      </c>
      <c r="L28" s="5" t="str">
        <f>IF(IF(ISNUMBER(J28),1,0)+IF(ISNUMBER(K29),1,0)=2,IF(IF(C29=C28,1,0)+IF(B29=B28,1,0)+IF(D29="Post",1,0)+IF(D28="Pre",1,0)=4,Table44243140[[#This Row],[Pre Total]],""),"")</f>
        <v/>
      </c>
      <c r="M28" s="5">
        <f>IF(IF(ISNUMBER(J27),1,0)+IF(ISNUMBER(Table44243140[[#This Row],[Post Total]]),1,0)=2,IF(IF(Table44243140[[#This Row],[Student Number]]=C27,1,0)+IF(Table44243140[[#This Row],[Session]]=B27,1,0)+IF(Table44243140[[#This Row],[Pre or Post]]="Post",1,0)+IF(D27="Pre",1,0)=4,Table44243140[[#This Row],[Post Total]],""),"")</f>
        <v>3</v>
      </c>
      <c r="N28" s="5">
        <f>IF(IF(ISNUMBER(J27),1,0)+IF(ISNUMBER(Table44243140[[#This Row],[Post Total]]),1,0)=2,IF(IF(Table44243140[[#This Row],[Student Number]]=C27,1,0)+IF(Table44243140[[#This Row],[Session]]=B27,1,0)+IF(Table44243140[[#This Row],[Pre or Post]]="Post",1,0)+IF(D27="Pre",1,0)=4,Table44243140[[#This Row],[Post Total]]-J27,""),"")</f>
        <v>1</v>
      </c>
      <c r="O28" s="5" t="b">
        <f>ISNUMBER(Table44243140[[#This Row],[Change]])</f>
        <v>1</v>
      </c>
    </row>
    <row r="29" spans="1:15">
      <c r="A29" s="1" t="s">
        <v>24</v>
      </c>
      <c r="B29" s="1" t="s">
        <v>23</v>
      </c>
      <c r="C29" s="1">
        <v>5</v>
      </c>
      <c r="D29" s="1" t="s">
        <v>6</v>
      </c>
      <c r="E29" s="1">
        <v>11</v>
      </c>
      <c r="F29" s="1">
        <v>1</v>
      </c>
      <c r="G29" s="1" t="s">
        <v>8</v>
      </c>
      <c r="H29" s="5">
        <f>IF(IF(Table44243140[[#This Row],[Pre or Post]]="Pre",1,0)+IF(ISNUMBER(Table44243140[[#This Row],[Response]])=TRUE,1,0)=2,1,"")</f>
        <v>1</v>
      </c>
      <c r="I29" s="5" t="str">
        <f>IF(IF(Table44243140[[#This Row],[Pre or Post]]="Post",1,0)+IF(ISNUMBER(Table44243140[[#This Row],[Response]])=TRUE,1,0)=2,1,"")</f>
        <v/>
      </c>
      <c r="J29" s="5">
        <f>IF(IF(Table44243140[[#This Row],[Pre or Post]]="Pre",1,0)+IF(ISNUMBER(Table44243140[[#This Row],[Response]])=TRUE,1,0)=2,Table44243140[[#This Row],[Response]],"")</f>
        <v>1</v>
      </c>
      <c r="K29" s="5" t="str">
        <f>IF(IF(Table44243140[[#This Row],[Pre or Post]]="Post",1,0)+IF(ISNUMBER(Table44243140[[#This Row],[Response]])=TRUE,1,0)=2,Table44243140[[#This Row],[Response]],"")</f>
        <v/>
      </c>
      <c r="L29" s="5">
        <f>IF(IF(ISNUMBER(J29),1,0)+IF(ISNUMBER(K30),1,0)=2,IF(IF(C30=C29,1,0)+IF(B30=B29,1,0)+IF(D30="Post",1,0)+IF(D29="Pre",1,0)=4,Table44243140[[#This Row],[Pre Total]],""),"")</f>
        <v>1</v>
      </c>
      <c r="M29" s="5" t="str">
        <f>IF(IF(ISNUMBER(J28),1,0)+IF(ISNUMBER(Table44243140[[#This Row],[Post Total]]),1,0)=2,IF(IF(Table44243140[[#This Row],[Student Number]]=C28,1,0)+IF(Table44243140[[#This Row],[Session]]=B28,1,0)+IF(Table44243140[[#This Row],[Pre or Post]]="Post",1,0)+IF(D28="Pre",1,0)=4,Table44243140[[#This Row],[Post Total]],""),"")</f>
        <v/>
      </c>
      <c r="N29" s="5" t="str">
        <f>IF(IF(ISNUMBER(J28),1,0)+IF(ISNUMBER(Table44243140[[#This Row],[Post Total]]),1,0)=2,IF(IF(Table44243140[[#This Row],[Student Number]]=C28,1,0)+IF(Table44243140[[#This Row],[Session]]=B28,1,0)+IF(Table44243140[[#This Row],[Pre or Post]]="Post",1,0)+IF(D28="Pre",1,0)=4,Table44243140[[#This Row],[Post Total]]-J28,""),"")</f>
        <v/>
      </c>
      <c r="O29" s="5" t="b">
        <f>ISNUMBER(Table44243140[[#This Row],[Change]])</f>
        <v>0</v>
      </c>
    </row>
    <row r="30" spans="1:15">
      <c r="A30" s="1" t="s">
        <v>24</v>
      </c>
      <c r="B30" s="1" t="s">
        <v>23</v>
      </c>
      <c r="C30" s="1">
        <v>5</v>
      </c>
      <c r="D30" s="1" t="s">
        <v>16</v>
      </c>
      <c r="E30" s="1">
        <v>4</v>
      </c>
      <c r="F30" s="1">
        <v>4</v>
      </c>
      <c r="G30" s="1" t="s">
        <v>8</v>
      </c>
      <c r="H30" s="5" t="str">
        <f>IF(IF(Table44243140[[#This Row],[Pre or Post]]="Pre",1,0)+IF(ISNUMBER(Table44243140[[#This Row],[Response]])=TRUE,1,0)=2,1,"")</f>
        <v/>
      </c>
      <c r="I30" s="5">
        <f>IF(IF(Table44243140[[#This Row],[Pre or Post]]="Post",1,0)+IF(ISNUMBER(Table44243140[[#This Row],[Response]])=TRUE,1,0)=2,1,"")</f>
        <v>1</v>
      </c>
      <c r="J30" s="5" t="str">
        <f>IF(IF(Table44243140[[#This Row],[Pre or Post]]="Pre",1,0)+IF(ISNUMBER(Table44243140[[#This Row],[Response]])=TRUE,1,0)=2,Table44243140[[#This Row],[Response]],"")</f>
        <v/>
      </c>
      <c r="K30" s="5">
        <f>IF(IF(Table44243140[[#This Row],[Pre or Post]]="Post",1,0)+IF(ISNUMBER(Table44243140[[#This Row],[Response]])=TRUE,1,0)=2,Table44243140[[#This Row],[Response]],"")</f>
        <v>4</v>
      </c>
      <c r="L30" s="5" t="str">
        <f>IF(IF(ISNUMBER(J30),1,0)+IF(ISNUMBER(K31),1,0)=2,IF(IF(C31=C30,1,0)+IF(B31=B30,1,0)+IF(D31="Post",1,0)+IF(D30="Pre",1,0)=4,Table44243140[[#This Row],[Pre Total]],""),"")</f>
        <v/>
      </c>
      <c r="M30" s="5">
        <f>IF(IF(ISNUMBER(J29),1,0)+IF(ISNUMBER(Table44243140[[#This Row],[Post Total]]),1,0)=2,IF(IF(Table44243140[[#This Row],[Student Number]]=C29,1,0)+IF(Table44243140[[#This Row],[Session]]=B29,1,0)+IF(Table44243140[[#This Row],[Pre or Post]]="Post",1,0)+IF(D29="Pre",1,0)=4,Table44243140[[#This Row],[Post Total]],""),"")</f>
        <v>4</v>
      </c>
      <c r="N30" s="5">
        <f>IF(IF(ISNUMBER(J29),1,0)+IF(ISNUMBER(Table44243140[[#This Row],[Post Total]]),1,0)=2,IF(IF(Table44243140[[#This Row],[Student Number]]=C29,1,0)+IF(Table44243140[[#This Row],[Session]]=B29,1,0)+IF(Table44243140[[#This Row],[Pre or Post]]="Post",1,0)+IF(D29="Pre",1,0)=4,Table44243140[[#This Row],[Post Total]]-J29,""),"")</f>
        <v>3</v>
      </c>
      <c r="O30" s="5" t="b">
        <f>ISNUMBER(Table44243140[[#This Row],[Change]])</f>
        <v>1</v>
      </c>
    </row>
    <row r="31" spans="1:15">
      <c r="A31" s="1" t="s">
        <v>24</v>
      </c>
      <c r="B31" s="1" t="s">
        <v>23</v>
      </c>
      <c r="C31" s="1">
        <v>6</v>
      </c>
      <c r="D31" s="1" t="s">
        <v>6</v>
      </c>
      <c r="E31" s="1">
        <v>11</v>
      </c>
      <c r="F31" s="1">
        <v>2</v>
      </c>
      <c r="G31" s="1" t="s">
        <v>8</v>
      </c>
      <c r="H31" s="5">
        <f>IF(IF(Table44243140[[#This Row],[Pre or Post]]="Pre",1,0)+IF(ISNUMBER(Table44243140[[#This Row],[Response]])=TRUE,1,0)=2,1,"")</f>
        <v>1</v>
      </c>
      <c r="I31" s="5" t="str">
        <f>IF(IF(Table44243140[[#This Row],[Pre or Post]]="Post",1,0)+IF(ISNUMBER(Table44243140[[#This Row],[Response]])=TRUE,1,0)=2,1,"")</f>
        <v/>
      </c>
      <c r="J31" s="5">
        <f>IF(IF(Table44243140[[#This Row],[Pre or Post]]="Pre",1,0)+IF(ISNUMBER(Table44243140[[#This Row],[Response]])=TRUE,1,0)=2,Table44243140[[#This Row],[Response]],"")</f>
        <v>2</v>
      </c>
      <c r="K31" s="5" t="str">
        <f>IF(IF(Table44243140[[#This Row],[Pre or Post]]="Post",1,0)+IF(ISNUMBER(Table44243140[[#This Row],[Response]])=TRUE,1,0)=2,Table44243140[[#This Row],[Response]],"")</f>
        <v/>
      </c>
      <c r="L31" s="5">
        <f>IF(IF(ISNUMBER(J31),1,0)+IF(ISNUMBER(K32),1,0)=2,IF(IF(C32=C31,1,0)+IF(B32=B31,1,0)+IF(D32="Post",1,0)+IF(D31="Pre",1,0)=4,Table44243140[[#This Row],[Pre Total]],""),"")</f>
        <v>2</v>
      </c>
      <c r="M31" s="5" t="str">
        <f>IF(IF(ISNUMBER(J30),1,0)+IF(ISNUMBER(Table44243140[[#This Row],[Post Total]]),1,0)=2,IF(IF(Table44243140[[#This Row],[Student Number]]=C30,1,0)+IF(Table44243140[[#This Row],[Session]]=B30,1,0)+IF(Table44243140[[#This Row],[Pre or Post]]="Post",1,0)+IF(D30="Pre",1,0)=4,Table44243140[[#This Row],[Post Total]],""),"")</f>
        <v/>
      </c>
      <c r="N31" s="5" t="str">
        <f>IF(IF(ISNUMBER(J30),1,0)+IF(ISNUMBER(Table44243140[[#This Row],[Post Total]]),1,0)=2,IF(IF(Table44243140[[#This Row],[Student Number]]=C30,1,0)+IF(Table44243140[[#This Row],[Session]]=B30,1,0)+IF(Table44243140[[#This Row],[Pre or Post]]="Post",1,0)+IF(D30="Pre",1,0)=4,Table44243140[[#This Row],[Post Total]]-J30,""),"")</f>
        <v/>
      </c>
      <c r="O31" s="5" t="b">
        <f>ISNUMBER(Table44243140[[#This Row],[Change]])</f>
        <v>0</v>
      </c>
    </row>
    <row r="32" spans="1:15">
      <c r="A32" s="1" t="s">
        <v>24</v>
      </c>
      <c r="B32" s="1" t="s">
        <v>23</v>
      </c>
      <c r="C32" s="1">
        <v>6</v>
      </c>
      <c r="D32" s="1" t="s">
        <v>16</v>
      </c>
      <c r="E32" s="1">
        <v>4</v>
      </c>
      <c r="F32" s="1">
        <v>3</v>
      </c>
      <c r="G32" s="1" t="s">
        <v>8</v>
      </c>
      <c r="H32" s="5" t="str">
        <f>IF(IF(Table44243140[[#This Row],[Pre or Post]]="Pre",1,0)+IF(ISNUMBER(Table44243140[[#This Row],[Response]])=TRUE,1,0)=2,1,"")</f>
        <v/>
      </c>
      <c r="I32" s="5">
        <f>IF(IF(Table44243140[[#This Row],[Pre or Post]]="Post",1,0)+IF(ISNUMBER(Table44243140[[#This Row],[Response]])=TRUE,1,0)=2,1,"")</f>
        <v>1</v>
      </c>
      <c r="J32" s="5" t="str">
        <f>IF(IF(Table44243140[[#This Row],[Pre or Post]]="Pre",1,0)+IF(ISNUMBER(Table44243140[[#This Row],[Response]])=TRUE,1,0)=2,Table44243140[[#This Row],[Response]],"")</f>
        <v/>
      </c>
      <c r="K32" s="5">
        <f>IF(IF(Table44243140[[#This Row],[Pre or Post]]="Post",1,0)+IF(ISNUMBER(Table44243140[[#This Row],[Response]])=TRUE,1,0)=2,Table44243140[[#This Row],[Response]],"")</f>
        <v>3</v>
      </c>
      <c r="L32" s="5" t="str">
        <f>IF(IF(ISNUMBER(J32),1,0)+IF(ISNUMBER(K33),1,0)=2,IF(IF(C33=C32,1,0)+IF(B33=B32,1,0)+IF(D33="Post",1,0)+IF(D32="Pre",1,0)=4,Table44243140[[#This Row],[Pre Total]],""),"")</f>
        <v/>
      </c>
      <c r="M32" s="5">
        <f>IF(IF(ISNUMBER(J31),1,0)+IF(ISNUMBER(Table44243140[[#This Row],[Post Total]]),1,0)=2,IF(IF(Table44243140[[#This Row],[Student Number]]=C31,1,0)+IF(Table44243140[[#This Row],[Session]]=B31,1,0)+IF(Table44243140[[#This Row],[Pre or Post]]="Post",1,0)+IF(D31="Pre",1,0)=4,Table44243140[[#This Row],[Post Total]],""),"")</f>
        <v>3</v>
      </c>
      <c r="N32" s="5">
        <f>IF(IF(ISNUMBER(J31),1,0)+IF(ISNUMBER(Table44243140[[#This Row],[Post Total]]),1,0)=2,IF(IF(Table44243140[[#This Row],[Student Number]]=C31,1,0)+IF(Table44243140[[#This Row],[Session]]=B31,1,0)+IF(Table44243140[[#This Row],[Pre or Post]]="Post",1,0)+IF(D31="Pre",1,0)=4,Table44243140[[#This Row],[Post Total]]-J31,""),"")</f>
        <v>1</v>
      </c>
      <c r="O32" s="5" t="b">
        <f>ISNUMBER(Table44243140[[#This Row],[Change]])</f>
        <v>1</v>
      </c>
    </row>
    <row r="33" spans="1:15">
      <c r="A33" s="1" t="s">
        <v>24</v>
      </c>
      <c r="B33" s="1" t="s">
        <v>23</v>
      </c>
      <c r="C33" s="1">
        <v>7</v>
      </c>
      <c r="D33" s="1" t="s">
        <v>6</v>
      </c>
      <c r="E33" s="1">
        <v>11</v>
      </c>
      <c r="F33" s="1">
        <v>1</v>
      </c>
      <c r="G33" s="1" t="s">
        <v>8</v>
      </c>
      <c r="H33" s="5">
        <f>IF(IF(Table44243140[[#This Row],[Pre or Post]]="Pre",1,0)+IF(ISNUMBER(Table44243140[[#This Row],[Response]])=TRUE,1,0)=2,1,"")</f>
        <v>1</v>
      </c>
      <c r="I33" s="5" t="str">
        <f>IF(IF(Table44243140[[#This Row],[Pre or Post]]="Post",1,0)+IF(ISNUMBER(Table44243140[[#This Row],[Response]])=TRUE,1,0)=2,1,"")</f>
        <v/>
      </c>
      <c r="J33" s="5">
        <f>IF(IF(Table44243140[[#This Row],[Pre or Post]]="Pre",1,0)+IF(ISNUMBER(Table44243140[[#This Row],[Response]])=TRUE,1,0)=2,Table44243140[[#This Row],[Response]],"")</f>
        <v>1</v>
      </c>
      <c r="K33" s="5" t="str">
        <f>IF(IF(Table44243140[[#This Row],[Pre or Post]]="Post",1,0)+IF(ISNUMBER(Table44243140[[#This Row],[Response]])=TRUE,1,0)=2,Table44243140[[#This Row],[Response]],"")</f>
        <v/>
      </c>
      <c r="L33" s="5">
        <f>IF(IF(ISNUMBER(J33),1,0)+IF(ISNUMBER(K34),1,0)=2,IF(IF(C34=C33,1,0)+IF(B34=B33,1,0)+IF(D34="Post",1,0)+IF(D33="Pre",1,0)=4,Table44243140[[#This Row],[Pre Total]],""),"")</f>
        <v>1</v>
      </c>
      <c r="M33" s="5" t="str">
        <f>IF(IF(ISNUMBER(J32),1,0)+IF(ISNUMBER(Table44243140[[#This Row],[Post Total]]),1,0)=2,IF(IF(Table44243140[[#This Row],[Student Number]]=C32,1,0)+IF(Table44243140[[#This Row],[Session]]=B32,1,0)+IF(Table44243140[[#This Row],[Pre or Post]]="Post",1,0)+IF(D32="Pre",1,0)=4,Table44243140[[#This Row],[Post Total]],""),"")</f>
        <v/>
      </c>
      <c r="N33" s="5" t="str">
        <f>IF(IF(ISNUMBER(J32),1,0)+IF(ISNUMBER(Table44243140[[#This Row],[Post Total]]),1,0)=2,IF(IF(Table44243140[[#This Row],[Student Number]]=C32,1,0)+IF(Table44243140[[#This Row],[Session]]=B32,1,0)+IF(Table44243140[[#This Row],[Pre or Post]]="Post",1,0)+IF(D32="Pre",1,0)=4,Table44243140[[#This Row],[Post Total]]-J32,""),"")</f>
        <v/>
      </c>
      <c r="O33" s="5" t="b">
        <f>ISNUMBER(Table44243140[[#This Row],[Change]])</f>
        <v>0</v>
      </c>
    </row>
    <row r="34" spans="1:15">
      <c r="A34" s="1" t="s">
        <v>24</v>
      </c>
      <c r="B34" s="1" t="s">
        <v>23</v>
      </c>
      <c r="C34" s="1">
        <v>7</v>
      </c>
      <c r="D34" s="1" t="s">
        <v>16</v>
      </c>
      <c r="E34" s="1">
        <v>4</v>
      </c>
      <c r="F34" s="1">
        <v>1</v>
      </c>
      <c r="G34" s="1" t="s">
        <v>8</v>
      </c>
      <c r="H34" s="5" t="str">
        <f>IF(IF(Table44243140[[#This Row],[Pre or Post]]="Pre",1,0)+IF(ISNUMBER(Table44243140[[#This Row],[Response]])=TRUE,1,0)=2,1,"")</f>
        <v/>
      </c>
      <c r="I34" s="5">
        <f>IF(IF(Table44243140[[#This Row],[Pre or Post]]="Post",1,0)+IF(ISNUMBER(Table44243140[[#This Row],[Response]])=TRUE,1,0)=2,1,"")</f>
        <v>1</v>
      </c>
      <c r="J34" s="5" t="str">
        <f>IF(IF(Table44243140[[#This Row],[Pre or Post]]="Pre",1,0)+IF(ISNUMBER(Table44243140[[#This Row],[Response]])=TRUE,1,0)=2,Table44243140[[#This Row],[Response]],"")</f>
        <v/>
      </c>
      <c r="K34" s="5">
        <f>IF(IF(Table44243140[[#This Row],[Pre or Post]]="Post",1,0)+IF(ISNUMBER(Table44243140[[#This Row],[Response]])=TRUE,1,0)=2,Table44243140[[#This Row],[Response]],"")</f>
        <v>1</v>
      </c>
      <c r="L34" s="5" t="str">
        <f>IF(IF(ISNUMBER(J34),1,0)+IF(ISNUMBER(K35),1,0)=2,IF(IF(C35=C34,1,0)+IF(B35=B34,1,0)+IF(D35="Post",1,0)+IF(D34="Pre",1,0)=4,Table44243140[[#This Row],[Pre Total]],""),"")</f>
        <v/>
      </c>
      <c r="M34" s="5">
        <f>IF(IF(ISNUMBER(J33),1,0)+IF(ISNUMBER(Table44243140[[#This Row],[Post Total]]),1,0)=2,IF(IF(Table44243140[[#This Row],[Student Number]]=C33,1,0)+IF(Table44243140[[#This Row],[Session]]=B33,1,0)+IF(Table44243140[[#This Row],[Pre or Post]]="Post",1,0)+IF(D33="Pre",1,0)=4,Table44243140[[#This Row],[Post Total]],""),"")</f>
        <v>1</v>
      </c>
      <c r="N34" s="5">
        <f>IF(IF(ISNUMBER(J33),1,0)+IF(ISNUMBER(Table44243140[[#This Row],[Post Total]]),1,0)=2,IF(IF(Table44243140[[#This Row],[Student Number]]=C33,1,0)+IF(Table44243140[[#This Row],[Session]]=B33,1,0)+IF(Table44243140[[#This Row],[Pre or Post]]="Post",1,0)+IF(D33="Pre",1,0)=4,Table44243140[[#This Row],[Post Total]]-J33,""),"")</f>
        <v>0</v>
      </c>
      <c r="O34" s="5" t="b">
        <f>ISNUMBER(Table44243140[[#This Row],[Change]])</f>
        <v>1</v>
      </c>
    </row>
    <row r="35" spans="1:15">
      <c r="A35" s="1" t="s">
        <v>24</v>
      </c>
      <c r="B35" s="1" t="s">
        <v>23</v>
      </c>
      <c r="C35" s="1">
        <v>8</v>
      </c>
      <c r="D35" s="1" t="s">
        <v>6</v>
      </c>
      <c r="E35" s="2">
        <v>11</v>
      </c>
      <c r="F35" s="2">
        <v>2</v>
      </c>
      <c r="G35" s="1" t="s">
        <v>8</v>
      </c>
      <c r="H35" s="5">
        <f>IF(IF(Table44243140[[#This Row],[Pre or Post]]="Pre",1,0)+IF(ISNUMBER(Table44243140[[#This Row],[Response]])=TRUE,1,0)=2,1,"")</f>
        <v>1</v>
      </c>
      <c r="I35" s="5" t="str">
        <f>IF(IF(Table44243140[[#This Row],[Pre or Post]]="Post",1,0)+IF(ISNUMBER(Table44243140[[#This Row],[Response]])=TRUE,1,0)=2,1,"")</f>
        <v/>
      </c>
      <c r="J35" s="5">
        <f>IF(IF(Table44243140[[#This Row],[Pre or Post]]="Pre",1,0)+IF(ISNUMBER(Table44243140[[#This Row],[Response]])=TRUE,1,0)=2,Table44243140[[#This Row],[Response]],"")</f>
        <v>2</v>
      </c>
      <c r="K35" s="5" t="str">
        <f>IF(IF(Table44243140[[#This Row],[Pre or Post]]="Post",1,0)+IF(ISNUMBER(Table44243140[[#This Row],[Response]])=TRUE,1,0)=2,Table44243140[[#This Row],[Response]],"")</f>
        <v/>
      </c>
      <c r="L35" s="5">
        <f>IF(IF(ISNUMBER(J35),1,0)+IF(ISNUMBER(K36),1,0)=2,IF(IF(C36=C35,1,0)+IF(B36=B35,1,0)+IF(D36="Post",1,0)+IF(D35="Pre",1,0)=4,Table44243140[[#This Row],[Pre Total]],""),"")</f>
        <v>2</v>
      </c>
      <c r="M35" s="5" t="str">
        <f>IF(IF(ISNUMBER(J34),1,0)+IF(ISNUMBER(Table44243140[[#This Row],[Post Total]]),1,0)=2,IF(IF(Table44243140[[#This Row],[Student Number]]=C34,1,0)+IF(Table44243140[[#This Row],[Session]]=B34,1,0)+IF(Table44243140[[#This Row],[Pre or Post]]="Post",1,0)+IF(D34="Pre",1,0)=4,Table44243140[[#This Row],[Post Total]],""),"")</f>
        <v/>
      </c>
      <c r="N35" s="5" t="str">
        <f>IF(IF(ISNUMBER(J34),1,0)+IF(ISNUMBER(Table44243140[[#This Row],[Post Total]]),1,0)=2,IF(IF(Table44243140[[#This Row],[Student Number]]=C34,1,0)+IF(Table44243140[[#This Row],[Session]]=B34,1,0)+IF(Table44243140[[#This Row],[Pre or Post]]="Post",1,0)+IF(D34="Pre",1,0)=4,Table44243140[[#This Row],[Post Total]]-J34,""),"")</f>
        <v/>
      </c>
      <c r="O35" s="5" t="b">
        <f>ISNUMBER(Table44243140[[#This Row],[Change]])</f>
        <v>0</v>
      </c>
    </row>
    <row r="36" spans="1:15">
      <c r="A36" s="1" t="s">
        <v>24</v>
      </c>
      <c r="B36" s="1" t="s">
        <v>23</v>
      </c>
      <c r="C36" s="1">
        <v>8</v>
      </c>
      <c r="D36" s="1" t="s">
        <v>16</v>
      </c>
      <c r="E36" s="1">
        <v>4</v>
      </c>
      <c r="F36" s="1">
        <v>3</v>
      </c>
      <c r="G36" s="1" t="s">
        <v>8</v>
      </c>
      <c r="H36" s="5" t="str">
        <f>IF(IF(Table44243140[[#This Row],[Pre or Post]]="Pre",1,0)+IF(ISNUMBER(Table44243140[[#This Row],[Response]])=TRUE,1,0)=2,1,"")</f>
        <v/>
      </c>
      <c r="I36" s="5">
        <f>IF(IF(Table44243140[[#This Row],[Pre or Post]]="Post",1,0)+IF(ISNUMBER(Table44243140[[#This Row],[Response]])=TRUE,1,0)=2,1,"")</f>
        <v>1</v>
      </c>
      <c r="J36" s="5" t="str">
        <f>IF(IF(Table44243140[[#This Row],[Pre or Post]]="Pre",1,0)+IF(ISNUMBER(Table44243140[[#This Row],[Response]])=TRUE,1,0)=2,Table44243140[[#This Row],[Response]],"")</f>
        <v/>
      </c>
      <c r="K36" s="5">
        <f>IF(IF(Table44243140[[#This Row],[Pre or Post]]="Post",1,0)+IF(ISNUMBER(Table44243140[[#This Row],[Response]])=TRUE,1,0)=2,Table44243140[[#This Row],[Response]],"")</f>
        <v>3</v>
      </c>
      <c r="L36" s="5" t="str">
        <f>IF(IF(ISNUMBER(J36),1,0)+IF(ISNUMBER(K37),1,0)=2,IF(IF(C37=C36,1,0)+IF(B37=B36,1,0)+IF(D37="Post",1,0)+IF(D36="Pre",1,0)=4,Table44243140[[#This Row],[Pre Total]],""),"")</f>
        <v/>
      </c>
      <c r="M36" s="5">
        <f>IF(IF(ISNUMBER(J35),1,0)+IF(ISNUMBER(Table44243140[[#This Row],[Post Total]]),1,0)=2,IF(IF(Table44243140[[#This Row],[Student Number]]=C35,1,0)+IF(Table44243140[[#This Row],[Session]]=B35,1,0)+IF(Table44243140[[#This Row],[Pre or Post]]="Post",1,0)+IF(D35="Pre",1,0)=4,Table44243140[[#This Row],[Post Total]],""),"")</f>
        <v>3</v>
      </c>
      <c r="N36" s="5">
        <f>IF(IF(ISNUMBER(J35),1,0)+IF(ISNUMBER(Table44243140[[#This Row],[Post Total]]),1,0)=2,IF(IF(Table44243140[[#This Row],[Student Number]]=C35,1,0)+IF(Table44243140[[#This Row],[Session]]=B35,1,0)+IF(Table44243140[[#This Row],[Pre or Post]]="Post",1,0)+IF(D35="Pre",1,0)=4,Table44243140[[#This Row],[Post Total]]-J35,""),"")</f>
        <v>1</v>
      </c>
      <c r="O36" s="5" t="b">
        <f>ISNUMBER(Table44243140[[#This Row],[Change]])</f>
        <v>1</v>
      </c>
    </row>
    <row r="37" spans="1:15">
      <c r="A37" s="1" t="s">
        <v>24</v>
      </c>
      <c r="B37" s="1" t="s">
        <v>23</v>
      </c>
      <c r="C37" s="1">
        <v>9</v>
      </c>
      <c r="D37" s="1" t="s">
        <v>6</v>
      </c>
      <c r="E37" s="1">
        <v>11</v>
      </c>
      <c r="F37" s="1">
        <v>2</v>
      </c>
      <c r="G37" s="1" t="s">
        <v>8</v>
      </c>
      <c r="H37" s="5">
        <f>IF(IF(Table44243140[[#This Row],[Pre or Post]]="Pre",1,0)+IF(ISNUMBER(Table44243140[[#This Row],[Response]])=TRUE,1,0)=2,1,"")</f>
        <v>1</v>
      </c>
      <c r="I37" s="5" t="str">
        <f>IF(IF(Table44243140[[#This Row],[Pre or Post]]="Post",1,0)+IF(ISNUMBER(Table44243140[[#This Row],[Response]])=TRUE,1,0)=2,1,"")</f>
        <v/>
      </c>
      <c r="J37" s="5">
        <f>IF(IF(Table44243140[[#This Row],[Pre or Post]]="Pre",1,0)+IF(ISNUMBER(Table44243140[[#This Row],[Response]])=TRUE,1,0)=2,Table44243140[[#This Row],[Response]],"")</f>
        <v>2</v>
      </c>
      <c r="K37" s="5" t="str">
        <f>IF(IF(Table44243140[[#This Row],[Pre or Post]]="Post",1,0)+IF(ISNUMBER(Table44243140[[#This Row],[Response]])=TRUE,1,0)=2,Table44243140[[#This Row],[Response]],"")</f>
        <v/>
      </c>
      <c r="L37" s="5">
        <f>IF(IF(ISNUMBER(J37),1,0)+IF(ISNUMBER(K38),1,0)=2,IF(IF(C38=C37,1,0)+IF(B38=B37,1,0)+IF(D38="Post",1,0)+IF(D37="Pre",1,0)=4,Table44243140[[#This Row],[Pre Total]],""),"")</f>
        <v>2</v>
      </c>
      <c r="M37" s="5" t="str">
        <f>IF(IF(ISNUMBER(J36),1,0)+IF(ISNUMBER(Table44243140[[#This Row],[Post Total]]),1,0)=2,IF(IF(Table44243140[[#This Row],[Student Number]]=C36,1,0)+IF(Table44243140[[#This Row],[Session]]=B36,1,0)+IF(Table44243140[[#This Row],[Pre or Post]]="Post",1,0)+IF(D36="Pre",1,0)=4,Table44243140[[#This Row],[Post Total]],""),"")</f>
        <v/>
      </c>
      <c r="N37" s="5" t="str">
        <f>IF(IF(ISNUMBER(J36),1,0)+IF(ISNUMBER(Table44243140[[#This Row],[Post Total]]),1,0)=2,IF(IF(Table44243140[[#This Row],[Student Number]]=C36,1,0)+IF(Table44243140[[#This Row],[Session]]=B36,1,0)+IF(Table44243140[[#This Row],[Pre or Post]]="Post",1,0)+IF(D36="Pre",1,0)=4,Table44243140[[#This Row],[Post Total]]-J36,""),"")</f>
        <v/>
      </c>
      <c r="O37" s="5" t="b">
        <f>ISNUMBER(Table44243140[[#This Row],[Change]])</f>
        <v>0</v>
      </c>
    </row>
    <row r="38" spans="1:15">
      <c r="A38" s="1" t="s">
        <v>24</v>
      </c>
      <c r="B38" s="1" t="s">
        <v>23</v>
      </c>
      <c r="C38" s="1">
        <v>9</v>
      </c>
      <c r="D38" s="1" t="s">
        <v>16</v>
      </c>
      <c r="E38" s="1">
        <v>4</v>
      </c>
      <c r="F38" s="1">
        <v>3</v>
      </c>
      <c r="G38" s="1" t="s">
        <v>8</v>
      </c>
      <c r="H38" s="5" t="str">
        <f>IF(IF(Table44243140[[#This Row],[Pre or Post]]="Pre",1,0)+IF(ISNUMBER(Table44243140[[#This Row],[Response]])=TRUE,1,0)=2,1,"")</f>
        <v/>
      </c>
      <c r="I38" s="5">
        <f>IF(IF(Table44243140[[#This Row],[Pre or Post]]="Post",1,0)+IF(ISNUMBER(Table44243140[[#This Row],[Response]])=TRUE,1,0)=2,1,"")</f>
        <v>1</v>
      </c>
      <c r="J38" s="5" t="str">
        <f>IF(IF(Table44243140[[#This Row],[Pre or Post]]="Pre",1,0)+IF(ISNUMBER(Table44243140[[#This Row],[Response]])=TRUE,1,0)=2,Table44243140[[#This Row],[Response]],"")</f>
        <v/>
      </c>
      <c r="K38" s="5">
        <f>IF(IF(Table44243140[[#This Row],[Pre or Post]]="Post",1,0)+IF(ISNUMBER(Table44243140[[#This Row],[Response]])=TRUE,1,0)=2,Table44243140[[#This Row],[Response]],"")</f>
        <v>3</v>
      </c>
      <c r="L38" s="5" t="str">
        <f>IF(IF(ISNUMBER(J38),1,0)+IF(ISNUMBER(K39),1,0)=2,IF(IF(C39=C38,1,0)+IF(B39=B38,1,0)+IF(D39="Post",1,0)+IF(D38="Pre",1,0)=4,Table44243140[[#This Row],[Pre Total]],""),"")</f>
        <v/>
      </c>
      <c r="M38" s="5">
        <f>IF(IF(ISNUMBER(J37),1,0)+IF(ISNUMBER(Table44243140[[#This Row],[Post Total]]),1,0)=2,IF(IF(Table44243140[[#This Row],[Student Number]]=C37,1,0)+IF(Table44243140[[#This Row],[Session]]=B37,1,0)+IF(Table44243140[[#This Row],[Pre or Post]]="Post",1,0)+IF(D37="Pre",1,0)=4,Table44243140[[#This Row],[Post Total]],""),"")</f>
        <v>3</v>
      </c>
      <c r="N38" s="5">
        <f>IF(IF(ISNUMBER(J37),1,0)+IF(ISNUMBER(Table44243140[[#This Row],[Post Total]]),1,0)=2,IF(IF(Table44243140[[#This Row],[Student Number]]=C37,1,0)+IF(Table44243140[[#This Row],[Session]]=B37,1,0)+IF(Table44243140[[#This Row],[Pre or Post]]="Post",1,0)+IF(D37="Pre",1,0)=4,Table44243140[[#This Row],[Post Total]]-J37,""),"")</f>
        <v>1</v>
      </c>
      <c r="O38" s="5" t="b">
        <f>ISNUMBER(Table44243140[[#This Row],[Change]])</f>
        <v>1</v>
      </c>
    </row>
    <row r="39" spans="1:15">
      <c r="A39" s="1" t="s">
        <v>24</v>
      </c>
      <c r="B39" s="1" t="s">
        <v>23</v>
      </c>
      <c r="C39" s="1">
        <v>10</v>
      </c>
      <c r="D39" s="1" t="s">
        <v>6</v>
      </c>
      <c r="E39" s="1">
        <v>11</v>
      </c>
      <c r="F39" s="1">
        <v>1</v>
      </c>
      <c r="G39" s="1" t="s">
        <v>8</v>
      </c>
      <c r="H39" s="5">
        <f>IF(IF(Table44243140[[#This Row],[Pre or Post]]="Pre",1,0)+IF(ISNUMBER(Table44243140[[#This Row],[Response]])=TRUE,1,0)=2,1,"")</f>
        <v>1</v>
      </c>
      <c r="I39" s="5" t="str">
        <f>IF(IF(Table44243140[[#This Row],[Pre or Post]]="Post",1,0)+IF(ISNUMBER(Table44243140[[#This Row],[Response]])=TRUE,1,0)=2,1,"")</f>
        <v/>
      </c>
      <c r="J39" s="5">
        <f>IF(IF(Table44243140[[#This Row],[Pre or Post]]="Pre",1,0)+IF(ISNUMBER(Table44243140[[#This Row],[Response]])=TRUE,1,0)=2,Table44243140[[#This Row],[Response]],"")</f>
        <v>1</v>
      </c>
      <c r="K39" s="5" t="str">
        <f>IF(IF(Table44243140[[#This Row],[Pre or Post]]="Post",1,0)+IF(ISNUMBER(Table44243140[[#This Row],[Response]])=TRUE,1,0)=2,Table44243140[[#This Row],[Response]],"")</f>
        <v/>
      </c>
      <c r="L39" s="5">
        <f>IF(IF(ISNUMBER(J39),1,0)+IF(ISNUMBER(K40),1,0)=2,IF(IF(C40=C39,1,0)+IF(B40=B39,1,0)+IF(D40="Post",1,0)+IF(D39="Pre",1,0)=4,Table44243140[[#This Row],[Pre Total]],""),"")</f>
        <v>1</v>
      </c>
      <c r="M39" s="5" t="str">
        <f>IF(IF(ISNUMBER(J38),1,0)+IF(ISNUMBER(Table44243140[[#This Row],[Post Total]]),1,0)=2,IF(IF(Table44243140[[#This Row],[Student Number]]=C38,1,0)+IF(Table44243140[[#This Row],[Session]]=B38,1,0)+IF(Table44243140[[#This Row],[Pre or Post]]="Post",1,0)+IF(D38="Pre",1,0)=4,Table44243140[[#This Row],[Post Total]],""),"")</f>
        <v/>
      </c>
      <c r="N39" s="5" t="str">
        <f>IF(IF(ISNUMBER(J38),1,0)+IF(ISNUMBER(Table44243140[[#This Row],[Post Total]]),1,0)=2,IF(IF(Table44243140[[#This Row],[Student Number]]=C38,1,0)+IF(Table44243140[[#This Row],[Session]]=B38,1,0)+IF(Table44243140[[#This Row],[Pre or Post]]="Post",1,0)+IF(D38="Pre",1,0)=4,Table44243140[[#This Row],[Post Total]]-J38,""),"")</f>
        <v/>
      </c>
      <c r="O39" s="5" t="b">
        <f>ISNUMBER(Table44243140[[#This Row],[Change]])</f>
        <v>0</v>
      </c>
    </row>
    <row r="40" spans="1:15">
      <c r="A40" s="1" t="s">
        <v>24</v>
      </c>
      <c r="B40" s="1" t="s">
        <v>23</v>
      </c>
      <c r="C40" s="1">
        <v>10</v>
      </c>
      <c r="D40" s="1" t="s">
        <v>16</v>
      </c>
      <c r="E40" s="1">
        <v>4</v>
      </c>
      <c r="F40" s="1">
        <v>5</v>
      </c>
      <c r="G40" s="1" t="s">
        <v>8</v>
      </c>
      <c r="H40" s="5" t="str">
        <f>IF(IF(Table44243140[[#This Row],[Pre or Post]]="Pre",1,0)+IF(ISNUMBER(Table44243140[[#This Row],[Response]])=TRUE,1,0)=2,1,"")</f>
        <v/>
      </c>
      <c r="I40" s="5">
        <f>IF(IF(Table44243140[[#This Row],[Pre or Post]]="Post",1,0)+IF(ISNUMBER(Table44243140[[#This Row],[Response]])=TRUE,1,0)=2,1,"")</f>
        <v>1</v>
      </c>
      <c r="J40" s="5" t="str">
        <f>IF(IF(Table44243140[[#This Row],[Pre or Post]]="Pre",1,0)+IF(ISNUMBER(Table44243140[[#This Row],[Response]])=TRUE,1,0)=2,Table44243140[[#This Row],[Response]],"")</f>
        <v/>
      </c>
      <c r="K40" s="5">
        <f>IF(IF(Table44243140[[#This Row],[Pre or Post]]="Post",1,0)+IF(ISNUMBER(Table44243140[[#This Row],[Response]])=TRUE,1,0)=2,Table44243140[[#This Row],[Response]],"")</f>
        <v>5</v>
      </c>
      <c r="L40" s="5" t="str">
        <f>IF(IF(ISNUMBER(J40),1,0)+IF(ISNUMBER(K41),1,0)=2,IF(IF(C41=C40,1,0)+IF(B41=B40,1,0)+IF(D41="Post",1,0)+IF(D40="Pre",1,0)=4,Table44243140[[#This Row],[Pre Total]],""),"")</f>
        <v/>
      </c>
      <c r="M40" s="5">
        <f>IF(IF(ISNUMBER(J39),1,0)+IF(ISNUMBER(Table44243140[[#This Row],[Post Total]]),1,0)=2,IF(IF(Table44243140[[#This Row],[Student Number]]=C39,1,0)+IF(Table44243140[[#This Row],[Session]]=B39,1,0)+IF(Table44243140[[#This Row],[Pre or Post]]="Post",1,0)+IF(D39="Pre",1,0)=4,Table44243140[[#This Row],[Post Total]],""),"")</f>
        <v>5</v>
      </c>
      <c r="N40" s="5">
        <f>IF(IF(ISNUMBER(J39),1,0)+IF(ISNUMBER(Table44243140[[#This Row],[Post Total]]),1,0)=2,IF(IF(Table44243140[[#This Row],[Student Number]]=C39,1,0)+IF(Table44243140[[#This Row],[Session]]=B39,1,0)+IF(Table44243140[[#This Row],[Pre or Post]]="Post",1,0)+IF(D39="Pre",1,0)=4,Table44243140[[#This Row],[Post Total]]-J39,""),"")</f>
        <v>4</v>
      </c>
      <c r="O40" s="5" t="b">
        <f>ISNUMBER(Table44243140[[#This Row],[Change]])</f>
        <v>1</v>
      </c>
    </row>
    <row r="41" spans="1:15">
      <c r="A41" s="1" t="s">
        <v>24</v>
      </c>
      <c r="B41" s="1" t="s">
        <v>23</v>
      </c>
      <c r="C41" s="1">
        <v>11</v>
      </c>
      <c r="D41" s="1" t="s">
        <v>6</v>
      </c>
      <c r="E41" s="1">
        <v>11</v>
      </c>
      <c r="F41" s="1">
        <v>2</v>
      </c>
      <c r="G41" s="1" t="s">
        <v>8</v>
      </c>
      <c r="H41" s="5">
        <f>IF(IF(Table44243140[[#This Row],[Pre or Post]]="Pre",1,0)+IF(ISNUMBER(Table44243140[[#This Row],[Response]])=TRUE,1,0)=2,1,"")</f>
        <v>1</v>
      </c>
      <c r="I41" s="5" t="str">
        <f>IF(IF(Table44243140[[#This Row],[Pre or Post]]="Post",1,0)+IF(ISNUMBER(Table44243140[[#This Row],[Response]])=TRUE,1,0)=2,1,"")</f>
        <v/>
      </c>
      <c r="J41" s="5">
        <f>IF(IF(Table44243140[[#This Row],[Pre or Post]]="Pre",1,0)+IF(ISNUMBER(Table44243140[[#This Row],[Response]])=TRUE,1,0)=2,Table44243140[[#This Row],[Response]],"")</f>
        <v>2</v>
      </c>
      <c r="K41" s="5" t="str">
        <f>IF(IF(Table44243140[[#This Row],[Pre or Post]]="Post",1,0)+IF(ISNUMBER(Table44243140[[#This Row],[Response]])=TRUE,1,0)=2,Table44243140[[#This Row],[Response]],"")</f>
        <v/>
      </c>
      <c r="L41" s="5">
        <f>IF(IF(ISNUMBER(J41),1,0)+IF(ISNUMBER(K42),1,0)=2,IF(IF(C42=C41,1,0)+IF(B42=B41,1,0)+IF(D42="Post",1,0)+IF(D41="Pre",1,0)=4,Table44243140[[#This Row],[Pre Total]],""),"")</f>
        <v>2</v>
      </c>
      <c r="M41" s="5" t="str">
        <f>IF(IF(ISNUMBER(J40),1,0)+IF(ISNUMBER(Table44243140[[#This Row],[Post Total]]),1,0)=2,IF(IF(Table44243140[[#This Row],[Student Number]]=C40,1,0)+IF(Table44243140[[#This Row],[Session]]=B40,1,0)+IF(Table44243140[[#This Row],[Pre or Post]]="Post",1,0)+IF(D40="Pre",1,0)=4,Table44243140[[#This Row],[Post Total]],""),"")</f>
        <v/>
      </c>
      <c r="N41" s="5" t="str">
        <f>IF(IF(ISNUMBER(J40),1,0)+IF(ISNUMBER(Table44243140[[#This Row],[Post Total]]),1,0)=2,IF(IF(Table44243140[[#This Row],[Student Number]]=C40,1,0)+IF(Table44243140[[#This Row],[Session]]=B40,1,0)+IF(Table44243140[[#This Row],[Pre or Post]]="Post",1,0)+IF(D40="Pre",1,0)=4,Table44243140[[#This Row],[Post Total]]-J40,""),"")</f>
        <v/>
      </c>
      <c r="O41" s="5" t="b">
        <f>ISNUMBER(Table44243140[[#This Row],[Change]])</f>
        <v>0</v>
      </c>
    </row>
    <row r="42" spans="1:15">
      <c r="A42" s="1" t="s">
        <v>24</v>
      </c>
      <c r="B42" s="1" t="s">
        <v>23</v>
      </c>
      <c r="C42" s="1">
        <v>11</v>
      </c>
      <c r="D42" s="1" t="s">
        <v>16</v>
      </c>
      <c r="E42" s="1">
        <v>4</v>
      </c>
      <c r="F42" s="1">
        <v>5</v>
      </c>
      <c r="G42" s="1" t="s">
        <v>8</v>
      </c>
      <c r="H42" s="5" t="str">
        <f>IF(IF(Table44243140[[#This Row],[Pre or Post]]="Pre",1,0)+IF(ISNUMBER(Table44243140[[#This Row],[Response]])=TRUE,1,0)=2,1,"")</f>
        <v/>
      </c>
      <c r="I42" s="5">
        <f>IF(IF(Table44243140[[#This Row],[Pre or Post]]="Post",1,0)+IF(ISNUMBER(Table44243140[[#This Row],[Response]])=TRUE,1,0)=2,1,"")</f>
        <v>1</v>
      </c>
      <c r="J42" s="5" t="str">
        <f>IF(IF(Table44243140[[#This Row],[Pre or Post]]="Pre",1,0)+IF(ISNUMBER(Table44243140[[#This Row],[Response]])=TRUE,1,0)=2,Table44243140[[#This Row],[Response]],"")</f>
        <v/>
      </c>
      <c r="K42" s="5">
        <f>IF(IF(Table44243140[[#This Row],[Pre or Post]]="Post",1,0)+IF(ISNUMBER(Table44243140[[#This Row],[Response]])=TRUE,1,0)=2,Table44243140[[#This Row],[Response]],"")</f>
        <v>5</v>
      </c>
      <c r="L42" s="5" t="str">
        <f>IF(IF(ISNUMBER(J42),1,0)+IF(ISNUMBER(K43),1,0)=2,IF(IF(C43=C42,1,0)+IF(B43=B42,1,0)+IF(D43="Post",1,0)+IF(D42="Pre",1,0)=4,Table44243140[[#This Row],[Pre Total]],""),"")</f>
        <v/>
      </c>
      <c r="M42" s="5">
        <f>IF(IF(ISNUMBER(J41),1,0)+IF(ISNUMBER(Table44243140[[#This Row],[Post Total]]),1,0)=2,IF(IF(Table44243140[[#This Row],[Student Number]]=C41,1,0)+IF(Table44243140[[#This Row],[Session]]=B41,1,0)+IF(Table44243140[[#This Row],[Pre or Post]]="Post",1,0)+IF(D41="Pre",1,0)=4,Table44243140[[#This Row],[Post Total]],""),"")</f>
        <v>5</v>
      </c>
      <c r="N42" s="5">
        <f>IF(IF(ISNUMBER(J41),1,0)+IF(ISNUMBER(Table44243140[[#This Row],[Post Total]]),1,0)=2,IF(IF(Table44243140[[#This Row],[Student Number]]=C41,1,0)+IF(Table44243140[[#This Row],[Session]]=B41,1,0)+IF(Table44243140[[#This Row],[Pre or Post]]="Post",1,0)+IF(D41="Pre",1,0)=4,Table44243140[[#This Row],[Post Total]]-J41,""),"")</f>
        <v>3</v>
      </c>
      <c r="O42" s="5" t="b">
        <f>ISNUMBER(Table44243140[[#This Row],[Change]])</f>
        <v>1</v>
      </c>
    </row>
    <row r="43" spans="1:15">
      <c r="A43" s="1" t="s">
        <v>24</v>
      </c>
      <c r="B43" s="1" t="s">
        <v>23</v>
      </c>
      <c r="C43" s="1">
        <v>12</v>
      </c>
      <c r="D43" s="1" t="s">
        <v>6</v>
      </c>
      <c r="E43" s="1">
        <v>11</v>
      </c>
      <c r="F43" s="1">
        <v>3</v>
      </c>
      <c r="G43" s="1" t="s">
        <v>8</v>
      </c>
      <c r="H43" s="5">
        <f>IF(IF(Table44243140[[#This Row],[Pre or Post]]="Pre",1,0)+IF(ISNUMBER(Table44243140[[#This Row],[Response]])=TRUE,1,0)=2,1,"")</f>
        <v>1</v>
      </c>
      <c r="I43" s="5" t="str">
        <f>IF(IF(Table44243140[[#This Row],[Pre or Post]]="Post",1,0)+IF(ISNUMBER(Table44243140[[#This Row],[Response]])=TRUE,1,0)=2,1,"")</f>
        <v/>
      </c>
      <c r="J43" s="5">
        <f>IF(IF(Table44243140[[#This Row],[Pre or Post]]="Pre",1,0)+IF(ISNUMBER(Table44243140[[#This Row],[Response]])=TRUE,1,0)=2,Table44243140[[#This Row],[Response]],"")</f>
        <v>3</v>
      </c>
      <c r="K43" s="5" t="str">
        <f>IF(IF(Table44243140[[#This Row],[Pre or Post]]="Post",1,0)+IF(ISNUMBER(Table44243140[[#This Row],[Response]])=TRUE,1,0)=2,Table44243140[[#This Row],[Response]],"")</f>
        <v/>
      </c>
      <c r="L43" s="5">
        <f>IF(IF(ISNUMBER(J43),1,0)+IF(ISNUMBER(K44),1,0)=2,IF(IF(C44=C43,1,0)+IF(B44=B43,1,0)+IF(D44="Post",1,0)+IF(D43="Pre",1,0)=4,Table44243140[[#This Row],[Pre Total]],""),"")</f>
        <v>3</v>
      </c>
      <c r="M43" s="5" t="str">
        <f>IF(IF(ISNUMBER(J42),1,0)+IF(ISNUMBER(Table44243140[[#This Row],[Post Total]]),1,0)=2,IF(IF(Table44243140[[#This Row],[Student Number]]=C42,1,0)+IF(Table44243140[[#This Row],[Session]]=B42,1,0)+IF(Table44243140[[#This Row],[Pre or Post]]="Post",1,0)+IF(D42="Pre",1,0)=4,Table44243140[[#This Row],[Post Total]],""),"")</f>
        <v/>
      </c>
      <c r="N43" s="5" t="str">
        <f>IF(IF(ISNUMBER(J42),1,0)+IF(ISNUMBER(Table44243140[[#This Row],[Post Total]]),1,0)=2,IF(IF(Table44243140[[#This Row],[Student Number]]=C42,1,0)+IF(Table44243140[[#This Row],[Session]]=B42,1,0)+IF(Table44243140[[#This Row],[Pre or Post]]="Post",1,0)+IF(D42="Pre",1,0)=4,Table44243140[[#This Row],[Post Total]]-J42,""),"")</f>
        <v/>
      </c>
      <c r="O43" s="5" t="b">
        <f>ISNUMBER(Table44243140[[#This Row],[Change]])</f>
        <v>0</v>
      </c>
    </row>
    <row r="44" spans="1:15">
      <c r="A44" s="1" t="s">
        <v>24</v>
      </c>
      <c r="B44" s="1" t="s">
        <v>23</v>
      </c>
      <c r="C44" s="1">
        <v>12</v>
      </c>
      <c r="D44" s="1" t="s">
        <v>16</v>
      </c>
      <c r="E44" s="1">
        <v>4</v>
      </c>
      <c r="F44" s="1">
        <v>5</v>
      </c>
      <c r="G44" s="1" t="s">
        <v>8</v>
      </c>
      <c r="H44" s="6" t="str">
        <f>IF(IF(Table44243140[[#This Row],[Pre or Post]]="Pre",1,0)+IF(ISNUMBER(Table44243140[[#This Row],[Response]])=TRUE,1,0)=2,1,"")</f>
        <v/>
      </c>
      <c r="I44" s="6">
        <f>IF(IF(Table44243140[[#This Row],[Pre or Post]]="Post",1,0)+IF(ISNUMBER(Table44243140[[#This Row],[Response]])=TRUE,1,0)=2,1,"")</f>
        <v>1</v>
      </c>
      <c r="J44" s="6" t="str">
        <f>IF(IF(Table44243140[[#This Row],[Pre or Post]]="Pre",1,0)+IF(ISNUMBER(Table44243140[[#This Row],[Response]])=TRUE,1,0)=2,Table44243140[[#This Row],[Response]],"")</f>
        <v/>
      </c>
      <c r="K44" s="6">
        <f>IF(IF(Table44243140[[#This Row],[Pre or Post]]="Post",1,0)+IF(ISNUMBER(Table44243140[[#This Row],[Response]])=TRUE,1,0)=2,Table44243140[[#This Row],[Response]],"")</f>
        <v>5</v>
      </c>
      <c r="L44" s="6" t="str">
        <f>IF(IF(ISNUMBER(J44),1,0)+IF(ISNUMBER(K45),1,0)=2,IF(IF(C45=C44,1,0)+IF(B45=B44,1,0)+IF(D45="Post",1,0)+IF(D44="Pre",1,0)=4,Table44243140[[#This Row],[Pre Total]],""),"")</f>
        <v/>
      </c>
      <c r="M44" s="6">
        <f>IF(IF(ISNUMBER(J43),1,0)+IF(ISNUMBER(Table44243140[[#This Row],[Post Total]]),1,0)=2,IF(IF(Table44243140[[#This Row],[Student Number]]=C43,1,0)+IF(Table44243140[[#This Row],[Session]]=B43,1,0)+IF(Table44243140[[#This Row],[Pre or Post]]="Post",1,0)+IF(D43="Pre",1,0)=4,Table44243140[[#This Row],[Post Total]],""),"")</f>
        <v>5</v>
      </c>
      <c r="N44" s="6">
        <f>IF(IF(ISNUMBER(J43),1,0)+IF(ISNUMBER(Table44243140[[#This Row],[Post Total]]),1,0)=2,IF(IF(Table44243140[[#This Row],[Student Number]]=C43,1,0)+IF(Table44243140[[#This Row],[Session]]=B43,1,0)+IF(Table44243140[[#This Row],[Pre or Post]]="Post",1,0)+IF(D43="Pre",1,0)=4,Table44243140[[#This Row],[Post Total]]-J43,""),"")</f>
        <v>2</v>
      </c>
      <c r="O44" s="6" t="b">
        <f>ISNUMBER(Table44243140[[#This Row],[Change]])</f>
        <v>1</v>
      </c>
    </row>
    <row r="45" spans="1:15">
      <c r="A45" s="1" t="s">
        <v>24</v>
      </c>
      <c r="B45" s="1" t="s">
        <v>23</v>
      </c>
      <c r="C45" s="1">
        <v>13</v>
      </c>
      <c r="D45" s="1" t="s">
        <v>6</v>
      </c>
      <c r="E45" s="1">
        <v>11</v>
      </c>
      <c r="F45" s="1">
        <v>4</v>
      </c>
      <c r="G45" s="1" t="s">
        <v>8</v>
      </c>
      <c r="H45" s="5">
        <f>IF(IF(Table44243140[[#This Row],[Pre or Post]]="Pre",1,0)+IF(ISNUMBER(Table44243140[[#This Row],[Response]])=TRUE,1,0)=2,1,"")</f>
        <v>1</v>
      </c>
      <c r="I45" s="5" t="str">
        <f>IF(IF(Table44243140[[#This Row],[Pre or Post]]="Post",1,0)+IF(ISNUMBER(Table44243140[[#This Row],[Response]])=TRUE,1,0)=2,1,"")</f>
        <v/>
      </c>
      <c r="J45" s="5">
        <f>IF(IF(Table44243140[[#This Row],[Pre or Post]]="Pre",1,0)+IF(ISNUMBER(Table44243140[[#This Row],[Response]])=TRUE,1,0)=2,Table44243140[[#This Row],[Response]],"")</f>
        <v>4</v>
      </c>
      <c r="K45" s="5" t="str">
        <f>IF(IF(Table44243140[[#This Row],[Pre or Post]]="Post",1,0)+IF(ISNUMBER(Table44243140[[#This Row],[Response]])=TRUE,1,0)=2,Table44243140[[#This Row],[Response]],"")</f>
        <v/>
      </c>
      <c r="L45" s="5">
        <f>IF(IF(ISNUMBER(J45),1,0)+IF(ISNUMBER(K46),1,0)=2,IF(IF(C46=C45,1,0)+IF(B46=B45,1,0)+IF(D46="Post",1,0)+IF(D45="Pre",1,0)=4,Table44243140[[#This Row],[Pre Total]],""),"")</f>
        <v>4</v>
      </c>
      <c r="M45" s="5" t="str">
        <f>IF(IF(ISNUMBER(J44),1,0)+IF(ISNUMBER(Table44243140[[#This Row],[Post Total]]),1,0)=2,IF(IF(Table44243140[[#This Row],[Student Number]]=C44,1,0)+IF(Table44243140[[#This Row],[Session]]=B44,1,0)+IF(Table44243140[[#This Row],[Pre or Post]]="Post",1,0)+IF(D44="Pre",1,0)=4,Table44243140[[#This Row],[Post Total]],""),"")</f>
        <v/>
      </c>
      <c r="N45" s="5" t="str">
        <f>IF(IF(ISNUMBER(J44),1,0)+IF(ISNUMBER(Table44243140[[#This Row],[Post Total]]),1,0)=2,IF(IF(Table44243140[[#This Row],[Student Number]]=C44,1,0)+IF(Table44243140[[#This Row],[Session]]=B44,1,0)+IF(Table44243140[[#This Row],[Pre or Post]]="Post",1,0)+IF(D44="Pre",1,0)=4,Table44243140[[#This Row],[Post Total]]-J44,""),"")</f>
        <v/>
      </c>
      <c r="O45" s="5" t="b">
        <f>ISNUMBER(Table44243140[[#This Row],[Change]])</f>
        <v>0</v>
      </c>
    </row>
    <row r="46" spans="1:15">
      <c r="A46" s="1" t="s">
        <v>24</v>
      </c>
      <c r="B46" s="1" t="s">
        <v>23</v>
      </c>
      <c r="C46" s="1">
        <v>13</v>
      </c>
      <c r="D46" s="1" t="s">
        <v>16</v>
      </c>
      <c r="E46" s="1">
        <v>4</v>
      </c>
      <c r="F46" s="1">
        <v>4</v>
      </c>
      <c r="G46" s="1" t="s">
        <v>8</v>
      </c>
      <c r="H46" s="5" t="str">
        <f>IF(IF(Table44243140[[#This Row],[Pre or Post]]="Pre",1,0)+IF(ISNUMBER(Table44243140[[#This Row],[Response]])=TRUE,1,0)=2,1,"")</f>
        <v/>
      </c>
      <c r="I46" s="5">
        <f>IF(IF(Table44243140[[#This Row],[Pre or Post]]="Post",1,0)+IF(ISNUMBER(Table44243140[[#This Row],[Response]])=TRUE,1,0)=2,1,"")</f>
        <v>1</v>
      </c>
      <c r="J46" s="5" t="str">
        <f>IF(IF(Table44243140[[#This Row],[Pre or Post]]="Pre",1,0)+IF(ISNUMBER(Table44243140[[#This Row],[Response]])=TRUE,1,0)=2,Table44243140[[#This Row],[Response]],"")</f>
        <v/>
      </c>
      <c r="K46" s="5">
        <f>IF(IF(Table44243140[[#This Row],[Pre or Post]]="Post",1,0)+IF(ISNUMBER(Table44243140[[#This Row],[Response]])=TRUE,1,0)=2,Table44243140[[#This Row],[Response]],"")</f>
        <v>4</v>
      </c>
      <c r="L46" s="5" t="str">
        <f>IF(IF(ISNUMBER(J46),1,0)+IF(ISNUMBER(K47),1,0)=2,IF(IF(C47=C46,1,0)+IF(B47=B46,1,0)+IF(D47="Post",1,0)+IF(D46="Pre",1,0)=4,Table44243140[[#This Row],[Pre Total]],""),"")</f>
        <v/>
      </c>
      <c r="M46" s="5">
        <f>IF(IF(ISNUMBER(J45),1,0)+IF(ISNUMBER(Table44243140[[#This Row],[Post Total]]),1,0)=2,IF(IF(Table44243140[[#This Row],[Student Number]]=C45,1,0)+IF(Table44243140[[#This Row],[Session]]=B45,1,0)+IF(Table44243140[[#This Row],[Pre or Post]]="Post",1,0)+IF(D45="Pre",1,0)=4,Table44243140[[#This Row],[Post Total]],""),"")</f>
        <v>4</v>
      </c>
      <c r="N46" s="5">
        <f>IF(IF(ISNUMBER(J45),1,0)+IF(ISNUMBER(Table44243140[[#This Row],[Post Total]]),1,0)=2,IF(IF(Table44243140[[#This Row],[Student Number]]=C45,1,0)+IF(Table44243140[[#This Row],[Session]]=B45,1,0)+IF(Table44243140[[#This Row],[Pre or Post]]="Post",1,0)+IF(D45="Pre",1,0)=4,Table44243140[[#This Row],[Post Total]]-J45,""),"")</f>
        <v>0</v>
      </c>
      <c r="O46" s="5" t="b">
        <f>ISNUMBER(Table44243140[[#This Row],[Change]])</f>
        <v>1</v>
      </c>
    </row>
    <row r="47" spans="1:15">
      <c r="A47" s="1" t="s">
        <v>24</v>
      </c>
      <c r="B47" s="1" t="s">
        <v>23</v>
      </c>
      <c r="C47" s="1">
        <v>14</v>
      </c>
      <c r="D47" s="1" t="s">
        <v>6</v>
      </c>
      <c r="E47" s="1">
        <v>11</v>
      </c>
      <c r="F47" s="1">
        <v>1</v>
      </c>
      <c r="G47" s="1" t="s">
        <v>8</v>
      </c>
      <c r="H47" s="5">
        <f>IF(IF(Table44243140[[#This Row],[Pre or Post]]="Pre",1,0)+IF(ISNUMBER(Table44243140[[#This Row],[Response]])=TRUE,1,0)=2,1,"")</f>
        <v>1</v>
      </c>
      <c r="I47" s="5" t="str">
        <f>IF(IF(Table44243140[[#This Row],[Pre or Post]]="Post",1,0)+IF(ISNUMBER(Table44243140[[#This Row],[Response]])=TRUE,1,0)=2,1,"")</f>
        <v/>
      </c>
      <c r="J47" s="5">
        <f>IF(IF(Table44243140[[#This Row],[Pre or Post]]="Pre",1,0)+IF(ISNUMBER(Table44243140[[#This Row],[Response]])=TRUE,1,0)=2,Table44243140[[#This Row],[Response]],"")</f>
        <v>1</v>
      </c>
      <c r="K47" s="5" t="str">
        <f>IF(IF(Table44243140[[#This Row],[Pre or Post]]="Post",1,0)+IF(ISNUMBER(Table44243140[[#This Row],[Response]])=TRUE,1,0)=2,Table44243140[[#This Row],[Response]],"")</f>
        <v/>
      </c>
      <c r="L47" s="5">
        <f>IF(IF(ISNUMBER(J47),1,0)+IF(ISNUMBER(K48),1,0)=2,IF(IF(C48=C47,1,0)+IF(B48=B47,1,0)+IF(D48="Post",1,0)+IF(D47="Pre",1,0)=4,Table44243140[[#This Row],[Pre Total]],""),"")</f>
        <v>1</v>
      </c>
      <c r="M47" s="5" t="str">
        <f>IF(IF(ISNUMBER(J46),1,0)+IF(ISNUMBER(Table44243140[[#This Row],[Post Total]]),1,0)=2,IF(IF(Table44243140[[#This Row],[Student Number]]=C46,1,0)+IF(Table44243140[[#This Row],[Session]]=B46,1,0)+IF(Table44243140[[#This Row],[Pre or Post]]="Post",1,0)+IF(D46="Pre",1,0)=4,Table44243140[[#This Row],[Post Total]],""),"")</f>
        <v/>
      </c>
      <c r="N47" s="5" t="str">
        <f>IF(IF(ISNUMBER(J46),1,0)+IF(ISNUMBER(Table44243140[[#This Row],[Post Total]]),1,0)=2,IF(IF(Table44243140[[#This Row],[Student Number]]=C46,1,0)+IF(Table44243140[[#This Row],[Session]]=B46,1,0)+IF(Table44243140[[#This Row],[Pre or Post]]="Post",1,0)+IF(D46="Pre",1,0)=4,Table44243140[[#This Row],[Post Total]]-J46,""),"")</f>
        <v/>
      </c>
      <c r="O47" s="5" t="b">
        <f>ISNUMBER(Table44243140[[#This Row],[Change]])</f>
        <v>0</v>
      </c>
    </row>
    <row r="48" spans="1:15">
      <c r="A48" s="1" t="s">
        <v>24</v>
      </c>
      <c r="B48" s="1" t="s">
        <v>23</v>
      </c>
      <c r="C48" s="1">
        <v>14</v>
      </c>
      <c r="D48" s="1" t="s">
        <v>16</v>
      </c>
      <c r="E48" s="1">
        <v>4</v>
      </c>
      <c r="F48" s="1">
        <v>3</v>
      </c>
      <c r="G48" s="1" t="s">
        <v>8</v>
      </c>
      <c r="H48" s="5" t="str">
        <f>IF(IF(Table44243140[[#This Row],[Pre or Post]]="Pre",1,0)+IF(ISNUMBER(Table44243140[[#This Row],[Response]])=TRUE,1,0)=2,1,"")</f>
        <v/>
      </c>
      <c r="I48" s="5">
        <f>IF(IF(Table44243140[[#This Row],[Pre or Post]]="Post",1,0)+IF(ISNUMBER(Table44243140[[#This Row],[Response]])=TRUE,1,0)=2,1,"")</f>
        <v>1</v>
      </c>
      <c r="J48" s="5" t="str">
        <f>IF(IF(Table44243140[[#This Row],[Pre or Post]]="Pre",1,0)+IF(ISNUMBER(Table44243140[[#This Row],[Response]])=TRUE,1,0)=2,Table44243140[[#This Row],[Response]],"")</f>
        <v/>
      </c>
      <c r="K48" s="5">
        <f>IF(IF(Table44243140[[#This Row],[Pre or Post]]="Post",1,0)+IF(ISNUMBER(Table44243140[[#This Row],[Response]])=TRUE,1,0)=2,Table44243140[[#This Row],[Response]],"")</f>
        <v>3</v>
      </c>
      <c r="L48" s="5" t="str">
        <f>IF(IF(ISNUMBER(J48),1,0)+IF(ISNUMBER(K49),1,0)=2,IF(IF(C49=C48,1,0)+IF(B49=B48,1,0)+IF(D49="Post",1,0)+IF(D48="Pre",1,0)=4,Table44243140[[#This Row],[Pre Total]],""),"")</f>
        <v/>
      </c>
      <c r="M48" s="5">
        <f>IF(IF(ISNUMBER(J47),1,0)+IF(ISNUMBER(Table44243140[[#This Row],[Post Total]]),1,0)=2,IF(IF(Table44243140[[#This Row],[Student Number]]=C47,1,0)+IF(Table44243140[[#This Row],[Session]]=B47,1,0)+IF(Table44243140[[#This Row],[Pre or Post]]="Post",1,0)+IF(D47="Pre",1,0)=4,Table44243140[[#This Row],[Post Total]],""),"")</f>
        <v>3</v>
      </c>
      <c r="N48" s="5">
        <f>IF(IF(ISNUMBER(J47),1,0)+IF(ISNUMBER(Table44243140[[#This Row],[Post Total]]),1,0)=2,IF(IF(Table44243140[[#This Row],[Student Number]]=C47,1,0)+IF(Table44243140[[#This Row],[Session]]=B47,1,0)+IF(Table44243140[[#This Row],[Pre or Post]]="Post",1,0)+IF(D47="Pre",1,0)=4,Table44243140[[#This Row],[Post Total]]-J47,""),"")</f>
        <v>2</v>
      </c>
      <c r="O48" s="5" t="b">
        <f>ISNUMBER(Table44243140[[#This Row],[Change]])</f>
        <v>1</v>
      </c>
    </row>
    <row r="49" spans="1:15">
      <c r="A49" s="1" t="s">
        <v>24</v>
      </c>
      <c r="B49" s="1" t="s">
        <v>23</v>
      </c>
      <c r="C49" s="1">
        <v>15</v>
      </c>
      <c r="D49" s="1" t="s">
        <v>6</v>
      </c>
      <c r="E49" s="1">
        <v>11</v>
      </c>
      <c r="F49" s="1">
        <v>1</v>
      </c>
      <c r="G49" s="1" t="s">
        <v>8</v>
      </c>
      <c r="H49" s="5">
        <f>IF(IF(Table44243140[[#This Row],[Pre or Post]]="Pre",1,0)+IF(ISNUMBER(Table44243140[[#This Row],[Response]])=TRUE,1,0)=2,1,"")</f>
        <v>1</v>
      </c>
      <c r="I49" s="5" t="str">
        <f>IF(IF(Table44243140[[#This Row],[Pre or Post]]="Post",1,0)+IF(ISNUMBER(Table44243140[[#This Row],[Response]])=TRUE,1,0)=2,1,"")</f>
        <v/>
      </c>
      <c r="J49" s="5">
        <f>IF(IF(Table44243140[[#This Row],[Pre or Post]]="Pre",1,0)+IF(ISNUMBER(Table44243140[[#This Row],[Response]])=TRUE,1,0)=2,Table44243140[[#This Row],[Response]],"")</f>
        <v>1</v>
      </c>
      <c r="K49" s="5" t="str">
        <f>IF(IF(Table44243140[[#This Row],[Pre or Post]]="Post",1,0)+IF(ISNUMBER(Table44243140[[#This Row],[Response]])=TRUE,1,0)=2,Table44243140[[#This Row],[Response]],"")</f>
        <v/>
      </c>
      <c r="L49" s="5">
        <f>IF(IF(ISNUMBER(J49),1,0)+IF(ISNUMBER(K50),1,0)=2,IF(IF(C50=C49,1,0)+IF(B50=B49,1,0)+IF(D50="Post",1,0)+IF(D49="Pre",1,0)=4,Table44243140[[#This Row],[Pre Total]],""),"")</f>
        <v>1</v>
      </c>
      <c r="M49" s="5" t="str">
        <f>IF(IF(ISNUMBER(J48),1,0)+IF(ISNUMBER(Table44243140[[#This Row],[Post Total]]),1,0)=2,IF(IF(Table44243140[[#This Row],[Student Number]]=C48,1,0)+IF(Table44243140[[#This Row],[Session]]=B48,1,0)+IF(Table44243140[[#This Row],[Pre or Post]]="Post",1,0)+IF(D48="Pre",1,0)=4,Table44243140[[#This Row],[Post Total]],""),"")</f>
        <v/>
      </c>
      <c r="N49" s="5" t="str">
        <f>IF(IF(ISNUMBER(J48),1,0)+IF(ISNUMBER(Table44243140[[#This Row],[Post Total]]),1,0)=2,IF(IF(Table44243140[[#This Row],[Student Number]]=C48,1,0)+IF(Table44243140[[#This Row],[Session]]=B48,1,0)+IF(Table44243140[[#This Row],[Pre or Post]]="Post",1,0)+IF(D48="Pre",1,0)=4,Table44243140[[#This Row],[Post Total]]-J48,""),"")</f>
        <v/>
      </c>
      <c r="O49" s="5" t="b">
        <f>ISNUMBER(Table44243140[[#This Row],[Change]])</f>
        <v>0</v>
      </c>
    </row>
    <row r="50" spans="1:15">
      <c r="A50" s="1" t="s">
        <v>24</v>
      </c>
      <c r="B50" s="1" t="s">
        <v>23</v>
      </c>
      <c r="C50" s="1">
        <v>15</v>
      </c>
      <c r="D50" s="1" t="s">
        <v>16</v>
      </c>
      <c r="E50" s="1">
        <v>4</v>
      </c>
      <c r="F50" s="1">
        <v>5</v>
      </c>
      <c r="G50" s="1" t="s">
        <v>8</v>
      </c>
      <c r="H50" s="5" t="str">
        <f>IF(IF(Table44243140[[#This Row],[Pre or Post]]="Pre",1,0)+IF(ISNUMBER(Table44243140[[#This Row],[Response]])=TRUE,1,0)=2,1,"")</f>
        <v/>
      </c>
      <c r="I50" s="5">
        <f>IF(IF(Table44243140[[#This Row],[Pre or Post]]="Post",1,0)+IF(ISNUMBER(Table44243140[[#This Row],[Response]])=TRUE,1,0)=2,1,"")</f>
        <v>1</v>
      </c>
      <c r="J50" s="5" t="str">
        <f>IF(IF(Table44243140[[#This Row],[Pre or Post]]="Pre",1,0)+IF(ISNUMBER(Table44243140[[#This Row],[Response]])=TRUE,1,0)=2,Table44243140[[#This Row],[Response]],"")</f>
        <v/>
      </c>
      <c r="K50" s="5">
        <f>IF(IF(Table44243140[[#This Row],[Pre or Post]]="Post",1,0)+IF(ISNUMBER(Table44243140[[#This Row],[Response]])=TRUE,1,0)=2,Table44243140[[#This Row],[Response]],"")</f>
        <v>5</v>
      </c>
      <c r="L50" s="5" t="str">
        <f>IF(IF(ISNUMBER(J50),1,0)+IF(ISNUMBER(K51),1,0)=2,IF(IF(C51=C50,1,0)+IF(B51=B50,1,0)+IF(D51="Post",1,0)+IF(D50="Pre",1,0)=4,Table44243140[[#This Row],[Pre Total]],""),"")</f>
        <v/>
      </c>
      <c r="M50" s="5">
        <f>IF(IF(ISNUMBER(J49),1,0)+IF(ISNUMBER(Table44243140[[#This Row],[Post Total]]),1,0)=2,IF(IF(Table44243140[[#This Row],[Student Number]]=C49,1,0)+IF(Table44243140[[#This Row],[Session]]=B49,1,0)+IF(Table44243140[[#This Row],[Pre or Post]]="Post",1,0)+IF(D49="Pre",1,0)=4,Table44243140[[#This Row],[Post Total]],""),"")</f>
        <v>5</v>
      </c>
      <c r="N50" s="5">
        <f>IF(IF(ISNUMBER(J49),1,0)+IF(ISNUMBER(Table44243140[[#This Row],[Post Total]]),1,0)=2,IF(IF(Table44243140[[#This Row],[Student Number]]=C49,1,0)+IF(Table44243140[[#This Row],[Session]]=B49,1,0)+IF(Table44243140[[#This Row],[Pre or Post]]="Post",1,0)+IF(D49="Pre",1,0)=4,Table44243140[[#This Row],[Post Total]]-J49,""),"")</f>
        <v>4</v>
      </c>
      <c r="O50" s="5" t="b">
        <f>ISNUMBER(Table44243140[[#This Row],[Change]])</f>
        <v>1</v>
      </c>
    </row>
    <row r="51" spans="1:15">
      <c r="A51" s="1" t="s">
        <v>24</v>
      </c>
      <c r="B51" s="1" t="s">
        <v>23</v>
      </c>
      <c r="C51" s="1">
        <v>16</v>
      </c>
      <c r="D51" s="1" t="s">
        <v>6</v>
      </c>
      <c r="E51" s="2">
        <v>11</v>
      </c>
      <c r="F51" s="2">
        <v>2</v>
      </c>
      <c r="G51" s="1" t="s">
        <v>8</v>
      </c>
      <c r="H51" s="5">
        <f>IF(IF(Table44243140[[#This Row],[Pre or Post]]="Pre",1,0)+IF(ISNUMBER(Table44243140[[#This Row],[Response]])=TRUE,1,0)=2,1,"")</f>
        <v>1</v>
      </c>
      <c r="I51" s="5" t="str">
        <f>IF(IF(Table44243140[[#This Row],[Pre or Post]]="Post",1,0)+IF(ISNUMBER(Table44243140[[#This Row],[Response]])=TRUE,1,0)=2,1,"")</f>
        <v/>
      </c>
      <c r="J51" s="5">
        <f>IF(IF(Table44243140[[#This Row],[Pre or Post]]="Pre",1,0)+IF(ISNUMBER(Table44243140[[#This Row],[Response]])=TRUE,1,0)=2,Table44243140[[#This Row],[Response]],"")</f>
        <v>2</v>
      </c>
      <c r="K51" s="5" t="str">
        <f>IF(IF(Table44243140[[#This Row],[Pre or Post]]="Post",1,0)+IF(ISNUMBER(Table44243140[[#This Row],[Response]])=TRUE,1,0)=2,Table44243140[[#This Row],[Response]],"")</f>
        <v/>
      </c>
      <c r="L51" s="5">
        <f>IF(IF(ISNUMBER(J51),1,0)+IF(ISNUMBER(K52),1,0)=2,IF(IF(C52=C51,1,0)+IF(B52=B51,1,0)+IF(D52="Post",1,0)+IF(D51="Pre",1,0)=4,Table44243140[[#This Row],[Pre Total]],""),"")</f>
        <v>2</v>
      </c>
      <c r="M51" s="5" t="str">
        <f>IF(IF(ISNUMBER(J50),1,0)+IF(ISNUMBER(Table44243140[[#This Row],[Post Total]]),1,0)=2,IF(IF(Table44243140[[#This Row],[Student Number]]=C50,1,0)+IF(Table44243140[[#This Row],[Session]]=B50,1,0)+IF(Table44243140[[#This Row],[Pre or Post]]="Post",1,0)+IF(D50="Pre",1,0)=4,Table44243140[[#This Row],[Post Total]],""),"")</f>
        <v/>
      </c>
      <c r="N51" s="5" t="str">
        <f>IF(IF(ISNUMBER(J50),1,0)+IF(ISNUMBER(Table44243140[[#This Row],[Post Total]]),1,0)=2,IF(IF(Table44243140[[#This Row],[Student Number]]=C50,1,0)+IF(Table44243140[[#This Row],[Session]]=B50,1,0)+IF(Table44243140[[#This Row],[Pre or Post]]="Post",1,0)+IF(D50="Pre",1,0)=4,Table44243140[[#This Row],[Post Total]]-J50,""),"")</f>
        <v/>
      </c>
      <c r="O51" s="5" t="b">
        <f>ISNUMBER(Table44243140[[#This Row],[Change]])</f>
        <v>0</v>
      </c>
    </row>
    <row r="52" spans="1:15">
      <c r="A52" s="1" t="s">
        <v>24</v>
      </c>
      <c r="B52" s="1" t="s">
        <v>23</v>
      </c>
      <c r="C52" s="1">
        <v>16</v>
      </c>
      <c r="D52" s="1" t="s">
        <v>16</v>
      </c>
      <c r="E52" s="1">
        <v>4</v>
      </c>
      <c r="F52" s="1">
        <v>3</v>
      </c>
      <c r="G52" s="1" t="s">
        <v>8</v>
      </c>
      <c r="H52" s="6" t="str">
        <f>IF(IF(Table44243140[[#This Row],[Pre or Post]]="Pre",1,0)+IF(ISNUMBER(Table44243140[[#This Row],[Response]])=TRUE,1,0)=2,1,"")</f>
        <v/>
      </c>
      <c r="I52" s="6">
        <f>IF(IF(Table44243140[[#This Row],[Pre or Post]]="Post",1,0)+IF(ISNUMBER(Table44243140[[#This Row],[Response]])=TRUE,1,0)=2,1,"")</f>
        <v>1</v>
      </c>
      <c r="J52" s="6" t="str">
        <f>IF(IF(Table44243140[[#This Row],[Pre or Post]]="Pre",1,0)+IF(ISNUMBER(Table44243140[[#This Row],[Response]])=TRUE,1,0)=2,Table44243140[[#This Row],[Response]],"")</f>
        <v/>
      </c>
      <c r="K52" s="6">
        <f>IF(IF(Table44243140[[#This Row],[Pre or Post]]="Post",1,0)+IF(ISNUMBER(Table44243140[[#This Row],[Response]])=TRUE,1,0)=2,Table44243140[[#This Row],[Response]],"")</f>
        <v>3</v>
      </c>
      <c r="L52" s="6" t="str">
        <f>IF(IF(ISNUMBER(J52),1,0)+IF(ISNUMBER(K53),1,0)=2,IF(IF(C53=C52,1,0)+IF(B53=B52,1,0)+IF(D53="Post",1,0)+IF(D52="Pre",1,0)=4,Table44243140[[#This Row],[Pre Total]],""),"")</f>
        <v/>
      </c>
      <c r="M52" s="6">
        <f>IF(IF(ISNUMBER(J51),1,0)+IF(ISNUMBER(Table44243140[[#This Row],[Post Total]]),1,0)=2,IF(IF(Table44243140[[#This Row],[Student Number]]=C51,1,0)+IF(Table44243140[[#This Row],[Session]]=B51,1,0)+IF(Table44243140[[#This Row],[Pre or Post]]="Post",1,0)+IF(D51="Pre",1,0)=4,Table44243140[[#This Row],[Post Total]],""),"")</f>
        <v>3</v>
      </c>
      <c r="N52" s="6">
        <f>IF(IF(ISNUMBER(J51),1,0)+IF(ISNUMBER(Table44243140[[#This Row],[Post Total]]),1,0)=2,IF(IF(Table44243140[[#This Row],[Student Number]]=C51,1,0)+IF(Table44243140[[#This Row],[Session]]=B51,1,0)+IF(Table44243140[[#This Row],[Pre or Post]]="Post",1,0)+IF(D51="Pre",1,0)=4,Table44243140[[#This Row],[Post Total]]-J51,""),"")</f>
        <v>1</v>
      </c>
      <c r="O52" s="6" t="b">
        <f>ISNUMBER(Table44243140[[#This Row],[Change]])</f>
        <v>1</v>
      </c>
    </row>
    <row r="53" spans="1:15">
      <c r="A53" s="1" t="s">
        <v>24</v>
      </c>
      <c r="B53" s="1" t="s">
        <v>25</v>
      </c>
      <c r="C53" s="1">
        <v>1</v>
      </c>
      <c r="D53" s="1" t="s">
        <v>6</v>
      </c>
      <c r="E53" s="1">
        <v>11</v>
      </c>
      <c r="F53" s="1">
        <v>2</v>
      </c>
      <c r="G53" s="1" t="s">
        <v>8</v>
      </c>
      <c r="H53" s="5">
        <f>IF(IF(Table44243140[[#This Row],[Pre or Post]]="Pre",1,0)+IF(ISNUMBER(Table44243140[[#This Row],[Response]])=TRUE,1,0)=2,1,"")</f>
        <v>1</v>
      </c>
      <c r="I53" s="5" t="str">
        <f>IF(IF(Table44243140[[#This Row],[Pre or Post]]="Post",1,0)+IF(ISNUMBER(Table44243140[[#This Row],[Response]])=TRUE,1,0)=2,1,"")</f>
        <v/>
      </c>
      <c r="J53" s="5">
        <f>IF(IF(Table44243140[[#This Row],[Pre or Post]]="Pre",1,0)+IF(ISNUMBER(Table44243140[[#This Row],[Response]])=TRUE,1,0)=2,Table44243140[[#This Row],[Response]],"")</f>
        <v>2</v>
      </c>
      <c r="K53" s="5" t="str">
        <f>IF(IF(Table44243140[[#This Row],[Pre or Post]]="Post",1,0)+IF(ISNUMBER(Table44243140[[#This Row],[Response]])=TRUE,1,0)=2,Table44243140[[#This Row],[Response]],"")</f>
        <v/>
      </c>
      <c r="L53" s="5">
        <f>IF(IF(ISNUMBER(J53),1,0)+IF(ISNUMBER(K54),1,0)=2,IF(IF(C54=C53,1,0)+IF(B54=B53,1,0)+IF(D54="Post",1,0)+IF(D53="Pre",1,0)=4,Table44243140[[#This Row],[Pre Total]],""),"")</f>
        <v>2</v>
      </c>
      <c r="M53" s="5" t="str">
        <f>IF(IF(ISNUMBER(J52),1,0)+IF(ISNUMBER(Table44243140[[#This Row],[Post Total]]),1,0)=2,IF(IF(Table44243140[[#This Row],[Student Number]]=C52,1,0)+IF(Table44243140[[#This Row],[Session]]=B52,1,0)+IF(Table44243140[[#This Row],[Pre or Post]]="Post",1,0)+IF(D52="Pre",1,0)=4,Table44243140[[#This Row],[Post Total]],""),"")</f>
        <v/>
      </c>
      <c r="N53" s="5" t="str">
        <f>IF(IF(ISNUMBER(J52),1,0)+IF(ISNUMBER(Table44243140[[#This Row],[Post Total]]),1,0)=2,IF(IF(Table44243140[[#This Row],[Student Number]]=C52,1,0)+IF(Table44243140[[#This Row],[Session]]=B52,1,0)+IF(Table44243140[[#This Row],[Pre or Post]]="Post",1,0)+IF(D52="Pre",1,0)=4,Table44243140[[#This Row],[Post Total]]-J52,""),"")</f>
        <v/>
      </c>
      <c r="O53" s="5" t="b">
        <f>ISNUMBER(Table44243140[[#This Row],[Change]])</f>
        <v>0</v>
      </c>
    </row>
    <row r="54" spans="1:15">
      <c r="A54" s="1" t="s">
        <v>24</v>
      </c>
      <c r="B54" s="1" t="s">
        <v>25</v>
      </c>
      <c r="C54" s="1">
        <v>1</v>
      </c>
      <c r="D54" s="1" t="s">
        <v>16</v>
      </c>
      <c r="E54" s="1">
        <v>4</v>
      </c>
      <c r="F54" s="1">
        <v>3</v>
      </c>
      <c r="G54" s="2" t="s">
        <v>8</v>
      </c>
      <c r="H54" s="5" t="str">
        <f>IF(IF(Table44243140[[#This Row],[Pre or Post]]="Pre",1,0)+IF(ISNUMBER(Table44243140[[#This Row],[Response]])=TRUE,1,0)=2,1,"")</f>
        <v/>
      </c>
      <c r="I54" s="5">
        <f>IF(IF(Table44243140[[#This Row],[Pre or Post]]="Post",1,0)+IF(ISNUMBER(Table44243140[[#This Row],[Response]])=TRUE,1,0)=2,1,"")</f>
        <v>1</v>
      </c>
      <c r="J54" s="5"/>
      <c r="K54" s="5">
        <f>IF(IF(Table44243140[[#This Row],[Pre or Post]]="Post",1,0)+IF(ISNUMBER(Table44243140[[#This Row],[Response]])=TRUE,1,0)=2,Table44243140[[#This Row],[Response]],"")</f>
        <v>3</v>
      </c>
      <c r="L54" s="5" t="str">
        <f>IF(IF(ISNUMBER(J54),1,0)+IF(ISNUMBER(K55),1,0)=2,IF(IF(C55=C54,1,0)+IF(B55=B54,1,0)+IF(D55="Post",1,0)+IF(D54="Pre",1,0)=4,Table44243140[[#This Row],[Pre Total]],""),"")</f>
        <v/>
      </c>
      <c r="M54" s="5">
        <f>IF(IF(ISNUMBER(J53),1,0)+IF(ISNUMBER(Table44243140[[#This Row],[Post Total]]),1,0)=2,IF(IF(Table44243140[[#This Row],[Student Number]]=C53,1,0)+IF(Table44243140[[#This Row],[Session]]=B53,1,0)+IF(Table44243140[[#This Row],[Pre or Post]]="Post",1,0)+IF(D53="Pre",1,0)=4,Table44243140[[#This Row],[Post Total]],""),"")</f>
        <v>3</v>
      </c>
      <c r="N54" s="5">
        <f>IF(IF(ISNUMBER(J53),1,0)+IF(ISNUMBER(Table44243140[[#This Row],[Post Total]]),1,0)=2,IF(IF(Table44243140[[#This Row],[Student Number]]=C53,1,0)+IF(Table44243140[[#This Row],[Session]]=B53,1,0)+IF(Table44243140[[#This Row],[Pre or Post]]="Post",1,0)+IF(D53="Pre",1,0)=4,Table44243140[[#This Row],[Post Total]]-J53,""),"")</f>
        <v>1</v>
      </c>
      <c r="O54" s="5" t="b">
        <f>ISNUMBER(Table44243140[[#This Row],[Change]])</f>
        <v>1</v>
      </c>
    </row>
    <row r="55" spans="1:15">
      <c r="A55" s="1" t="s">
        <v>24</v>
      </c>
      <c r="B55" s="1" t="s">
        <v>25</v>
      </c>
      <c r="C55" s="1">
        <v>2</v>
      </c>
      <c r="D55" s="1" t="s">
        <v>6</v>
      </c>
      <c r="E55" s="1">
        <v>11</v>
      </c>
      <c r="F55" s="1">
        <v>1</v>
      </c>
      <c r="G55" s="1" t="s">
        <v>8</v>
      </c>
      <c r="H55" s="5">
        <f>IF(IF(Table44243140[[#This Row],[Pre or Post]]="Pre",1,0)+IF(ISNUMBER(Table44243140[[#This Row],[Response]])=TRUE,1,0)=2,1,"")</f>
        <v>1</v>
      </c>
      <c r="I55" s="5" t="str">
        <f>IF(IF(Table44243140[[#This Row],[Pre or Post]]="Post",1,0)+IF(ISNUMBER(Table44243140[[#This Row],[Response]])=TRUE,1,0)=2,1,"")</f>
        <v/>
      </c>
      <c r="J55" s="5">
        <f>IF(IF(Table44243140[[#This Row],[Pre or Post]]="Pre",1,0)+IF(ISNUMBER(Table44243140[[#This Row],[Response]])=TRUE,1,0)=2,Table44243140[[#This Row],[Response]],"")</f>
        <v>1</v>
      </c>
      <c r="K55" s="5" t="str">
        <f>IF(IF(Table44243140[[#This Row],[Pre or Post]]="Post",1,0)+IF(ISNUMBER(Table44243140[[#This Row],[Response]])=TRUE,1,0)=2,Table44243140[[#This Row],[Response]],"")</f>
        <v/>
      </c>
      <c r="L55" s="5">
        <f>IF(IF(ISNUMBER(J55),1,0)+IF(ISNUMBER(K56),1,0)=2,IF(IF(C56=C55,1,0)+IF(B56=B55,1,0)+IF(D56="Post",1,0)+IF(D55="Pre",1,0)=4,Table44243140[[#This Row],[Pre Total]],""),"")</f>
        <v>1</v>
      </c>
      <c r="M55" s="5" t="str">
        <f>IF(IF(ISNUMBER(J54),1,0)+IF(ISNUMBER(Table44243140[[#This Row],[Post Total]]),1,0)=2,IF(IF(Table44243140[[#This Row],[Student Number]]=C54,1,0)+IF(Table44243140[[#This Row],[Session]]=B54,1,0)+IF(Table44243140[[#This Row],[Pre or Post]]="Post",1,0)+IF(D54="Pre",1,0)=4,Table44243140[[#This Row],[Post Total]],""),"")</f>
        <v/>
      </c>
      <c r="N55" s="5" t="str">
        <f>IF(IF(ISNUMBER(J54),1,0)+IF(ISNUMBER(Table44243140[[#This Row],[Post Total]]),1,0)=2,IF(IF(Table44243140[[#This Row],[Student Number]]=C54,1,0)+IF(Table44243140[[#This Row],[Session]]=B54,1,0)+IF(Table44243140[[#This Row],[Pre or Post]]="Post",1,0)+IF(D54="Pre",1,0)=4,Table44243140[[#This Row],[Post Total]]-J54,""),"")</f>
        <v/>
      </c>
      <c r="O55" s="5" t="b">
        <f>ISNUMBER(Table44243140[[#This Row],[Change]])</f>
        <v>0</v>
      </c>
    </row>
    <row r="56" spans="1:15">
      <c r="A56" s="1" t="s">
        <v>24</v>
      </c>
      <c r="B56" s="1" t="s">
        <v>25</v>
      </c>
      <c r="C56" s="1">
        <v>2</v>
      </c>
      <c r="D56" s="1" t="s">
        <v>16</v>
      </c>
      <c r="E56" s="1">
        <v>4</v>
      </c>
      <c r="F56" s="1">
        <v>3</v>
      </c>
      <c r="G56" s="2" t="s">
        <v>8</v>
      </c>
      <c r="H56" s="5" t="str">
        <f>IF(IF(Table44243140[[#This Row],[Pre or Post]]="Pre",1,0)+IF(ISNUMBER(Table44243140[[#This Row],[Response]])=TRUE,1,0)=2,1,"")</f>
        <v/>
      </c>
      <c r="I56" s="5">
        <f>IF(IF(Table44243140[[#This Row],[Pre or Post]]="Post",1,0)+IF(ISNUMBER(Table44243140[[#This Row],[Response]])=TRUE,1,0)=2,1,"")</f>
        <v>1</v>
      </c>
      <c r="J56" s="5" t="str">
        <f>IF(IF(Table44243140[[#This Row],[Pre or Post]]="Pre",1,0)+IF(ISNUMBER(Table44243140[[#This Row],[Response]])=TRUE,1,0)=2,Table44243140[[#This Row],[Response]],"")</f>
        <v/>
      </c>
      <c r="K56" s="5">
        <f>IF(IF(Table44243140[[#This Row],[Pre or Post]]="Post",1,0)+IF(ISNUMBER(Table44243140[[#This Row],[Response]])=TRUE,1,0)=2,Table44243140[[#This Row],[Response]],"")</f>
        <v>3</v>
      </c>
      <c r="L56" s="5" t="str">
        <f>IF(IF(ISNUMBER(J56),1,0)+IF(ISNUMBER(K57),1,0)=2,IF(IF(C57=C56,1,0)+IF(B57=B56,1,0)+IF(D57="Post",1,0)+IF(D56="Pre",1,0)=4,Table44243140[[#This Row],[Pre Total]],""),"")</f>
        <v/>
      </c>
      <c r="M56" s="5">
        <f>IF(IF(ISNUMBER(J55),1,0)+IF(ISNUMBER(Table44243140[[#This Row],[Post Total]]),1,0)=2,IF(IF(Table44243140[[#This Row],[Student Number]]=C55,1,0)+IF(Table44243140[[#This Row],[Session]]=B55,1,0)+IF(Table44243140[[#This Row],[Pre or Post]]="Post",1,0)+IF(D55="Pre",1,0)=4,Table44243140[[#This Row],[Post Total]],""),"")</f>
        <v>3</v>
      </c>
      <c r="N56" s="5">
        <f>IF(IF(ISNUMBER(J55),1,0)+IF(ISNUMBER(Table44243140[[#This Row],[Post Total]]),1,0)=2,IF(IF(Table44243140[[#This Row],[Student Number]]=C55,1,0)+IF(Table44243140[[#This Row],[Session]]=B55,1,0)+IF(Table44243140[[#This Row],[Pre or Post]]="Post",1,0)+IF(D55="Pre",1,0)=4,Table44243140[[#This Row],[Post Total]]-J55,""),"")</f>
        <v>2</v>
      </c>
      <c r="O56" s="5" t="b">
        <f>ISNUMBER(Table44243140[[#This Row],[Change]])</f>
        <v>1</v>
      </c>
    </row>
    <row r="57" spans="1:15">
      <c r="A57" s="1" t="s">
        <v>24</v>
      </c>
      <c r="B57" s="1" t="s">
        <v>25</v>
      </c>
      <c r="C57" s="1">
        <v>3</v>
      </c>
      <c r="D57" s="1" t="s">
        <v>6</v>
      </c>
      <c r="E57" s="1">
        <v>11</v>
      </c>
      <c r="F57" s="1">
        <v>4</v>
      </c>
      <c r="G57" s="1" t="s">
        <v>8</v>
      </c>
      <c r="H57" s="5">
        <f>IF(IF(Table44243140[[#This Row],[Pre or Post]]="Pre",1,0)+IF(ISNUMBER(Table44243140[[#This Row],[Response]])=TRUE,1,0)=2,1,"")</f>
        <v>1</v>
      </c>
      <c r="I57" s="5" t="str">
        <f>IF(IF(Table44243140[[#This Row],[Pre or Post]]="Post",1,0)+IF(ISNUMBER(Table44243140[[#This Row],[Response]])=TRUE,1,0)=2,1,"")</f>
        <v/>
      </c>
      <c r="J57" s="5">
        <f>IF(IF(Table44243140[[#This Row],[Pre or Post]]="Pre",1,0)+IF(ISNUMBER(Table44243140[[#This Row],[Response]])=TRUE,1,0)=2,Table44243140[[#This Row],[Response]],"")</f>
        <v>4</v>
      </c>
      <c r="K57" s="5" t="str">
        <f>IF(IF(Table44243140[[#This Row],[Pre or Post]]="Post",1,0)+IF(ISNUMBER(Table44243140[[#This Row],[Response]])=TRUE,1,0)=2,Table44243140[[#This Row],[Response]],"")</f>
        <v/>
      </c>
      <c r="L57" s="5">
        <f>IF(IF(ISNUMBER(J57),1,0)+IF(ISNUMBER(K58),1,0)=2,IF(IF(C58=C57,1,0)+IF(B58=B57,1,0)+IF(D58="Post",1,0)+IF(D57="Pre",1,0)=4,Table44243140[[#This Row],[Pre Total]],""),"")</f>
        <v>4</v>
      </c>
      <c r="M57" s="5" t="str">
        <f>IF(IF(ISNUMBER(J56),1,0)+IF(ISNUMBER(Table44243140[[#This Row],[Post Total]]),1,0)=2,IF(IF(Table44243140[[#This Row],[Student Number]]=C56,1,0)+IF(Table44243140[[#This Row],[Session]]=B56,1,0)+IF(Table44243140[[#This Row],[Pre or Post]]="Post",1,0)+IF(D56="Pre",1,0)=4,Table44243140[[#This Row],[Post Total]],""),"")</f>
        <v/>
      </c>
      <c r="N57" s="5" t="str">
        <f>IF(IF(ISNUMBER(J56),1,0)+IF(ISNUMBER(Table44243140[[#This Row],[Post Total]]),1,0)=2,IF(IF(Table44243140[[#This Row],[Student Number]]=C56,1,0)+IF(Table44243140[[#This Row],[Session]]=B56,1,0)+IF(Table44243140[[#This Row],[Pre or Post]]="Post",1,0)+IF(D56="Pre",1,0)=4,Table44243140[[#This Row],[Post Total]]-J56,""),"")</f>
        <v/>
      </c>
      <c r="O57" s="5" t="b">
        <f>ISNUMBER(Table44243140[[#This Row],[Change]])</f>
        <v>0</v>
      </c>
    </row>
    <row r="58" spans="1:15">
      <c r="A58" s="1" t="s">
        <v>24</v>
      </c>
      <c r="B58" s="1" t="s">
        <v>25</v>
      </c>
      <c r="C58" s="1">
        <v>3</v>
      </c>
      <c r="D58" s="1" t="s">
        <v>16</v>
      </c>
      <c r="E58" s="1">
        <v>4</v>
      </c>
      <c r="F58" s="1">
        <v>4</v>
      </c>
      <c r="G58" s="2" t="s">
        <v>8</v>
      </c>
      <c r="H58" s="5" t="str">
        <f>IF(IF(Table44243140[[#This Row],[Pre or Post]]="Pre",1,0)+IF(ISNUMBER(Table44243140[[#This Row],[Response]])=TRUE,1,0)=2,1,"")</f>
        <v/>
      </c>
      <c r="I58" s="5">
        <f>IF(IF(Table44243140[[#This Row],[Pre or Post]]="Post",1,0)+IF(ISNUMBER(Table44243140[[#This Row],[Response]])=TRUE,1,0)=2,1,"")</f>
        <v>1</v>
      </c>
      <c r="J58" s="5" t="str">
        <f>IF(IF(Table44243140[[#This Row],[Pre or Post]]="Pre",1,0)+IF(ISNUMBER(Table44243140[[#This Row],[Response]])=TRUE,1,0)=2,Table44243140[[#This Row],[Response]],"")</f>
        <v/>
      </c>
      <c r="K58" s="5">
        <f>IF(IF(Table44243140[[#This Row],[Pre or Post]]="Post",1,0)+IF(ISNUMBER(Table44243140[[#This Row],[Response]])=TRUE,1,0)=2,Table44243140[[#This Row],[Response]],"")</f>
        <v>4</v>
      </c>
      <c r="L58" s="5" t="str">
        <f>IF(IF(ISNUMBER(J58),1,0)+IF(ISNUMBER(K59),1,0)=2,IF(IF(C59=C58,1,0)+IF(B59=B58,1,0)+IF(D59="Post",1,0)+IF(D58="Pre",1,0)=4,Table44243140[[#This Row],[Pre Total]],""),"")</f>
        <v/>
      </c>
      <c r="M58" s="5">
        <f>IF(IF(ISNUMBER(J57),1,0)+IF(ISNUMBER(Table44243140[[#This Row],[Post Total]]),1,0)=2,IF(IF(Table44243140[[#This Row],[Student Number]]=C57,1,0)+IF(Table44243140[[#This Row],[Session]]=B57,1,0)+IF(Table44243140[[#This Row],[Pre or Post]]="Post",1,0)+IF(D57="Pre",1,0)=4,Table44243140[[#This Row],[Post Total]],""),"")</f>
        <v>4</v>
      </c>
      <c r="N58" s="5">
        <f>IF(IF(ISNUMBER(J57),1,0)+IF(ISNUMBER(Table44243140[[#This Row],[Post Total]]),1,0)=2,IF(IF(Table44243140[[#This Row],[Student Number]]=C57,1,0)+IF(Table44243140[[#This Row],[Session]]=B57,1,0)+IF(Table44243140[[#This Row],[Pre or Post]]="Post",1,0)+IF(D57="Pre",1,0)=4,Table44243140[[#This Row],[Post Total]]-J57,""),"")</f>
        <v>0</v>
      </c>
      <c r="O58" s="5" t="b">
        <f>ISNUMBER(Table44243140[[#This Row],[Change]])</f>
        <v>1</v>
      </c>
    </row>
    <row r="59" spans="1:15">
      <c r="A59" s="1" t="s">
        <v>24</v>
      </c>
      <c r="B59" s="1" t="s">
        <v>25</v>
      </c>
      <c r="C59" s="1">
        <v>4</v>
      </c>
      <c r="D59" s="1" t="s">
        <v>6</v>
      </c>
      <c r="E59" s="1">
        <v>11</v>
      </c>
      <c r="F59" s="1">
        <v>1</v>
      </c>
      <c r="G59" s="1" t="s">
        <v>8</v>
      </c>
      <c r="H59" s="6">
        <f>IF(IF(Table44243140[[#This Row],[Pre or Post]]="Pre",1,0)+IF(ISNUMBER(Table44243140[[#This Row],[Response]])=TRUE,1,0)=2,1,"")</f>
        <v>1</v>
      </c>
      <c r="I59" s="6" t="str">
        <f>IF(IF(Table44243140[[#This Row],[Pre or Post]]="Post",1,0)+IF(ISNUMBER(Table44243140[[#This Row],[Response]])=TRUE,1,0)=2,1,"")</f>
        <v/>
      </c>
      <c r="J59" s="6">
        <f>IF(IF(Table44243140[[#This Row],[Pre or Post]]="Pre",1,0)+IF(ISNUMBER(Table44243140[[#This Row],[Response]])=TRUE,1,0)=2,Table44243140[[#This Row],[Response]],"")</f>
        <v>1</v>
      </c>
      <c r="K59" s="6" t="str">
        <f>IF(IF(Table44243140[[#This Row],[Pre or Post]]="Post",1,0)+IF(ISNUMBER(Table44243140[[#This Row],[Response]])=TRUE,1,0)=2,Table44243140[[#This Row],[Response]],"")</f>
        <v/>
      </c>
      <c r="L59" s="5">
        <f>IF(IF(ISNUMBER(J59),1,0)+IF(ISNUMBER(K60),1,0)=2,IF(IF(C60=C59,1,0)+IF(B60=B59,1,0)+IF(D60="Post",1,0)+IF(D59="Pre",1,0)=4,Table44243140[[#This Row],[Pre Total]],""),"")</f>
        <v>1</v>
      </c>
      <c r="M59" s="5" t="str">
        <f>IF(IF(ISNUMBER(J58),1,0)+IF(ISNUMBER(Table44243140[[#This Row],[Post Total]]),1,0)=2,IF(IF(Table44243140[[#This Row],[Student Number]]=C58,1,0)+IF(Table44243140[[#This Row],[Session]]=B58,1,0)+IF(Table44243140[[#This Row],[Pre or Post]]="Post",1,0)+IF(D58="Pre",1,0)=4,Table44243140[[#This Row],[Post Total]],""),"")</f>
        <v/>
      </c>
      <c r="N59" s="6" t="str">
        <f>IF(IF(ISNUMBER(J58),1,0)+IF(ISNUMBER(Table44243140[[#This Row],[Post Total]]),1,0)=2,IF(IF(Table44243140[[#This Row],[Student Number]]=C58,1,0)+IF(Table44243140[[#This Row],[Session]]=B58,1,0)+IF(Table44243140[[#This Row],[Pre or Post]]="Post",1,0)+IF(D58="Pre",1,0)=4,Table44243140[[#This Row],[Post Total]]-J58,""),"")</f>
        <v/>
      </c>
      <c r="O59" s="6" t="b">
        <f>ISNUMBER(Table44243140[[#This Row],[Change]])</f>
        <v>0</v>
      </c>
    </row>
    <row r="60" spans="1:15">
      <c r="A60" s="1" t="s">
        <v>24</v>
      </c>
      <c r="B60" s="1" t="s">
        <v>25</v>
      </c>
      <c r="C60" s="1">
        <v>4</v>
      </c>
      <c r="D60" s="1" t="s">
        <v>16</v>
      </c>
      <c r="E60" s="1">
        <v>4</v>
      </c>
      <c r="F60" s="1">
        <v>1</v>
      </c>
      <c r="G60" s="2" t="s">
        <v>8</v>
      </c>
      <c r="H60" s="5" t="str">
        <f>IF(IF(Table44243140[[#This Row],[Pre or Post]]="Pre",1,0)+IF(ISNUMBER(Table44243140[[#This Row],[Response]])=TRUE,1,0)=2,1,"")</f>
        <v/>
      </c>
      <c r="I60" s="5">
        <f>IF(IF(Table44243140[[#This Row],[Pre or Post]]="Post",1,0)+IF(ISNUMBER(Table44243140[[#This Row],[Response]])=TRUE,1,0)=2,1,"")</f>
        <v>1</v>
      </c>
      <c r="J60" s="5"/>
      <c r="K60" s="5">
        <f>IF(IF(Table44243140[[#This Row],[Pre or Post]]="Post",1,0)+IF(ISNUMBER(Table44243140[[#This Row],[Response]])=TRUE,1,0)=2,Table44243140[[#This Row],[Response]],"")</f>
        <v>1</v>
      </c>
      <c r="L60" s="5" t="str">
        <f>IF(IF(ISNUMBER(J60),1,0)+IF(ISNUMBER(K61),1,0)=2,IF(IF(C61=C60,1,0)+IF(B61=B60,1,0)+IF(D61="Post",1,0)+IF(D60="Pre",1,0)=4,Table44243140[[#This Row],[Pre Total]],""),"")</f>
        <v/>
      </c>
      <c r="M60" s="5">
        <f>IF(IF(ISNUMBER(J59),1,0)+IF(ISNUMBER(Table44243140[[#This Row],[Post Total]]),1,0)=2,IF(IF(Table44243140[[#This Row],[Student Number]]=C59,1,0)+IF(Table44243140[[#This Row],[Session]]=B59,1,0)+IF(Table44243140[[#This Row],[Pre or Post]]="Post",1,0)+IF(D59="Pre",1,0)=4,Table44243140[[#This Row],[Post Total]],""),"")</f>
        <v>1</v>
      </c>
      <c r="N60" s="5">
        <f>IF(IF(ISNUMBER(J59),1,0)+IF(ISNUMBER(Table44243140[[#This Row],[Post Total]]),1,0)=2,IF(IF(Table44243140[[#This Row],[Student Number]]=C59,1,0)+IF(Table44243140[[#This Row],[Session]]=B59,1,0)+IF(Table44243140[[#This Row],[Pre or Post]]="Post",1,0)+IF(D59="Pre",1,0)=4,Table44243140[[#This Row],[Post Total]]-J59,""),"")</f>
        <v>0</v>
      </c>
      <c r="O60" s="5" t="b">
        <f>ISNUMBER(Table44243140[[#This Row],[Change]])</f>
        <v>1</v>
      </c>
    </row>
    <row r="61" spans="1:15">
      <c r="A61" s="1" t="s">
        <v>24</v>
      </c>
      <c r="B61" s="1" t="s">
        <v>25</v>
      </c>
      <c r="C61" s="1">
        <v>5</v>
      </c>
      <c r="D61" s="1" t="s">
        <v>6</v>
      </c>
      <c r="E61" s="1">
        <v>11</v>
      </c>
      <c r="F61" s="1">
        <v>1</v>
      </c>
      <c r="G61" s="1" t="s">
        <v>8</v>
      </c>
      <c r="H61" s="5">
        <f>IF(IF(Table44243140[[#This Row],[Pre or Post]]="Pre",1,0)+IF(ISNUMBER(Table44243140[[#This Row],[Response]])=TRUE,1,0)=2,1,"")</f>
        <v>1</v>
      </c>
      <c r="I61" s="5" t="str">
        <f>IF(IF(Table44243140[[#This Row],[Pre or Post]]="Post",1,0)+IF(ISNUMBER(Table44243140[[#This Row],[Response]])=TRUE,1,0)=2,1,"")</f>
        <v/>
      </c>
      <c r="J61" s="5">
        <f>IF(IF(Table44243140[[#This Row],[Pre or Post]]="Pre",1,0)+IF(ISNUMBER(Table44243140[[#This Row],[Response]])=TRUE,1,0)=2,Table44243140[[#This Row],[Response]],"")</f>
        <v>1</v>
      </c>
      <c r="K61" s="5" t="str">
        <f>IF(IF(Table44243140[[#This Row],[Pre or Post]]="Post",1,0)+IF(ISNUMBER(Table44243140[[#This Row],[Response]])=TRUE,1,0)=2,Table44243140[[#This Row],[Response]],"")</f>
        <v/>
      </c>
      <c r="L61" s="5">
        <f>IF(IF(ISNUMBER(J61),1,0)+IF(ISNUMBER(K62),1,0)=2,IF(IF(C62=C61,1,0)+IF(B62=B61,1,0)+IF(D62="Post",1,0)+IF(D61="Pre",1,0)=4,Table44243140[[#This Row],[Pre Total]],""),"")</f>
        <v>1</v>
      </c>
      <c r="M61" s="5" t="str">
        <f>IF(IF(ISNUMBER(J60),1,0)+IF(ISNUMBER(Table44243140[[#This Row],[Post Total]]),1,0)=2,IF(IF(Table44243140[[#This Row],[Student Number]]=C60,1,0)+IF(Table44243140[[#This Row],[Session]]=B60,1,0)+IF(Table44243140[[#This Row],[Pre or Post]]="Post",1,0)+IF(D60="Pre",1,0)=4,Table44243140[[#This Row],[Post Total]],""),"")</f>
        <v/>
      </c>
      <c r="N61" s="5" t="str">
        <f>IF(IF(ISNUMBER(J60),1,0)+IF(ISNUMBER(Table44243140[[#This Row],[Post Total]]),1,0)=2,IF(IF(Table44243140[[#This Row],[Student Number]]=C60,1,0)+IF(Table44243140[[#This Row],[Session]]=B60,1,0)+IF(Table44243140[[#This Row],[Pre or Post]]="Post",1,0)+IF(D60="Pre",1,0)=4,Table44243140[[#This Row],[Post Total]]-J60,""),"")</f>
        <v/>
      </c>
      <c r="O61" s="5" t="b">
        <f>ISNUMBER(Table44243140[[#This Row],[Change]])</f>
        <v>0</v>
      </c>
    </row>
    <row r="62" spans="1:15">
      <c r="A62" s="1" t="s">
        <v>24</v>
      </c>
      <c r="B62" s="1" t="s">
        <v>25</v>
      </c>
      <c r="C62" s="1">
        <v>5</v>
      </c>
      <c r="D62" s="1" t="s">
        <v>16</v>
      </c>
      <c r="E62" s="1">
        <v>4</v>
      </c>
      <c r="F62" s="1">
        <v>4</v>
      </c>
      <c r="G62" s="2" t="s">
        <v>8</v>
      </c>
      <c r="H62" s="5" t="str">
        <f>IF(IF(Table44243140[[#This Row],[Pre or Post]]="Pre",1,0)+IF(ISNUMBER(Table44243140[[#This Row],[Response]])=TRUE,1,0)=2,1,"")</f>
        <v/>
      </c>
      <c r="I62" s="5">
        <f>IF(IF(Table44243140[[#This Row],[Pre or Post]]="Post",1,0)+IF(ISNUMBER(Table44243140[[#This Row],[Response]])=TRUE,1,0)=2,1,"")</f>
        <v>1</v>
      </c>
      <c r="J62" s="5" t="str">
        <f>IF(IF(Table44243140[[#This Row],[Pre or Post]]="Pre",1,0)+IF(ISNUMBER(Table44243140[[#This Row],[Response]])=TRUE,1,0)=2,Table44243140[[#This Row],[Response]],"")</f>
        <v/>
      </c>
      <c r="K62" s="5">
        <f>IF(IF(Table44243140[[#This Row],[Pre or Post]]="Post",1,0)+IF(ISNUMBER(Table44243140[[#This Row],[Response]])=TRUE,1,0)=2,Table44243140[[#This Row],[Response]],"")</f>
        <v>4</v>
      </c>
      <c r="L62" s="5" t="str">
        <f>IF(IF(ISNUMBER(J62),1,0)+IF(ISNUMBER(K63),1,0)=2,IF(IF(C63=C62,1,0)+IF(B63=B62,1,0)+IF(D63="Post",1,0)+IF(D62="Pre",1,0)=4,Table44243140[[#This Row],[Pre Total]],""),"")</f>
        <v/>
      </c>
      <c r="M62" s="5">
        <f>IF(IF(ISNUMBER(J61),1,0)+IF(ISNUMBER(Table44243140[[#This Row],[Post Total]]),1,0)=2,IF(IF(Table44243140[[#This Row],[Student Number]]=C61,1,0)+IF(Table44243140[[#This Row],[Session]]=B61,1,0)+IF(Table44243140[[#This Row],[Pre or Post]]="Post",1,0)+IF(D61="Pre",1,0)=4,Table44243140[[#This Row],[Post Total]],""),"")</f>
        <v>4</v>
      </c>
      <c r="N62" s="5">
        <f>IF(IF(ISNUMBER(J61),1,0)+IF(ISNUMBER(Table44243140[[#This Row],[Post Total]]),1,0)=2,IF(IF(Table44243140[[#This Row],[Student Number]]=C61,1,0)+IF(Table44243140[[#This Row],[Session]]=B61,1,0)+IF(Table44243140[[#This Row],[Pre or Post]]="Post",1,0)+IF(D61="Pre",1,0)=4,Table44243140[[#This Row],[Post Total]]-J61,""),"")</f>
        <v>3</v>
      </c>
      <c r="O62" s="5" t="b">
        <f>ISNUMBER(Table44243140[[#This Row],[Change]])</f>
        <v>1</v>
      </c>
    </row>
    <row r="63" spans="1:15">
      <c r="A63" s="1" t="s">
        <v>24</v>
      </c>
      <c r="B63" s="1" t="s">
        <v>25</v>
      </c>
      <c r="C63" s="1">
        <v>6</v>
      </c>
      <c r="D63" s="1" t="s">
        <v>6</v>
      </c>
      <c r="E63" s="1">
        <v>11</v>
      </c>
      <c r="F63" s="1">
        <v>2</v>
      </c>
      <c r="G63" s="1" t="s">
        <v>8</v>
      </c>
      <c r="H63" s="6">
        <f>IF(IF(Table44243140[[#This Row],[Pre or Post]]="Pre",1,0)+IF(ISNUMBER(Table44243140[[#This Row],[Response]])=TRUE,1,0)=2,1,"")</f>
        <v>1</v>
      </c>
      <c r="I63" s="6" t="str">
        <f>IF(IF(Table44243140[[#This Row],[Pre or Post]]="Post",1,0)+IF(ISNUMBER(Table44243140[[#This Row],[Response]])=TRUE,1,0)=2,1,"")</f>
        <v/>
      </c>
      <c r="J63" s="6">
        <f>IF(IF(Table44243140[[#This Row],[Pre or Post]]="Pre",1,0)+IF(ISNUMBER(Table44243140[[#This Row],[Response]])=TRUE,1,0)=2,Table44243140[[#This Row],[Response]],"")</f>
        <v>2</v>
      </c>
      <c r="K63" s="6" t="str">
        <f>IF(IF(Table44243140[[#This Row],[Pre or Post]]="Post",1,0)+IF(ISNUMBER(Table44243140[[#This Row],[Response]])=TRUE,1,0)=2,Table44243140[[#This Row],[Response]],"")</f>
        <v/>
      </c>
      <c r="L63" s="6">
        <f>IF(IF(ISNUMBER(J63),1,0)+IF(ISNUMBER(K64),1,0)=2,IF(IF(C64=C63,1,0)+IF(B64=B63,1,0)+IF(D64="Post",1,0)+IF(D63="Pre",1,0)=4,Table44243140[[#This Row],[Pre Total]],""),"")</f>
        <v>2</v>
      </c>
      <c r="M63" s="6" t="str">
        <f>IF(IF(ISNUMBER(J62),1,0)+IF(ISNUMBER(Table44243140[[#This Row],[Post Total]]),1,0)=2,IF(IF(Table44243140[[#This Row],[Student Number]]=C62,1,0)+IF(Table44243140[[#This Row],[Session]]=B62,1,0)+IF(Table44243140[[#This Row],[Pre or Post]]="Post",1,0)+IF(D62="Pre",1,0)=4,Table44243140[[#This Row],[Post Total]],""),"")</f>
        <v/>
      </c>
      <c r="N63" s="6" t="str">
        <f>IF(IF(ISNUMBER(J62),1,0)+IF(ISNUMBER(Table44243140[[#This Row],[Post Total]]),1,0)=2,IF(IF(Table44243140[[#This Row],[Student Number]]=C62,1,0)+IF(Table44243140[[#This Row],[Session]]=B62,1,0)+IF(Table44243140[[#This Row],[Pre or Post]]="Post",1,0)+IF(D62="Pre",1,0)=4,Table44243140[[#This Row],[Post Total]]-J62,""),"")</f>
        <v/>
      </c>
      <c r="O63" s="6" t="b">
        <f>ISNUMBER(Table44243140[[#This Row],[Change]])</f>
        <v>0</v>
      </c>
    </row>
    <row r="64" spans="1:15">
      <c r="A64" s="1" t="s">
        <v>24</v>
      </c>
      <c r="B64" s="1" t="s">
        <v>25</v>
      </c>
      <c r="C64" s="1">
        <v>6</v>
      </c>
      <c r="D64" s="1" t="s">
        <v>16</v>
      </c>
      <c r="E64" s="1">
        <v>4</v>
      </c>
      <c r="F64" s="1">
        <v>4</v>
      </c>
      <c r="G64" s="2" t="s">
        <v>8</v>
      </c>
      <c r="H64" s="6" t="str">
        <f>IF(IF(Table44243140[[#This Row],[Pre or Post]]="Pre",1,0)+IF(ISNUMBER(Table44243140[[#This Row],[Response]])=TRUE,1,0)=2,1,"")</f>
        <v/>
      </c>
      <c r="I64" s="6">
        <f>IF(IF(Table44243140[[#This Row],[Pre or Post]]="Post",1,0)+IF(ISNUMBER(Table44243140[[#This Row],[Response]])=TRUE,1,0)=2,1,"")</f>
        <v>1</v>
      </c>
      <c r="J64" s="6" t="str">
        <f>IF(IF(Table44243140[[#This Row],[Pre or Post]]="Pre",1,0)+IF(ISNUMBER(Table44243140[[#This Row],[Response]])=TRUE,1,0)=2,Table44243140[[#This Row],[Response]],"")</f>
        <v/>
      </c>
      <c r="K64" s="6">
        <f>IF(IF(Table44243140[[#This Row],[Pre or Post]]="Post",1,0)+IF(ISNUMBER(Table44243140[[#This Row],[Response]])=TRUE,1,0)=2,Table44243140[[#This Row],[Response]],"")</f>
        <v>4</v>
      </c>
      <c r="L64" s="6" t="str">
        <f>IF(IF(ISNUMBER(J64),1,0)+IF(ISNUMBER(K65),1,0)=2,IF(IF(C65=C64,1,0)+IF(B65=B64,1,0)+IF(D65="Post",1,0)+IF(D64="Pre",1,0)=4,Table44243140[[#This Row],[Pre Total]],""),"")</f>
        <v/>
      </c>
      <c r="M64" s="6">
        <f>IF(IF(ISNUMBER(J63),1,0)+IF(ISNUMBER(Table44243140[[#This Row],[Post Total]]),1,0)=2,IF(IF(Table44243140[[#This Row],[Student Number]]=C63,1,0)+IF(Table44243140[[#This Row],[Session]]=B63,1,0)+IF(Table44243140[[#This Row],[Pre or Post]]="Post",1,0)+IF(D63="Pre",1,0)=4,Table44243140[[#This Row],[Post Total]],""),"")</f>
        <v>4</v>
      </c>
      <c r="N64" s="6">
        <f>IF(IF(ISNUMBER(J63),1,0)+IF(ISNUMBER(Table44243140[[#This Row],[Post Total]]),1,0)=2,IF(IF(Table44243140[[#This Row],[Student Number]]=C63,1,0)+IF(Table44243140[[#This Row],[Session]]=B63,1,0)+IF(Table44243140[[#This Row],[Pre or Post]]="Post",1,0)+IF(D63="Pre",1,0)=4,Table44243140[[#This Row],[Post Total]]-J63,""),"")</f>
        <v>2</v>
      </c>
      <c r="O64" s="6" t="b">
        <f>ISNUMBER(Table44243140[[#This Row],[Change]])</f>
        <v>1</v>
      </c>
    </row>
    <row r="65" spans="1:15">
      <c r="A65" s="1" t="s">
        <v>24</v>
      </c>
      <c r="B65" s="1" t="s">
        <v>25</v>
      </c>
      <c r="C65" s="1">
        <v>7</v>
      </c>
      <c r="D65" s="1" t="s">
        <v>6</v>
      </c>
      <c r="E65" s="1">
        <v>11</v>
      </c>
      <c r="F65" s="1">
        <v>2</v>
      </c>
      <c r="G65" s="1" t="s">
        <v>8</v>
      </c>
      <c r="H65" s="5">
        <f>IF(IF(Table44243140[[#This Row],[Pre or Post]]="Pre",1,0)+IF(ISNUMBER(Table44243140[[#This Row],[Response]])=TRUE,1,0)=2,1,"")</f>
        <v>1</v>
      </c>
      <c r="I65" s="5" t="str">
        <f>IF(IF(Table44243140[[#This Row],[Pre or Post]]="Post",1,0)+IF(ISNUMBER(Table44243140[[#This Row],[Response]])=TRUE,1,0)=2,1,"")</f>
        <v/>
      </c>
      <c r="J65" s="5">
        <f>IF(IF(Table44243140[[#This Row],[Pre or Post]]="Pre",1,0)+IF(ISNUMBER(Table44243140[[#This Row],[Response]])=TRUE,1,0)=2,Table44243140[[#This Row],[Response]],"")</f>
        <v>2</v>
      </c>
      <c r="K65" s="5" t="str">
        <f>IF(IF(Table44243140[[#This Row],[Pre or Post]]="Post",1,0)+IF(ISNUMBER(Table44243140[[#This Row],[Response]])=TRUE,1,0)=2,Table44243140[[#This Row],[Response]],"")</f>
        <v/>
      </c>
      <c r="L65" s="5">
        <f>IF(IF(ISNUMBER(J65),1,0)+IF(ISNUMBER(K66),1,0)=2,IF(IF(C66=C65,1,0)+IF(B66=B65,1,0)+IF(D66="Post",1,0)+IF(D65="Pre",1,0)=4,Table44243140[[#This Row],[Pre Total]],""),"")</f>
        <v>2</v>
      </c>
      <c r="M65" s="5" t="str">
        <f>IF(IF(ISNUMBER(J64),1,0)+IF(ISNUMBER(Table44243140[[#This Row],[Post Total]]),1,0)=2,IF(IF(Table44243140[[#This Row],[Student Number]]=C64,1,0)+IF(Table44243140[[#This Row],[Session]]=B64,1,0)+IF(Table44243140[[#This Row],[Pre or Post]]="Post",1,0)+IF(D64="Pre",1,0)=4,Table44243140[[#This Row],[Post Total]],""),"")</f>
        <v/>
      </c>
      <c r="N65" s="5" t="str">
        <f>IF(IF(ISNUMBER(J64),1,0)+IF(ISNUMBER(Table44243140[[#This Row],[Post Total]]),1,0)=2,IF(IF(Table44243140[[#This Row],[Student Number]]=C64,1,0)+IF(Table44243140[[#This Row],[Session]]=B64,1,0)+IF(Table44243140[[#This Row],[Pre or Post]]="Post",1,0)+IF(D64="Pre",1,0)=4,Table44243140[[#This Row],[Post Total]]-J64,""),"")</f>
        <v/>
      </c>
      <c r="O65" s="5" t="b">
        <f>ISNUMBER(Table44243140[[#This Row],[Change]])</f>
        <v>0</v>
      </c>
    </row>
    <row r="66" spans="1:15">
      <c r="A66" s="1" t="s">
        <v>24</v>
      </c>
      <c r="B66" s="1" t="s">
        <v>25</v>
      </c>
      <c r="C66" s="1">
        <v>7</v>
      </c>
      <c r="D66" s="1" t="s">
        <v>16</v>
      </c>
      <c r="E66" s="1">
        <v>4</v>
      </c>
      <c r="F66" s="1">
        <v>4</v>
      </c>
      <c r="G66" s="2" t="s">
        <v>8</v>
      </c>
      <c r="H66" s="5" t="str">
        <f>IF(IF(Table44243140[[#This Row],[Pre or Post]]="Pre",1,0)+IF(ISNUMBER(Table44243140[[#This Row],[Response]])=TRUE,1,0)=2,1,"")</f>
        <v/>
      </c>
      <c r="I66" s="5">
        <f>IF(IF(Table44243140[[#This Row],[Pre or Post]]="Post",1,0)+IF(ISNUMBER(Table44243140[[#This Row],[Response]])=TRUE,1,0)=2,1,"")</f>
        <v>1</v>
      </c>
      <c r="J66" s="5" t="str">
        <f>IF(IF(Table44243140[[#This Row],[Pre or Post]]="Pre",1,0)+IF(ISNUMBER(Table44243140[[#This Row],[Response]])=TRUE,1,0)=2,Table44243140[[#This Row],[Response]],"")</f>
        <v/>
      </c>
      <c r="K66" s="5">
        <f>IF(IF(Table44243140[[#This Row],[Pre or Post]]="Post",1,0)+IF(ISNUMBER(Table44243140[[#This Row],[Response]])=TRUE,1,0)=2,Table44243140[[#This Row],[Response]],"")</f>
        <v>4</v>
      </c>
      <c r="L66" s="5" t="str">
        <f>IF(IF(ISNUMBER(J66),1,0)+IF(ISNUMBER(K67),1,0)=2,IF(IF(C67=C66,1,0)+IF(B67=B66,1,0)+IF(D67="Post",1,0)+IF(D66="Pre",1,0)=4,Table44243140[[#This Row],[Pre Total]],""),"")</f>
        <v/>
      </c>
      <c r="M66" s="5">
        <f>IF(IF(ISNUMBER(J65),1,0)+IF(ISNUMBER(Table44243140[[#This Row],[Post Total]]),1,0)=2,IF(IF(Table44243140[[#This Row],[Student Number]]=C65,1,0)+IF(Table44243140[[#This Row],[Session]]=B65,1,0)+IF(Table44243140[[#This Row],[Pre or Post]]="Post",1,0)+IF(D65="Pre",1,0)=4,Table44243140[[#This Row],[Post Total]],""),"")</f>
        <v>4</v>
      </c>
      <c r="N66" s="5">
        <f>IF(IF(ISNUMBER(J65),1,0)+IF(ISNUMBER(Table44243140[[#This Row],[Post Total]]),1,0)=2,IF(IF(Table44243140[[#This Row],[Student Number]]=C65,1,0)+IF(Table44243140[[#This Row],[Session]]=B65,1,0)+IF(Table44243140[[#This Row],[Pre or Post]]="Post",1,0)+IF(D65="Pre",1,0)=4,Table44243140[[#This Row],[Post Total]]-J65,""),"")</f>
        <v>2</v>
      </c>
      <c r="O66" s="5" t="b">
        <f>ISNUMBER(Table44243140[[#This Row],[Change]])</f>
        <v>1</v>
      </c>
    </row>
    <row r="67" spans="1:15">
      <c r="A67" s="1" t="s">
        <v>24</v>
      </c>
      <c r="B67" s="1" t="s">
        <v>25</v>
      </c>
      <c r="C67" s="1">
        <v>8</v>
      </c>
      <c r="D67" s="1" t="s">
        <v>6</v>
      </c>
      <c r="E67" s="2">
        <v>11</v>
      </c>
      <c r="F67" s="1">
        <v>2</v>
      </c>
      <c r="G67" s="1" t="s">
        <v>8</v>
      </c>
      <c r="H67" s="6">
        <f>IF(IF(Table44243140[[#This Row],[Pre or Post]]="Pre",1,0)+IF(ISNUMBER(Table44243140[[#This Row],[Response]])=TRUE,1,0)=2,1,"")</f>
        <v>1</v>
      </c>
      <c r="I67" s="6" t="str">
        <f>IF(IF(Table44243140[[#This Row],[Pre or Post]]="Post",1,0)+IF(ISNUMBER(Table44243140[[#This Row],[Response]])=TRUE,1,0)=2,1,"")</f>
        <v/>
      </c>
      <c r="J67" s="6">
        <f>IF(IF(Table44243140[[#This Row],[Pre or Post]]="Pre",1,0)+IF(ISNUMBER(Table44243140[[#This Row],[Response]])=TRUE,1,0)=2,Table44243140[[#This Row],[Response]],"")</f>
        <v>2</v>
      </c>
      <c r="K67" s="6" t="str">
        <f>IF(IF(Table44243140[[#This Row],[Pre or Post]]="Post",1,0)+IF(ISNUMBER(Table44243140[[#This Row],[Response]])=TRUE,1,0)=2,Table44243140[[#This Row],[Response]],"")</f>
        <v/>
      </c>
      <c r="L67" s="6">
        <f>IF(IF(ISNUMBER(J67),1,0)+IF(ISNUMBER(K68),1,0)=2,IF(IF(C68=C67,1,0)+IF(B68=B67,1,0)+IF(D68="Post",1,0)+IF(D67="Pre",1,0)=4,Table44243140[[#This Row],[Pre Total]],""),"")</f>
        <v>2</v>
      </c>
      <c r="M67" s="6" t="str">
        <f>IF(IF(ISNUMBER(J66),1,0)+IF(ISNUMBER(Table44243140[[#This Row],[Post Total]]),1,0)=2,IF(IF(Table44243140[[#This Row],[Student Number]]=C66,1,0)+IF(Table44243140[[#This Row],[Session]]=B66,1,0)+IF(Table44243140[[#This Row],[Pre or Post]]="Post",1,0)+IF(D66="Pre",1,0)=4,Table44243140[[#This Row],[Post Total]],""),"")</f>
        <v/>
      </c>
      <c r="N67" s="6" t="str">
        <f>IF(IF(ISNUMBER(J66),1,0)+IF(ISNUMBER(Table44243140[[#This Row],[Post Total]]),1,0)=2,IF(IF(Table44243140[[#This Row],[Student Number]]=C66,1,0)+IF(Table44243140[[#This Row],[Session]]=B66,1,0)+IF(Table44243140[[#This Row],[Pre or Post]]="Post",1,0)+IF(D66="Pre",1,0)=4,Table44243140[[#This Row],[Post Total]]-J66,""),"")</f>
        <v/>
      </c>
      <c r="O67" s="6" t="b">
        <f>ISNUMBER(Table44243140[[#This Row],[Change]])</f>
        <v>0</v>
      </c>
    </row>
    <row r="68" spans="1:15">
      <c r="A68" s="1" t="s">
        <v>24</v>
      </c>
      <c r="B68" s="1" t="s">
        <v>25</v>
      </c>
      <c r="C68" s="1">
        <v>8</v>
      </c>
      <c r="D68" s="1" t="s">
        <v>16</v>
      </c>
      <c r="E68" s="1">
        <v>4</v>
      </c>
      <c r="F68" s="1">
        <v>4</v>
      </c>
      <c r="G68" s="2" t="s">
        <v>8</v>
      </c>
      <c r="H68" s="6" t="str">
        <f>IF(IF(Table44243140[[#This Row],[Pre or Post]]="Pre",1,0)+IF(ISNUMBER(Table44243140[[#This Row],[Response]])=TRUE,1,0)=2,1,"")</f>
        <v/>
      </c>
      <c r="I68" s="6">
        <f>IF(IF(Table44243140[[#This Row],[Pre or Post]]="Post",1,0)+IF(ISNUMBER(Table44243140[[#This Row],[Response]])=TRUE,1,0)=2,1,"")</f>
        <v>1</v>
      </c>
      <c r="J68" s="6" t="str">
        <f>IF(IF(Table44243140[[#This Row],[Pre or Post]]="Pre",1,0)+IF(ISNUMBER(Table44243140[[#This Row],[Response]])=TRUE,1,0)=2,Table44243140[[#This Row],[Response]],"")</f>
        <v/>
      </c>
      <c r="K68" s="6">
        <f>IF(IF(Table44243140[[#This Row],[Pre or Post]]="Post",1,0)+IF(ISNUMBER(Table44243140[[#This Row],[Response]])=TRUE,1,0)=2,Table44243140[[#This Row],[Response]],"")</f>
        <v>4</v>
      </c>
      <c r="L68" s="6" t="str">
        <f>IF(IF(ISNUMBER(J68),1,0)+IF(ISNUMBER(K69),1,0)=2,IF(IF(C69=C68,1,0)+IF(B69=B68,1,0)+IF(D69="Post",1,0)+IF(D68="Pre",1,0)=4,Table44243140[[#This Row],[Pre Total]],""),"")</f>
        <v/>
      </c>
      <c r="M68" s="6">
        <f>IF(IF(ISNUMBER(J67),1,0)+IF(ISNUMBER(Table44243140[[#This Row],[Post Total]]),1,0)=2,IF(IF(Table44243140[[#This Row],[Student Number]]=C67,1,0)+IF(Table44243140[[#This Row],[Session]]=B67,1,0)+IF(Table44243140[[#This Row],[Pre or Post]]="Post",1,0)+IF(D67="Pre",1,0)=4,Table44243140[[#This Row],[Post Total]],""),"")</f>
        <v>4</v>
      </c>
      <c r="N68" s="6">
        <f>IF(IF(ISNUMBER(J67),1,0)+IF(ISNUMBER(Table44243140[[#This Row],[Post Total]]),1,0)=2,IF(IF(Table44243140[[#This Row],[Student Number]]=C67,1,0)+IF(Table44243140[[#This Row],[Session]]=B67,1,0)+IF(Table44243140[[#This Row],[Pre or Post]]="Post",1,0)+IF(D67="Pre",1,0)=4,Table44243140[[#This Row],[Post Total]]-J67,""),"")</f>
        <v>2</v>
      </c>
      <c r="O68" s="6" t="b">
        <f>ISNUMBER(Table44243140[[#This Row],[Change]])</f>
        <v>1</v>
      </c>
    </row>
    <row r="69" spans="1:15">
      <c r="A69" s="1" t="s">
        <v>24</v>
      </c>
      <c r="B69" s="1" t="s">
        <v>25</v>
      </c>
      <c r="C69" s="1">
        <v>9</v>
      </c>
      <c r="D69" s="1" t="s">
        <v>6</v>
      </c>
      <c r="E69" s="1">
        <v>11</v>
      </c>
      <c r="F69" s="1">
        <v>1</v>
      </c>
      <c r="G69" s="1" t="s">
        <v>8</v>
      </c>
      <c r="H69" s="5">
        <f>IF(IF(Table44243140[[#This Row],[Pre or Post]]="Pre",1,0)+IF(ISNUMBER(Table44243140[[#This Row],[Response]])=TRUE,1,0)=2,1,"")</f>
        <v>1</v>
      </c>
      <c r="I69" s="5" t="str">
        <f>IF(IF(Table44243140[[#This Row],[Pre or Post]]="Post",1,0)+IF(ISNUMBER(Table44243140[[#This Row],[Response]])=TRUE,1,0)=2,1,"")</f>
        <v/>
      </c>
      <c r="J69" s="5">
        <f>IF(IF(Table44243140[[#This Row],[Pre or Post]]="Pre",1,0)+IF(ISNUMBER(Table44243140[[#This Row],[Response]])=TRUE,1,0)=2,Table44243140[[#This Row],[Response]],"")</f>
        <v>1</v>
      </c>
      <c r="K69" s="5" t="str">
        <f>IF(IF(Table44243140[[#This Row],[Pre or Post]]="Post",1,0)+IF(ISNUMBER(Table44243140[[#This Row],[Response]])=TRUE,1,0)=2,Table44243140[[#This Row],[Response]],"")</f>
        <v/>
      </c>
      <c r="L69" s="5">
        <f>IF(IF(ISNUMBER(J69),1,0)+IF(ISNUMBER(K70),1,0)=2,IF(IF(C70=C69,1,0)+IF(B70=B69,1,0)+IF(D70="Post",1,0)+IF(D69="Pre",1,0)=4,Table44243140[[#This Row],[Pre Total]],""),"")</f>
        <v>1</v>
      </c>
      <c r="M69" s="5" t="str">
        <f>IF(IF(ISNUMBER(J68),1,0)+IF(ISNUMBER(Table44243140[[#This Row],[Post Total]]),1,0)=2,IF(IF(Table44243140[[#This Row],[Student Number]]=C68,1,0)+IF(Table44243140[[#This Row],[Session]]=B68,1,0)+IF(Table44243140[[#This Row],[Pre or Post]]="Post",1,0)+IF(D68="Pre",1,0)=4,Table44243140[[#This Row],[Post Total]],""),"")</f>
        <v/>
      </c>
      <c r="N69" s="5" t="str">
        <f>IF(IF(ISNUMBER(J68),1,0)+IF(ISNUMBER(Table44243140[[#This Row],[Post Total]]),1,0)=2,IF(IF(Table44243140[[#This Row],[Student Number]]=C68,1,0)+IF(Table44243140[[#This Row],[Session]]=B68,1,0)+IF(Table44243140[[#This Row],[Pre or Post]]="Post",1,0)+IF(D68="Pre",1,0)=4,Table44243140[[#This Row],[Post Total]]-J68,""),"")</f>
        <v/>
      </c>
      <c r="O69" s="5" t="b">
        <f>ISNUMBER(Table44243140[[#This Row],[Change]])</f>
        <v>0</v>
      </c>
    </row>
    <row r="70" spans="1:15">
      <c r="A70" s="1" t="s">
        <v>24</v>
      </c>
      <c r="B70" s="1" t="s">
        <v>25</v>
      </c>
      <c r="C70" s="1">
        <v>9</v>
      </c>
      <c r="D70" s="1" t="s">
        <v>16</v>
      </c>
      <c r="E70" s="1">
        <v>4</v>
      </c>
      <c r="F70" s="1">
        <v>5</v>
      </c>
      <c r="G70" s="2" t="s">
        <v>8</v>
      </c>
      <c r="H70" s="5" t="str">
        <f>IF(IF(Table44243140[[#This Row],[Pre or Post]]="Pre",1,0)+IF(ISNUMBER(Table44243140[[#This Row],[Response]])=TRUE,1,0)=2,1,"")</f>
        <v/>
      </c>
      <c r="I70" s="5">
        <f>IF(IF(Table44243140[[#This Row],[Pre or Post]]="Post",1,0)+IF(ISNUMBER(Table44243140[[#This Row],[Response]])=TRUE,1,0)=2,1,"")</f>
        <v>1</v>
      </c>
      <c r="J70" s="5" t="str">
        <f>IF(IF(Table44243140[[#This Row],[Pre or Post]]="Pre",1,0)+IF(ISNUMBER(Table44243140[[#This Row],[Response]])=TRUE,1,0)=2,Table44243140[[#This Row],[Response]],"")</f>
        <v/>
      </c>
      <c r="K70" s="5">
        <f>IF(IF(Table44243140[[#This Row],[Pre or Post]]="Post",1,0)+IF(ISNUMBER(Table44243140[[#This Row],[Response]])=TRUE,1,0)=2,Table44243140[[#This Row],[Response]],"")</f>
        <v>5</v>
      </c>
      <c r="L70" s="5" t="str">
        <f>IF(IF(ISNUMBER(J70),1,0)+IF(ISNUMBER(K71),1,0)=2,IF(IF(C71=C70,1,0)+IF(B71=B70,1,0)+IF(D71="Post",1,0)+IF(D70="Pre",1,0)=4,Table44243140[[#This Row],[Pre Total]],""),"")</f>
        <v/>
      </c>
      <c r="M70" s="5">
        <f>IF(IF(ISNUMBER(J69),1,0)+IF(ISNUMBER(Table44243140[[#This Row],[Post Total]]),1,0)=2,IF(IF(Table44243140[[#This Row],[Student Number]]=C69,1,0)+IF(Table44243140[[#This Row],[Session]]=B69,1,0)+IF(Table44243140[[#This Row],[Pre or Post]]="Post",1,0)+IF(D69="Pre",1,0)=4,Table44243140[[#This Row],[Post Total]],""),"")</f>
        <v>5</v>
      </c>
      <c r="N70" s="5">
        <f>IF(IF(ISNUMBER(J69),1,0)+IF(ISNUMBER(Table44243140[[#This Row],[Post Total]]),1,0)=2,IF(IF(Table44243140[[#This Row],[Student Number]]=C69,1,0)+IF(Table44243140[[#This Row],[Session]]=B69,1,0)+IF(Table44243140[[#This Row],[Pre or Post]]="Post",1,0)+IF(D69="Pre",1,0)=4,Table44243140[[#This Row],[Post Total]]-J69,""),"")</f>
        <v>4</v>
      </c>
      <c r="O70" s="5" t="b">
        <f>ISNUMBER(Table44243140[[#This Row],[Change]])</f>
        <v>1</v>
      </c>
    </row>
    <row r="71" spans="1:15">
      <c r="A71" s="1" t="s">
        <v>24</v>
      </c>
      <c r="B71" s="1" t="s">
        <v>25</v>
      </c>
      <c r="C71" s="1">
        <v>10</v>
      </c>
      <c r="D71" s="1" t="s">
        <v>6</v>
      </c>
      <c r="E71" s="1">
        <v>11</v>
      </c>
      <c r="F71" s="1">
        <v>2</v>
      </c>
      <c r="G71" s="1" t="s">
        <v>8</v>
      </c>
      <c r="H71" s="6">
        <f>IF(IF(Table44243140[[#This Row],[Pre or Post]]="Pre",1,0)+IF(ISNUMBER(Table44243140[[#This Row],[Response]])=TRUE,1,0)=2,1,"")</f>
        <v>1</v>
      </c>
      <c r="I71" s="6" t="str">
        <f>IF(IF(Table44243140[[#This Row],[Pre or Post]]="Post",1,0)+IF(ISNUMBER(Table44243140[[#This Row],[Response]])=TRUE,1,0)=2,1,"")</f>
        <v/>
      </c>
      <c r="J71" s="6">
        <f>IF(IF(Table44243140[[#This Row],[Pre or Post]]="Pre",1,0)+IF(ISNUMBER(Table44243140[[#This Row],[Response]])=TRUE,1,0)=2,Table44243140[[#This Row],[Response]],"")</f>
        <v>2</v>
      </c>
      <c r="K71" s="6" t="str">
        <f>IF(IF(Table44243140[[#This Row],[Pre or Post]]="Post",1,0)+IF(ISNUMBER(Table44243140[[#This Row],[Response]])=TRUE,1,0)=2,Table44243140[[#This Row],[Response]],"")</f>
        <v/>
      </c>
      <c r="L71" s="6">
        <f>IF(IF(ISNUMBER(J71),1,0)+IF(ISNUMBER(K72),1,0)=2,IF(IF(C72=C71,1,0)+IF(B72=B71,1,0)+IF(D72="Post",1,0)+IF(D71="Pre",1,0)=4,Table44243140[[#This Row],[Pre Total]],""),"")</f>
        <v>2</v>
      </c>
      <c r="M71" s="6" t="str">
        <f>IF(IF(ISNUMBER(J70),1,0)+IF(ISNUMBER(Table44243140[[#This Row],[Post Total]]),1,0)=2,IF(IF(Table44243140[[#This Row],[Student Number]]=C70,1,0)+IF(Table44243140[[#This Row],[Session]]=B70,1,0)+IF(Table44243140[[#This Row],[Pre or Post]]="Post",1,0)+IF(D70="Pre",1,0)=4,Table44243140[[#This Row],[Post Total]],""),"")</f>
        <v/>
      </c>
      <c r="N71" s="6" t="str">
        <f>IF(IF(ISNUMBER(J70),1,0)+IF(ISNUMBER(Table44243140[[#This Row],[Post Total]]),1,0)=2,IF(IF(Table44243140[[#This Row],[Student Number]]=C70,1,0)+IF(Table44243140[[#This Row],[Session]]=B70,1,0)+IF(Table44243140[[#This Row],[Pre or Post]]="Post",1,0)+IF(D70="Pre",1,0)=4,Table44243140[[#This Row],[Post Total]]-J70,""),"")</f>
        <v/>
      </c>
      <c r="O71" s="6" t="b">
        <f>ISNUMBER(Table44243140[[#This Row],[Change]])</f>
        <v>0</v>
      </c>
    </row>
    <row r="72" spans="1:15">
      <c r="A72" s="1" t="s">
        <v>24</v>
      </c>
      <c r="B72" s="1" t="s">
        <v>25</v>
      </c>
      <c r="C72" s="1">
        <v>10</v>
      </c>
      <c r="D72" s="1" t="s">
        <v>16</v>
      </c>
      <c r="E72" s="1">
        <v>4</v>
      </c>
      <c r="F72" s="1">
        <v>3</v>
      </c>
      <c r="G72" s="2" t="s">
        <v>8</v>
      </c>
      <c r="H72" s="5" t="str">
        <f>IF(IF(Table44243140[[#This Row],[Pre or Post]]="Pre",1,0)+IF(ISNUMBER(Table44243140[[#This Row],[Response]])=TRUE,1,0)=2,1,"")</f>
        <v/>
      </c>
      <c r="I72" s="5">
        <f>IF(IF(Table44243140[[#This Row],[Pre or Post]]="Post",1,0)+IF(ISNUMBER(Table44243140[[#This Row],[Response]])=TRUE,1,0)=2,1,"")</f>
        <v>1</v>
      </c>
      <c r="J72" s="5" t="str">
        <f>IF(IF(Table44243140[[#This Row],[Pre or Post]]="Pre",1,0)+IF(ISNUMBER(Table44243140[[#This Row],[Response]])=TRUE,1,0)=2,Table44243140[[#This Row],[Response]],"")</f>
        <v/>
      </c>
      <c r="K72" s="5">
        <v>4</v>
      </c>
      <c r="L72" s="5" t="str">
        <f>IF(IF(ISNUMBER(J72),1,0)+IF(ISNUMBER(K73),1,0)=2,IF(IF(C73=C72,1,0)+IF(B73=B72,1,0)+IF(D73="Post",1,0)+IF(D72="Pre",1,0)=4,Table44243140[[#This Row],[Pre Total]],""),"")</f>
        <v/>
      </c>
      <c r="M72" s="5">
        <f>IF(IF(ISNUMBER(J71),1,0)+IF(ISNUMBER(Table44243140[[#This Row],[Post Total]]),1,0)=2,IF(IF(Table44243140[[#This Row],[Student Number]]=C71,1,0)+IF(Table44243140[[#This Row],[Session]]=B71,1,0)+IF(Table44243140[[#This Row],[Pre or Post]]="Post",1,0)+IF(D71="Pre",1,0)=4,Table44243140[[#This Row],[Post Total]],""),"")</f>
        <v>4</v>
      </c>
      <c r="N72" s="5">
        <f>IF(IF(ISNUMBER(J71),1,0)+IF(ISNUMBER(Table44243140[[#This Row],[Post Total]]),1,0)=2,IF(IF(Table44243140[[#This Row],[Student Number]]=C71,1,0)+IF(Table44243140[[#This Row],[Session]]=B71,1,0)+IF(Table44243140[[#This Row],[Pre or Post]]="Post",1,0)+IF(D71="Pre",1,0)=4,Table44243140[[#This Row],[Post Total]]-J71,""),"")</f>
        <v>2</v>
      </c>
      <c r="O72" s="5" t="b">
        <f>ISNUMBER(Table44243140[[#This Row],[Change]])</f>
        <v>1</v>
      </c>
    </row>
    <row r="73" spans="1:15">
      <c r="A73" s="1" t="s">
        <v>24</v>
      </c>
      <c r="B73" s="1" t="s">
        <v>25</v>
      </c>
      <c r="C73" s="1">
        <v>11</v>
      </c>
      <c r="D73" s="1" t="s">
        <v>6</v>
      </c>
      <c r="E73" s="1">
        <v>11</v>
      </c>
      <c r="F73" s="1">
        <v>2</v>
      </c>
      <c r="G73" s="1" t="s">
        <v>8</v>
      </c>
      <c r="H73" s="5">
        <f>IF(IF(Table44243140[[#This Row],[Pre or Post]]="Pre",1,0)+IF(ISNUMBER(Table44243140[[#This Row],[Response]])=TRUE,1,0)=2,1,"")</f>
        <v>1</v>
      </c>
      <c r="I73" s="5" t="str">
        <f>IF(IF(Table44243140[[#This Row],[Pre or Post]]="Post",1,0)+IF(ISNUMBER(Table44243140[[#This Row],[Response]])=TRUE,1,0)=2,1,"")</f>
        <v/>
      </c>
      <c r="J73" s="5">
        <f>IF(IF(Table44243140[[#This Row],[Pre or Post]]="Pre",1,0)+IF(ISNUMBER(Table44243140[[#This Row],[Response]])=TRUE,1,0)=2,Table44243140[[#This Row],[Response]],"")</f>
        <v>2</v>
      </c>
      <c r="K73" s="5" t="str">
        <f>IF(IF(Table44243140[[#This Row],[Pre or Post]]="Post",1,0)+IF(ISNUMBER(Table44243140[[#This Row],[Response]])=TRUE,1,0)=2,Table44243140[[#This Row],[Response]],"")</f>
        <v/>
      </c>
      <c r="L73" s="5">
        <f>IF(IF(ISNUMBER(J73),1,0)+IF(ISNUMBER(K74),1,0)=2,IF(IF(C74=C73,1,0)+IF(B74=B73,1,0)+IF(D74="Post",1,0)+IF(D73="Pre",1,0)=4,Table44243140[[#This Row],[Pre Total]],""),"")</f>
        <v>2</v>
      </c>
      <c r="M73" s="5" t="str">
        <f>IF(IF(ISNUMBER(J72),1,0)+IF(ISNUMBER(Table44243140[[#This Row],[Post Total]]),1,0)=2,IF(IF(Table44243140[[#This Row],[Student Number]]=C72,1,0)+IF(Table44243140[[#This Row],[Session]]=B72,1,0)+IF(Table44243140[[#This Row],[Pre or Post]]="Post",1,0)+IF(D72="Pre",1,0)=4,Table44243140[[#This Row],[Post Total]],""),"")</f>
        <v/>
      </c>
      <c r="N73" s="5" t="str">
        <f>IF(IF(ISNUMBER(J72),1,0)+IF(ISNUMBER(Table44243140[[#This Row],[Post Total]]),1,0)=2,IF(IF(Table44243140[[#This Row],[Student Number]]=C72,1,0)+IF(Table44243140[[#This Row],[Session]]=B72,1,0)+IF(Table44243140[[#This Row],[Pre or Post]]="Post",1,0)+IF(D72="Pre",1,0)=4,Table44243140[[#This Row],[Post Total]]-J72,""),"")</f>
        <v/>
      </c>
      <c r="O73" s="5" t="b">
        <f>ISNUMBER(Table44243140[[#This Row],[Change]])</f>
        <v>0</v>
      </c>
    </row>
    <row r="74" spans="1:15">
      <c r="A74" s="1" t="s">
        <v>24</v>
      </c>
      <c r="B74" s="1" t="s">
        <v>25</v>
      </c>
      <c r="C74" s="1">
        <v>11</v>
      </c>
      <c r="D74" s="1" t="s">
        <v>16</v>
      </c>
      <c r="E74" s="1">
        <v>4</v>
      </c>
      <c r="F74" s="1">
        <v>4</v>
      </c>
      <c r="G74" s="2" t="s">
        <v>8</v>
      </c>
      <c r="H74" s="5" t="str">
        <f>IF(IF(Table44243140[[#This Row],[Pre or Post]]="Pre",1,0)+IF(ISNUMBER(Table44243140[[#This Row],[Response]])=TRUE,1,0)=2,1,"")</f>
        <v/>
      </c>
      <c r="I74" s="5">
        <f>IF(IF(Table44243140[[#This Row],[Pre or Post]]="Post",1,0)+IF(ISNUMBER(Table44243140[[#This Row],[Response]])=TRUE,1,0)=2,1,"")</f>
        <v>1</v>
      </c>
      <c r="J74" s="5" t="str">
        <f>IF(IF(Table44243140[[#This Row],[Pre or Post]]="Pre",1,0)+IF(ISNUMBER(Table44243140[[#This Row],[Response]])=TRUE,1,0)=2,Table44243140[[#This Row],[Response]],"")</f>
        <v/>
      </c>
      <c r="K74" s="5">
        <f>IF(IF(Table44243140[[#This Row],[Pre or Post]]="Post",1,0)+IF(ISNUMBER(Table44243140[[#This Row],[Response]])=TRUE,1,0)=2,Table44243140[[#This Row],[Response]],"")</f>
        <v>4</v>
      </c>
      <c r="L74" s="5" t="str">
        <f>IF(IF(ISNUMBER(J74),1,0)+IF(ISNUMBER(K75),1,0)=2,IF(IF(C75=C74,1,0)+IF(B75=B74,1,0)+IF(D75="Post",1,0)+IF(D74="Pre",1,0)=4,Table44243140[[#This Row],[Pre Total]],""),"")</f>
        <v/>
      </c>
      <c r="M74" s="5">
        <f>IF(IF(ISNUMBER(J73),1,0)+IF(ISNUMBER(Table44243140[[#This Row],[Post Total]]),1,0)=2,IF(IF(Table44243140[[#This Row],[Student Number]]=C73,1,0)+IF(Table44243140[[#This Row],[Session]]=B73,1,0)+IF(Table44243140[[#This Row],[Pre or Post]]="Post",1,0)+IF(D73="Pre",1,0)=4,Table44243140[[#This Row],[Post Total]],""),"")</f>
        <v>4</v>
      </c>
      <c r="N74" s="5">
        <f>IF(IF(ISNUMBER(J73),1,0)+IF(ISNUMBER(Table44243140[[#This Row],[Post Total]]),1,0)=2,IF(IF(Table44243140[[#This Row],[Student Number]]=C73,1,0)+IF(Table44243140[[#This Row],[Session]]=B73,1,0)+IF(Table44243140[[#This Row],[Pre or Post]]="Post",1,0)+IF(D73="Pre",1,0)=4,Table44243140[[#This Row],[Post Total]]-J73,""),"")</f>
        <v>2</v>
      </c>
      <c r="O74" s="5" t="b">
        <f>ISNUMBER(Table44243140[[#This Row],[Change]])</f>
        <v>1</v>
      </c>
    </row>
    <row r="75" spans="1:15">
      <c r="A75" s="1" t="s">
        <v>24</v>
      </c>
      <c r="B75" s="1" t="s">
        <v>25</v>
      </c>
      <c r="C75" s="1">
        <v>12</v>
      </c>
      <c r="D75" s="1" t="s">
        <v>6</v>
      </c>
      <c r="E75" s="1">
        <v>11</v>
      </c>
      <c r="F75" s="1">
        <v>3</v>
      </c>
      <c r="G75" s="1" t="s">
        <v>8</v>
      </c>
      <c r="H75" s="6">
        <f>IF(IF(Table44243140[[#This Row],[Pre or Post]]="Pre",1,0)+IF(ISNUMBER(Table44243140[[#This Row],[Response]])=TRUE,1,0)=2,1,"")</f>
        <v>1</v>
      </c>
      <c r="I75" s="6" t="str">
        <f>IF(IF(Table44243140[[#This Row],[Pre or Post]]="Post",1,0)+IF(ISNUMBER(Table44243140[[#This Row],[Response]])=TRUE,1,0)=2,1,"")</f>
        <v/>
      </c>
      <c r="J75" s="6">
        <f>IF(IF(Table44243140[[#This Row],[Pre or Post]]="Pre",1,0)+IF(ISNUMBER(Table44243140[[#This Row],[Response]])=TRUE,1,0)=2,Table44243140[[#This Row],[Response]],"")</f>
        <v>3</v>
      </c>
      <c r="K75" s="6" t="str">
        <f>IF(IF(Table44243140[[#This Row],[Pre or Post]]="Post",1,0)+IF(ISNUMBER(Table44243140[[#This Row],[Response]])=TRUE,1,0)=2,Table44243140[[#This Row],[Response]],"")</f>
        <v/>
      </c>
      <c r="L75" s="6">
        <f>IF(IF(ISNUMBER(J75),1,0)+IF(ISNUMBER(K76),1,0)=2,IF(IF(C76=C75,1,0)+IF(B76=B75,1,0)+IF(D76="Post",1,0)+IF(D75="Pre",1,0)=4,Table44243140[[#This Row],[Pre Total]],""),"")</f>
        <v>3</v>
      </c>
      <c r="M75" s="6" t="str">
        <f>IF(IF(ISNUMBER(J74),1,0)+IF(ISNUMBER(Table44243140[[#This Row],[Post Total]]),1,0)=2,IF(IF(Table44243140[[#This Row],[Student Number]]=C74,1,0)+IF(Table44243140[[#This Row],[Session]]=B74,1,0)+IF(Table44243140[[#This Row],[Pre or Post]]="Post",1,0)+IF(D74="Pre",1,0)=4,Table44243140[[#This Row],[Post Total]],""),"")</f>
        <v/>
      </c>
      <c r="N75" s="6" t="str">
        <f>IF(IF(ISNUMBER(J74),1,0)+IF(ISNUMBER(Table44243140[[#This Row],[Post Total]]),1,0)=2,IF(IF(Table44243140[[#This Row],[Student Number]]=C74,1,0)+IF(Table44243140[[#This Row],[Session]]=B74,1,0)+IF(Table44243140[[#This Row],[Pre or Post]]="Post",1,0)+IF(D74="Pre",1,0)=4,Table44243140[[#This Row],[Post Total]]-J74,""),"")</f>
        <v/>
      </c>
      <c r="O75" s="6" t="b">
        <f>ISNUMBER(Table44243140[[#This Row],[Change]])</f>
        <v>0</v>
      </c>
    </row>
    <row r="76" spans="1:15">
      <c r="A76" s="1" t="s">
        <v>24</v>
      </c>
      <c r="B76" s="1" t="s">
        <v>25</v>
      </c>
      <c r="C76" s="1">
        <v>12</v>
      </c>
      <c r="D76" s="1" t="s">
        <v>16</v>
      </c>
      <c r="E76" s="1">
        <v>4</v>
      </c>
      <c r="F76" s="1">
        <v>4</v>
      </c>
      <c r="G76" s="2" t="s">
        <v>8</v>
      </c>
      <c r="H76" s="5" t="str">
        <f>IF(IF(Table44243140[[#This Row],[Pre or Post]]="Pre",1,0)+IF(ISNUMBER(Table44243140[[#This Row],[Response]])=TRUE,1,0)=2,1,"")</f>
        <v/>
      </c>
      <c r="I76" s="5">
        <f>IF(IF(Table44243140[[#This Row],[Pre or Post]]="Post",1,0)+IF(ISNUMBER(Table44243140[[#This Row],[Response]])=TRUE,1,0)=2,1,"")</f>
        <v>1</v>
      </c>
      <c r="J76" s="5" t="str">
        <f>IF(IF(Table44243140[[#This Row],[Pre or Post]]="Pre",1,0)+IF(ISNUMBER(Table44243140[[#This Row],[Response]])=TRUE,1,0)=2,Table44243140[[#This Row],[Response]],"")</f>
        <v/>
      </c>
      <c r="K76" s="5">
        <f>IF(IF(Table44243140[[#This Row],[Pre or Post]]="Post",1,0)+IF(ISNUMBER(Table44243140[[#This Row],[Response]])=TRUE,1,0)=2,Table44243140[[#This Row],[Response]],"")</f>
        <v>4</v>
      </c>
      <c r="L76" s="5" t="str">
        <f>IF(IF(ISNUMBER(J76),1,0)+IF(ISNUMBER(K77),1,0)=2,IF(IF(C77=C76,1,0)+IF(B77=B76,1,0)+IF(D77="Post",1,0)+IF(D76="Pre",1,0)=4,Table44243140[[#This Row],[Pre Total]],""),"")</f>
        <v/>
      </c>
      <c r="M76" s="5">
        <f>IF(IF(ISNUMBER(J75),1,0)+IF(ISNUMBER(Table44243140[[#This Row],[Post Total]]),1,0)=2,IF(IF(Table44243140[[#This Row],[Student Number]]=C75,1,0)+IF(Table44243140[[#This Row],[Session]]=B75,1,0)+IF(Table44243140[[#This Row],[Pre or Post]]="Post",1,0)+IF(D75="Pre",1,0)=4,Table44243140[[#This Row],[Post Total]],""),"")</f>
        <v>4</v>
      </c>
      <c r="N76" s="5">
        <f>IF(IF(ISNUMBER(J75),1,0)+IF(ISNUMBER(Table44243140[[#This Row],[Post Total]]),1,0)=2,IF(IF(Table44243140[[#This Row],[Student Number]]=C75,1,0)+IF(Table44243140[[#This Row],[Session]]=B75,1,0)+IF(Table44243140[[#This Row],[Pre or Post]]="Post",1,0)+IF(D75="Pre",1,0)=4,Table44243140[[#This Row],[Post Total]]-J75,""),"")</f>
        <v>1</v>
      </c>
      <c r="O76" s="5" t="b">
        <f>ISNUMBER(Table44243140[[#This Row],[Change]])</f>
        <v>1</v>
      </c>
    </row>
    <row r="77" spans="1:15">
      <c r="A77" s="1" t="s">
        <v>24</v>
      </c>
      <c r="B77" s="1" t="s">
        <v>25</v>
      </c>
      <c r="C77" s="1">
        <v>13</v>
      </c>
      <c r="D77" s="1" t="s">
        <v>6</v>
      </c>
      <c r="E77" s="1">
        <v>11</v>
      </c>
      <c r="F77" s="1">
        <v>1</v>
      </c>
      <c r="G77" s="1" t="s">
        <v>8</v>
      </c>
      <c r="H77" s="5">
        <f>IF(IF(Table44243140[[#This Row],[Pre or Post]]="Pre",1,0)+IF(ISNUMBER(Table44243140[[#This Row],[Response]])=TRUE,1,0)=2,1,"")</f>
        <v>1</v>
      </c>
      <c r="I77" s="5" t="str">
        <f>IF(IF(Table44243140[[#This Row],[Pre or Post]]="Post",1,0)+IF(ISNUMBER(Table44243140[[#This Row],[Response]])=TRUE,1,0)=2,1,"")</f>
        <v/>
      </c>
      <c r="J77" s="5">
        <f>IF(IF(Table44243140[[#This Row],[Pre or Post]]="Pre",1,0)+IF(ISNUMBER(Table44243140[[#This Row],[Response]])=TRUE,1,0)=2,Table44243140[[#This Row],[Response]],"")</f>
        <v>1</v>
      </c>
      <c r="K77" s="5" t="str">
        <f>IF(IF(Table44243140[[#This Row],[Pre or Post]]="Post",1,0)+IF(ISNUMBER(Table44243140[[#This Row],[Response]])=TRUE,1,0)=2,Table44243140[[#This Row],[Response]],"")</f>
        <v/>
      </c>
      <c r="L77" s="5">
        <f>IF(IF(ISNUMBER(J77),1,0)+IF(ISNUMBER(K78),1,0)=2,IF(IF(C78=C77,1,0)+IF(B78=B77,1,0)+IF(D78="Post",1,0)+IF(D77="Pre",1,0)=4,Table44243140[[#This Row],[Pre Total]],""),"")</f>
        <v>1</v>
      </c>
      <c r="M77" s="5" t="str">
        <f>IF(IF(ISNUMBER(J76),1,0)+IF(ISNUMBER(Table44243140[[#This Row],[Post Total]]),1,0)=2,IF(IF(Table44243140[[#This Row],[Student Number]]=C76,1,0)+IF(Table44243140[[#This Row],[Session]]=B76,1,0)+IF(Table44243140[[#This Row],[Pre or Post]]="Post",1,0)+IF(D76="Pre",1,0)=4,Table44243140[[#This Row],[Post Total]],""),"")</f>
        <v/>
      </c>
      <c r="N77" s="5" t="str">
        <f>IF(IF(ISNUMBER(J76),1,0)+IF(ISNUMBER(Table44243140[[#This Row],[Post Total]]),1,0)=2,IF(IF(Table44243140[[#This Row],[Student Number]]=C76,1,0)+IF(Table44243140[[#This Row],[Session]]=B76,1,0)+IF(Table44243140[[#This Row],[Pre or Post]]="Post",1,0)+IF(D76="Pre",1,0)=4,Table44243140[[#This Row],[Post Total]]-J76,""),"")</f>
        <v/>
      </c>
      <c r="O77" s="5" t="b">
        <f>ISNUMBER(Table44243140[[#This Row],[Change]])</f>
        <v>0</v>
      </c>
    </row>
    <row r="78" spans="1:15">
      <c r="A78" s="1" t="s">
        <v>24</v>
      </c>
      <c r="B78" s="1" t="s">
        <v>25</v>
      </c>
      <c r="C78" s="1">
        <v>13</v>
      </c>
      <c r="D78" s="1" t="s">
        <v>16</v>
      </c>
      <c r="E78" s="1">
        <v>4</v>
      </c>
      <c r="F78" s="1">
        <v>4</v>
      </c>
      <c r="G78" s="2" t="s">
        <v>8</v>
      </c>
      <c r="H78" s="6" t="str">
        <f>IF(IF(Table44243140[[#This Row],[Pre or Post]]="Pre",1,0)+IF(ISNUMBER(Table44243140[[#This Row],[Response]])=TRUE,1,0)=2,1,"")</f>
        <v/>
      </c>
      <c r="I78" s="6">
        <f>IF(IF(Table44243140[[#This Row],[Pre or Post]]="Post",1,0)+IF(ISNUMBER(Table44243140[[#This Row],[Response]])=TRUE,1,0)=2,1,"")</f>
        <v>1</v>
      </c>
      <c r="J78" s="6" t="str">
        <f>IF(IF(Table44243140[[#This Row],[Pre or Post]]="Pre",1,0)+IF(ISNUMBER(Table44243140[[#This Row],[Response]])=TRUE,1,0)=2,Table44243140[[#This Row],[Response]],"")</f>
        <v/>
      </c>
      <c r="K78" s="6">
        <f>IF(IF(Table44243140[[#This Row],[Pre or Post]]="Post",1,0)+IF(ISNUMBER(Table44243140[[#This Row],[Response]])=TRUE,1,0)=2,Table44243140[[#This Row],[Response]],"")</f>
        <v>4</v>
      </c>
      <c r="L78" s="6" t="str">
        <f>IF(IF(ISNUMBER(J78),1,0)+IF(ISNUMBER(K79),1,0)=2,IF(IF(C79=C78,1,0)+IF(B79=B78,1,0)+IF(D79="Post",1,0)+IF(D78="Pre",1,0)=4,Table44243140[[#This Row],[Pre Total]],""),"")</f>
        <v/>
      </c>
      <c r="M78" s="6">
        <f>IF(IF(ISNUMBER(J77),1,0)+IF(ISNUMBER(Table44243140[[#This Row],[Post Total]]),1,0)=2,IF(IF(Table44243140[[#This Row],[Student Number]]=C77,1,0)+IF(Table44243140[[#This Row],[Session]]=B77,1,0)+IF(Table44243140[[#This Row],[Pre or Post]]="Post",1,0)+IF(D77="Pre",1,0)=4,Table44243140[[#This Row],[Post Total]],""),"")</f>
        <v>4</v>
      </c>
      <c r="N78" s="6">
        <f>IF(IF(ISNUMBER(J77),1,0)+IF(ISNUMBER(Table44243140[[#This Row],[Post Total]]),1,0)=2,IF(IF(Table44243140[[#This Row],[Student Number]]=C77,1,0)+IF(Table44243140[[#This Row],[Session]]=B77,1,0)+IF(Table44243140[[#This Row],[Pre or Post]]="Post",1,0)+IF(D77="Pre",1,0)=4,Table44243140[[#This Row],[Post Total]]-J77,""),"")</f>
        <v>3</v>
      </c>
      <c r="O78" s="6" t="b">
        <f>ISNUMBER(Table44243140[[#This Row],[Change]])</f>
        <v>1</v>
      </c>
    </row>
    <row r="79" spans="1:15">
      <c r="A79" s="1" t="s">
        <v>24</v>
      </c>
      <c r="B79" s="1" t="s">
        <v>25</v>
      </c>
      <c r="C79" s="1">
        <v>14</v>
      </c>
      <c r="D79" s="1" t="s">
        <v>6</v>
      </c>
      <c r="E79" s="1">
        <v>11</v>
      </c>
      <c r="F79" s="1">
        <v>3</v>
      </c>
      <c r="G79" s="1" t="s">
        <v>8</v>
      </c>
      <c r="H79" s="6">
        <f>IF(IF(Table44243140[[#This Row],[Pre or Post]]="Pre",1,0)+IF(ISNUMBER(Table44243140[[#This Row],[Response]])=TRUE,1,0)=2,1,"")</f>
        <v>1</v>
      </c>
      <c r="I79" s="6" t="str">
        <f>IF(IF(Table44243140[[#This Row],[Pre or Post]]="Post",1,0)+IF(ISNUMBER(Table44243140[[#This Row],[Response]])=TRUE,1,0)=2,1,"")</f>
        <v/>
      </c>
      <c r="J79" s="6">
        <f>IF(IF(Table44243140[[#This Row],[Pre or Post]]="Pre",1,0)+IF(ISNUMBER(Table44243140[[#This Row],[Response]])=TRUE,1,0)=2,Table44243140[[#This Row],[Response]],"")</f>
        <v>3</v>
      </c>
      <c r="K79" s="6" t="str">
        <f>IF(IF(Table44243140[[#This Row],[Pre or Post]]="Post",1,0)+IF(ISNUMBER(Table44243140[[#This Row],[Response]])=TRUE,1,0)=2,Table44243140[[#This Row],[Response]],"")</f>
        <v/>
      </c>
      <c r="L79" s="6">
        <f>IF(IF(ISNUMBER(J79),1,0)+IF(ISNUMBER(K80),1,0)=2,IF(IF(C80=C79,1,0)+IF(B80=B79,1,0)+IF(D80="Post",1,0)+IF(D79="Pre",1,0)=4,Table44243140[[#This Row],[Pre Total]],""),"")</f>
        <v>3</v>
      </c>
      <c r="M79" s="6" t="str">
        <f>IF(IF(ISNUMBER(J78),1,0)+IF(ISNUMBER(Table44243140[[#This Row],[Post Total]]),1,0)=2,IF(IF(Table44243140[[#This Row],[Student Number]]=C78,1,0)+IF(Table44243140[[#This Row],[Session]]=B78,1,0)+IF(Table44243140[[#This Row],[Pre or Post]]="Post",1,0)+IF(D78="Pre",1,0)=4,Table44243140[[#This Row],[Post Total]],""),"")</f>
        <v/>
      </c>
      <c r="N79" s="6" t="str">
        <f>IF(IF(ISNUMBER(J78),1,0)+IF(ISNUMBER(Table44243140[[#This Row],[Post Total]]),1,0)=2,IF(IF(Table44243140[[#This Row],[Student Number]]=C78,1,0)+IF(Table44243140[[#This Row],[Session]]=B78,1,0)+IF(Table44243140[[#This Row],[Pre or Post]]="Post",1,0)+IF(D78="Pre",1,0)=4,Table44243140[[#This Row],[Post Total]]-J78,""),"")</f>
        <v/>
      </c>
      <c r="O79" s="6" t="b">
        <f>ISNUMBER(Table44243140[[#This Row],[Change]])</f>
        <v>0</v>
      </c>
    </row>
    <row r="80" spans="1:15">
      <c r="A80" s="1" t="s">
        <v>24</v>
      </c>
      <c r="B80" s="1" t="s">
        <v>25</v>
      </c>
      <c r="C80" s="1">
        <v>14</v>
      </c>
      <c r="D80" s="1" t="s">
        <v>16</v>
      </c>
      <c r="E80" s="1">
        <v>4</v>
      </c>
      <c r="F80" s="1">
        <v>3</v>
      </c>
      <c r="G80" s="2" t="s">
        <v>8</v>
      </c>
      <c r="H80" s="5" t="str">
        <f>IF(IF(Table44243140[[#This Row],[Pre or Post]]="Pre",1,0)+IF(ISNUMBER(Table44243140[[#This Row],[Response]])=TRUE,1,0)=2,1,"")</f>
        <v/>
      </c>
      <c r="I80" s="5">
        <f>IF(IF(Table44243140[[#This Row],[Pre or Post]]="Post",1,0)+IF(ISNUMBER(Table44243140[[#This Row],[Response]])=TRUE,1,0)=2,1,"")</f>
        <v>1</v>
      </c>
      <c r="J80" s="5" t="str">
        <f>IF(IF(Table44243140[[#This Row],[Pre or Post]]="Pre",1,0)+IF(ISNUMBER(Table44243140[[#This Row],[Response]])=TRUE,1,0)=2,Table44243140[[#This Row],[Response]],"")</f>
        <v/>
      </c>
      <c r="K80" s="5">
        <f>IF(IF(Table44243140[[#This Row],[Pre or Post]]="Post",1,0)+IF(ISNUMBER(Table44243140[[#This Row],[Response]])=TRUE,1,0)=2,Table44243140[[#This Row],[Response]],"")</f>
        <v>3</v>
      </c>
      <c r="L80" s="5" t="str">
        <f>IF(IF(ISNUMBER(J80),1,0)+IF(ISNUMBER(K81),1,0)=2,IF(IF(C81=C80,1,0)+IF(B81=B80,1,0)+IF(D81="Post",1,0)+IF(D80="Pre",1,0)=4,Table44243140[[#This Row],[Pre Total]],""),"")</f>
        <v/>
      </c>
      <c r="M80" s="5">
        <f>IF(IF(ISNUMBER(J79),1,0)+IF(ISNUMBER(Table44243140[[#This Row],[Post Total]]),1,0)=2,IF(IF(Table44243140[[#This Row],[Student Number]]=C79,1,0)+IF(Table44243140[[#This Row],[Session]]=B79,1,0)+IF(Table44243140[[#This Row],[Pre or Post]]="Post",1,0)+IF(D79="Pre",1,0)=4,Table44243140[[#This Row],[Post Total]],""),"")</f>
        <v>3</v>
      </c>
      <c r="N80" s="5">
        <f>IF(IF(ISNUMBER(J79),1,0)+IF(ISNUMBER(Table44243140[[#This Row],[Post Total]]),1,0)=2,IF(IF(Table44243140[[#This Row],[Student Number]]=C79,1,0)+IF(Table44243140[[#This Row],[Session]]=B79,1,0)+IF(Table44243140[[#This Row],[Pre or Post]]="Post",1,0)+IF(D79="Pre",1,0)=4,Table44243140[[#This Row],[Post Total]]-J79,""),"")</f>
        <v>0</v>
      </c>
      <c r="O80" s="5" t="b">
        <f>ISNUMBER(Table44243140[[#This Row],[Change]])</f>
        <v>1</v>
      </c>
    </row>
    <row r="81" spans="1:15">
      <c r="A81" s="1" t="s">
        <v>24</v>
      </c>
      <c r="B81" s="1" t="s">
        <v>25</v>
      </c>
      <c r="C81" s="1">
        <v>15</v>
      </c>
      <c r="D81" s="1" t="s">
        <v>6</v>
      </c>
      <c r="E81" s="1">
        <v>11</v>
      </c>
      <c r="F81" s="1">
        <v>1</v>
      </c>
      <c r="G81" s="2" t="s">
        <v>9</v>
      </c>
      <c r="H81" s="5">
        <f>IF(IF(Table44243140[[#This Row],[Pre or Post]]="Pre",1,0)+IF(ISNUMBER(Table44243140[[#This Row],[Response]])=TRUE,1,0)=2,1,"")</f>
        <v>1</v>
      </c>
      <c r="I81" s="5" t="str">
        <f>IF(IF(Table44243140[[#This Row],[Pre or Post]]="Post",1,0)+IF(ISNUMBER(Table44243140[[#This Row],[Response]])=TRUE,1,0)=2,1,"")</f>
        <v/>
      </c>
      <c r="J81" s="5">
        <f>IF(IF(Table44243140[[#This Row],[Pre or Post]]="Pre",1,0)+IF(ISNUMBER(Table44243140[[#This Row],[Response]])=TRUE,1,0)=2,Table44243140[[#This Row],[Response]],"")</f>
        <v>1</v>
      </c>
      <c r="K81" s="5" t="str">
        <f>IF(IF(Table44243140[[#This Row],[Pre or Post]]="Post",1,0)+IF(ISNUMBER(Table44243140[[#This Row],[Response]])=TRUE,1,0)=2,Table44243140[[#This Row],[Response]],"")</f>
        <v/>
      </c>
      <c r="L81" s="5" t="str">
        <f>IF(IF(ISNUMBER(J81),1,0)+IF(ISNUMBER(K82),1,0)=2,IF(IF(C82=C81,1,0)+IF(B82=B81,1,0)+IF(D82="Post",1,0)+IF(D81="Pre",1,0)=4,Table44243140[[#This Row],[Pre Total]],""),"")</f>
        <v/>
      </c>
      <c r="M81" s="5" t="str">
        <f>IF(IF(ISNUMBER(J80),1,0)+IF(ISNUMBER(Table44243140[[#This Row],[Post Total]]),1,0)=2,IF(IF(Table44243140[[#This Row],[Student Number]]=C80,1,0)+IF(Table44243140[[#This Row],[Session]]=B80,1,0)+IF(Table44243140[[#This Row],[Pre or Post]]="Post",1,0)+IF(D80="Pre",1,0)=4,Table44243140[[#This Row],[Post Total]],""),"")</f>
        <v/>
      </c>
      <c r="N81" s="5" t="str">
        <f>IF(IF(ISNUMBER(J80),1,0)+IF(ISNUMBER(Table44243140[[#This Row],[Post Total]]),1,0)=2,IF(IF(Table44243140[[#This Row],[Student Number]]=C80,1,0)+IF(Table44243140[[#This Row],[Session]]=B80,1,0)+IF(Table44243140[[#This Row],[Pre or Post]]="Post",1,0)+IF(D80="Pre",1,0)=4,Table44243140[[#This Row],[Post Total]]-J80,""),"")</f>
        <v/>
      </c>
      <c r="O81" s="5" t="b">
        <f>ISNUMBER(Table44243140[[#This Row],[Change]])</f>
        <v>0</v>
      </c>
    </row>
    <row r="82" spans="1:15">
      <c r="A82" s="1" t="s">
        <v>24</v>
      </c>
      <c r="B82" s="1" t="s">
        <v>25</v>
      </c>
      <c r="C82" s="1">
        <v>16</v>
      </c>
      <c r="D82" s="1" t="s">
        <v>6</v>
      </c>
      <c r="E82" s="2">
        <v>11</v>
      </c>
      <c r="F82" s="1">
        <v>4</v>
      </c>
      <c r="G82" s="2" t="s">
        <v>9</v>
      </c>
      <c r="H82" s="6">
        <f>IF(IF(Table44243140[[#This Row],[Pre or Post]]="Pre",1,0)+IF(ISNUMBER(Table44243140[[#This Row],[Response]])=TRUE,1,0)=2,1,"")</f>
        <v>1</v>
      </c>
      <c r="I82" s="6" t="str">
        <f>IF(IF(Table44243140[[#This Row],[Pre or Post]]="Post",1,0)+IF(ISNUMBER(Table44243140[[#This Row],[Response]])=TRUE,1,0)=2,1,"")</f>
        <v/>
      </c>
      <c r="J82" s="6">
        <f>IF(IF(Table44243140[[#This Row],[Pre or Post]]="Pre",1,0)+IF(ISNUMBER(Table44243140[[#This Row],[Response]])=TRUE,1,0)=2,Table44243140[[#This Row],[Response]],"")</f>
        <v>4</v>
      </c>
      <c r="K82" s="6" t="str">
        <f>IF(IF(Table44243140[[#This Row],[Pre or Post]]="Post",1,0)+IF(ISNUMBER(Table44243140[[#This Row],[Response]])=TRUE,1,0)=2,Table44243140[[#This Row],[Response]],"")</f>
        <v/>
      </c>
      <c r="L82" s="6" t="str">
        <f>IF(IF(ISNUMBER(J82),1,0)+IF(ISNUMBER(K83),1,0)=2,IF(IF(C83=C82,1,0)+IF(B83=B82,1,0)+IF(D83="Post",1,0)+IF(D82="Pre",1,0)=4,Table44243140[[#This Row],[Pre Total]],""),"")</f>
        <v/>
      </c>
      <c r="M82" s="6" t="str">
        <f>IF(IF(ISNUMBER(J81),1,0)+IF(ISNUMBER(Table44243140[[#This Row],[Post Total]]),1,0)=2,IF(IF(Table44243140[[#This Row],[Student Number]]=C81,1,0)+IF(Table44243140[[#This Row],[Session]]=B81,1,0)+IF(Table44243140[[#This Row],[Pre or Post]]="Post",1,0)+IF(D81="Pre",1,0)=4,Table44243140[[#This Row],[Post Total]],""),"")</f>
        <v/>
      </c>
      <c r="N82" s="6" t="str">
        <f>IF(IF(ISNUMBER(J81),1,0)+IF(ISNUMBER(Table44243140[[#This Row],[Post Total]]),1,0)=2,IF(IF(Table44243140[[#This Row],[Student Number]]=C81,1,0)+IF(Table44243140[[#This Row],[Session]]=B81,1,0)+IF(Table44243140[[#This Row],[Pre or Post]]="Post",1,0)+IF(D81="Pre",1,0)=4,Table44243140[[#This Row],[Post Total]]-J81,""),"")</f>
        <v/>
      </c>
      <c r="O82" s="6" t="b">
        <f>ISNUMBER(Table44243140[[#This Row],[Change]])</f>
        <v>0</v>
      </c>
    </row>
    <row r="83" spans="1:15">
      <c r="A83" s="1" t="s">
        <v>24</v>
      </c>
      <c r="B83" s="1" t="s">
        <v>25</v>
      </c>
      <c r="C83" s="1">
        <v>17</v>
      </c>
      <c r="D83" s="1" t="s">
        <v>6</v>
      </c>
      <c r="E83" s="2">
        <v>11</v>
      </c>
      <c r="F83" s="1">
        <v>2</v>
      </c>
      <c r="G83" s="2" t="s">
        <v>9</v>
      </c>
      <c r="H83" s="5">
        <f>IF(IF(Table44243140[[#This Row],[Pre or Post]]="Pre",1,0)+IF(ISNUMBER(Table44243140[[#This Row],[Response]])=TRUE,1,0)=2,1,"")</f>
        <v>1</v>
      </c>
      <c r="I83" s="5" t="str">
        <f>IF(IF(Table44243140[[#This Row],[Pre or Post]]="Post",1,0)+IF(ISNUMBER(Table44243140[[#This Row],[Response]])=TRUE,1,0)=2,1,"")</f>
        <v/>
      </c>
      <c r="J83" s="5">
        <f>IF(IF(Table44243140[[#This Row],[Pre or Post]]="Pre",1,0)+IF(ISNUMBER(Table44243140[[#This Row],[Response]])=TRUE,1,0)=2,Table44243140[[#This Row],[Response]],"")</f>
        <v>2</v>
      </c>
      <c r="K83" s="5" t="str">
        <f>IF(IF(Table44243140[[#This Row],[Pre or Post]]="Post",1,0)+IF(ISNUMBER(Table44243140[[#This Row],[Response]])=TRUE,1,0)=2,Table44243140[[#This Row],[Response]],"")</f>
        <v/>
      </c>
      <c r="L83" s="5" t="str">
        <f>IF(IF(ISNUMBER(J83),1,0)+IF(ISNUMBER(K84),1,0)=2,IF(IF(C84=C83,1,0)+IF(B84=B83,1,0)+IF(D84="Post",1,0)+IF(D83="Pre",1,0)=4,Table44243140[[#This Row],[Pre Total]],""),"")</f>
        <v/>
      </c>
      <c r="M83" s="5" t="str">
        <f>IF(IF(ISNUMBER(J82),1,0)+IF(ISNUMBER(Table44243140[[#This Row],[Post Total]]),1,0)=2,IF(IF(Table44243140[[#This Row],[Student Number]]=C82,1,0)+IF(Table44243140[[#This Row],[Session]]=B82,1,0)+IF(Table44243140[[#This Row],[Pre or Post]]="Post",1,0)+IF(D82="Pre",1,0)=4,Table44243140[[#This Row],[Post Total]],""),"")</f>
        <v/>
      </c>
      <c r="N83" s="5" t="str">
        <f>IF(IF(ISNUMBER(J82),1,0)+IF(ISNUMBER(Table44243140[[#This Row],[Post Total]]),1,0)=2,IF(IF(Table44243140[[#This Row],[Student Number]]=C82,1,0)+IF(Table44243140[[#This Row],[Session]]=B82,1,0)+IF(Table44243140[[#This Row],[Pre or Post]]="Post",1,0)+IF(D82="Pre",1,0)=4,Table44243140[[#This Row],[Post Total]]-J82,""),"")</f>
        <v/>
      </c>
      <c r="O83" s="5" t="b">
        <f>ISNUMBER(Table44243140[[#This Row],[Change]])</f>
        <v>0</v>
      </c>
    </row>
    <row r="84" spans="1:15">
      <c r="A84" s="1" t="s">
        <v>24</v>
      </c>
      <c r="B84" s="1" t="s">
        <v>25</v>
      </c>
      <c r="C84" s="1">
        <v>18</v>
      </c>
      <c r="D84" s="1" t="s">
        <v>16</v>
      </c>
      <c r="E84" s="1">
        <v>4</v>
      </c>
      <c r="F84" s="1">
        <v>2</v>
      </c>
      <c r="G84" s="2" t="s">
        <v>9</v>
      </c>
      <c r="H84" s="6" t="str">
        <f>IF(IF(Table44243140[[#This Row],[Pre or Post]]="Pre",1,0)+IF(ISNUMBER(Table44243140[[#This Row],[Response]])=TRUE,1,0)=2,1,"")</f>
        <v/>
      </c>
      <c r="I84" s="6">
        <f>IF(IF(Table44243140[[#This Row],[Pre or Post]]="Post",1,0)+IF(ISNUMBER(Table44243140[[#This Row],[Response]])=TRUE,1,0)=2,1,"")</f>
        <v>1</v>
      </c>
      <c r="J84" s="6" t="str">
        <f>IF(IF(Table44243140[[#This Row],[Pre or Post]]="Pre",1,0)+IF(ISNUMBER(Table44243140[[#This Row],[Response]])=TRUE,1,0)=2,Table44243140[[#This Row],[Response]],"")</f>
        <v/>
      </c>
      <c r="K84" s="6">
        <f>IF(IF(Table44243140[[#This Row],[Pre or Post]]="Post",1,0)+IF(ISNUMBER(Table44243140[[#This Row],[Response]])=TRUE,1,0)=2,Table44243140[[#This Row],[Response]],"")</f>
        <v>2</v>
      </c>
      <c r="L84" s="6" t="str">
        <f>IF(IF(ISNUMBER(J84),1,0)+IF(ISNUMBER(K85),1,0)=2,IF(IF(C85=C84,1,0)+IF(B85=B84,1,0)+IF(D85="Post",1,0)+IF(D84="Pre",1,0)=4,Table44243140[[#This Row],[Pre Total]],""),"")</f>
        <v/>
      </c>
      <c r="M84" s="6" t="str">
        <f>IF(IF(ISNUMBER(J83),1,0)+IF(ISNUMBER(Table44243140[[#This Row],[Post Total]]),1,0)=2,IF(IF(Table44243140[[#This Row],[Student Number]]=C83,1,0)+IF(Table44243140[[#This Row],[Session]]=B83,1,0)+IF(Table44243140[[#This Row],[Pre or Post]]="Post",1,0)+IF(D83="Pre",1,0)=4,Table44243140[[#This Row],[Post Total]],""),"")</f>
        <v/>
      </c>
      <c r="N84" s="6" t="str">
        <f>IF(IF(ISNUMBER(J83),1,0)+IF(ISNUMBER(Table44243140[[#This Row],[Post Total]]),1,0)=2,IF(IF(Table44243140[[#This Row],[Student Number]]=C83,1,0)+IF(Table44243140[[#This Row],[Session]]=B83,1,0)+IF(Table44243140[[#This Row],[Pre or Post]]="Post",1,0)+IF(D83="Pre",1,0)=4,Table44243140[[#This Row],[Post Total]]-J83,""),"")</f>
        <v/>
      </c>
      <c r="O84" s="6" t="b">
        <f>ISNUMBER(Table44243140[[#This Row],[Change]])</f>
        <v>0</v>
      </c>
    </row>
    <row r="85" spans="1:15">
      <c r="A85" s="1" t="s">
        <v>24</v>
      </c>
      <c r="B85" s="1" t="s">
        <v>25</v>
      </c>
      <c r="C85" s="1">
        <v>19</v>
      </c>
      <c r="D85" s="1" t="s">
        <v>16</v>
      </c>
      <c r="E85" s="1">
        <v>4</v>
      </c>
      <c r="F85" s="1">
        <v>3</v>
      </c>
      <c r="G85" s="2" t="s">
        <v>9</v>
      </c>
      <c r="H85" s="5" t="str">
        <f>IF(IF(Table44243140[[#This Row],[Pre or Post]]="Pre",1,0)+IF(ISNUMBER(Table44243140[[#This Row],[Response]])=TRUE,1,0)=2,1,"")</f>
        <v/>
      </c>
      <c r="I85" s="5">
        <f>IF(IF(Table44243140[[#This Row],[Pre or Post]]="Post",1,0)+IF(ISNUMBER(Table44243140[[#This Row],[Response]])=TRUE,1,0)=2,1,"")</f>
        <v>1</v>
      </c>
      <c r="J85" s="5" t="str">
        <f>IF(IF(Table44243140[[#This Row],[Pre or Post]]="Pre",1,0)+IF(ISNUMBER(Table44243140[[#This Row],[Response]])=TRUE,1,0)=2,Table44243140[[#This Row],[Response]],"")</f>
        <v/>
      </c>
      <c r="K85" s="5">
        <f>IF(IF(Table44243140[[#This Row],[Pre or Post]]="Post",1,0)+IF(ISNUMBER(Table44243140[[#This Row],[Response]])=TRUE,1,0)=2,Table44243140[[#This Row],[Response]],"")</f>
        <v>3</v>
      </c>
      <c r="L85" s="5" t="str">
        <f>IF(IF(ISNUMBER(J85),1,0)+IF(ISNUMBER(K86),1,0)=2,IF(IF(C86=C85,1,0)+IF(B86=B85,1,0)+IF(D86="Post",1,0)+IF(D85="Pre",1,0)=4,Table44243140[[#This Row],[Pre Total]],""),"")</f>
        <v/>
      </c>
      <c r="M85" s="5" t="str">
        <f>IF(IF(ISNUMBER(J84),1,0)+IF(ISNUMBER(Table44243140[[#This Row],[Post Total]]),1,0)=2,IF(IF(Table44243140[[#This Row],[Student Number]]=C84,1,0)+IF(Table44243140[[#This Row],[Session]]=B84,1,0)+IF(Table44243140[[#This Row],[Pre or Post]]="Post",1,0)+IF(D84="Pre",1,0)=4,Table44243140[[#This Row],[Post Total]],""),"")</f>
        <v/>
      </c>
      <c r="N85" s="5" t="str">
        <f>IF(IF(ISNUMBER(J84),1,0)+IF(ISNUMBER(Table44243140[[#This Row],[Post Total]]),1,0)=2,IF(IF(Table44243140[[#This Row],[Student Number]]=C84,1,0)+IF(Table44243140[[#This Row],[Session]]=B84,1,0)+IF(Table44243140[[#This Row],[Pre or Post]]="Post",1,0)+IF(D84="Pre",1,0)=4,Table44243140[[#This Row],[Post Total]]-J84,""),"")</f>
        <v/>
      </c>
      <c r="O85" s="5" t="b">
        <f>ISNUMBER(Table44243140[[#This Row],[Change]])</f>
        <v>0</v>
      </c>
    </row>
    <row r="86" spans="1:15">
      <c r="A86" s="1" t="s">
        <v>24</v>
      </c>
      <c r="B86" s="1" t="s">
        <v>25</v>
      </c>
      <c r="C86" s="1">
        <v>20</v>
      </c>
      <c r="D86" s="1" t="s">
        <v>16</v>
      </c>
      <c r="E86" s="1">
        <v>4</v>
      </c>
      <c r="F86" s="1">
        <v>3</v>
      </c>
      <c r="G86" s="2" t="s">
        <v>9</v>
      </c>
      <c r="H86" s="6" t="str">
        <f>IF(IF(Table44243140[[#This Row],[Pre or Post]]="Pre",1,0)+IF(ISNUMBER(Table44243140[[#This Row],[Response]])=TRUE,1,0)=2,1,"")</f>
        <v/>
      </c>
      <c r="I86" s="6">
        <f>IF(IF(Table44243140[[#This Row],[Pre or Post]]="Post",1,0)+IF(ISNUMBER(Table44243140[[#This Row],[Response]])=TRUE,1,0)=2,1,"")</f>
        <v>1</v>
      </c>
      <c r="J86" s="6" t="str">
        <f>IF(IF(Table44243140[[#This Row],[Pre or Post]]="Pre",1,0)+IF(ISNUMBER(Table44243140[[#This Row],[Response]])=TRUE,1,0)=2,Table44243140[[#This Row],[Response]],"")</f>
        <v/>
      </c>
      <c r="K86" s="6">
        <f>IF(IF(Table44243140[[#This Row],[Pre or Post]]="Post",1,0)+IF(ISNUMBER(Table44243140[[#This Row],[Response]])=TRUE,1,0)=2,Table44243140[[#This Row],[Response]],"")</f>
        <v>3</v>
      </c>
      <c r="L86" s="6" t="str">
        <f>IF(IF(ISNUMBER(J86),1,0)+IF(ISNUMBER(K87),1,0)=2,IF(IF(C87=C86,1,0)+IF(B87=B86,1,0)+IF(D87="Post",1,0)+IF(D86="Pre",1,0)=4,Table44243140[[#This Row],[Pre Total]],""),"")</f>
        <v/>
      </c>
      <c r="M86" s="6" t="str">
        <f>IF(IF(ISNUMBER(J85),1,0)+IF(ISNUMBER(Table44243140[[#This Row],[Post Total]]),1,0)=2,IF(IF(Table44243140[[#This Row],[Student Number]]=C85,1,0)+IF(Table44243140[[#This Row],[Session]]=B85,1,0)+IF(Table44243140[[#This Row],[Pre or Post]]="Post",1,0)+IF(D85="Pre",1,0)=4,Table44243140[[#This Row],[Post Total]],""),"")</f>
        <v/>
      </c>
      <c r="N86" s="6" t="str">
        <f>IF(IF(ISNUMBER(J85),1,0)+IF(ISNUMBER(Table44243140[[#This Row],[Post Total]]),1,0)=2,IF(IF(Table44243140[[#This Row],[Student Number]]=C85,1,0)+IF(Table44243140[[#This Row],[Session]]=B85,1,0)+IF(Table44243140[[#This Row],[Pre or Post]]="Post",1,0)+IF(D85="Pre",1,0)=4,Table44243140[[#This Row],[Post Total]]-J85,""),"")</f>
        <v/>
      </c>
      <c r="O86" s="6" t="b">
        <f>ISNUMBER(Table44243140[[#This Row],[Change]])</f>
        <v>0</v>
      </c>
    </row>
    <row r="87" spans="1:15">
      <c r="A87" s="1" t="s">
        <v>24</v>
      </c>
      <c r="B87" s="1" t="s">
        <v>25</v>
      </c>
      <c r="C87" s="1">
        <v>21</v>
      </c>
      <c r="D87" s="1" t="s">
        <v>16</v>
      </c>
      <c r="E87" s="1">
        <v>4</v>
      </c>
      <c r="F87" s="1">
        <v>1</v>
      </c>
      <c r="G87" s="2" t="s">
        <v>9</v>
      </c>
      <c r="H87" s="5" t="str">
        <f>IF(IF(Table44243140[[#This Row],[Pre or Post]]="Pre",1,0)+IF(ISNUMBER(Table44243140[[#This Row],[Response]])=TRUE,1,0)=2,1,"")</f>
        <v/>
      </c>
      <c r="I87" s="5">
        <f>IF(IF(Table44243140[[#This Row],[Pre or Post]]="Post",1,0)+IF(ISNUMBER(Table44243140[[#This Row],[Response]])=TRUE,1,0)=2,1,"")</f>
        <v>1</v>
      </c>
      <c r="J87" s="5" t="str">
        <f>IF(IF(Table44243140[[#This Row],[Pre or Post]]="Pre",1,0)+IF(ISNUMBER(Table44243140[[#This Row],[Response]])=TRUE,1,0)=2,Table44243140[[#This Row],[Response]],"")</f>
        <v/>
      </c>
      <c r="K87" s="5">
        <f>IF(IF(Table44243140[[#This Row],[Pre or Post]]="Post",1,0)+IF(ISNUMBER(Table44243140[[#This Row],[Response]])=TRUE,1,0)=2,Table44243140[[#This Row],[Response]],"")</f>
        <v>1</v>
      </c>
      <c r="L87" s="5" t="str">
        <f>IF(IF(ISNUMBER(J87),1,0)+IF(ISNUMBER(K88),1,0)=2,IF(IF(C88=C87,1,0)+IF(B88=B87,1,0)+IF(D88="Post",1,0)+IF(D87="Pre",1,0)=4,Table44243140[[#This Row],[Pre Total]],""),"")</f>
        <v/>
      </c>
      <c r="M87" s="5" t="str">
        <f>IF(IF(ISNUMBER(J86),1,0)+IF(ISNUMBER(Table44243140[[#This Row],[Post Total]]),1,0)=2,IF(IF(Table44243140[[#This Row],[Student Number]]=C86,1,0)+IF(Table44243140[[#This Row],[Session]]=B86,1,0)+IF(Table44243140[[#This Row],[Pre or Post]]="Post",1,0)+IF(D86="Pre",1,0)=4,Table44243140[[#This Row],[Post Total]],""),"")</f>
        <v/>
      </c>
      <c r="N87" s="5" t="str">
        <f>IF(IF(ISNUMBER(J86),1,0)+IF(ISNUMBER(Table44243140[[#This Row],[Post Total]]),1,0)=2,IF(IF(Table44243140[[#This Row],[Student Number]]=C86,1,0)+IF(Table44243140[[#This Row],[Session]]=B86,1,0)+IF(Table44243140[[#This Row],[Pre or Post]]="Post",1,0)+IF(D86="Pre",1,0)=4,Table44243140[[#This Row],[Post Total]]-J86,""),"")</f>
        <v/>
      </c>
      <c r="O87" s="5" t="b">
        <f>ISNUMBER(Table44243140[[#This Row],[Change]])</f>
        <v>0</v>
      </c>
    </row>
    <row r="88" spans="1:15">
      <c r="A88" s="2" t="s">
        <v>24</v>
      </c>
      <c r="B88" s="2" t="s">
        <v>28</v>
      </c>
      <c r="C88" s="1">
        <v>1</v>
      </c>
      <c r="D88" s="1" t="s">
        <v>6</v>
      </c>
      <c r="E88" s="1">
        <v>11</v>
      </c>
      <c r="F88" s="1">
        <v>1</v>
      </c>
      <c r="G88" s="2" t="s">
        <v>8</v>
      </c>
      <c r="H88" s="5">
        <f>IF(IF(Table44243140[[#This Row],[Pre or Post]]="Pre",1,0)+IF(ISNUMBER(Table44243140[[#This Row],[Response]])=TRUE,1,0)=2,1,"")</f>
        <v>1</v>
      </c>
      <c r="I88" s="5" t="str">
        <f>IF(IF(Table44243140[[#This Row],[Pre or Post]]="Post",1,0)+IF(ISNUMBER(Table44243140[[#This Row],[Response]])=TRUE,1,0)=2,1,"")</f>
        <v/>
      </c>
      <c r="J88" s="5">
        <f>IF(IF(Table44243140[[#This Row],[Pre or Post]]="Pre",1,0)+IF(ISNUMBER(Table44243140[[#This Row],[Response]])=TRUE,1,0)=2,Table44243140[[#This Row],[Response]],"")</f>
        <v>1</v>
      </c>
      <c r="K88" s="5" t="str">
        <f>IF(IF(Table44243140[[#This Row],[Pre or Post]]="Post",1,0)+IF(ISNUMBER(Table44243140[[#This Row],[Response]])=TRUE,1,0)=2,Table44243140[[#This Row],[Response]],"")</f>
        <v/>
      </c>
      <c r="L88" s="5">
        <f>IF(IF(ISNUMBER(J88),1,0)+IF(ISNUMBER(K89),1,0)=2,IF(IF(C89=C88,1,0)+IF(B89=B88,1,0)+IF(D89="Post",1,0)+IF(D88="Pre",1,0)=4,Table44243140[[#This Row],[Pre Total]],""),"")</f>
        <v>1</v>
      </c>
      <c r="M88" s="5" t="str">
        <f>IF(IF(ISNUMBER(J87),1,0)+IF(ISNUMBER(Table44243140[[#This Row],[Post Total]]),1,0)=2,IF(IF(Table44243140[[#This Row],[Student Number]]=C87,1,0)+IF(Table44243140[[#This Row],[Session]]=B87,1,0)+IF(Table44243140[[#This Row],[Pre or Post]]="Post",1,0)+IF(D87="Pre",1,0)=4,Table44243140[[#This Row],[Post Total]],""),"")</f>
        <v/>
      </c>
      <c r="N88" s="5" t="str">
        <f>IF(IF(ISNUMBER(J87),1,0)+IF(ISNUMBER(Table44243140[[#This Row],[Post Total]]),1,0)=2,IF(IF(Table44243140[[#This Row],[Student Number]]=C87,1,0)+IF(Table44243140[[#This Row],[Session]]=B87,1,0)+IF(Table44243140[[#This Row],[Pre or Post]]="Post",1,0)+IF(D87="Pre",1,0)=4,Table44243140[[#This Row],[Post Total]]-J87,""),"")</f>
        <v/>
      </c>
      <c r="O88" s="5" t="b">
        <f>ISNUMBER(Table44243140[[#This Row],[Change]])</f>
        <v>0</v>
      </c>
    </row>
    <row r="89" spans="1:15">
      <c r="A89" s="2" t="s">
        <v>24</v>
      </c>
      <c r="B89" s="2" t="s">
        <v>28</v>
      </c>
      <c r="C89" s="1">
        <v>1</v>
      </c>
      <c r="D89" s="1" t="s">
        <v>16</v>
      </c>
      <c r="E89" s="1">
        <v>4</v>
      </c>
      <c r="F89" s="2">
        <v>5</v>
      </c>
      <c r="G89" s="2" t="s">
        <v>8</v>
      </c>
      <c r="H89" s="5" t="str">
        <f>IF(IF(Table44243140[[#This Row],[Pre or Post]]="Pre",1,0)+IF(ISNUMBER(Table44243140[[#This Row],[Response]])=TRUE,1,0)=2,1,"")</f>
        <v/>
      </c>
      <c r="I89" s="5">
        <f>IF(IF(Table44243140[[#This Row],[Pre or Post]]="Post",1,0)+IF(ISNUMBER(Table44243140[[#This Row],[Response]])=TRUE,1,0)=2,1,"")</f>
        <v>1</v>
      </c>
      <c r="J89" s="5" t="str">
        <f>IF(IF(Table44243140[[#This Row],[Pre or Post]]="Pre",1,0)+IF(ISNUMBER(Table44243140[[#This Row],[Response]])=TRUE,1,0)=2,Table44243140[[#This Row],[Response]],"")</f>
        <v/>
      </c>
      <c r="K89" s="5">
        <f>IF(IF(Table44243140[[#This Row],[Pre or Post]]="Post",1,0)+IF(ISNUMBER(Table44243140[[#This Row],[Response]])=TRUE,1,0)=2,Table44243140[[#This Row],[Response]],"")</f>
        <v>5</v>
      </c>
      <c r="L89" s="5" t="str">
        <f>IF(IF(ISNUMBER(J89),1,0)+IF(ISNUMBER(K90),1,0)=2,IF(IF(C90=C89,1,0)+IF(B90=B89,1,0)+IF(D90="Post",1,0)+IF(D89="Pre",1,0)=4,Table44243140[[#This Row],[Pre Total]],""),"")</f>
        <v/>
      </c>
      <c r="M89" s="5">
        <f>IF(IF(ISNUMBER(J88),1,0)+IF(ISNUMBER(Table44243140[[#This Row],[Post Total]]),1,0)=2,IF(IF(Table44243140[[#This Row],[Student Number]]=C88,1,0)+IF(Table44243140[[#This Row],[Session]]=B88,1,0)+IF(Table44243140[[#This Row],[Pre or Post]]="Post",1,0)+IF(D88="Pre",1,0)=4,Table44243140[[#This Row],[Post Total]],""),"")</f>
        <v>5</v>
      </c>
      <c r="N89" s="5">
        <f>IF(IF(ISNUMBER(J88),1,0)+IF(ISNUMBER(Table44243140[[#This Row],[Post Total]]),1,0)=2,IF(IF(Table44243140[[#This Row],[Student Number]]=C88,1,0)+IF(Table44243140[[#This Row],[Session]]=B88,1,0)+IF(Table44243140[[#This Row],[Pre or Post]]="Post",1,0)+IF(D88="Pre",1,0)=4,Table44243140[[#This Row],[Post Total]]-J88,""),"")</f>
        <v>4</v>
      </c>
      <c r="O89" s="5" t="b">
        <f>ISNUMBER(Table44243140[[#This Row],[Change]])</f>
        <v>1</v>
      </c>
    </row>
    <row r="90" spans="1:15">
      <c r="A90" s="2" t="s">
        <v>24</v>
      </c>
      <c r="B90" s="2" t="s">
        <v>28</v>
      </c>
      <c r="C90" s="1">
        <v>2</v>
      </c>
      <c r="D90" s="1" t="s">
        <v>6</v>
      </c>
      <c r="E90" s="1">
        <v>11</v>
      </c>
      <c r="F90" s="2">
        <v>2</v>
      </c>
      <c r="G90" s="2" t="s">
        <v>8</v>
      </c>
      <c r="H90" s="6">
        <f>IF(IF(Table44243140[[#This Row],[Pre or Post]]="Pre",1,0)+IF(ISNUMBER(Table44243140[[#This Row],[Response]])=TRUE,1,0)=2,1,"")</f>
        <v>1</v>
      </c>
      <c r="I90" s="6" t="str">
        <f>IF(IF(Table44243140[[#This Row],[Pre or Post]]="Post",1,0)+IF(ISNUMBER(Table44243140[[#This Row],[Response]])=TRUE,1,0)=2,1,"")</f>
        <v/>
      </c>
      <c r="J90" s="6">
        <f>IF(IF(Table44243140[[#This Row],[Pre or Post]]="Pre",1,0)+IF(ISNUMBER(Table44243140[[#This Row],[Response]])=TRUE,1,0)=2,Table44243140[[#This Row],[Response]],"")</f>
        <v>2</v>
      </c>
      <c r="K90" s="6" t="str">
        <f>IF(IF(Table44243140[[#This Row],[Pre or Post]]="Post",1,0)+IF(ISNUMBER(Table44243140[[#This Row],[Response]])=TRUE,1,0)=2,Table44243140[[#This Row],[Response]],"")</f>
        <v/>
      </c>
      <c r="L90" s="6">
        <f>IF(IF(ISNUMBER(J90),1,0)+IF(ISNUMBER(K91),1,0)=2,IF(IF(C91=C90,1,0)+IF(B91=B90,1,0)+IF(D91="Post",1,0)+IF(D90="Pre",1,0)=4,Table44243140[[#This Row],[Pre Total]],""),"")</f>
        <v>2</v>
      </c>
      <c r="M90" s="6" t="str">
        <f>IF(IF(ISNUMBER(J89),1,0)+IF(ISNUMBER(Table44243140[[#This Row],[Post Total]]),1,0)=2,IF(IF(Table44243140[[#This Row],[Student Number]]=C89,1,0)+IF(Table44243140[[#This Row],[Session]]=B89,1,0)+IF(Table44243140[[#This Row],[Pre or Post]]="Post",1,0)+IF(D89="Pre",1,0)=4,Table44243140[[#This Row],[Post Total]],""),"")</f>
        <v/>
      </c>
      <c r="N90" s="6" t="str">
        <f>IF(IF(ISNUMBER(J89),1,0)+IF(ISNUMBER(Table44243140[[#This Row],[Post Total]]),1,0)=2,IF(IF(Table44243140[[#This Row],[Student Number]]=C89,1,0)+IF(Table44243140[[#This Row],[Session]]=B89,1,0)+IF(Table44243140[[#This Row],[Pre or Post]]="Post",1,0)+IF(D89="Pre",1,0)=4,Table44243140[[#This Row],[Post Total]]-J89,""),"")</f>
        <v/>
      </c>
      <c r="O90" s="6" t="b">
        <f>ISNUMBER(Table44243140[[#This Row],[Change]])</f>
        <v>0</v>
      </c>
    </row>
    <row r="91" spans="1:15">
      <c r="A91" s="2" t="s">
        <v>24</v>
      </c>
      <c r="B91" s="2" t="s">
        <v>28</v>
      </c>
      <c r="C91" s="1">
        <v>2</v>
      </c>
      <c r="D91" s="1" t="s">
        <v>16</v>
      </c>
      <c r="E91" s="1">
        <v>4</v>
      </c>
      <c r="F91" s="2">
        <v>2</v>
      </c>
      <c r="G91" s="2" t="s">
        <v>8</v>
      </c>
      <c r="H91" s="6" t="str">
        <f>IF(IF(Table44243140[[#This Row],[Pre or Post]]="Pre",1,0)+IF(ISNUMBER(Table44243140[[#This Row],[Response]])=TRUE,1,0)=2,1,"")</f>
        <v/>
      </c>
      <c r="I91" s="6">
        <f>IF(IF(Table44243140[[#This Row],[Pre or Post]]="Post",1,0)+IF(ISNUMBER(Table44243140[[#This Row],[Response]])=TRUE,1,0)=2,1,"")</f>
        <v>1</v>
      </c>
      <c r="J91" s="6" t="str">
        <f>IF(IF(Table44243140[[#This Row],[Pre or Post]]="Pre",1,0)+IF(ISNUMBER(Table44243140[[#This Row],[Response]])=TRUE,1,0)=2,Table44243140[[#This Row],[Response]],"")</f>
        <v/>
      </c>
      <c r="K91" s="6">
        <f>IF(IF(Table44243140[[#This Row],[Pre or Post]]="Post",1,0)+IF(ISNUMBER(Table44243140[[#This Row],[Response]])=TRUE,1,0)=2,Table44243140[[#This Row],[Response]],"")</f>
        <v>2</v>
      </c>
      <c r="L91" s="6" t="str">
        <f>IF(IF(ISNUMBER(J91),1,0)+IF(ISNUMBER(K92),1,0)=2,IF(IF(C92=C91,1,0)+IF(B92=B91,1,0)+IF(D92="Post",1,0)+IF(D91="Pre",1,0)=4,Table44243140[[#This Row],[Pre Total]],""),"")</f>
        <v/>
      </c>
      <c r="M91" s="6">
        <f>IF(IF(ISNUMBER(J90),1,0)+IF(ISNUMBER(Table44243140[[#This Row],[Post Total]]),1,0)=2,IF(IF(Table44243140[[#This Row],[Student Number]]=C90,1,0)+IF(Table44243140[[#This Row],[Session]]=B90,1,0)+IF(Table44243140[[#This Row],[Pre or Post]]="Post",1,0)+IF(D90="Pre",1,0)=4,Table44243140[[#This Row],[Post Total]],""),"")</f>
        <v>2</v>
      </c>
      <c r="N91" s="6">
        <f>IF(IF(ISNUMBER(J90),1,0)+IF(ISNUMBER(Table44243140[[#This Row],[Post Total]]),1,0)=2,IF(IF(Table44243140[[#This Row],[Student Number]]=C90,1,0)+IF(Table44243140[[#This Row],[Session]]=B90,1,0)+IF(Table44243140[[#This Row],[Pre or Post]]="Post",1,0)+IF(D90="Pre",1,0)=4,Table44243140[[#This Row],[Post Total]]-J90,""),"")</f>
        <v>0</v>
      </c>
      <c r="O91" s="6" t="b">
        <f>ISNUMBER(Table44243140[[#This Row],[Change]])</f>
        <v>1</v>
      </c>
    </row>
    <row r="92" spans="1:15">
      <c r="A92" s="2" t="s">
        <v>24</v>
      </c>
      <c r="B92" s="2" t="s">
        <v>28</v>
      </c>
      <c r="C92" s="1">
        <v>3</v>
      </c>
      <c r="D92" s="1" t="s">
        <v>6</v>
      </c>
      <c r="E92" s="1">
        <v>11</v>
      </c>
      <c r="F92" s="2">
        <v>3</v>
      </c>
      <c r="G92" s="2" t="s">
        <v>8</v>
      </c>
      <c r="H92" s="5">
        <f>IF(IF(Table44243140[[#This Row],[Pre or Post]]="Pre",1,0)+IF(ISNUMBER(Table44243140[[#This Row],[Response]])=TRUE,1,0)=2,1,"")</f>
        <v>1</v>
      </c>
      <c r="I92" s="5" t="str">
        <f>IF(IF(Table44243140[[#This Row],[Pre or Post]]="Post",1,0)+IF(ISNUMBER(Table44243140[[#This Row],[Response]])=TRUE,1,0)=2,1,"")</f>
        <v/>
      </c>
      <c r="J92" s="5">
        <f>IF(IF(Table44243140[[#This Row],[Pre or Post]]="Pre",1,0)+IF(ISNUMBER(Table44243140[[#This Row],[Response]])=TRUE,1,0)=2,Table44243140[[#This Row],[Response]],"")</f>
        <v>3</v>
      </c>
      <c r="K92" s="5" t="str">
        <f>IF(IF(Table44243140[[#This Row],[Pre or Post]]="Post",1,0)+IF(ISNUMBER(Table44243140[[#This Row],[Response]])=TRUE,1,0)=2,Table44243140[[#This Row],[Response]],"")</f>
        <v/>
      </c>
      <c r="L92" s="5">
        <f>IF(IF(ISNUMBER(J92),1,0)+IF(ISNUMBER(K93),1,0)=2,IF(IF(C93=C92,1,0)+IF(B93=B92,1,0)+IF(D93="Post",1,0)+IF(D92="Pre",1,0)=4,Table44243140[[#This Row],[Pre Total]],""),"")</f>
        <v>3</v>
      </c>
      <c r="M92" s="5" t="str">
        <f>IF(IF(ISNUMBER(J91),1,0)+IF(ISNUMBER(Table44243140[[#This Row],[Post Total]]),1,0)=2,IF(IF(Table44243140[[#This Row],[Student Number]]=C91,1,0)+IF(Table44243140[[#This Row],[Session]]=B91,1,0)+IF(Table44243140[[#This Row],[Pre or Post]]="Post",1,0)+IF(D91="Pre",1,0)=4,Table44243140[[#This Row],[Post Total]],""),"")</f>
        <v/>
      </c>
      <c r="N92" s="5" t="str">
        <f>IF(IF(ISNUMBER(J91),1,0)+IF(ISNUMBER(Table44243140[[#This Row],[Post Total]]),1,0)=2,IF(IF(Table44243140[[#This Row],[Student Number]]=C91,1,0)+IF(Table44243140[[#This Row],[Session]]=B91,1,0)+IF(Table44243140[[#This Row],[Pre or Post]]="Post",1,0)+IF(D91="Pre",1,0)=4,Table44243140[[#This Row],[Post Total]]-J91,""),"")</f>
        <v/>
      </c>
      <c r="O92" s="5" t="b">
        <f>ISNUMBER(Table44243140[[#This Row],[Change]])</f>
        <v>0</v>
      </c>
    </row>
    <row r="93" spans="1:15">
      <c r="A93" s="2" t="s">
        <v>24</v>
      </c>
      <c r="B93" s="2" t="s">
        <v>28</v>
      </c>
      <c r="C93" s="1">
        <v>3</v>
      </c>
      <c r="D93" s="1" t="s">
        <v>16</v>
      </c>
      <c r="E93" s="1">
        <v>4</v>
      </c>
      <c r="F93" s="2">
        <v>2</v>
      </c>
      <c r="G93" s="2" t="s">
        <v>8</v>
      </c>
      <c r="H93" s="5" t="str">
        <f>IF(IF(Table44243140[[#This Row],[Pre or Post]]="Pre",1,0)+IF(ISNUMBER(Table44243140[[#This Row],[Response]])=TRUE,1,0)=2,1,"")</f>
        <v/>
      </c>
      <c r="I93" s="5">
        <f>IF(IF(Table44243140[[#This Row],[Pre or Post]]="Post",1,0)+IF(ISNUMBER(Table44243140[[#This Row],[Response]])=TRUE,1,0)=2,1,"")</f>
        <v>1</v>
      </c>
      <c r="J93" s="5" t="str">
        <f>IF(IF(Table44243140[[#This Row],[Pre or Post]]="Pre",1,0)+IF(ISNUMBER(Table44243140[[#This Row],[Response]])=TRUE,1,0)=2,Table44243140[[#This Row],[Response]],"")</f>
        <v/>
      </c>
      <c r="K93" s="5">
        <f>IF(IF(Table44243140[[#This Row],[Pre or Post]]="Post",1,0)+IF(ISNUMBER(Table44243140[[#This Row],[Response]])=TRUE,1,0)=2,Table44243140[[#This Row],[Response]],"")</f>
        <v>2</v>
      </c>
      <c r="L93" s="5" t="str">
        <f>IF(IF(ISNUMBER(J93),1,0)+IF(ISNUMBER(K94),1,0)=2,IF(IF(C94=C93,1,0)+IF(B94=B93,1,0)+IF(D94="Post",1,0)+IF(D93="Pre",1,0)=4,Table44243140[[#This Row],[Pre Total]],""),"")</f>
        <v/>
      </c>
      <c r="M93" s="5">
        <f>IF(IF(ISNUMBER(J92),1,0)+IF(ISNUMBER(Table44243140[[#This Row],[Post Total]]),1,0)=2,IF(IF(Table44243140[[#This Row],[Student Number]]=C92,1,0)+IF(Table44243140[[#This Row],[Session]]=B92,1,0)+IF(Table44243140[[#This Row],[Pre or Post]]="Post",1,0)+IF(D92="Pre",1,0)=4,Table44243140[[#This Row],[Post Total]],""),"")</f>
        <v>2</v>
      </c>
      <c r="N93" s="5">
        <f>IF(IF(ISNUMBER(J92),1,0)+IF(ISNUMBER(Table44243140[[#This Row],[Post Total]]),1,0)=2,IF(IF(Table44243140[[#This Row],[Student Number]]=C92,1,0)+IF(Table44243140[[#This Row],[Session]]=B92,1,0)+IF(Table44243140[[#This Row],[Pre or Post]]="Post",1,0)+IF(D92="Pre",1,0)=4,Table44243140[[#This Row],[Post Total]]-J92,""),"")</f>
        <v>-1</v>
      </c>
      <c r="O93" s="5" t="b">
        <f>ISNUMBER(Table44243140[[#This Row],[Change]])</f>
        <v>1</v>
      </c>
    </row>
    <row r="94" spans="1:15">
      <c r="A94" s="2" t="s">
        <v>24</v>
      </c>
      <c r="B94" s="2" t="s">
        <v>28</v>
      </c>
      <c r="C94" s="1">
        <v>4</v>
      </c>
      <c r="D94" s="1" t="s">
        <v>6</v>
      </c>
      <c r="E94" s="1">
        <v>11</v>
      </c>
      <c r="F94" s="1">
        <v>5</v>
      </c>
      <c r="G94" s="2" t="s">
        <v>8</v>
      </c>
      <c r="H94" s="6">
        <f>IF(IF(Table44243140[[#This Row],[Pre or Post]]="Pre",1,0)+IF(ISNUMBER(Table44243140[[#This Row],[Response]])=TRUE,1,0)=2,1,"")</f>
        <v>1</v>
      </c>
      <c r="I94" s="6" t="str">
        <f>IF(IF(Table44243140[[#This Row],[Pre or Post]]="Post",1,0)+IF(ISNUMBER(Table44243140[[#This Row],[Response]])=TRUE,1,0)=2,1,"")</f>
        <v/>
      </c>
      <c r="J94" s="6">
        <f>IF(IF(Table44243140[[#This Row],[Pre or Post]]="Pre",1,0)+IF(ISNUMBER(Table44243140[[#This Row],[Response]])=TRUE,1,0)=2,Table44243140[[#This Row],[Response]],"")</f>
        <v>5</v>
      </c>
      <c r="K94" s="6" t="str">
        <f>IF(IF(Table44243140[[#This Row],[Pre or Post]]="Post",1,0)+IF(ISNUMBER(Table44243140[[#This Row],[Response]])=TRUE,1,0)=2,Table44243140[[#This Row],[Response]],"")</f>
        <v/>
      </c>
      <c r="L94" s="6">
        <f>IF(IF(ISNUMBER(J94),1,0)+IF(ISNUMBER(K95),1,0)=2,IF(IF(C95=C94,1,0)+IF(B95=B94,1,0)+IF(D95="Post",1,0)+IF(D94="Pre",1,0)=4,Table44243140[[#This Row],[Pre Total]],""),"")</f>
        <v>5</v>
      </c>
      <c r="M94" s="6" t="str">
        <f>IF(IF(ISNUMBER(J93),1,0)+IF(ISNUMBER(Table44243140[[#This Row],[Post Total]]),1,0)=2,IF(IF(Table44243140[[#This Row],[Student Number]]=C93,1,0)+IF(Table44243140[[#This Row],[Session]]=B93,1,0)+IF(Table44243140[[#This Row],[Pre or Post]]="Post",1,0)+IF(D93="Pre",1,0)=4,Table44243140[[#This Row],[Post Total]],""),"")</f>
        <v/>
      </c>
      <c r="N94" s="6" t="str">
        <f>IF(IF(ISNUMBER(J93),1,0)+IF(ISNUMBER(Table44243140[[#This Row],[Post Total]]),1,0)=2,IF(IF(Table44243140[[#This Row],[Student Number]]=C93,1,0)+IF(Table44243140[[#This Row],[Session]]=B93,1,0)+IF(Table44243140[[#This Row],[Pre or Post]]="Post",1,0)+IF(D93="Pre",1,0)=4,Table44243140[[#This Row],[Post Total]]-J93,""),"")</f>
        <v/>
      </c>
      <c r="O94" s="6" t="b">
        <f>ISNUMBER(Table44243140[[#This Row],[Change]])</f>
        <v>0</v>
      </c>
    </row>
    <row r="95" spans="1:15">
      <c r="A95" s="2" t="s">
        <v>24</v>
      </c>
      <c r="B95" s="2" t="s">
        <v>28</v>
      </c>
      <c r="C95" s="1">
        <v>4</v>
      </c>
      <c r="D95" s="1" t="s">
        <v>16</v>
      </c>
      <c r="E95" s="1">
        <v>4</v>
      </c>
      <c r="F95" s="2">
        <v>5</v>
      </c>
      <c r="G95" s="2" t="s">
        <v>8</v>
      </c>
      <c r="H95" s="5" t="str">
        <f>IF(IF(Table44243140[[#This Row],[Pre or Post]]="Pre",1,0)+IF(ISNUMBER(Table44243140[[#This Row],[Response]])=TRUE,1,0)=2,1,"")</f>
        <v/>
      </c>
      <c r="I95" s="5">
        <f>IF(IF(Table44243140[[#This Row],[Pre or Post]]="Post",1,0)+IF(ISNUMBER(Table44243140[[#This Row],[Response]])=TRUE,1,0)=2,1,"")</f>
        <v>1</v>
      </c>
      <c r="J95" s="5" t="str">
        <f>IF(IF(Table44243140[[#This Row],[Pre or Post]]="Pre",1,0)+IF(ISNUMBER(Table44243140[[#This Row],[Response]])=TRUE,1,0)=2,Table44243140[[#This Row],[Response]],"")</f>
        <v/>
      </c>
      <c r="K95" s="5">
        <f>IF(IF(Table44243140[[#This Row],[Pre or Post]]="Post",1,0)+IF(ISNUMBER(Table44243140[[#This Row],[Response]])=TRUE,1,0)=2,Table44243140[[#This Row],[Response]],"")</f>
        <v>5</v>
      </c>
      <c r="L95" s="5" t="str">
        <f>IF(IF(ISNUMBER(J95),1,0)+IF(ISNUMBER(K96),1,0)=2,IF(IF(C96=C95,1,0)+IF(B96=B95,1,0)+IF(D96="Post",1,0)+IF(D95="Pre",1,0)=4,Table44243140[[#This Row],[Pre Total]],""),"")</f>
        <v/>
      </c>
      <c r="M95" s="5">
        <f>IF(IF(ISNUMBER(J94),1,0)+IF(ISNUMBER(Table44243140[[#This Row],[Post Total]]),1,0)=2,IF(IF(Table44243140[[#This Row],[Student Number]]=C94,1,0)+IF(Table44243140[[#This Row],[Session]]=B94,1,0)+IF(Table44243140[[#This Row],[Pre or Post]]="Post",1,0)+IF(D94="Pre",1,0)=4,Table44243140[[#This Row],[Post Total]],""),"")</f>
        <v>5</v>
      </c>
      <c r="N95" s="5">
        <f>IF(IF(ISNUMBER(J94),1,0)+IF(ISNUMBER(Table44243140[[#This Row],[Post Total]]),1,0)=2,IF(IF(Table44243140[[#This Row],[Student Number]]=C94,1,0)+IF(Table44243140[[#This Row],[Session]]=B94,1,0)+IF(Table44243140[[#This Row],[Pre or Post]]="Post",1,0)+IF(D94="Pre",1,0)=4,Table44243140[[#This Row],[Post Total]]-J94,""),"")</f>
        <v>0</v>
      </c>
      <c r="O95" s="5" t="b">
        <f>ISNUMBER(Table44243140[[#This Row],[Change]])</f>
        <v>1</v>
      </c>
    </row>
    <row r="96" spans="1:15">
      <c r="A96" s="2" t="s">
        <v>24</v>
      </c>
      <c r="B96" s="2" t="s">
        <v>28</v>
      </c>
      <c r="C96" s="1">
        <v>5</v>
      </c>
      <c r="D96" s="1" t="s">
        <v>6</v>
      </c>
      <c r="E96" s="1">
        <v>11</v>
      </c>
      <c r="F96" s="1">
        <v>2</v>
      </c>
      <c r="G96" s="2" t="s">
        <v>8</v>
      </c>
      <c r="H96" s="5">
        <f>IF(IF(Table44243140[[#This Row],[Pre or Post]]="Pre",1,0)+IF(ISNUMBER(Table44243140[[#This Row],[Response]])=TRUE,1,0)=2,1,"")</f>
        <v>1</v>
      </c>
      <c r="I96" s="5" t="str">
        <f>IF(IF(Table44243140[[#This Row],[Pre or Post]]="Post",1,0)+IF(ISNUMBER(Table44243140[[#This Row],[Response]])=TRUE,1,0)=2,1,"")</f>
        <v/>
      </c>
      <c r="J96" s="5">
        <f>IF(IF(Table44243140[[#This Row],[Pre or Post]]="Pre",1,0)+IF(ISNUMBER(Table44243140[[#This Row],[Response]])=TRUE,1,0)=2,Table44243140[[#This Row],[Response]],"")</f>
        <v>2</v>
      </c>
      <c r="K96" s="5" t="str">
        <f>IF(IF(Table44243140[[#This Row],[Pre or Post]]="Post",1,0)+IF(ISNUMBER(Table44243140[[#This Row],[Response]])=TRUE,1,0)=2,Table44243140[[#This Row],[Response]],"")</f>
        <v/>
      </c>
      <c r="L96" s="5">
        <f>IF(IF(ISNUMBER(J96),1,0)+IF(ISNUMBER(K97),1,0)=2,IF(IF(C97=C96,1,0)+IF(B97=B96,1,0)+IF(D97="Post",1,0)+IF(D96="Pre",1,0)=4,Table44243140[[#This Row],[Pre Total]],""),"")</f>
        <v>2</v>
      </c>
      <c r="M96" s="5" t="str">
        <f>IF(IF(ISNUMBER(J95),1,0)+IF(ISNUMBER(Table44243140[[#This Row],[Post Total]]),1,0)=2,IF(IF(Table44243140[[#This Row],[Student Number]]=C95,1,0)+IF(Table44243140[[#This Row],[Session]]=B95,1,0)+IF(Table44243140[[#This Row],[Pre or Post]]="Post",1,0)+IF(D95="Pre",1,0)=4,Table44243140[[#This Row],[Post Total]],""),"")</f>
        <v/>
      </c>
      <c r="N96" s="5" t="str">
        <f>IF(IF(ISNUMBER(J95),1,0)+IF(ISNUMBER(Table44243140[[#This Row],[Post Total]]),1,0)=2,IF(IF(Table44243140[[#This Row],[Student Number]]=C95,1,0)+IF(Table44243140[[#This Row],[Session]]=B95,1,0)+IF(Table44243140[[#This Row],[Pre or Post]]="Post",1,0)+IF(D95="Pre",1,0)=4,Table44243140[[#This Row],[Post Total]]-J95,""),"")</f>
        <v/>
      </c>
      <c r="O96" s="5" t="b">
        <f>ISNUMBER(Table44243140[[#This Row],[Change]])</f>
        <v>0</v>
      </c>
    </row>
    <row r="97" spans="1:15">
      <c r="A97" s="2" t="s">
        <v>24</v>
      </c>
      <c r="B97" s="2" t="s">
        <v>28</v>
      </c>
      <c r="C97" s="1">
        <v>5</v>
      </c>
      <c r="D97" s="1" t="s">
        <v>16</v>
      </c>
      <c r="E97" s="1">
        <v>4</v>
      </c>
      <c r="F97" s="2">
        <v>3</v>
      </c>
      <c r="G97" s="2" t="s">
        <v>8</v>
      </c>
      <c r="H97" s="5" t="str">
        <f>IF(IF(Table44243140[[#This Row],[Pre or Post]]="Pre",1,0)+IF(ISNUMBER(Table44243140[[#This Row],[Response]])=TRUE,1,0)=2,1,"")</f>
        <v/>
      </c>
      <c r="I97" s="5">
        <f>IF(IF(Table44243140[[#This Row],[Pre or Post]]="Post",1,0)+IF(ISNUMBER(Table44243140[[#This Row],[Response]])=TRUE,1,0)=2,1,"")</f>
        <v>1</v>
      </c>
      <c r="J97" s="5" t="str">
        <f>IF(IF(Table44243140[[#This Row],[Pre or Post]]="Pre",1,0)+IF(ISNUMBER(Table44243140[[#This Row],[Response]])=TRUE,1,0)=2,Table44243140[[#This Row],[Response]],"")</f>
        <v/>
      </c>
      <c r="K97" s="5">
        <f>IF(IF(Table44243140[[#This Row],[Pre or Post]]="Post",1,0)+IF(ISNUMBER(Table44243140[[#This Row],[Response]])=TRUE,1,0)=2,Table44243140[[#This Row],[Response]],"")</f>
        <v>3</v>
      </c>
      <c r="L97" s="5" t="str">
        <f>IF(IF(ISNUMBER(J97),1,0)+IF(ISNUMBER(K98),1,0)=2,IF(IF(C98=C97,1,0)+IF(B98=B97,1,0)+IF(D98="Post",1,0)+IF(D97="Pre",1,0)=4,Table44243140[[#This Row],[Pre Total]],""),"")</f>
        <v/>
      </c>
      <c r="M97" s="5">
        <f>IF(IF(ISNUMBER(J96),1,0)+IF(ISNUMBER(Table44243140[[#This Row],[Post Total]]),1,0)=2,IF(IF(Table44243140[[#This Row],[Student Number]]=C96,1,0)+IF(Table44243140[[#This Row],[Session]]=B96,1,0)+IF(Table44243140[[#This Row],[Pre or Post]]="Post",1,0)+IF(D96="Pre",1,0)=4,Table44243140[[#This Row],[Post Total]],""),"")</f>
        <v>3</v>
      </c>
      <c r="N97" s="5">
        <f>IF(IF(ISNUMBER(J96),1,0)+IF(ISNUMBER(Table44243140[[#This Row],[Post Total]]),1,0)=2,IF(IF(Table44243140[[#This Row],[Student Number]]=C96,1,0)+IF(Table44243140[[#This Row],[Session]]=B96,1,0)+IF(Table44243140[[#This Row],[Pre or Post]]="Post",1,0)+IF(D96="Pre",1,0)=4,Table44243140[[#This Row],[Post Total]]-J96,""),"")</f>
        <v>1</v>
      </c>
      <c r="O97" s="5" t="b">
        <f>ISNUMBER(Table44243140[[#This Row],[Change]])</f>
        <v>1</v>
      </c>
    </row>
    <row r="98" spans="1:15">
      <c r="A98" s="2" t="s">
        <v>24</v>
      </c>
      <c r="B98" s="2" t="s">
        <v>28</v>
      </c>
      <c r="C98" s="1">
        <v>6</v>
      </c>
      <c r="D98" s="1" t="s">
        <v>6</v>
      </c>
      <c r="E98" s="1">
        <v>11</v>
      </c>
      <c r="F98" s="2">
        <v>2</v>
      </c>
      <c r="G98" s="2" t="s">
        <v>8</v>
      </c>
      <c r="H98" s="6">
        <f>IF(IF(Table44243140[[#This Row],[Pre or Post]]="Pre",1,0)+IF(ISNUMBER(Table44243140[[#This Row],[Response]])=TRUE,1,0)=2,1,"")</f>
        <v>1</v>
      </c>
      <c r="I98" s="6" t="str">
        <f>IF(IF(Table44243140[[#This Row],[Pre or Post]]="Post",1,0)+IF(ISNUMBER(Table44243140[[#This Row],[Response]])=TRUE,1,0)=2,1,"")</f>
        <v/>
      </c>
      <c r="J98" s="6">
        <f>IF(IF(Table44243140[[#This Row],[Pre or Post]]="Pre",1,0)+IF(ISNUMBER(Table44243140[[#This Row],[Response]])=TRUE,1,0)=2,Table44243140[[#This Row],[Response]],"")</f>
        <v>2</v>
      </c>
      <c r="K98" s="6" t="str">
        <f>IF(IF(Table44243140[[#This Row],[Pre or Post]]="Post",1,0)+IF(ISNUMBER(Table44243140[[#This Row],[Response]])=TRUE,1,0)=2,Table44243140[[#This Row],[Response]],"")</f>
        <v/>
      </c>
      <c r="L98" s="6">
        <f>IF(IF(ISNUMBER(J98),1,0)+IF(ISNUMBER(K99),1,0)=2,IF(IF(C99=C98,1,0)+IF(B99=B98,1,0)+IF(D99="Post",1,0)+IF(D98="Pre",1,0)=4,Table44243140[[#This Row],[Pre Total]],""),"")</f>
        <v>2</v>
      </c>
      <c r="M98" s="6" t="str">
        <f>IF(IF(ISNUMBER(J97),1,0)+IF(ISNUMBER(Table44243140[[#This Row],[Post Total]]),1,0)=2,IF(IF(Table44243140[[#This Row],[Student Number]]=C97,1,0)+IF(Table44243140[[#This Row],[Session]]=B97,1,0)+IF(Table44243140[[#This Row],[Pre or Post]]="Post",1,0)+IF(D97="Pre",1,0)=4,Table44243140[[#This Row],[Post Total]],""),"")</f>
        <v/>
      </c>
      <c r="N98" s="6" t="str">
        <f>IF(IF(ISNUMBER(J97),1,0)+IF(ISNUMBER(Table44243140[[#This Row],[Post Total]]),1,0)=2,IF(IF(Table44243140[[#This Row],[Student Number]]=C97,1,0)+IF(Table44243140[[#This Row],[Session]]=B97,1,0)+IF(Table44243140[[#This Row],[Pre or Post]]="Post",1,0)+IF(D97="Pre",1,0)=4,Table44243140[[#This Row],[Post Total]]-J97,""),"")</f>
        <v/>
      </c>
      <c r="O98" s="6" t="b">
        <f>ISNUMBER(Table44243140[[#This Row],[Change]])</f>
        <v>0</v>
      </c>
    </row>
    <row r="99" spans="1:15">
      <c r="A99" s="2" t="s">
        <v>24</v>
      </c>
      <c r="B99" s="2" t="s">
        <v>28</v>
      </c>
      <c r="C99" s="1">
        <v>6</v>
      </c>
      <c r="D99" s="1" t="s">
        <v>16</v>
      </c>
      <c r="E99" s="1">
        <v>4</v>
      </c>
      <c r="F99" s="2">
        <v>4</v>
      </c>
      <c r="G99" s="2" t="s">
        <v>8</v>
      </c>
      <c r="H99" s="5" t="str">
        <f>IF(IF(Table44243140[[#This Row],[Pre or Post]]="Pre",1,0)+IF(ISNUMBER(Table44243140[[#This Row],[Response]])=TRUE,1,0)=2,1,"")</f>
        <v/>
      </c>
      <c r="I99" s="5">
        <f>IF(IF(Table44243140[[#This Row],[Pre or Post]]="Post",1,0)+IF(ISNUMBER(Table44243140[[#This Row],[Response]])=TRUE,1,0)=2,1,"")</f>
        <v>1</v>
      </c>
      <c r="J99" s="5" t="str">
        <f>IF(IF(Table44243140[[#This Row],[Pre or Post]]="Pre",1,0)+IF(ISNUMBER(Table44243140[[#This Row],[Response]])=TRUE,1,0)=2,Table44243140[[#This Row],[Response]],"")</f>
        <v/>
      </c>
      <c r="K99" s="5">
        <f>IF(IF(Table44243140[[#This Row],[Pre or Post]]="Post",1,0)+IF(ISNUMBER(Table44243140[[#This Row],[Response]])=TRUE,1,0)=2,Table44243140[[#This Row],[Response]],"")</f>
        <v>4</v>
      </c>
      <c r="L99" s="5" t="str">
        <f>IF(IF(ISNUMBER(J99),1,0)+IF(ISNUMBER(K100),1,0)=2,IF(IF(C100=C99,1,0)+IF(B100=B99,1,0)+IF(D100="Post",1,0)+IF(D99="Pre",1,0)=4,Table44243140[[#This Row],[Pre Total]],""),"")</f>
        <v/>
      </c>
      <c r="M99" s="5">
        <f>IF(IF(ISNUMBER(J98),1,0)+IF(ISNUMBER(Table44243140[[#This Row],[Post Total]]),1,0)=2,IF(IF(Table44243140[[#This Row],[Student Number]]=C98,1,0)+IF(Table44243140[[#This Row],[Session]]=B98,1,0)+IF(Table44243140[[#This Row],[Pre or Post]]="Post",1,0)+IF(D98="Pre",1,0)=4,Table44243140[[#This Row],[Post Total]],""),"")</f>
        <v>4</v>
      </c>
      <c r="N99" s="5">
        <f>IF(IF(ISNUMBER(J98),1,0)+IF(ISNUMBER(Table44243140[[#This Row],[Post Total]]),1,0)=2,IF(IF(Table44243140[[#This Row],[Student Number]]=C98,1,0)+IF(Table44243140[[#This Row],[Session]]=B98,1,0)+IF(Table44243140[[#This Row],[Pre or Post]]="Post",1,0)+IF(D98="Pre",1,0)=4,Table44243140[[#This Row],[Post Total]]-J98,""),"")</f>
        <v>2</v>
      </c>
      <c r="O99" s="5" t="b">
        <f>ISNUMBER(Table44243140[[#This Row],[Change]])</f>
        <v>1</v>
      </c>
    </row>
    <row r="100" spans="1:15">
      <c r="A100" s="2" t="s">
        <v>24</v>
      </c>
      <c r="B100" s="2" t="s">
        <v>28</v>
      </c>
      <c r="C100" s="1">
        <v>7</v>
      </c>
      <c r="D100" s="1" t="s">
        <v>6</v>
      </c>
      <c r="E100" s="1">
        <v>11</v>
      </c>
      <c r="F100" s="2">
        <v>2</v>
      </c>
      <c r="G100" s="2" t="s">
        <v>8</v>
      </c>
      <c r="H100" s="5">
        <f>IF(IF(Table44243140[[#This Row],[Pre or Post]]="Pre",1,0)+IF(ISNUMBER(Table44243140[[#This Row],[Response]])=TRUE,1,0)=2,1,"")</f>
        <v>1</v>
      </c>
      <c r="I100" s="5" t="str">
        <f>IF(IF(Table44243140[[#This Row],[Pre or Post]]="Post",1,0)+IF(ISNUMBER(Table44243140[[#This Row],[Response]])=TRUE,1,0)=2,1,"")</f>
        <v/>
      </c>
      <c r="J100" s="5">
        <f>IF(IF(Table44243140[[#This Row],[Pre or Post]]="Pre",1,0)+IF(ISNUMBER(Table44243140[[#This Row],[Response]])=TRUE,1,0)=2,Table44243140[[#This Row],[Response]],"")</f>
        <v>2</v>
      </c>
      <c r="K100" s="5" t="str">
        <f>IF(IF(Table44243140[[#This Row],[Pre or Post]]="Post",1,0)+IF(ISNUMBER(Table44243140[[#This Row],[Response]])=TRUE,1,0)=2,Table44243140[[#This Row],[Response]],"")</f>
        <v/>
      </c>
      <c r="L100" s="5">
        <f>IF(IF(ISNUMBER(J100),1,0)+IF(ISNUMBER(K101),1,0)=2,IF(IF(C101=C100,1,0)+IF(B101=B100,1,0)+IF(D101="Post",1,0)+IF(D100="Pre",1,0)=4,Table44243140[[#This Row],[Pre Total]],""),"")</f>
        <v>2</v>
      </c>
      <c r="M100" s="5" t="str">
        <f>IF(IF(ISNUMBER(J99),1,0)+IF(ISNUMBER(Table44243140[[#This Row],[Post Total]]),1,0)=2,IF(IF(Table44243140[[#This Row],[Student Number]]=C99,1,0)+IF(Table44243140[[#This Row],[Session]]=B99,1,0)+IF(Table44243140[[#This Row],[Pre or Post]]="Post",1,0)+IF(D99="Pre",1,0)=4,Table44243140[[#This Row],[Post Total]],""),"")</f>
        <v/>
      </c>
      <c r="N100" s="5" t="str">
        <f>IF(IF(ISNUMBER(J99),1,0)+IF(ISNUMBER(Table44243140[[#This Row],[Post Total]]),1,0)=2,IF(IF(Table44243140[[#This Row],[Student Number]]=C99,1,0)+IF(Table44243140[[#This Row],[Session]]=B99,1,0)+IF(Table44243140[[#This Row],[Pre or Post]]="Post",1,0)+IF(D99="Pre",1,0)=4,Table44243140[[#This Row],[Post Total]]-J99,""),"")</f>
        <v/>
      </c>
      <c r="O100" s="5" t="b">
        <f>ISNUMBER(Table44243140[[#This Row],[Change]])</f>
        <v>0</v>
      </c>
    </row>
    <row r="101" spans="1:15">
      <c r="A101" s="2" t="s">
        <v>24</v>
      </c>
      <c r="B101" s="2" t="s">
        <v>28</v>
      </c>
      <c r="C101" s="1">
        <v>7</v>
      </c>
      <c r="D101" s="1" t="s">
        <v>16</v>
      </c>
      <c r="E101" s="1">
        <v>4</v>
      </c>
      <c r="F101" s="2">
        <v>3</v>
      </c>
      <c r="G101" s="2" t="s">
        <v>8</v>
      </c>
      <c r="H101" s="5" t="str">
        <f>IF(IF(Table44243140[[#This Row],[Pre or Post]]="Pre",1,0)+IF(ISNUMBER(Table44243140[[#This Row],[Response]])=TRUE,1,0)=2,1,"")</f>
        <v/>
      </c>
      <c r="I101" s="5">
        <f>IF(IF(Table44243140[[#This Row],[Pre or Post]]="Post",1,0)+IF(ISNUMBER(Table44243140[[#This Row],[Response]])=TRUE,1,0)=2,1,"")</f>
        <v>1</v>
      </c>
      <c r="J101" s="5" t="str">
        <f>IF(IF(Table44243140[[#This Row],[Pre or Post]]="Pre",1,0)+IF(ISNUMBER(Table44243140[[#This Row],[Response]])=TRUE,1,0)=2,Table44243140[[#This Row],[Response]],"")</f>
        <v/>
      </c>
      <c r="K101" s="5">
        <f>IF(IF(Table44243140[[#This Row],[Pre or Post]]="Post",1,0)+IF(ISNUMBER(Table44243140[[#This Row],[Response]])=TRUE,1,0)=2,Table44243140[[#This Row],[Response]],"")</f>
        <v>3</v>
      </c>
      <c r="L101" s="5" t="str">
        <f>IF(IF(ISNUMBER(J101),1,0)+IF(ISNUMBER(K102),1,0)=2,IF(IF(C102=C101,1,0)+IF(B102=B101,1,0)+IF(D102="Post",1,0)+IF(D101="Pre",1,0)=4,Table44243140[[#This Row],[Pre Total]],""),"")</f>
        <v/>
      </c>
      <c r="M101" s="5">
        <f>IF(IF(ISNUMBER(J100),1,0)+IF(ISNUMBER(Table44243140[[#This Row],[Post Total]]),1,0)=2,IF(IF(Table44243140[[#This Row],[Student Number]]=C100,1,0)+IF(Table44243140[[#This Row],[Session]]=B100,1,0)+IF(Table44243140[[#This Row],[Pre or Post]]="Post",1,0)+IF(D100="Pre",1,0)=4,Table44243140[[#This Row],[Post Total]],""),"")</f>
        <v>3</v>
      </c>
      <c r="N101" s="5">
        <f>IF(IF(ISNUMBER(J100),1,0)+IF(ISNUMBER(Table44243140[[#This Row],[Post Total]]),1,0)=2,IF(IF(Table44243140[[#This Row],[Student Number]]=C100,1,0)+IF(Table44243140[[#This Row],[Session]]=B100,1,0)+IF(Table44243140[[#This Row],[Pre or Post]]="Post",1,0)+IF(D100="Pre",1,0)=4,Table44243140[[#This Row],[Post Total]]-J100,""),"")</f>
        <v>1</v>
      </c>
      <c r="O101" s="5" t="b">
        <f>ISNUMBER(Table44243140[[#This Row],[Change]])</f>
        <v>1</v>
      </c>
    </row>
    <row r="102" spans="1:15">
      <c r="A102" s="2" t="s">
        <v>24</v>
      </c>
      <c r="B102" s="2" t="s">
        <v>28</v>
      </c>
      <c r="C102" s="1">
        <v>8</v>
      </c>
      <c r="D102" s="1" t="s">
        <v>6</v>
      </c>
      <c r="E102" s="2">
        <v>11</v>
      </c>
      <c r="F102" s="1">
        <v>2</v>
      </c>
      <c r="G102" s="2" t="s">
        <v>8</v>
      </c>
      <c r="H102" s="6">
        <f>IF(IF(Table44243140[[#This Row],[Pre or Post]]="Pre",1,0)+IF(ISNUMBER(Table44243140[[#This Row],[Response]])=TRUE,1,0)=2,1,"")</f>
        <v>1</v>
      </c>
      <c r="I102" s="6" t="str">
        <f>IF(IF(Table44243140[[#This Row],[Pre or Post]]="Post",1,0)+IF(ISNUMBER(Table44243140[[#This Row],[Response]])=TRUE,1,0)=2,1,"")</f>
        <v/>
      </c>
      <c r="J102" s="6">
        <f>IF(IF(Table44243140[[#This Row],[Pre or Post]]="Pre",1,0)+IF(ISNUMBER(Table44243140[[#This Row],[Response]])=TRUE,1,0)=2,Table44243140[[#This Row],[Response]],"")</f>
        <v>2</v>
      </c>
      <c r="K102" s="6" t="str">
        <f>IF(IF(Table44243140[[#This Row],[Pre or Post]]="Post",1,0)+IF(ISNUMBER(Table44243140[[#This Row],[Response]])=TRUE,1,0)=2,Table44243140[[#This Row],[Response]],"")</f>
        <v/>
      </c>
      <c r="L102" s="6">
        <f>IF(IF(ISNUMBER(J102),1,0)+IF(ISNUMBER(K103),1,0)=2,IF(IF(C103=C102,1,0)+IF(B103=B102,1,0)+IF(D103="Post",1,0)+IF(D102="Pre",1,0)=4,Table44243140[[#This Row],[Pre Total]],""),"")</f>
        <v>2</v>
      </c>
      <c r="M102" s="6" t="str">
        <f>IF(IF(ISNUMBER(J101),1,0)+IF(ISNUMBER(Table44243140[[#This Row],[Post Total]]),1,0)=2,IF(IF(Table44243140[[#This Row],[Student Number]]=C101,1,0)+IF(Table44243140[[#This Row],[Session]]=B101,1,0)+IF(Table44243140[[#This Row],[Pre or Post]]="Post",1,0)+IF(D101="Pre",1,0)=4,Table44243140[[#This Row],[Post Total]],""),"")</f>
        <v/>
      </c>
      <c r="N102" s="6" t="str">
        <f>IF(IF(ISNUMBER(J101),1,0)+IF(ISNUMBER(Table44243140[[#This Row],[Post Total]]),1,0)=2,IF(IF(Table44243140[[#This Row],[Student Number]]=C101,1,0)+IF(Table44243140[[#This Row],[Session]]=B101,1,0)+IF(Table44243140[[#This Row],[Pre or Post]]="Post",1,0)+IF(D101="Pre",1,0)=4,Table44243140[[#This Row],[Post Total]]-J101,""),"")</f>
        <v/>
      </c>
      <c r="O102" s="6" t="b">
        <f>ISNUMBER(Table44243140[[#This Row],[Change]])</f>
        <v>0</v>
      </c>
    </row>
    <row r="103" spans="1:15">
      <c r="A103" s="2" t="s">
        <v>24</v>
      </c>
      <c r="B103" s="2" t="s">
        <v>28</v>
      </c>
      <c r="C103" s="1">
        <v>8</v>
      </c>
      <c r="D103" s="1" t="s">
        <v>16</v>
      </c>
      <c r="E103" s="1">
        <v>4</v>
      </c>
      <c r="F103" s="1">
        <v>2</v>
      </c>
      <c r="G103" s="2" t="s">
        <v>8</v>
      </c>
      <c r="H103" s="5" t="str">
        <f>IF(IF(Table44243140[[#This Row],[Pre or Post]]="Pre",1,0)+IF(ISNUMBER(Table44243140[[#This Row],[Response]])=TRUE,1,0)=2,1,"")</f>
        <v/>
      </c>
      <c r="I103" s="5">
        <f>IF(IF(Table44243140[[#This Row],[Pre or Post]]="Post",1,0)+IF(ISNUMBER(Table44243140[[#This Row],[Response]])=TRUE,1,0)=2,1,"")</f>
        <v>1</v>
      </c>
      <c r="J103" s="5" t="str">
        <f>IF(IF(Table44243140[[#This Row],[Pre or Post]]="Pre",1,0)+IF(ISNUMBER(Table44243140[[#This Row],[Response]])=TRUE,1,0)=2,Table44243140[[#This Row],[Response]],"")</f>
        <v/>
      </c>
      <c r="K103" s="5">
        <f>IF(IF(Table44243140[[#This Row],[Pre or Post]]="Post",1,0)+IF(ISNUMBER(Table44243140[[#This Row],[Response]])=TRUE,1,0)=2,Table44243140[[#This Row],[Response]],"")</f>
        <v>2</v>
      </c>
      <c r="L103" s="5" t="str">
        <f>IF(IF(ISNUMBER(J103),1,0)+IF(ISNUMBER(K104),1,0)=2,IF(IF(C104=C103,1,0)+IF(B104=B103,1,0)+IF(D104="Post",1,0)+IF(D103="Pre",1,0)=4,Table44243140[[#This Row],[Pre Total]],""),"")</f>
        <v/>
      </c>
      <c r="M103" s="5">
        <f>IF(IF(ISNUMBER(J102),1,0)+IF(ISNUMBER(Table44243140[[#This Row],[Post Total]]),1,0)=2,IF(IF(Table44243140[[#This Row],[Student Number]]=C102,1,0)+IF(Table44243140[[#This Row],[Session]]=B102,1,0)+IF(Table44243140[[#This Row],[Pre or Post]]="Post",1,0)+IF(D102="Pre",1,0)=4,Table44243140[[#This Row],[Post Total]],""),"")</f>
        <v>2</v>
      </c>
      <c r="N103" s="5">
        <f>IF(IF(ISNUMBER(J102),1,0)+IF(ISNUMBER(Table44243140[[#This Row],[Post Total]]),1,0)=2,IF(IF(Table44243140[[#This Row],[Student Number]]=C102,1,0)+IF(Table44243140[[#This Row],[Session]]=B102,1,0)+IF(Table44243140[[#This Row],[Pre or Post]]="Post",1,0)+IF(D102="Pre",1,0)=4,Table44243140[[#This Row],[Post Total]]-J102,""),"")</f>
        <v>0</v>
      </c>
      <c r="O103" s="5" t="b">
        <f>ISNUMBER(Table44243140[[#This Row],[Change]])</f>
        <v>1</v>
      </c>
    </row>
    <row r="104" spans="1:15">
      <c r="A104" s="2" t="s">
        <v>24</v>
      </c>
      <c r="B104" s="2" t="s">
        <v>28</v>
      </c>
      <c r="C104" s="1">
        <v>9</v>
      </c>
      <c r="D104" s="1" t="s">
        <v>6</v>
      </c>
      <c r="E104" s="1">
        <v>11</v>
      </c>
      <c r="F104" s="1">
        <v>3</v>
      </c>
      <c r="G104" s="2" t="s">
        <v>8</v>
      </c>
      <c r="H104" s="5">
        <f>IF(IF(Table44243140[[#This Row],[Pre or Post]]="Pre",1,0)+IF(ISNUMBER(Table44243140[[#This Row],[Response]])=TRUE,1,0)=2,1,"")</f>
        <v>1</v>
      </c>
      <c r="I104" s="5" t="str">
        <f>IF(IF(Table44243140[[#This Row],[Pre or Post]]="Post",1,0)+IF(ISNUMBER(Table44243140[[#This Row],[Response]])=TRUE,1,0)=2,1,"")</f>
        <v/>
      </c>
      <c r="J104" s="5">
        <f>IF(IF(Table44243140[[#This Row],[Pre or Post]]="Pre",1,0)+IF(ISNUMBER(Table44243140[[#This Row],[Response]])=TRUE,1,0)=2,Table44243140[[#This Row],[Response]],"")</f>
        <v>3</v>
      </c>
      <c r="K104" s="5" t="str">
        <f>IF(IF(Table44243140[[#This Row],[Pre or Post]]="Post",1,0)+IF(ISNUMBER(Table44243140[[#This Row],[Response]])=TRUE,1,0)=2,Table44243140[[#This Row],[Response]],"")</f>
        <v/>
      </c>
      <c r="L104" s="5">
        <f>IF(IF(ISNUMBER(J104),1,0)+IF(ISNUMBER(K105),1,0)=2,IF(IF(C105=C104,1,0)+IF(B105=B104,1,0)+IF(D105="Post",1,0)+IF(D104="Pre",1,0)=4,Table44243140[[#This Row],[Pre Total]],""),"")</f>
        <v>3</v>
      </c>
      <c r="M104" s="5" t="str">
        <f>IF(IF(ISNUMBER(J103),1,0)+IF(ISNUMBER(Table44243140[[#This Row],[Post Total]]),1,0)=2,IF(IF(Table44243140[[#This Row],[Student Number]]=C103,1,0)+IF(Table44243140[[#This Row],[Session]]=B103,1,0)+IF(Table44243140[[#This Row],[Pre or Post]]="Post",1,0)+IF(D103="Pre",1,0)=4,Table44243140[[#This Row],[Post Total]],""),"")</f>
        <v/>
      </c>
      <c r="N104" s="5" t="str">
        <f>IF(IF(ISNUMBER(J103),1,0)+IF(ISNUMBER(Table44243140[[#This Row],[Post Total]]),1,0)=2,IF(IF(Table44243140[[#This Row],[Student Number]]=C103,1,0)+IF(Table44243140[[#This Row],[Session]]=B103,1,0)+IF(Table44243140[[#This Row],[Pre or Post]]="Post",1,0)+IF(D103="Pre",1,0)=4,Table44243140[[#This Row],[Post Total]]-J103,""),"")</f>
        <v/>
      </c>
      <c r="O104" s="5" t="b">
        <f>ISNUMBER(Table44243140[[#This Row],[Change]])</f>
        <v>0</v>
      </c>
    </row>
    <row r="105" spans="1:15">
      <c r="A105" s="2" t="s">
        <v>24</v>
      </c>
      <c r="B105" s="2" t="s">
        <v>28</v>
      </c>
      <c r="C105" s="1">
        <v>9</v>
      </c>
      <c r="D105" s="1" t="s">
        <v>16</v>
      </c>
      <c r="E105" s="1">
        <v>4</v>
      </c>
      <c r="F105" s="1">
        <v>2</v>
      </c>
      <c r="G105" s="2" t="s">
        <v>8</v>
      </c>
      <c r="H105" s="5" t="str">
        <f>IF(IF(Table44243140[[#This Row],[Pre or Post]]="Pre",1,0)+IF(ISNUMBER(Table44243140[[#This Row],[Response]])=TRUE,1,0)=2,1,"")</f>
        <v/>
      </c>
      <c r="I105" s="5">
        <f>IF(IF(Table44243140[[#This Row],[Pre or Post]]="Post",1,0)+IF(ISNUMBER(Table44243140[[#This Row],[Response]])=TRUE,1,0)=2,1,"")</f>
        <v>1</v>
      </c>
      <c r="J105" s="5" t="str">
        <f>IF(IF(Table44243140[[#This Row],[Pre or Post]]="Pre",1,0)+IF(ISNUMBER(Table44243140[[#This Row],[Response]])=TRUE,1,0)=2,Table44243140[[#This Row],[Response]],"")</f>
        <v/>
      </c>
      <c r="K105" s="5">
        <f>IF(IF(Table44243140[[#This Row],[Pre or Post]]="Post",1,0)+IF(ISNUMBER(Table44243140[[#This Row],[Response]])=TRUE,1,0)=2,Table44243140[[#This Row],[Response]],"")</f>
        <v>2</v>
      </c>
      <c r="L105" s="5" t="str">
        <f>IF(IF(ISNUMBER(J105),1,0)+IF(ISNUMBER(K106),1,0)=2,IF(IF(C106=C105,1,0)+IF(B106=B105,1,0)+IF(D106="Post",1,0)+IF(D105="Pre",1,0)=4,Table44243140[[#This Row],[Pre Total]],""),"")</f>
        <v/>
      </c>
      <c r="M105" s="5">
        <f>IF(IF(ISNUMBER(J104),1,0)+IF(ISNUMBER(Table44243140[[#This Row],[Post Total]]),1,0)=2,IF(IF(Table44243140[[#This Row],[Student Number]]=C104,1,0)+IF(Table44243140[[#This Row],[Session]]=B104,1,0)+IF(Table44243140[[#This Row],[Pre or Post]]="Post",1,0)+IF(D104="Pre",1,0)=4,Table44243140[[#This Row],[Post Total]],""),"")</f>
        <v>2</v>
      </c>
      <c r="N105" s="5">
        <f>IF(IF(ISNUMBER(J104),1,0)+IF(ISNUMBER(Table44243140[[#This Row],[Post Total]]),1,0)=2,IF(IF(Table44243140[[#This Row],[Student Number]]=C104,1,0)+IF(Table44243140[[#This Row],[Session]]=B104,1,0)+IF(Table44243140[[#This Row],[Pre or Post]]="Post",1,0)+IF(D104="Pre",1,0)=4,Table44243140[[#This Row],[Post Total]]-J104,""),"")</f>
        <v>-1</v>
      </c>
      <c r="O105" s="5" t="b">
        <f>ISNUMBER(Table44243140[[#This Row],[Change]])</f>
        <v>1</v>
      </c>
    </row>
    <row r="106" spans="1:15">
      <c r="A106" s="2" t="s">
        <v>24</v>
      </c>
      <c r="B106" s="2" t="s">
        <v>28</v>
      </c>
      <c r="C106" s="1">
        <v>10</v>
      </c>
      <c r="D106" s="1" t="s">
        <v>6</v>
      </c>
      <c r="E106" s="1">
        <v>11</v>
      </c>
      <c r="F106" s="1">
        <v>3</v>
      </c>
      <c r="G106" s="2" t="s">
        <v>8</v>
      </c>
      <c r="H106" s="5">
        <f>IF(IF(Table44243140[[#This Row],[Pre or Post]]="Pre",1,0)+IF(ISNUMBER(Table44243140[[#This Row],[Response]])=TRUE,1,0)=2,1,"")</f>
        <v>1</v>
      </c>
      <c r="I106" s="5" t="str">
        <f>IF(IF(Table44243140[[#This Row],[Pre or Post]]="Post",1,0)+IF(ISNUMBER(Table44243140[[#This Row],[Response]])=TRUE,1,0)=2,1,"")</f>
        <v/>
      </c>
      <c r="J106" s="5">
        <f>IF(IF(Table44243140[[#This Row],[Pre or Post]]="Pre",1,0)+IF(ISNUMBER(Table44243140[[#This Row],[Response]])=TRUE,1,0)=2,Table44243140[[#This Row],[Response]],"")</f>
        <v>3</v>
      </c>
      <c r="K106" s="5" t="str">
        <f>IF(IF(Table44243140[[#This Row],[Pre or Post]]="Post",1,0)+IF(ISNUMBER(Table44243140[[#This Row],[Response]])=TRUE,1,0)=2,Table44243140[[#This Row],[Response]],"")</f>
        <v/>
      </c>
      <c r="L106" s="5">
        <f>IF(IF(ISNUMBER(J106),1,0)+IF(ISNUMBER(K107),1,0)=2,IF(IF(C107=C106,1,0)+IF(B107=B106,1,0)+IF(D107="Post",1,0)+IF(D106="Pre",1,0)=4,Table44243140[[#This Row],[Pre Total]],""),"")</f>
        <v>3</v>
      </c>
      <c r="M106" s="5" t="str">
        <f>IF(IF(ISNUMBER(J105),1,0)+IF(ISNUMBER(Table44243140[[#This Row],[Post Total]]),1,0)=2,IF(IF(Table44243140[[#This Row],[Student Number]]=C105,1,0)+IF(Table44243140[[#This Row],[Session]]=B105,1,0)+IF(Table44243140[[#This Row],[Pre or Post]]="Post",1,0)+IF(D105="Pre",1,0)=4,Table44243140[[#This Row],[Post Total]],""),"")</f>
        <v/>
      </c>
      <c r="N106" s="5" t="str">
        <f>IF(IF(ISNUMBER(J105),1,0)+IF(ISNUMBER(Table44243140[[#This Row],[Post Total]]),1,0)=2,IF(IF(Table44243140[[#This Row],[Student Number]]=C105,1,0)+IF(Table44243140[[#This Row],[Session]]=B105,1,0)+IF(Table44243140[[#This Row],[Pre or Post]]="Post",1,0)+IF(D105="Pre",1,0)=4,Table44243140[[#This Row],[Post Total]]-J105,""),"")</f>
        <v/>
      </c>
      <c r="O106" s="5" t="b">
        <f>ISNUMBER(Table44243140[[#This Row],[Change]])</f>
        <v>0</v>
      </c>
    </row>
    <row r="107" spans="1:15">
      <c r="A107" s="2" t="s">
        <v>24</v>
      </c>
      <c r="B107" s="2" t="s">
        <v>28</v>
      </c>
      <c r="C107" s="1">
        <v>10</v>
      </c>
      <c r="D107" s="1" t="s">
        <v>16</v>
      </c>
      <c r="E107" s="1">
        <v>4</v>
      </c>
      <c r="F107" s="1">
        <v>4</v>
      </c>
      <c r="G107" s="2" t="s">
        <v>8</v>
      </c>
      <c r="H107" s="5" t="str">
        <f>IF(IF(Table44243140[[#This Row],[Pre or Post]]="Pre",1,0)+IF(ISNUMBER(Table44243140[[#This Row],[Response]])=TRUE,1,0)=2,1,"")</f>
        <v/>
      </c>
      <c r="I107" s="5">
        <f>IF(IF(Table44243140[[#This Row],[Pre or Post]]="Post",1,0)+IF(ISNUMBER(Table44243140[[#This Row],[Response]])=TRUE,1,0)=2,1,"")</f>
        <v>1</v>
      </c>
      <c r="J107" s="5" t="str">
        <f>IF(IF(Table44243140[[#This Row],[Pre or Post]]="Pre",1,0)+IF(ISNUMBER(Table44243140[[#This Row],[Response]])=TRUE,1,0)=2,Table44243140[[#This Row],[Response]],"")</f>
        <v/>
      </c>
      <c r="K107" s="5">
        <f>IF(IF(Table44243140[[#This Row],[Pre or Post]]="Post",1,0)+IF(ISNUMBER(Table44243140[[#This Row],[Response]])=TRUE,1,0)=2,Table44243140[[#This Row],[Response]],"")</f>
        <v>4</v>
      </c>
      <c r="L107" s="5" t="str">
        <f>IF(IF(ISNUMBER(J107),1,0)+IF(ISNUMBER(K108),1,0)=2,IF(IF(C108=C107,1,0)+IF(B108=B107,1,0)+IF(D108="Post",1,0)+IF(D107="Pre",1,0)=4,Table44243140[[#This Row],[Pre Total]],""),"")</f>
        <v/>
      </c>
      <c r="M107" s="5">
        <f>IF(IF(ISNUMBER(J106),1,0)+IF(ISNUMBER(Table44243140[[#This Row],[Post Total]]),1,0)=2,IF(IF(Table44243140[[#This Row],[Student Number]]=C106,1,0)+IF(Table44243140[[#This Row],[Session]]=B106,1,0)+IF(Table44243140[[#This Row],[Pre or Post]]="Post",1,0)+IF(D106="Pre",1,0)=4,Table44243140[[#This Row],[Post Total]],""),"")</f>
        <v>4</v>
      </c>
      <c r="N107" s="5">
        <f>IF(IF(ISNUMBER(J106),1,0)+IF(ISNUMBER(Table44243140[[#This Row],[Post Total]]),1,0)=2,IF(IF(Table44243140[[#This Row],[Student Number]]=C106,1,0)+IF(Table44243140[[#This Row],[Session]]=B106,1,0)+IF(Table44243140[[#This Row],[Pre or Post]]="Post",1,0)+IF(D106="Pre",1,0)=4,Table44243140[[#This Row],[Post Total]]-J106,""),"")</f>
        <v>1</v>
      </c>
      <c r="O107" s="5" t="b">
        <f>ISNUMBER(Table44243140[[#This Row],[Change]])</f>
        <v>1</v>
      </c>
    </row>
    <row r="108" spans="1:15">
      <c r="A108" s="2" t="s">
        <v>24</v>
      </c>
      <c r="B108" s="2" t="s">
        <v>28</v>
      </c>
      <c r="C108" s="1">
        <v>11</v>
      </c>
      <c r="D108" s="1" t="s">
        <v>6</v>
      </c>
      <c r="E108" s="1">
        <v>11</v>
      </c>
      <c r="F108" s="1">
        <v>3</v>
      </c>
      <c r="G108" s="2" t="s">
        <v>8</v>
      </c>
      <c r="H108" s="5">
        <f>IF(IF(Table44243140[[#This Row],[Pre or Post]]="Pre",1,0)+IF(ISNUMBER(Table44243140[[#This Row],[Response]])=TRUE,1,0)=2,1,"")</f>
        <v>1</v>
      </c>
      <c r="I108" s="5" t="str">
        <f>IF(IF(Table44243140[[#This Row],[Pre or Post]]="Post",1,0)+IF(ISNUMBER(Table44243140[[#This Row],[Response]])=TRUE,1,0)=2,1,"")</f>
        <v/>
      </c>
      <c r="J108" s="5">
        <f>IF(IF(Table44243140[[#This Row],[Pre or Post]]="Pre",1,0)+IF(ISNUMBER(Table44243140[[#This Row],[Response]])=TRUE,1,0)=2,Table44243140[[#This Row],[Response]],"")</f>
        <v>3</v>
      </c>
      <c r="K108" s="5" t="str">
        <f>IF(IF(Table44243140[[#This Row],[Pre or Post]]="Post",1,0)+IF(ISNUMBER(Table44243140[[#This Row],[Response]])=TRUE,1,0)=2,Table44243140[[#This Row],[Response]],"")</f>
        <v/>
      </c>
      <c r="L108" s="5">
        <f>IF(IF(ISNUMBER(J108),1,0)+IF(ISNUMBER(K109),1,0)=2,IF(IF(C109=C108,1,0)+IF(B109=B108,1,0)+IF(D109="Post",1,0)+IF(D108="Pre",1,0)=4,Table44243140[[#This Row],[Pre Total]],""),"")</f>
        <v>3</v>
      </c>
      <c r="M108" s="5" t="str">
        <f>IF(IF(ISNUMBER(J107),1,0)+IF(ISNUMBER(Table44243140[[#This Row],[Post Total]]),1,0)=2,IF(IF(Table44243140[[#This Row],[Student Number]]=C107,1,0)+IF(Table44243140[[#This Row],[Session]]=B107,1,0)+IF(Table44243140[[#This Row],[Pre or Post]]="Post",1,0)+IF(D107="Pre",1,0)=4,Table44243140[[#This Row],[Post Total]],""),"")</f>
        <v/>
      </c>
      <c r="N108" s="5" t="str">
        <f>IF(IF(ISNUMBER(J107),1,0)+IF(ISNUMBER(Table44243140[[#This Row],[Post Total]]),1,0)=2,IF(IF(Table44243140[[#This Row],[Student Number]]=C107,1,0)+IF(Table44243140[[#This Row],[Session]]=B107,1,0)+IF(Table44243140[[#This Row],[Pre or Post]]="Post",1,0)+IF(D107="Pre",1,0)=4,Table44243140[[#This Row],[Post Total]]-J107,""),"")</f>
        <v/>
      </c>
      <c r="O108" s="5" t="b">
        <f>ISNUMBER(Table44243140[[#This Row],[Change]])</f>
        <v>0</v>
      </c>
    </row>
    <row r="109" spans="1:15" s="16" customFormat="1">
      <c r="A109" s="2" t="s">
        <v>24</v>
      </c>
      <c r="B109" s="2" t="s">
        <v>28</v>
      </c>
      <c r="C109" s="1">
        <v>11</v>
      </c>
      <c r="D109" s="1" t="s">
        <v>16</v>
      </c>
      <c r="E109" s="1">
        <v>4</v>
      </c>
      <c r="F109" s="1">
        <v>3</v>
      </c>
      <c r="G109" s="2" t="s">
        <v>8</v>
      </c>
      <c r="H109" s="6" t="str">
        <f>IF(IF(Table44243140[[#This Row],[Pre or Post]]="Pre",1,0)+IF(ISNUMBER(Table44243140[[#This Row],[Response]])=TRUE,1,0)=2,1,"")</f>
        <v/>
      </c>
      <c r="I109" s="6">
        <f>IF(IF(Table44243140[[#This Row],[Pre or Post]]="Post",1,0)+IF(ISNUMBER(Table44243140[[#This Row],[Response]])=TRUE,1,0)=2,1,"")</f>
        <v>1</v>
      </c>
      <c r="J109" s="6" t="str">
        <f>IF(IF(Table44243140[[#This Row],[Pre or Post]]="Pre",1,0)+IF(ISNUMBER(Table44243140[[#This Row],[Response]])=TRUE,1,0)=2,Table44243140[[#This Row],[Response]],"")</f>
        <v/>
      </c>
      <c r="K109" s="6">
        <f>IF(IF(Table44243140[[#This Row],[Pre or Post]]="Post",1,0)+IF(ISNUMBER(Table44243140[[#This Row],[Response]])=TRUE,1,0)=2,Table44243140[[#This Row],[Response]],"")</f>
        <v>3</v>
      </c>
      <c r="L109" s="6" t="str">
        <f>IF(IF(ISNUMBER(J109),1,0)+IF(ISNUMBER(K110),1,0)=2,IF(IF(C110=C109,1,0)+IF(B110=B109,1,0)+IF(D110="Post",1,0)+IF(D109="Pre",1,0)=4,Table44243140[[#This Row],[Pre Total]],""),"")</f>
        <v/>
      </c>
      <c r="M109" s="6">
        <f>IF(IF(ISNUMBER(J108),1,0)+IF(ISNUMBER(Table44243140[[#This Row],[Post Total]]),1,0)=2,IF(IF(Table44243140[[#This Row],[Student Number]]=C108,1,0)+IF(Table44243140[[#This Row],[Session]]=B108,1,0)+IF(Table44243140[[#This Row],[Pre or Post]]="Post",1,0)+IF(D108="Pre",1,0)=4,Table44243140[[#This Row],[Post Total]],""),"")</f>
        <v>3</v>
      </c>
      <c r="N109" s="6">
        <f>IF(IF(ISNUMBER(J108),1,0)+IF(ISNUMBER(Table44243140[[#This Row],[Post Total]]),1,0)=2,IF(IF(Table44243140[[#This Row],[Student Number]]=C108,1,0)+IF(Table44243140[[#This Row],[Session]]=B108,1,0)+IF(Table44243140[[#This Row],[Pre or Post]]="Post",1,0)+IF(D108="Pre",1,0)=4,Table44243140[[#This Row],[Post Total]]-J108,""),"")</f>
        <v>0</v>
      </c>
      <c r="O109" s="6" t="b">
        <f>ISNUMBER(Table44243140[[#This Row],[Change]])</f>
        <v>1</v>
      </c>
    </row>
    <row r="110" spans="1:15">
      <c r="A110" s="2" t="s">
        <v>24</v>
      </c>
      <c r="B110" s="2" t="s">
        <v>28</v>
      </c>
      <c r="C110" s="1">
        <v>12</v>
      </c>
      <c r="D110" s="1" t="s">
        <v>6</v>
      </c>
      <c r="E110" s="1">
        <v>11</v>
      </c>
      <c r="F110" s="2">
        <v>3</v>
      </c>
      <c r="G110" s="2" t="s">
        <v>8</v>
      </c>
      <c r="H110" s="5">
        <f>IF(IF(Table44243140[[#This Row],[Pre or Post]]="Pre",1,0)+IF(ISNUMBER(Table44243140[[#This Row],[Response]])=TRUE,1,0)=2,1,"")</f>
        <v>1</v>
      </c>
      <c r="I110" s="5" t="str">
        <f>IF(IF(Table44243140[[#This Row],[Pre or Post]]="Post",1,0)+IF(ISNUMBER(Table44243140[[#This Row],[Response]])=TRUE,1,0)=2,1,"")</f>
        <v/>
      </c>
      <c r="J110" s="5">
        <f>IF(IF(Table44243140[[#This Row],[Pre or Post]]="Pre",1,0)+IF(ISNUMBER(Table44243140[[#This Row],[Response]])=TRUE,1,0)=2,Table44243140[[#This Row],[Response]],"")</f>
        <v>3</v>
      </c>
      <c r="K110" s="5" t="str">
        <f>IF(IF(Table44243140[[#This Row],[Pre or Post]]="Post",1,0)+IF(ISNUMBER(Table44243140[[#This Row],[Response]])=TRUE,1,0)=2,Table44243140[[#This Row],[Response]],"")</f>
        <v/>
      </c>
      <c r="L110" s="5">
        <f>IF(IF(ISNUMBER(J110),1,0)+IF(ISNUMBER(K111),1,0)=2,IF(IF(C111=C110,1,0)+IF(B111=B110,1,0)+IF(D111="Post",1,0)+IF(D110="Pre",1,0)=4,Table44243140[[#This Row],[Pre Total]],""),"")</f>
        <v>3</v>
      </c>
      <c r="M110" s="5" t="str">
        <f>IF(IF(ISNUMBER(J109),1,0)+IF(ISNUMBER(Table44243140[[#This Row],[Post Total]]),1,0)=2,IF(IF(Table44243140[[#This Row],[Student Number]]=C109,1,0)+IF(Table44243140[[#This Row],[Session]]=B109,1,0)+IF(Table44243140[[#This Row],[Pre or Post]]="Post",1,0)+IF(D109="Pre",1,0)=4,Table44243140[[#This Row],[Post Total]],""),"")</f>
        <v/>
      </c>
      <c r="N110" s="5" t="str">
        <f>IF(IF(ISNUMBER(J109),1,0)+IF(ISNUMBER(Table44243140[[#This Row],[Post Total]]),1,0)=2,IF(IF(Table44243140[[#This Row],[Student Number]]=C109,1,0)+IF(Table44243140[[#This Row],[Session]]=B109,1,0)+IF(Table44243140[[#This Row],[Pre or Post]]="Post",1,0)+IF(D109="Pre",1,0)=4,Table44243140[[#This Row],[Post Total]]-J109,""),"")</f>
        <v/>
      </c>
      <c r="O110" s="5" t="b">
        <f>ISNUMBER(Table44243140[[#This Row],[Change]])</f>
        <v>0</v>
      </c>
    </row>
    <row r="111" spans="1:15">
      <c r="A111" s="2" t="s">
        <v>24</v>
      </c>
      <c r="B111" s="2" t="s">
        <v>28</v>
      </c>
      <c r="C111" s="1">
        <v>12</v>
      </c>
      <c r="D111" s="1" t="s">
        <v>16</v>
      </c>
      <c r="E111" s="1">
        <v>4</v>
      </c>
      <c r="F111" s="1">
        <v>2</v>
      </c>
      <c r="G111" s="2" t="s">
        <v>8</v>
      </c>
      <c r="H111" s="5" t="str">
        <f>IF(IF(Table44243140[[#This Row],[Pre or Post]]="Pre",1,0)+IF(ISNUMBER(Table44243140[[#This Row],[Response]])=TRUE,1,0)=2,1,"")</f>
        <v/>
      </c>
      <c r="I111" s="5">
        <f>IF(IF(Table44243140[[#This Row],[Pre or Post]]="Post",1,0)+IF(ISNUMBER(Table44243140[[#This Row],[Response]])=TRUE,1,0)=2,1,"")</f>
        <v>1</v>
      </c>
      <c r="J111" s="5" t="str">
        <f>IF(IF(Table44243140[[#This Row],[Pre or Post]]="Pre",1,0)+IF(ISNUMBER(Table44243140[[#This Row],[Response]])=TRUE,1,0)=2,Table44243140[[#This Row],[Response]],"")</f>
        <v/>
      </c>
      <c r="K111" s="5">
        <f>IF(IF(Table44243140[[#This Row],[Pre or Post]]="Post",1,0)+IF(ISNUMBER(Table44243140[[#This Row],[Response]])=TRUE,1,0)=2,Table44243140[[#This Row],[Response]],"")</f>
        <v>2</v>
      </c>
      <c r="L111" s="5" t="str">
        <f>IF(IF(ISNUMBER(J111),1,0)+IF(ISNUMBER(K112),1,0)=2,IF(IF(C112=C111,1,0)+IF(B112=B111,1,0)+IF(D112="Post",1,0)+IF(D111="Pre",1,0)=4,Table44243140[[#This Row],[Pre Total]],""),"")</f>
        <v/>
      </c>
      <c r="M111" s="5">
        <f>IF(IF(ISNUMBER(J110),1,0)+IF(ISNUMBER(Table44243140[[#This Row],[Post Total]]),1,0)=2,IF(IF(Table44243140[[#This Row],[Student Number]]=C110,1,0)+IF(Table44243140[[#This Row],[Session]]=B110,1,0)+IF(Table44243140[[#This Row],[Pre or Post]]="Post",1,0)+IF(D110="Pre",1,0)=4,Table44243140[[#This Row],[Post Total]],""),"")</f>
        <v>2</v>
      </c>
      <c r="N111" s="5">
        <f>IF(IF(ISNUMBER(J110),1,0)+IF(ISNUMBER(Table44243140[[#This Row],[Post Total]]),1,0)=2,IF(IF(Table44243140[[#This Row],[Student Number]]=C110,1,0)+IF(Table44243140[[#This Row],[Session]]=B110,1,0)+IF(Table44243140[[#This Row],[Pre or Post]]="Post",1,0)+IF(D110="Pre",1,0)=4,Table44243140[[#This Row],[Post Total]]-J110,""),"")</f>
        <v>-1</v>
      </c>
      <c r="O111" s="5" t="b">
        <f>ISNUMBER(Table44243140[[#This Row],[Change]])</f>
        <v>1</v>
      </c>
    </row>
    <row r="112" spans="1:15">
      <c r="A112" s="2" t="s">
        <v>24</v>
      </c>
      <c r="B112" s="2" t="s">
        <v>28</v>
      </c>
      <c r="C112" s="1">
        <v>13</v>
      </c>
      <c r="D112" s="1" t="s">
        <v>6</v>
      </c>
      <c r="E112" s="1">
        <v>11</v>
      </c>
      <c r="F112" s="2">
        <v>3</v>
      </c>
      <c r="G112" s="2" t="s">
        <v>8</v>
      </c>
      <c r="H112" s="5">
        <f>IF(IF(Table44243140[[#This Row],[Pre or Post]]="Pre",1,0)+IF(ISNUMBER(Table44243140[[#This Row],[Response]])=TRUE,1,0)=2,1,"")</f>
        <v>1</v>
      </c>
      <c r="I112" s="5" t="str">
        <f>IF(IF(Table44243140[[#This Row],[Pre or Post]]="Post",1,0)+IF(ISNUMBER(Table44243140[[#This Row],[Response]])=TRUE,1,0)=2,1,"")</f>
        <v/>
      </c>
      <c r="J112" s="5">
        <f>IF(IF(Table44243140[[#This Row],[Pre or Post]]="Pre",1,0)+IF(ISNUMBER(Table44243140[[#This Row],[Response]])=TRUE,1,0)=2,Table44243140[[#This Row],[Response]],"")</f>
        <v>3</v>
      </c>
      <c r="K112" s="5" t="str">
        <f>IF(IF(Table44243140[[#This Row],[Pre or Post]]="Post",1,0)+IF(ISNUMBER(Table44243140[[#This Row],[Response]])=TRUE,1,0)=2,Table44243140[[#This Row],[Response]],"")</f>
        <v/>
      </c>
      <c r="L112" s="5">
        <f>IF(IF(ISNUMBER(J112),1,0)+IF(ISNUMBER(K113),1,0)=2,IF(IF(C113=C112,1,0)+IF(B113=B112,1,0)+IF(D113="Post",1,0)+IF(D112="Pre",1,0)=4,Table44243140[[#This Row],[Pre Total]],""),"")</f>
        <v>3</v>
      </c>
      <c r="M112" s="5" t="str">
        <f>IF(IF(ISNUMBER(J111),1,0)+IF(ISNUMBER(Table44243140[[#This Row],[Post Total]]),1,0)=2,IF(IF(Table44243140[[#This Row],[Student Number]]=C111,1,0)+IF(Table44243140[[#This Row],[Session]]=B111,1,0)+IF(Table44243140[[#This Row],[Pre or Post]]="Post",1,0)+IF(D111="Pre",1,0)=4,Table44243140[[#This Row],[Post Total]],""),"")</f>
        <v/>
      </c>
      <c r="N112" s="5" t="str">
        <f>IF(IF(ISNUMBER(J111),1,0)+IF(ISNUMBER(Table44243140[[#This Row],[Post Total]]),1,0)=2,IF(IF(Table44243140[[#This Row],[Student Number]]=C111,1,0)+IF(Table44243140[[#This Row],[Session]]=B111,1,0)+IF(Table44243140[[#This Row],[Pre or Post]]="Post",1,0)+IF(D111="Pre",1,0)=4,Table44243140[[#This Row],[Post Total]]-J111,""),"")</f>
        <v/>
      </c>
      <c r="O112" s="5" t="b">
        <f>ISNUMBER(Table44243140[[#This Row],[Change]])</f>
        <v>0</v>
      </c>
    </row>
    <row r="113" spans="1:15">
      <c r="A113" s="2" t="s">
        <v>24</v>
      </c>
      <c r="B113" s="2" t="s">
        <v>28</v>
      </c>
      <c r="C113" s="1">
        <v>13</v>
      </c>
      <c r="D113" s="1" t="s">
        <v>16</v>
      </c>
      <c r="E113" s="1">
        <v>4</v>
      </c>
      <c r="F113" s="1">
        <v>3</v>
      </c>
      <c r="G113" s="2" t="s">
        <v>8</v>
      </c>
      <c r="H113" s="6" t="str">
        <f>IF(IF(Table44243140[[#This Row],[Pre or Post]]="Pre",1,0)+IF(ISNUMBER(Table44243140[[#This Row],[Response]])=TRUE,1,0)=2,1,"")</f>
        <v/>
      </c>
      <c r="I113" s="6">
        <f>IF(IF(Table44243140[[#This Row],[Pre or Post]]="Post",1,0)+IF(ISNUMBER(Table44243140[[#This Row],[Response]])=TRUE,1,0)=2,1,"")</f>
        <v>1</v>
      </c>
      <c r="J113" s="6" t="str">
        <f>IF(IF(Table44243140[[#This Row],[Pre or Post]]="Pre",1,0)+IF(ISNUMBER(Table44243140[[#This Row],[Response]])=TRUE,1,0)=2,Table44243140[[#This Row],[Response]],"")</f>
        <v/>
      </c>
      <c r="K113" s="6">
        <f>IF(IF(Table44243140[[#This Row],[Pre or Post]]="Post",1,0)+IF(ISNUMBER(Table44243140[[#This Row],[Response]])=TRUE,1,0)=2,Table44243140[[#This Row],[Response]],"")</f>
        <v>3</v>
      </c>
      <c r="L113" s="6" t="str">
        <f>IF(IF(ISNUMBER(J113),1,0)+IF(ISNUMBER(K114),1,0)=2,IF(IF(C114=C113,1,0)+IF(B114=B113,1,0)+IF(D114="Post",1,0)+IF(D113="Pre",1,0)=4,Table44243140[[#This Row],[Pre Total]],""),"")</f>
        <v/>
      </c>
      <c r="M113" s="6">
        <f>IF(IF(ISNUMBER(J112),1,0)+IF(ISNUMBER(Table44243140[[#This Row],[Post Total]]),1,0)=2,IF(IF(Table44243140[[#This Row],[Student Number]]=C112,1,0)+IF(Table44243140[[#This Row],[Session]]=B112,1,0)+IF(Table44243140[[#This Row],[Pre or Post]]="Post",1,0)+IF(D112="Pre",1,0)=4,Table44243140[[#This Row],[Post Total]],""),"")</f>
        <v>3</v>
      </c>
      <c r="N113" s="6">
        <f>IF(IF(ISNUMBER(J112),1,0)+IF(ISNUMBER(Table44243140[[#This Row],[Post Total]]),1,0)=2,IF(IF(Table44243140[[#This Row],[Student Number]]=C112,1,0)+IF(Table44243140[[#This Row],[Session]]=B112,1,0)+IF(Table44243140[[#This Row],[Pre or Post]]="Post",1,0)+IF(D112="Pre",1,0)=4,Table44243140[[#This Row],[Post Total]]-J112,""),"")</f>
        <v>0</v>
      </c>
      <c r="O113" s="6" t="b">
        <f>ISNUMBER(Table44243140[[#This Row],[Change]])</f>
        <v>1</v>
      </c>
    </row>
    <row r="114" spans="1:15">
      <c r="A114" s="2" t="s">
        <v>24</v>
      </c>
      <c r="B114" s="2" t="s">
        <v>31</v>
      </c>
      <c r="C114" s="1">
        <v>1</v>
      </c>
      <c r="D114" s="2" t="s">
        <v>16</v>
      </c>
      <c r="E114" s="1">
        <v>4</v>
      </c>
      <c r="F114" s="1">
        <v>5</v>
      </c>
      <c r="G114" s="2" t="s">
        <v>9</v>
      </c>
      <c r="H114" s="5" t="str">
        <f>IF(IF(Table44243140[[#This Row],[Pre or Post]]="Pre",1,0)+IF(ISNUMBER(Table44243140[[#This Row],[Response]])=TRUE,1,0)=2,1,"")</f>
        <v/>
      </c>
      <c r="I114" s="5">
        <f>IF(IF(Table44243140[[#This Row],[Pre or Post]]="Post",1,0)+IF(ISNUMBER(Table44243140[[#This Row],[Response]])=TRUE,1,0)=2,1,"")</f>
        <v>1</v>
      </c>
      <c r="J114" s="5" t="str">
        <f>IF(IF(Table44243140[[#This Row],[Pre or Post]]="Pre",1,0)+IF(ISNUMBER(Table44243140[[#This Row],[Response]])=TRUE,1,0)=2,Table44243140[[#This Row],[Response]],"")</f>
        <v/>
      </c>
      <c r="K114" s="5">
        <f>IF(IF(Table44243140[[#This Row],[Pre or Post]]="Post",1,0)+IF(ISNUMBER(Table44243140[[#This Row],[Response]])=TRUE,1,0)=2,Table44243140[[#This Row],[Response]],"")</f>
        <v>5</v>
      </c>
      <c r="L114" s="5" t="str">
        <f>IF(IF(ISNUMBER(J114),1,0)+IF(ISNUMBER(K115),1,0)=2,IF(IF(C115=C114,1,0)+IF(B115=B114,1,0)+IF(D115="Post",1,0)+IF(D114="Pre",1,0)=4,Table44243140[[#This Row],[Pre Total]],""),"")</f>
        <v/>
      </c>
      <c r="M114" s="5" t="str">
        <f>IF(IF(ISNUMBER(J113),1,0)+IF(ISNUMBER(Table44243140[[#This Row],[Post Total]]),1,0)=2,IF(IF(Table44243140[[#This Row],[Student Number]]=C113,1,0)+IF(Table44243140[[#This Row],[Session]]=B113,1,0)+IF(Table44243140[[#This Row],[Pre or Post]]="Post",1,0)+IF(D113="Pre",1,0)=4,Table44243140[[#This Row],[Post Total]],""),"")</f>
        <v/>
      </c>
      <c r="N114" s="5" t="str">
        <f>IF(IF(ISNUMBER(J113),1,0)+IF(ISNUMBER(Table44243140[[#This Row],[Post Total]]),1,0)=2,IF(IF(Table44243140[[#This Row],[Student Number]]=C113,1,0)+IF(Table44243140[[#This Row],[Session]]=B113,1,0)+IF(Table44243140[[#This Row],[Pre or Post]]="Post",1,0)+IF(D113="Pre",1,0)=4,Table44243140[[#This Row],[Post Total]]-J113,""),"")</f>
        <v/>
      </c>
      <c r="O114" s="5" t="b">
        <f>ISNUMBER(Table44243140[[#This Row],[Change]])</f>
        <v>0</v>
      </c>
    </row>
    <row r="115" spans="1:15">
      <c r="A115" s="2" t="s">
        <v>24</v>
      </c>
      <c r="B115" s="2" t="s">
        <v>31</v>
      </c>
      <c r="C115" s="1">
        <v>2</v>
      </c>
      <c r="D115" s="2" t="s">
        <v>16</v>
      </c>
      <c r="E115" s="1">
        <v>4</v>
      </c>
      <c r="F115" s="1">
        <v>2</v>
      </c>
      <c r="G115" s="2" t="s">
        <v>9</v>
      </c>
      <c r="H115" s="5" t="str">
        <f>IF(IF(Table44243140[[#This Row],[Pre or Post]]="Pre",1,0)+IF(ISNUMBER(Table44243140[[#This Row],[Response]])=TRUE,1,0)=2,1,"")</f>
        <v/>
      </c>
      <c r="I115" s="5">
        <f>IF(IF(Table44243140[[#This Row],[Pre or Post]]="Post",1,0)+IF(ISNUMBER(Table44243140[[#This Row],[Response]])=TRUE,1,0)=2,1,"")</f>
        <v>1</v>
      </c>
      <c r="J115" s="5"/>
      <c r="K115" s="5">
        <f>IF(IF(Table44243140[[#This Row],[Pre or Post]]="Post",1,0)+IF(ISNUMBER(Table44243140[[#This Row],[Response]])=TRUE,1,0)=2,Table44243140[[#This Row],[Response]],"")</f>
        <v>2</v>
      </c>
      <c r="L115" s="5" t="str">
        <f>IF(IF(ISNUMBER(J115),1,0)+IF(ISNUMBER(K116),1,0)=2,IF(IF(C116=C115,1,0)+IF(B116=B115,1,0)+IF(D116="Post",1,0)+IF(D115="Pre",1,0)=4,Table44243140[[#This Row],[Pre Total]],""),"")</f>
        <v/>
      </c>
      <c r="M115" s="5" t="str">
        <f>IF(IF(ISNUMBER(J114),1,0)+IF(ISNUMBER(Table44243140[[#This Row],[Post Total]]),1,0)=2,IF(IF(Table44243140[[#This Row],[Student Number]]=C114,1,0)+IF(Table44243140[[#This Row],[Session]]=B114,1,0)+IF(Table44243140[[#This Row],[Pre or Post]]="Post",1,0)+IF(D114="Pre",1,0)=4,Table44243140[[#This Row],[Post Total]],""),"")</f>
        <v/>
      </c>
      <c r="N115" s="5" t="str">
        <f>IF(IF(ISNUMBER(J114),1,0)+IF(ISNUMBER(Table44243140[[#This Row],[Post Total]]),1,0)=2,IF(IF(Table44243140[[#This Row],[Student Number]]=C114,1,0)+IF(Table44243140[[#This Row],[Session]]=B114,1,0)+IF(Table44243140[[#This Row],[Pre or Post]]="Post",1,0)+IF(D114="Pre",1,0)=4,Table44243140[[#This Row],[Post Total]]-J114,""),"")</f>
        <v/>
      </c>
      <c r="O115" s="5" t="b">
        <f>ISNUMBER(Table44243140[[#This Row],[Change]])</f>
        <v>0</v>
      </c>
    </row>
    <row r="116" spans="1:15">
      <c r="A116" s="2" t="s">
        <v>24</v>
      </c>
      <c r="B116" s="2" t="s">
        <v>31</v>
      </c>
      <c r="C116" s="1">
        <v>3</v>
      </c>
      <c r="D116" s="2" t="s">
        <v>16</v>
      </c>
      <c r="E116" s="1">
        <v>4</v>
      </c>
      <c r="F116" s="1">
        <v>4</v>
      </c>
      <c r="G116" s="2" t="s">
        <v>9</v>
      </c>
      <c r="H116" s="6" t="str">
        <f>IF(IF(Table44243140[[#This Row],[Pre or Post]]="Pre",1,0)+IF(ISNUMBER(Table44243140[[#This Row],[Response]])=TRUE,1,0)=2,1,"")</f>
        <v/>
      </c>
      <c r="I116" s="6">
        <f>IF(IF(Table44243140[[#This Row],[Pre or Post]]="Post",1,0)+IF(ISNUMBER(Table44243140[[#This Row],[Response]])=TRUE,1,0)=2,1,"")</f>
        <v>1</v>
      </c>
      <c r="J116" s="6" t="str">
        <f>IF(IF(Table44243140[[#This Row],[Pre or Post]]="Pre",1,0)+IF(ISNUMBER(Table44243140[[#This Row],[Response]])=TRUE,1,0)=2,Table44243140[[#This Row],[Response]],"")</f>
        <v/>
      </c>
      <c r="K116" s="6">
        <f>IF(IF(Table44243140[[#This Row],[Pre or Post]]="Post",1,0)+IF(ISNUMBER(Table44243140[[#This Row],[Response]])=TRUE,1,0)=2,Table44243140[[#This Row],[Response]],"")</f>
        <v>4</v>
      </c>
      <c r="L116" s="6" t="str">
        <f>IF(IF(ISNUMBER(J116),1,0)+IF(ISNUMBER(K117),1,0)=2,IF(IF(C117=C116,1,0)+IF(B117=B116,1,0)+IF(D117="Post",1,0)+IF(D116="Pre",1,0)=4,Table44243140[[#This Row],[Pre Total]],""),"")</f>
        <v/>
      </c>
      <c r="M116" s="6" t="str">
        <f>IF(IF(ISNUMBER(J115),1,0)+IF(ISNUMBER(Table44243140[[#This Row],[Post Total]]),1,0)=2,IF(IF(Table44243140[[#This Row],[Student Number]]=C115,1,0)+IF(Table44243140[[#This Row],[Session]]=B115,1,0)+IF(Table44243140[[#This Row],[Pre or Post]]="Post",1,0)+IF(D115="Pre",1,0)=4,Table44243140[[#This Row],[Post Total]],""),"")</f>
        <v/>
      </c>
      <c r="N116" s="6" t="str">
        <f>IF(IF(ISNUMBER(J115),1,0)+IF(ISNUMBER(Table44243140[[#This Row],[Post Total]]),1,0)=2,IF(IF(Table44243140[[#This Row],[Student Number]]=C115,1,0)+IF(Table44243140[[#This Row],[Session]]=B115,1,0)+IF(Table44243140[[#This Row],[Pre or Post]]="Post",1,0)+IF(D115="Pre",1,0)=4,Table44243140[[#This Row],[Post Total]]-J115,""),"")</f>
        <v/>
      </c>
      <c r="O116" s="6" t="b">
        <f>ISNUMBER(Table44243140[[#This Row],[Change]])</f>
        <v>0</v>
      </c>
    </row>
    <row r="117" spans="1:15">
      <c r="A117" s="2" t="s">
        <v>24</v>
      </c>
      <c r="B117" s="2" t="s">
        <v>31</v>
      </c>
      <c r="C117" s="1">
        <v>4</v>
      </c>
      <c r="D117" s="2" t="s">
        <v>16</v>
      </c>
      <c r="E117" s="1">
        <v>4</v>
      </c>
      <c r="F117" s="1">
        <v>4</v>
      </c>
      <c r="G117" s="2" t="s">
        <v>9</v>
      </c>
      <c r="H117" s="5" t="str">
        <f>IF(IF(Table44243140[[#This Row],[Pre or Post]]="Pre",1,0)+IF(ISNUMBER(Table44243140[[#This Row],[Response]])=TRUE,1,0)=2,1,"")</f>
        <v/>
      </c>
      <c r="I117" s="5">
        <f>IF(IF(Table44243140[[#This Row],[Pre or Post]]="Post",1,0)+IF(ISNUMBER(Table44243140[[#This Row],[Response]])=TRUE,1,0)=2,1,"")</f>
        <v>1</v>
      </c>
      <c r="J117" s="5" t="str">
        <f>IF(IF(Table44243140[[#This Row],[Pre or Post]]="Pre",1,0)+IF(ISNUMBER(Table44243140[[#This Row],[Response]])=TRUE,1,0)=2,Table44243140[[#This Row],[Response]],"")</f>
        <v/>
      </c>
      <c r="K117" s="5">
        <f>IF(IF(Table44243140[[#This Row],[Pre or Post]]="Post",1,0)+IF(ISNUMBER(Table44243140[[#This Row],[Response]])=TRUE,1,0)=2,Table44243140[[#This Row],[Response]],"")</f>
        <v>4</v>
      </c>
      <c r="L117" s="5" t="str">
        <f>IF(IF(ISNUMBER(J117),1,0)+IF(ISNUMBER(K118),1,0)=2,IF(IF(C118=C117,1,0)+IF(B118=B117,1,0)+IF(D118="Post",1,0)+IF(D117="Pre",1,0)=4,Table44243140[[#This Row],[Pre Total]],""),"")</f>
        <v/>
      </c>
      <c r="M117" s="5" t="str">
        <f>IF(IF(ISNUMBER(J116),1,0)+IF(ISNUMBER(Table44243140[[#This Row],[Post Total]]),1,0)=2,IF(IF(Table44243140[[#This Row],[Student Number]]=C116,1,0)+IF(Table44243140[[#This Row],[Session]]=B116,1,0)+IF(Table44243140[[#This Row],[Pre or Post]]="Post",1,0)+IF(D116="Pre",1,0)=4,Table44243140[[#This Row],[Post Total]],""),"")</f>
        <v/>
      </c>
      <c r="N117" s="5" t="str">
        <f>IF(IF(ISNUMBER(J116),1,0)+IF(ISNUMBER(Table44243140[[#This Row],[Post Total]]),1,0)=2,IF(IF(Table44243140[[#This Row],[Student Number]]=C116,1,0)+IF(Table44243140[[#This Row],[Session]]=B116,1,0)+IF(Table44243140[[#This Row],[Pre or Post]]="Post",1,0)+IF(D116="Pre",1,0)=4,Table44243140[[#This Row],[Post Total]]-J116,""),"")</f>
        <v/>
      </c>
      <c r="O117" s="5" t="b">
        <f>ISNUMBER(Table44243140[[#This Row],[Change]])</f>
        <v>0</v>
      </c>
    </row>
    <row r="118" spans="1:15">
      <c r="A118" s="2" t="s">
        <v>24</v>
      </c>
      <c r="B118" s="2" t="s">
        <v>31</v>
      </c>
      <c r="C118" s="1">
        <v>5</v>
      </c>
      <c r="D118" s="2" t="s">
        <v>16</v>
      </c>
      <c r="E118" s="1">
        <v>4</v>
      </c>
      <c r="F118" s="1">
        <v>5</v>
      </c>
      <c r="G118" s="2" t="s">
        <v>9</v>
      </c>
      <c r="H118" s="5" t="str">
        <f>IF(IF(Table44243140[[#This Row],[Pre or Post]]="Pre",1,0)+IF(ISNUMBER(Table44243140[[#This Row],[Response]])=TRUE,1,0)=2,1,"")</f>
        <v/>
      </c>
      <c r="I118" s="5">
        <f>IF(IF(Table44243140[[#This Row],[Pre or Post]]="Post",1,0)+IF(ISNUMBER(Table44243140[[#This Row],[Response]])=TRUE,1,0)=2,1,"")</f>
        <v>1</v>
      </c>
      <c r="J118" s="5" t="str">
        <f>IF(IF(Table44243140[[#This Row],[Pre or Post]]="Pre",1,0)+IF(ISNUMBER(Table44243140[[#This Row],[Response]])=TRUE,1,0)=2,Table44243140[[#This Row],[Response]],"")</f>
        <v/>
      </c>
      <c r="K118" s="5">
        <f>IF(IF(Table44243140[[#This Row],[Pre or Post]]="Post",1,0)+IF(ISNUMBER(Table44243140[[#This Row],[Response]])=TRUE,1,0)=2,Table44243140[[#This Row],[Response]],"")</f>
        <v>5</v>
      </c>
      <c r="L118" s="5" t="str">
        <f>IF(IF(ISNUMBER(J118),1,0)+IF(ISNUMBER(K119),1,0)=2,IF(IF(C119=C118,1,0)+IF(B119=B118,1,0)+IF(D119="Post",1,0)+IF(D118="Pre",1,0)=4,Table44243140[[#This Row],[Pre Total]],""),"")</f>
        <v/>
      </c>
      <c r="M118" s="5" t="str">
        <f>IF(IF(ISNUMBER(J117),1,0)+IF(ISNUMBER(Table44243140[[#This Row],[Post Total]]),1,0)=2,IF(IF(Table44243140[[#This Row],[Student Number]]=C117,1,0)+IF(Table44243140[[#This Row],[Session]]=B117,1,0)+IF(Table44243140[[#This Row],[Pre or Post]]="Post",1,0)+IF(D117="Pre",1,0)=4,Table44243140[[#This Row],[Post Total]],""),"")</f>
        <v/>
      </c>
      <c r="N118" s="5" t="str">
        <f>IF(IF(ISNUMBER(J117),1,0)+IF(ISNUMBER(Table44243140[[#This Row],[Post Total]]),1,0)=2,IF(IF(Table44243140[[#This Row],[Student Number]]=C117,1,0)+IF(Table44243140[[#This Row],[Session]]=B117,1,0)+IF(Table44243140[[#This Row],[Pre or Post]]="Post",1,0)+IF(D117="Pre",1,0)=4,Table44243140[[#This Row],[Post Total]]-J117,""),"")</f>
        <v/>
      </c>
      <c r="O118" s="5" t="b">
        <f>ISNUMBER(Table44243140[[#This Row],[Change]])</f>
        <v>0</v>
      </c>
    </row>
    <row r="119" spans="1:15">
      <c r="A119" s="2" t="s">
        <v>24</v>
      </c>
      <c r="B119" s="2" t="s">
        <v>31</v>
      </c>
      <c r="C119" s="1">
        <v>6</v>
      </c>
      <c r="D119" s="2" t="s">
        <v>16</v>
      </c>
      <c r="E119" s="1">
        <v>4</v>
      </c>
      <c r="F119" s="1">
        <v>3</v>
      </c>
      <c r="G119" s="2" t="s">
        <v>9</v>
      </c>
      <c r="H119" s="5" t="str">
        <f>IF(IF(Table44243140[[#This Row],[Pre or Post]]="Pre",1,0)+IF(ISNUMBER(Table44243140[[#This Row],[Response]])=TRUE,1,0)=2,1,"")</f>
        <v/>
      </c>
      <c r="I119" s="5">
        <f>IF(IF(Table44243140[[#This Row],[Pre or Post]]="Post",1,0)+IF(ISNUMBER(Table44243140[[#This Row],[Response]])=TRUE,1,0)=2,1,"")</f>
        <v>1</v>
      </c>
      <c r="J119" s="5"/>
      <c r="K119" s="5">
        <f>IF(IF(Table44243140[[#This Row],[Pre or Post]]="Post",1,0)+IF(ISNUMBER(Table44243140[[#This Row],[Response]])=TRUE,1,0)=2,Table44243140[[#This Row],[Response]],"")</f>
        <v>3</v>
      </c>
      <c r="L119" s="5" t="str">
        <f>IF(IF(ISNUMBER(J119),1,0)+IF(ISNUMBER(K120),1,0)=2,IF(IF(C120=C119,1,0)+IF(B120=B119,1,0)+IF(D120="Post",1,0)+IF(D119="Pre",1,0)=4,Table44243140[[#This Row],[Pre Total]],""),"")</f>
        <v/>
      </c>
      <c r="M119" s="5" t="str">
        <f>IF(IF(ISNUMBER(J118),1,0)+IF(ISNUMBER(Table44243140[[#This Row],[Post Total]]),1,0)=2,IF(IF(Table44243140[[#This Row],[Student Number]]=C118,1,0)+IF(Table44243140[[#This Row],[Session]]=B118,1,0)+IF(Table44243140[[#This Row],[Pre or Post]]="Post",1,0)+IF(D118="Pre",1,0)=4,Table44243140[[#This Row],[Post Total]],""),"")</f>
        <v/>
      </c>
      <c r="N119" s="5" t="str">
        <f>IF(IF(ISNUMBER(J118),1,0)+IF(ISNUMBER(Table44243140[[#This Row],[Post Total]]),1,0)=2,IF(IF(Table44243140[[#This Row],[Student Number]]=C118,1,0)+IF(Table44243140[[#This Row],[Session]]=B118,1,0)+IF(Table44243140[[#This Row],[Pre or Post]]="Post",1,0)+IF(D118="Pre",1,0)=4,Table44243140[[#This Row],[Post Total]]-J118,""),"")</f>
        <v/>
      </c>
      <c r="O119" s="5" t="b">
        <f>ISNUMBER(Table44243140[[#This Row],[Change]])</f>
        <v>0</v>
      </c>
    </row>
    <row r="120" spans="1:15">
      <c r="A120" s="2" t="s">
        <v>24</v>
      </c>
      <c r="B120" s="2" t="s">
        <v>31</v>
      </c>
      <c r="C120" s="1">
        <v>7</v>
      </c>
      <c r="D120" s="2" t="s">
        <v>16</v>
      </c>
      <c r="E120" s="1">
        <v>4</v>
      </c>
      <c r="F120" s="1">
        <v>5</v>
      </c>
      <c r="G120" s="2" t="s">
        <v>9</v>
      </c>
      <c r="H120" s="6" t="str">
        <f>IF(IF(Table44243140[[#This Row],[Pre or Post]]="Pre",1,0)+IF(ISNUMBER(Table44243140[[#This Row],[Response]])=TRUE,1,0)=2,1,"")</f>
        <v/>
      </c>
      <c r="I120" s="6">
        <f>IF(IF(Table44243140[[#This Row],[Pre or Post]]="Post",1,0)+IF(ISNUMBER(Table44243140[[#This Row],[Response]])=TRUE,1,0)=2,1,"")</f>
        <v>1</v>
      </c>
      <c r="J120" s="6" t="str">
        <f>IF(IF(Table44243140[[#This Row],[Pre or Post]]="Pre",1,0)+IF(ISNUMBER(Table44243140[[#This Row],[Response]])=TRUE,1,0)=2,Table44243140[[#This Row],[Response]],"")</f>
        <v/>
      </c>
      <c r="K120" s="6">
        <f>IF(IF(Table44243140[[#This Row],[Pre or Post]]="Post",1,0)+IF(ISNUMBER(Table44243140[[#This Row],[Response]])=TRUE,1,0)=2,Table44243140[[#This Row],[Response]],"")</f>
        <v>5</v>
      </c>
      <c r="L120" s="6" t="str">
        <f>IF(IF(ISNUMBER(J120),1,0)+IF(ISNUMBER(K121),1,0)=2,IF(IF(C121=C120,1,0)+IF(B121=B120,1,0)+IF(D121="Post",1,0)+IF(D120="Pre",1,0)=4,Table44243140[[#This Row],[Pre Total]],""),"")</f>
        <v/>
      </c>
      <c r="M120" s="6" t="str">
        <f>IF(IF(ISNUMBER(J119),1,0)+IF(ISNUMBER(Table44243140[[#This Row],[Post Total]]),1,0)=2,IF(IF(Table44243140[[#This Row],[Student Number]]=C119,1,0)+IF(Table44243140[[#This Row],[Session]]=B119,1,0)+IF(Table44243140[[#This Row],[Pre or Post]]="Post",1,0)+IF(D119="Pre",1,0)=4,Table44243140[[#This Row],[Post Total]],""),"")</f>
        <v/>
      </c>
      <c r="N120" s="6" t="str">
        <f>IF(IF(ISNUMBER(J119),1,0)+IF(ISNUMBER(Table44243140[[#This Row],[Post Total]]),1,0)=2,IF(IF(Table44243140[[#This Row],[Student Number]]=C119,1,0)+IF(Table44243140[[#This Row],[Session]]=B119,1,0)+IF(Table44243140[[#This Row],[Pre or Post]]="Post",1,0)+IF(D119="Pre",1,0)=4,Table44243140[[#This Row],[Post Total]]-J119,""),"")</f>
        <v/>
      </c>
      <c r="O120" s="6" t="b">
        <f>ISNUMBER(Table44243140[[#This Row],[Change]])</f>
        <v>0</v>
      </c>
    </row>
    <row r="121" spans="1:15">
      <c r="A121" s="2" t="s">
        <v>24</v>
      </c>
      <c r="B121" s="2" t="s">
        <v>31</v>
      </c>
      <c r="C121" s="1">
        <v>8</v>
      </c>
      <c r="D121" s="2" t="s">
        <v>16</v>
      </c>
      <c r="E121" s="1">
        <v>4</v>
      </c>
      <c r="F121" s="1">
        <v>5</v>
      </c>
      <c r="G121" s="2" t="s">
        <v>9</v>
      </c>
      <c r="H121" s="5" t="str">
        <f>IF(IF(Table44243140[[#This Row],[Pre or Post]]="Pre",1,0)+IF(ISNUMBER(Table44243140[[#This Row],[Response]])=TRUE,1,0)=2,1,"")</f>
        <v/>
      </c>
      <c r="I121" s="5">
        <f>IF(IF(Table44243140[[#This Row],[Pre or Post]]="Post",1,0)+IF(ISNUMBER(Table44243140[[#This Row],[Response]])=TRUE,1,0)=2,1,"")</f>
        <v>1</v>
      </c>
      <c r="J121" s="5" t="str">
        <f>IF(IF(Table44243140[[#This Row],[Pre or Post]]="Pre",1,0)+IF(ISNUMBER(Table44243140[[#This Row],[Response]])=TRUE,1,0)=2,Table44243140[[#This Row],[Response]],"")</f>
        <v/>
      </c>
      <c r="K121" s="5">
        <f>IF(IF(Table44243140[[#This Row],[Pre or Post]]="Post",1,0)+IF(ISNUMBER(Table44243140[[#This Row],[Response]])=TRUE,1,0)=2,Table44243140[[#This Row],[Response]],"")</f>
        <v>5</v>
      </c>
      <c r="L121" s="5" t="str">
        <f>IF(IF(ISNUMBER(J121),1,0)+IF(ISNUMBER(K122),1,0)=2,IF(IF(C122=C121,1,0)+IF(B122=B121,1,0)+IF(D122="Post",1,0)+IF(D121="Pre",1,0)=4,Table44243140[[#This Row],[Pre Total]],""),"")</f>
        <v/>
      </c>
      <c r="M121" s="5" t="str">
        <f>IF(IF(ISNUMBER(J120),1,0)+IF(ISNUMBER(Table44243140[[#This Row],[Post Total]]),1,0)=2,IF(IF(Table44243140[[#This Row],[Student Number]]=C120,1,0)+IF(Table44243140[[#This Row],[Session]]=B120,1,0)+IF(Table44243140[[#This Row],[Pre or Post]]="Post",1,0)+IF(D120="Pre",1,0)=4,Table44243140[[#This Row],[Post Total]],""),"")</f>
        <v/>
      </c>
      <c r="N121" s="5" t="str">
        <f>IF(IF(ISNUMBER(J120),1,0)+IF(ISNUMBER(Table44243140[[#This Row],[Post Total]]),1,0)=2,IF(IF(Table44243140[[#This Row],[Student Number]]=C120,1,0)+IF(Table44243140[[#This Row],[Session]]=B120,1,0)+IF(Table44243140[[#This Row],[Pre or Post]]="Post",1,0)+IF(D120="Pre",1,0)=4,Table44243140[[#This Row],[Post Total]]-J120,""),"")</f>
        <v/>
      </c>
      <c r="O121" s="5" t="b">
        <f>ISNUMBER(Table44243140[[#This Row],[Change]])</f>
        <v>0</v>
      </c>
    </row>
    <row r="122" spans="1:15">
      <c r="A122" s="2" t="s">
        <v>24</v>
      </c>
      <c r="B122" s="2" t="s">
        <v>31</v>
      </c>
      <c r="C122" s="1">
        <v>9</v>
      </c>
      <c r="D122" s="2" t="s">
        <v>16</v>
      </c>
      <c r="E122" s="1">
        <v>4</v>
      </c>
      <c r="F122" s="1">
        <v>5</v>
      </c>
      <c r="G122" s="2" t="s">
        <v>9</v>
      </c>
      <c r="H122" s="5" t="str">
        <f>IF(IF(Table44243140[[#This Row],[Pre or Post]]="Pre",1,0)+IF(ISNUMBER(Table44243140[[#This Row],[Response]])=TRUE,1,0)=2,1,"")</f>
        <v/>
      </c>
      <c r="I122" s="5">
        <f>IF(IF(Table44243140[[#This Row],[Pre or Post]]="Post",1,0)+IF(ISNUMBER(Table44243140[[#This Row],[Response]])=TRUE,1,0)=2,1,"")</f>
        <v>1</v>
      </c>
      <c r="J122" s="5" t="str">
        <f>IF(IF(Table44243140[[#This Row],[Pre or Post]]="Pre",1,0)+IF(ISNUMBER(Table44243140[[#This Row],[Response]])=TRUE,1,0)=2,Table44243140[[#This Row],[Response]],"")</f>
        <v/>
      </c>
      <c r="K122" s="5">
        <f>IF(IF(Table44243140[[#This Row],[Pre or Post]]="Post",1,0)+IF(ISNUMBER(Table44243140[[#This Row],[Response]])=TRUE,1,0)=2,Table44243140[[#This Row],[Response]],"")</f>
        <v>5</v>
      </c>
      <c r="L122" s="5" t="str">
        <f>IF(IF(ISNUMBER(J122),1,0)+IF(ISNUMBER(K123),1,0)=2,IF(IF(C123=C122,1,0)+IF(B123=B122,1,0)+IF(D123="Post",1,0)+IF(D122="Pre",1,0)=4,Table44243140[[#This Row],[Pre Total]],""),"")</f>
        <v/>
      </c>
      <c r="M122" s="5" t="str">
        <f>IF(IF(ISNUMBER(J121),1,0)+IF(ISNUMBER(Table44243140[[#This Row],[Post Total]]),1,0)=2,IF(IF(Table44243140[[#This Row],[Student Number]]=C121,1,0)+IF(Table44243140[[#This Row],[Session]]=B121,1,0)+IF(Table44243140[[#This Row],[Pre or Post]]="Post",1,0)+IF(D121="Pre",1,0)=4,Table44243140[[#This Row],[Post Total]],""),"")</f>
        <v/>
      </c>
      <c r="N122" s="5" t="str">
        <f>IF(IF(ISNUMBER(J121),1,0)+IF(ISNUMBER(Table44243140[[#This Row],[Post Total]]),1,0)=2,IF(IF(Table44243140[[#This Row],[Student Number]]=C121,1,0)+IF(Table44243140[[#This Row],[Session]]=B121,1,0)+IF(Table44243140[[#This Row],[Pre or Post]]="Post",1,0)+IF(D121="Pre",1,0)=4,Table44243140[[#This Row],[Post Total]]-J121,""),"")</f>
        <v/>
      </c>
      <c r="O122" s="5" t="b">
        <f>ISNUMBER(Table44243140[[#This Row],[Change]])</f>
        <v>0</v>
      </c>
    </row>
    <row r="123" spans="1:15">
      <c r="A123" s="2" t="s">
        <v>24</v>
      </c>
      <c r="B123" s="2" t="s">
        <v>31</v>
      </c>
      <c r="C123" s="1">
        <v>10</v>
      </c>
      <c r="D123" s="2" t="s">
        <v>16</v>
      </c>
      <c r="E123" s="1">
        <v>4</v>
      </c>
      <c r="F123" s="1">
        <v>3</v>
      </c>
      <c r="G123" s="2" t="s">
        <v>9</v>
      </c>
      <c r="H123" s="5" t="str">
        <f>IF(IF(Table44243140[[#This Row],[Pre or Post]]="Pre",1,0)+IF(ISNUMBER(Table44243140[[#This Row],[Response]])=TRUE,1,0)=2,1,"")</f>
        <v/>
      </c>
      <c r="I123" s="5">
        <f>IF(IF(Table44243140[[#This Row],[Pre or Post]]="Post",1,0)+IF(ISNUMBER(Table44243140[[#This Row],[Response]])=TRUE,1,0)=2,1,"")</f>
        <v>1</v>
      </c>
      <c r="J123" s="5"/>
      <c r="K123" s="5">
        <f>IF(IF(Table44243140[[#This Row],[Pre or Post]]="Post",1,0)+IF(ISNUMBER(Table44243140[[#This Row],[Response]])=TRUE,1,0)=2,Table44243140[[#This Row],[Response]],"")</f>
        <v>3</v>
      </c>
      <c r="L123" s="5" t="str">
        <f>IF(IF(ISNUMBER(J123),1,0)+IF(ISNUMBER(K124),1,0)=2,IF(IF(C124=C123,1,0)+IF(B124=B123,1,0)+IF(D124="Post",1,0)+IF(D123="Pre",1,0)=4,Table44243140[[#This Row],[Pre Total]],""),"")</f>
        <v/>
      </c>
      <c r="M123" s="5" t="str">
        <f>IF(IF(ISNUMBER(J122),1,0)+IF(ISNUMBER(Table44243140[[#This Row],[Post Total]]),1,0)=2,IF(IF(Table44243140[[#This Row],[Student Number]]=C122,1,0)+IF(Table44243140[[#This Row],[Session]]=B122,1,0)+IF(Table44243140[[#This Row],[Pre or Post]]="Post",1,0)+IF(D122="Pre",1,0)=4,Table44243140[[#This Row],[Post Total]],""),"")</f>
        <v/>
      </c>
      <c r="N123" s="5" t="str">
        <f>IF(IF(ISNUMBER(J122),1,0)+IF(ISNUMBER(Table44243140[[#This Row],[Post Total]]),1,0)=2,IF(IF(Table44243140[[#This Row],[Student Number]]=C122,1,0)+IF(Table44243140[[#This Row],[Session]]=B122,1,0)+IF(Table44243140[[#This Row],[Pre or Post]]="Post",1,0)+IF(D122="Pre",1,0)=4,Table44243140[[#This Row],[Post Total]]-J122,""),"")</f>
        <v/>
      </c>
      <c r="O123" s="5" t="b">
        <f>ISNUMBER(Table44243140[[#This Row],[Change]])</f>
        <v>0</v>
      </c>
    </row>
    <row r="124" spans="1:15">
      <c r="A124" s="2" t="s">
        <v>24</v>
      </c>
      <c r="B124" s="2" t="s">
        <v>31</v>
      </c>
      <c r="C124" s="1">
        <v>11</v>
      </c>
      <c r="D124" s="2" t="s">
        <v>16</v>
      </c>
      <c r="E124" s="1">
        <v>4</v>
      </c>
      <c r="F124" s="1">
        <v>4</v>
      </c>
      <c r="G124" s="2" t="s">
        <v>9</v>
      </c>
      <c r="H124" s="6" t="str">
        <f>IF(IF(Table44243140[[#This Row],[Pre or Post]]="Pre",1,0)+IF(ISNUMBER(Table44243140[[#This Row],[Response]])=TRUE,1,0)=2,1,"")</f>
        <v/>
      </c>
      <c r="I124" s="6">
        <f>IF(IF(Table44243140[[#This Row],[Pre or Post]]="Post",1,0)+IF(ISNUMBER(Table44243140[[#This Row],[Response]])=TRUE,1,0)=2,1,"")</f>
        <v>1</v>
      </c>
      <c r="J124" s="6" t="str">
        <f>IF(IF(Table44243140[[#This Row],[Pre or Post]]="Pre",1,0)+IF(ISNUMBER(Table44243140[[#This Row],[Response]])=TRUE,1,0)=2,Table44243140[[#This Row],[Response]],"")</f>
        <v/>
      </c>
      <c r="K124" s="6">
        <f>IF(IF(Table44243140[[#This Row],[Pre or Post]]="Post",1,0)+IF(ISNUMBER(Table44243140[[#This Row],[Response]])=TRUE,1,0)=2,Table44243140[[#This Row],[Response]],"")</f>
        <v>4</v>
      </c>
      <c r="L124" s="6" t="str">
        <f>IF(IF(ISNUMBER(J124),1,0)+IF(ISNUMBER(K125),1,0)=2,IF(IF(C125=C124,1,0)+IF(B125=B124,1,0)+IF(D125="Post",1,0)+IF(D124="Pre",1,0)=4,Table44243140[[#This Row],[Pre Total]],""),"")</f>
        <v/>
      </c>
      <c r="M124" s="6" t="str">
        <f>IF(IF(ISNUMBER(J123),1,0)+IF(ISNUMBER(Table44243140[[#This Row],[Post Total]]),1,0)=2,IF(IF(Table44243140[[#This Row],[Student Number]]=C123,1,0)+IF(Table44243140[[#This Row],[Session]]=B123,1,0)+IF(Table44243140[[#This Row],[Pre or Post]]="Post",1,0)+IF(D123="Pre",1,0)=4,Table44243140[[#This Row],[Post Total]],""),"")</f>
        <v/>
      </c>
      <c r="N124" s="6" t="str">
        <f>IF(IF(ISNUMBER(J123),1,0)+IF(ISNUMBER(Table44243140[[#This Row],[Post Total]]),1,0)=2,IF(IF(Table44243140[[#This Row],[Student Number]]=C123,1,0)+IF(Table44243140[[#This Row],[Session]]=B123,1,0)+IF(Table44243140[[#This Row],[Pre or Post]]="Post",1,0)+IF(D123="Pre",1,0)=4,Table44243140[[#This Row],[Post Total]]-J123,""),"")</f>
        <v/>
      </c>
      <c r="O124" s="6" t="b">
        <f>ISNUMBER(Table44243140[[#This Row],[Change]])</f>
        <v>0</v>
      </c>
    </row>
    <row r="125" spans="1:15">
      <c r="A125" s="2" t="s">
        <v>24</v>
      </c>
      <c r="B125" s="2" t="s">
        <v>31</v>
      </c>
      <c r="C125" s="1">
        <v>12</v>
      </c>
      <c r="D125" s="2" t="s">
        <v>16</v>
      </c>
      <c r="E125" s="1">
        <v>4</v>
      </c>
      <c r="F125" s="1">
        <v>5</v>
      </c>
      <c r="G125" s="2" t="s">
        <v>9</v>
      </c>
      <c r="H125" s="5" t="str">
        <f>IF(IF(Table44243140[[#This Row],[Pre or Post]]="Pre",1,0)+IF(ISNUMBER(Table44243140[[#This Row],[Response]])=TRUE,1,0)=2,1,"")</f>
        <v/>
      </c>
      <c r="I125" s="5">
        <f>IF(IF(Table44243140[[#This Row],[Pre or Post]]="Post",1,0)+IF(ISNUMBER(Table44243140[[#This Row],[Response]])=TRUE,1,0)=2,1,"")</f>
        <v>1</v>
      </c>
      <c r="J125" s="5" t="str">
        <f>IF(IF(Table44243140[[#This Row],[Pre or Post]]="Pre",1,0)+IF(ISNUMBER(Table44243140[[#This Row],[Response]])=TRUE,1,0)=2,Table44243140[[#This Row],[Response]],"")</f>
        <v/>
      </c>
      <c r="K125" s="5">
        <f>IF(IF(Table44243140[[#This Row],[Pre or Post]]="Post",1,0)+IF(ISNUMBER(Table44243140[[#This Row],[Response]])=TRUE,1,0)=2,Table44243140[[#This Row],[Response]],"")</f>
        <v>5</v>
      </c>
      <c r="L125" s="5" t="str">
        <f>IF(IF(ISNUMBER(J125),1,0)+IF(ISNUMBER(K126),1,0)=2,IF(IF(C126=C125,1,0)+IF(B126=B125,1,0)+IF(D126="Post",1,0)+IF(D125="Pre",1,0)=4,Table44243140[[#This Row],[Pre Total]],""),"")</f>
        <v/>
      </c>
      <c r="M125" s="5" t="str">
        <f>IF(IF(ISNUMBER(J124),1,0)+IF(ISNUMBER(Table44243140[[#This Row],[Post Total]]),1,0)=2,IF(IF(Table44243140[[#This Row],[Student Number]]=C124,1,0)+IF(Table44243140[[#This Row],[Session]]=B124,1,0)+IF(Table44243140[[#This Row],[Pre or Post]]="Post",1,0)+IF(D124="Pre",1,0)=4,Table44243140[[#This Row],[Post Total]],""),"")</f>
        <v/>
      </c>
      <c r="N125" s="5" t="str">
        <f>IF(IF(ISNUMBER(J124),1,0)+IF(ISNUMBER(Table44243140[[#This Row],[Post Total]]),1,0)=2,IF(IF(Table44243140[[#This Row],[Student Number]]=C124,1,0)+IF(Table44243140[[#This Row],[Session]]=B124,1,0)+IF(Table44243140[[#This Row],[Pre or Post]]="Post",1,0)+IF(D124="Pre",1,0)=4,Table44243140[[#This Row],[Post Total]]-J124,""),"")</f>
        <v/>
      </c>
      <c r="O125" s="5" t="b">
        <f>ISNUMBER(Table44243140[[#This Row],[Change]])</f>
        <v>0</v>
      </c>
    </row>
    <row r="126" spans="1:15">
      <c r="A126" s="2" t="s">
        <v>24</v>
      </c>
      <c r="B126" s="2" t="s">
        <v>31</v>
      </c>
      <c r="C126" s="1">
        <v>13</v>
      </c>
      <c r="D126" s="2" t="s">
        <v>16</v>
      </c>
      <c r="E126" s="1">
        <v>4</v>
      </c>
      <c r="F126" s="1">
        <v>1</v>
      </c>
      <c r="G126" s="2" t="s">
        <v>9</v>
      </c>
      <c r="H126" s="5" t="str">
        <f>IF(IF(Table44243140[[#This Row],[Pre or Post]]="Pre",1,0)+IF(ISNUMBER(Table44243140[[#This Row],[Response]])=TRUE,1,0)=2,1,"")</f>
        <v/>
      </c>
      <c r="I126" s="5">
        <f>IF(IF(Table44243140[[#This Row],[Pre or Post]]="Post",1,0)+IF(ISNUMBER(Table44243140[[#This Row],[Response]])=TRUE,1,0)=2,1,"")</f>
        <v>1</v>
      </c>
      <c r="J126" s="5" t="str">
        <f>IF(IF(Table44243140[[#This Row],[Pre or Post]]="Pre",1,0)+IF(ISNUMBER(Table44243140[[#This Row],[Response]])=TRUE,1,0)=2,Table44243140[[#This Row],[Response]],"")</f>
        <v/>
      </c>
      <c r="K126" s="5">
        <f>IF(IF(Table44243140[[#This Row],[Pre or Post]]="Post",1,0)+IF(ISNUMBER(Table44243140[[#This Row],[Response]])=TRUE,1,0)=2,Table44243140[[#This Row],[Response]],"")</f>
        <v>1</v>
      </c>
      <c r="L126" s="5" t="str">
        <f>IF(IF(ISNUMBER(J126),1,0)+IF(ISNUMBER(K127),1,0)=2,IF(IF(C127=C126,1,0)+IF(B127=B126,1,0)+IF(D127="Post",1,0)+IF(D126="Pre",1,0)=4,Table44243140[[#This Row],[Pre Total]],""),"")</f>
        <v/>
      </c>
      <c r="M126" s="5" t="str">
        <f>IF(IF(ISNUMBER(J125),1,0)+IF(ISNUMBER(Table44243140[[#This Row],[Post Total]]),1,0)=2,IF(IF(Table44243140[[#This Row],[Student Number]]=C125,1,0)+IF(Table44243140[[#This Row],[Session]]=B125,1,0)+IF(Table44243140[[#This Row],[Pre or Post]]="Post",1,0)+IF(D125="Pre",1,0)=4,Table44243140[[#This Row],[Post Total]],""),"")</f>
        <v/>
      </c>
      <c r="N126" s="5" t="str">
        <f>IF(IF(ISNUMBER(J125),1,0)+IF(ISNUMBER(Table44243140[[#This Row],[Post Total]]),1,0)=2,IF(IF(Table44243140[[#This Row],[Student Number]]=C125,1,0)+IF(Table44243140[[#This Row],[Session]]=B125,1,0)+IF(Table44243140[[#This Row],[Pre or Post]]="Post",1,0)+IF(D125="Pre",1,0)=4,Table44243140[[#This Row],[Post Total]]-J125,""),"")</f>
        <v/>
      </c>
      <c r="O126" s="5" t="b">
        <f>ISNUMBER(Table44243140[[#This Row],[Change]])</f>
        <v>0</v>
      </c>
    </row>
    <row r="127" spans="1:15">
      <c r="A127" s="2" t="s">
        <v>24</v>
      </c>
      <c r="B127" s="2" t="s">
        <v>31</v>
      </c>
      <c r="C127" s="1">
        <v>14</v>
      </c>
      <c r="D127" s="2" t="s">
        <v>16</v>
      </c>
      <c r="E127" s="1">
        <v>4</v>
      </c>
      <c r="F127" s="1">
        <v>3</v>
      </c>
      <c r="G127" s="2" t="s">
        <v>9</v>
      </c>
      <c r="H127" s="5" t="str">
        <f>IF(IF(Table44243140[[#This Row],[Pre or Post]]="Pre",1,0)+IF(ISNUMBER(Table44243140[[#This Row],[Response]])=TRUE,1,0)=2,1,"")</f>
        <v/>
      </c>
      <c r="I127" s="5">
        <f>IF(IF(Table44243140[[#This Row],[Pre or Post]]="Post",1,0)+IF(ISNUMBER(Table44243140[[#This Row],[Response]])=TRUE,1,0)=2,1,"")</f>
        <v>1</v>
      </c>
      <c r="J127" s="5">
        <v>4</v>
      </c>
      <c r="K127" s="5">
        <f>IF(IF(Table44243140[[#This Row],[Pre or Post]]="Post",1,0)+IF(ISNUMBER(Table44243140[[#This Row],[Response]])=TRUE,1,0)=2,Table44243140[[#This Row],[Response]],"")</f>
        <v>3</v>
      </c>
      <c r="L127" s="5" t="str">
        <f>IF(IF(ISNUMBER(J127),1,0)+IF(ISNUMBER(K128),1,0)=2,IF(IF(C128=C127,1,0)+IF(B128=B127,1,0)+IF(D128="Post",1,0)+IF(D127="Pre",1,0)=4,Table44243140[[#This Row],[Pre Total]],""),"")</f>
        <v/>
      </c>
      <c r="M127" s="5" t="str">
        <f>IF(IF(ISNUMBER(J126),1,0)+IF(ISNUMBER(Table44243140[[#This Row],[Post Total]]),1,0)=2,IF(IF(Table44243140[[#This Row],[Student Number]]=C126,1,0)+IF(Table44243140[[#This Row],[Session]]=B126,1,0)+IF(Table44243140[[#This Row],[Pre or Post]]="Post",1,0)+IF(D126="Pre",1,0)=4,Table44243140[[#This Row],[Post Total]],""),"")</f>
        <v/>
      </c>
      <c r="N127" s="5" t="str">
        <f>IF(IF(ISNUMBER(J126),1,0)+IF(ISNUMBER(Table44243140[[#This Row],[Post Total]]),1,0)=2,IF(IF(Table44243140[[#This Row],[Student Number]]=C126,1,0)+IF(Table44243140[[#This Row],[Session]]=B126,1,0)+IF(Table44243140[[#This Row],[Pre or Post]]="Post",1,0)+IF(D126="Pre",1,0)=4,Table44243140[[#This Row],[Post Total]]-J126,""),"")</f>
        <v/>
      </c>
      <c r="O127" s="5" t="b">
        <f>ISNUMBER(Table44243140[[#This Row],[Change]])</f>
        <v>0</v>
      </c>
    </row>
    <row r="128" spans="1:15">
      <c r="A128" s="2" t="s">
        <v>24</v>
      </c>
      <c r="B128" s="2" t="s">
        <v>31</v>
      </c>
      <c r="C128" s="1">
        <v>15</v>
      </c>
      <c r="D128" s="2" t="s">
        <v>16</v>
      </c>
      <c r="E128" s="1">
        <v>4</v>
      </c>
      <c r="F128" s="1">
        <v>5</v>
      </c>
      <c r="G128" s="2" t="s">
        <v>9</v>
      </c>
      <c r="H128" s="6" t="str">
        <f>IF(IF(Table44243140[[#This Row],[Pre or Post]]="Pre",1,0)+IF(ISNUMBER(Table44243140[[#This Row],[Response]])=TRUE,1,0)=2,1,"")</f>
        <v/>
      </c>
      <c r="I128" s="6">
        <f>IF(IF(Table44243140[[#This Row],[Pre or Post]]="Post",1,0)+IF(ISNUMBER(Table44243140[[#This Row],[Response]])=TRUE,1,0)=2,1,"")</f>
        <v>1</v>
      </c>
      <c r="J128" s="6" t="str">
        <f>IF(IF(Table44243140[[#This Row],[Pre or Post]]="Pre",1,0)+IF(ISNUMBER(Table44243140[[#This Row],[Response]])=TRUE,1,0)=2,Table44243140[[#This Row],[Response]],"")</f>
        <v/>
      </c>
      <c r="K128" s="6">
        <f>IF(IF(Table44243140[[#This Row],[Pre or Post]]="Post",1,0)+IF(ISNUMBER(Table44243140[[#This Row],[Response]])=TRUE,1,0)=2,Table44243140[[#This Row],[Response]],"")</f>
        <v>5</v>
      </c>
      <c r="L128" s="6" t="str">
        <f>IF(IF(ISNUMBER(J128),1,0)+IF(ISNUMBER(K129),1,0)=2,IF(IF(C129=C128,1,0)+IF(B129=B128,1,0)+IF(D129="Post",1,0)+IF(D128="Pre",1,0)=4,Table44243140[[#This Row],[Pre Total]],""),"")</f>
        <v/>
      </c>
      <c r="M128" s="6" t="str">
        <f>IF(IF(ISNUMBER(J127),1,0)+IF(ISNUMBER(Table44243140[[#This Row],[Post Total]]),1,0)=2,IF(IF(Table44243140[[#This Row],[Student Number]]=C127,1,0)+IF(Table44243140[[#This Row],[Session]]=B127,1,0)+IF(Table44243140[[#This Row],[Pre or Post]]="Post",1,0)+IF(D127="Pre",1,0)=4,Table44243140[[#This Row],[Post Total]],""),"")</f>
        <v/>
      </c>
      <c r="N128" s="6" t="str">
        <f>IF(IF(ISNUMBER(J127),1,0)+IF(ISNUMBER(Table44243140[[#This Row],[Post Total]]),1,0)=2,IF(IF(Table44243140[[#This Row],[Student Number]]=C127,1,0)+IF(Table44243140[[#This Row],[Session]]=B127,1,0)+IF(Table44243140[[#This Row],[Pre or Post]]="Post",1,0)+IF(D127="Pre",1,0)=4,Table44243140[[#This Row],[Post Total]]-J127,""),"")</f>
        <v/>
      </c>
      <c r="O128" s="6" t="b">
        <f>ISNUMBER(Table44243140[[#This Row],[Change]])</f>
        <v>0</v>
      </c>
    </row>
    <row r="129" spans="1:15">
      <c r="A129" s="2" t="s">
        <v>24</v>
      </c>
      <c r="B129" s="2" t="s">
        <v>26</v>
      </c>
      <c r="C129" s="1">
        <v>1</v>
      </c>
      <c r="D129" s="1" t="s">
        <v>6</v>
      </c>
      <c r="E129" s="1">
        <v>11</v>
      </c>
      <c r="F129" s="1">
        <v>3</v>
      </c>
      <c r="G129" s="2" t="s">
        <v>8</v>
      </c>
      <c r="H129" s="6">
        <f>IF(IF(Table44243140[[#This Row],[Pre or Post]]="Pre",1,0)+IF(ISNUMBER(Table44243140[[#This Row],[Response]])=TRUE,1,0)=2,1,"")</f>
        <v>1</v>
      </c>
      <c r="I129" s="6" t="str">
        <f>IF(IF(Table44243140[[#This Row],[Pre or Post]]="Post",1,0)+IF(ISNUMBER(Table44243140[[#This Row],[Response]])=TRUE,1,0)=2,1,"")</f>
        <v/>
      </c>
      <c r="J129" s="6">
        <f>IF(IF(Table44243140[[#This Row],[Pre or Post]]="Pre",1,0)+IF(ISNUMBER(Table44243140[[#This Row],[Response]])=TRUE,1,0)=2,Table44243140[[#This Row],[Response]],"")</f>
        <v>3</v>
      </c>
      <c r="K129" s="6" t="str">
        <f>IF(IF(Table44243140[[#This Row],[Pre or Post]]="Post",1,0)+IF(ISNUMBER(Table44243140[[#This Row],[Response]])=TRUE,1,0)=2,Table44243140[[#This Row],[Response]],"")</f>
        <v/>
      </c>
      <c r="L129" s="6">
        <f>IF(IF(ISNUMBER(J129),1,0)+IF(ISNUMBER(K130),1,0)=2,IF(IF(C130=C129,1,0)+IF(B130=B129,1,0)+IF(D130="Post",1,0)+IF(D129="Pre",1,0)=4,Table44243140[[#This Row],[Pre Total]],""),"")</f>
        <v>3</v>
      </c>
      <c r="M129" s="6" t="str">
        <f>IF(IF(ISNUMBER(J128),1,0)+IF(ISNUMBER(Table44243140[[#This Row],[Post Total]]),1,0)=2,IF(IF(Table44243140[[#This Row],[Student Number]]=C128,1,0)+IF(Table44243140[[#This Row],[Session]]=B128,1,0)+IF(Table44243140[[#This Row],[Pre or Post]]="Post",1,0)+IF(D128="Pre",1,0)=4,Table44243140[[#This Row],[Post Total]],""),"")</f>
        <v/>
      </c>
      <c r="N129" s="6" t="str">
        <f>IF(IF(ISNUMBER(J128),1,0)+IF(ISNUMBER(Table44243140[[#This Row],[Post Total]]),1,0)=2,IF(IF(Table44243140[[#This Row],[Student Number]]=C128,1,0)+IF(Table44243140[[#This Row],[Session]]=B128,1,0)+IF(Table44243140[[#This Row],[Pre or Post]]="Post",1,0)+IF(D128="Pre",1,0)=4,Table44243140[[#This Row],[Post Total]]-J128,""),"")</f>
        <v/>
      </c>
      <c r="O129" s="6" t="b">
        <f>ISNUMBER(Table44243140[[#This Row],[Change]])</f>
        <v>0</v>
      </c>
    </row>
    <row r="130" spans="1:15">
      <c r="A130" s="2" t="s">
        <v>24</v>
      </c>
      <c r="B130" s="2" t="s">
        <v>26</v>
      </c>
      <c r="C130" s="1">
        <v>1</v>
      </c>
      <c r="D130" s="1" t="s">
        <v>16</v>
      </c>
      <c r="E130" s="1">
        <v>4</v>
      </c>
      <c r="F130" s="1">
        <v>3</v>
      </c>
      <c r="G130" s="2" t="s">
        <v>8</v>
      </c>
      <c r="H130" s="6" t="str">
        <f>IF(IF(Table44243140[[#This Row],[Pre or Post]]="Pre",1,0)+IF(ISNUMBER(Table44243140[[#This Row],[Response]])=TRUE,1,0)=2,1,"")</f>
        <v/>
      </c>
      <c r="I130" s="6">
        <f>IF(IF(Table44243140[[#This Row],[Pre or Post]]="Post",1,0)+IF(ISNUMBER(Table44243140[[#This Row],[Response]])=TRUE,1,0)=2,1,"")</f>
        <v>1</v>
      </c>
      <c r="J130" s="6" t="str">
        <f>IF(IF(Table44243140[[#This Row],[Pre or Post]]="Pre",1,0)+IF(ISNUMBER(Table44243140[[#This Row],[Response]])=TRUE,1,0)=2,Table44243140[[#This Row],[Response]],"")</f>
        <v/>
      </c>
      <c r="K130" s="6">
        <f>IF(IF(Table44243140[[#This Row],[Pre or Post]]="Post",1,0)+IF(ISNUMBER(Table44243140[[#This Row],[Response]])=TRUE,1,0)=2,Table44243140[[#This Row],[Response]],"")</f>
        <v>3</v>
      </c>
      <c r="L130" s="6" t="str">
        <f>IF(IF(ISNUMBER(J130),1,0)+IF(ISNUMBER(K131),1,0)=2,IF(IF(C131=C130,1,0)+IF(B131=B130,1,0)+IF(D131="Post",1,0)+IF(D130="Pre",1,0)=4,Table44243140[[#This Row],[Pre Total]],""),"")</f>
        <v/>
      </c>
      <c r="M130" s="6">
        <f>IF(IF(ISNUMBER(J129),1,0)+IF(ISNUMBER(Table44243140[[#This Row],[Post Total]]),1,0)=2,IF(IF(Table44243140[[#This Row],[Student Number]]=C129,1,0)+IF(Table44243140[[#This Row],[Session]]=B129,1,0)+IF(Table44243140[[#This Row],[Pre or Post]]="Post",1,0)+IF(D129="Pre",1,0)=4,Table44243140[[#This Row],[Post Total]],""),"")</f>
        <v>3</v>
      </c>
      <c r="N130" s="6">
        <f>IF(IF(ISNUMBER(J129),1,0)+IF(ISNUMBER(Table44243140[[#This Row],[Post Total]]),1,0)=2,IF(IF(Table44243140[[#This Row],[Student Number]]=C129,1,0)+IF(Table44243140[[#This Row],[Session]]=B129,1,0)+IF(Table44243140[[#This Row],[Pre or Post]]="Post",1,0)+IF(D129="Pre",1,0)=4,Table44243140[[#This Row],[Post Total]]-J129,""),"")</f>
        <v>0</v>
      </c>
      <c r="O130" s="6" t="b">
        <f>ISNUMBER(Table44243140[[#This Row],[Change]])</f>
        <v>1</v>
      </c>
    </row>
    <row r="131" spans="1:15">
      <c r="A131" s="2" t="s">
        <v>24</v>
      </c>
      <c r="B131" s="2" t="s">
        <v>26</v>
      </c>
      <c r="C131" s="1">
        <v>2</v>
      </c>
      <c r="D131" s="1" t="s">
        <v>6</v>
      </c>
      <c r="E131" s="1">
        <v>11</v>
      </c>
      <c r="F131" s="1">
        <v>1</v>
      </c>
      <c r="G131" s="2" t="s">
        <v>8</v>
      </c>
      <c r="H131" s="5">
        <f>IF(IF(Table44243140[[#This Row],[Pre or Post]]="Pre",1,0)+IF(ISNUMBER(Table44243140[[#This Row],[Response]])=TRUE,1,0)=2,1,"")</f>
        <v>1</v>
      </c>
      <c r="I131" s="5" t="str">
        <f>IF(IF(Table44243140[[#This Row],[Pre or Post]]="Post",1,0)+IF(ISNUMBER(Table44243140[[#This Row],[Response]])=TRUE,1,0)=2,1,"")</f>
        <v/>
      </c>
      <c r="J131" s="5">
        <f>IF(IF(Table44243140[[#This Row],[Pre or Post]]="Pre",1,0)+IF(ISNUMBER(Table44243140[[#This Row],[Response]])=TRUE,1,0)=2,Table44243140[[#This Row],[Response]],"")</f>
        <v>1</v>
      </c>
      <c r="K131" s="5" t="str">
        <f>IF(IF(Table44243140[[#This Row],[Pre or Post]]="Post",1,0)+IF(ISNUMBER(Table44243140[[#This Row],[Response]])=TRUE,1,0)=2,Table44243140[[#This Row],[Response]],"")</f>
        <v/>
      </c>
      <c r="L131" s="5">
        <f>IF(IF(ISNUMBER(J131),1,0)+IF(ISNUMBER(K132),1,0)=2,IF(IF(C132=C131,1,0)+IF(B132=B131,1,0)+IF(D132="Post",1,0)+IF(D131="Pre",1,0)=4,Table44243140[[#This Row],[Pre Total]],""),"")</f>
        <v>1</v>
      </c>
      <c r="M131" s="5" t="str">
        <f>IF(IF(ISNUMBER(J130),1,0)+IF(ISNUMBER(Table44243140[[#This Row],[Post Total]]),1,0)=2,IF(IF(Table44243140[[#This Row],[Student Number]]=C130,1,0)+IF(Table44243140[[#This Row],[Session]]=B130,1,0)+IF(Table44243140[[#This Row],[Pre or Post]]="Post",1,0)+IF(D130="Pre",1,0)=4,Table44243140[[#This Row],[Post Total]],""),"")</f>
        <v/>
      </c>
      <c r="N131" s="5" t="str">
        <f>IF(IF(ISNUMBER(J130),1,0)+IF(ISNUMBER(Table44243140[[#This Row],[Post Total]]),1,0)=2,IF(IF(Table44243140[[#This Row],[Student Number]]=C130,1,0)+IF(Table44243140[[#This Row],[Session]]=B130,1,0)+IF(Table44243140[[#This Row],[Pre or Post]]="Post",1,0)+IF(D130="Pre",1,0)=4,Table44243140[[#This Row],[Post Total]]-J130,""),"")</f>
        <v/>
      </c>
      <c r="O131" s="5" t="b">
        <f>ISNUMBER(Table44243140[[#This Row],[Change]])</f>
        <v>0</v>
      </c>
    </row>
    <row r="132" spans="1:15">
      <c r="A132" s="2" t="s">
        <v>24</v>
      </c>
      <c r="B132" s="2" t="s">
        <v>26</v>
      </c>
      <c r="C132" s="1">
        <v>2</v>
      </c>
      <c r="D132" s="1" t="s">
        <v>16</v>
      </c>
      <c r="E132" s="1">
        <v>4</v>
      </c>
      <c r="F132" s="1">
        <v>1</v>
      </c>
      <c r="G132" s="2" t="s">
        <v>8</v>
      </c>
      <c r="H132" s="5" t="str">
        <f>IF(IF(Table44243140[[#This Row],[Pre or Post]]="Pre",1,0)+IF(ISNUMBER(Table44243140[[#This Row],[Response]])=TRUE,1,0)=2,1,"")</f>
        <v/>
      </c>
      <c r="I132" s="5">
        <f>IF(IF(Table44243140[[#This Row],[Pre or Post]]="Post",1,0)+IF(ISNUMBER(Table44243140[[#This Row],[Response]])=TRUE,1,0)=2,1,"")</f>
        <v>1</v>
      </c>
      <c r="J132" s="5" t="str">
        <f>IF(IF(Table44243140[[#This Row],[Pre or Post]]="Pre",1,0)+IF(ISNUMBER(Table44243140[[#This Row],[Response]])=TRUE,1,0)=2,Table44243140[[#This Row],[Response]],"")</f>
        <v/>
      </c>
      <c r="K132" s="5">
        <f>IF(IF(Table44243140[[#This Row],[Pre or Post]]="Post",1,0)+IF(ISNUMBER(Table44243140[[#This Row],[Response]])=TRUE,1,0)=2,Table44243140[[#This Row],[Response]],"")</f>
        <v>1</v>
      </c>
      <c r="L132" s="5" t="str">
        <f>IF(IF(ISNUMBER(J132),1,0)+IF(ISNUMBER(K133),1,0)=2,IF(IF(C133=C132,1,0)+IF(B133=B132,1,0)+IF(D133="Post",1,0)+IF(D132="Pre",1,0)=4,Table44243140[[#This Row],[Pre Total]],""),"")</f>
        <v/>
      </c>
      <c r="M132" s="5">
        <f>IF(IF(ISNUMBER(J131),1,0)+IF(ISNUMBER(Table44243140[[#This Row],[Post Total]]),1,0)=2,IF(IF(Table44243140[[#This Row],[Student Number]]=C131,1,0)+IF(Table44243140[[#This Row],[Session]]=B131,1,0)+IF(Table44243140[[#This Row],[Pre or Post]]="Post",1,0)+IF(D131="Pre",1,0)=4,Table44243140[[#This Row],[Post Total]],""),"")</f>
        <v>1</v>
      </c>
      <c r="N132" s="5">
        <f>IF(IF(ISNUMBER(J131),1,0)+IF(ISNUMBER(Table44243140[[#This Row],[Post Total]]),1,0)=2,IF(IF(Table44243140[[#This Row],[Student Number]]=C131,1,0)+IF(Table44243140[[#This Row],[Session]]=B131,1,0)+IF(Table44243140[[#This Row],[Pre or Post]]="Post",1,0)+IF(D131="Pre",1,0)=4,Table44243140[[#This Row],[Post Total]]-J131,""),"")</f>
        <v>0</v>
      </c>
      <c r="O132" s="5" t="b">
        <f>ISNUMBER(Table44243140[[#This Row],[Change]])</f>
        <v>1</v>
      </c>
    </row>
    <row r="133" spans="1:15">
      <c r="A133" s="2" t="s">
        <v>24</v>
      </c>
      <c r="B133" s="2" t="s">
        <v>26</v>
      </c>
      <c r="C133" s="1">
        <v>3</v>
      </c>
      <c r="D133" s="1" t="s">
        <v>6</v>
      </c>
      <c r="E133" s="1">
        <v>11</v>
      </c>
      <c r="F133" s="1">
        <v>2</v>
      </c>
      <c r="G133" s="2" t="s">
        <v>8</v>
      </c>
      <c r="H133" s="6">
        <f>IF(IF(Table44243140[[#This Row],[Pre or Post]]="Pre",1,0)+IF(ISNUMBER(Table44243140[[#This Row],[Response]])=TRUE,1,0)=2,1,"")</f>
        <v>1</v>
      </c>
      <c r="I133" s="6" t="str">
        <f>IF(IF(Table44243140[[#This Row],[Pre or Post]]="Post",1,0)+IF(ISNUMBER(Table44243140[[#This Row],[Response]])=TRUE,1,0)=2,1,"")</f>
        <v/>
      </c>
      <c r="J133" s="6">
        <f>IF(IF(Table44243140[[#This Row],[Pre or Post]]="Pre",1,0)+IF(ISNUMBER(Table44243140[[#This Row],[Response]])=TRUE,1,0)=2,Table44243140[[#This Row],[Response]],"")</f>
        <v>2</v>
      </c>
      <c r="K133" s="6" t="str">
        <f>IF(IF(Table44243140[[#This Row],[Pre or Post]]="Post",1,0)+IF(ISNUMBER(Table44243140[[#This Row],[Response]])=TRUE,1,0)=2,Table44243140[[#This Row],[Response]],"")</f>
        <v/>
      </c>
      <c r="L133" s="6">
        <f>IF(IF(ISNUMBER(J133),1,0)+IF(ISNUMBER(K134),1,0)=2,IF(IF(C134=C133,1,0)+IF(B134=B133,1,0)+IF(D134="Post",1,0)+IF(D133="Pre",1,0)=4,Table44243140[[#This Row],[Pre Total]],""),"")</f>
        <v>2</v>
      </c>
      <c r="M133" s="6" t="str">
        <f>IF(IF(ISNUMBER(J132),1,0)+IF(ISNUMBER(Table44243140[[#This Row],[Post Total]]),1,0)=2,IF(IF(Table44243140[[#This Row],[Student Number]]=C132,1,0)+IF(Table44243140[[#This Row],[Session]]=B132,1,0)+IF(Table44243140[[#This Row],[Pre or Post]]="Post",1,0)+IF(D132="Pre",1,0)=4,Table44243140[[#This Row],[Post Total]],""),"")</f>
        <v/>
      </c>
      <c r="N133" s="6" t="str">
        <f>IF(IF(ISNUMBER(J132),1,0)+IF(ISNUMBER(Table44243140[[#This Row],[Post Total]]),1,0)=2,IF(IF(Table44243140[[#This Row],[Student Number]]=C132,1,0)+IF(Table44243140[[#This Row],[Session]]=B132,1,0)+IF(Table44243140[[#This Row],[Pre or Post]]="Post",1,0)+IF(D132="Pre",1,0)=4,Table44243140[[#This Row],[Post Total]]-J132,""),"")</f>
        <v/>
      </c>
      <c r="O133" s="6" t="b">
        <f>ISNUMBER(Table44243140[[#This Row],[Change]])</f>
        <v>0</v>
      </c>
    </row>
    <row r="134" spans="1:15">
      <c r="A134" s="2" t="s">
        <v>24</v>
      </c>
      <c r="B134" s="2" t="s">
        <v>26</v>
      </c>
      <c r="C134" s="1">
        <v>3</v>
      </c>
      <c r="D134" s="1" t="s">
        <v>16</v>
      </c>
      <c r="E134" s="1">
        <v>4</v>
      </c>
      <c r="F134" s="1">
        <v>2</v>
      </c>
      <c r="G134" s="2" t="s">
        <v>8</v>
      </c>
      <c r="H134" s="6" t="str">
        <f>IF(IF(Table44243140[[#This Row],[Pre or Post]]="Pre",1,0)+IF(ISNUMBER(Table44243140[[#This Row],[Response]])=TRUE,1,0)=2,1,"")</f>
        <v/>
      </c>
      <c r="I134" s="6">
        <f>IF(IF(Table44243140[[#This Row],[Pre or Post]]="Post",1,0)+IF(ISNUMBER(Table44243140[[#This Row],[Response]])=TRUE,1,0)=2,1,"")</f>
        <v>1</v>
      </c>
      <c r="J134" s="6" t="str">
        <f>IF(IF(Table44243140[[#This Row],[Pre or Post]]="Pre",1,0)+IF(ISNUMBER(Table44243140[[#This Row],[Response]])=TRUE,1,0)=2,Table44243140[[#This Row],[Response]],"")</f>
        <v/>
      </c>
      <c r="K134" s="6">
        <f>IF(IF(Table44243140[[#This Row],[Pre or Post]]="Post",1,0)+IF(ISNUMBER(Table44243140[[#This Row],[Response]])=TRUE,1,0)=2,Table44243140[[#This Row],[Response]],"")</f>
        <v>2</v>
      </c>
      <c r="L134" s="6" t="str">
        <f>IF(IF(ISNUMBER(J134),1,0)+IF(ISNUMBER(K135),1,0)=2,IF(IF(C135=C134,1,0)+IF(B135=B134,1,0)+IF(D135="Post",1,0)+IF(D134="Pre",1,0)=4,Table44243140[[#This Row],[Pre Total]],""),"")</f>
        <v/>
      </c>
      <c r="M134" s="6">
        <f>IF(IF(ISNUMBER(J133),1,0)+IF(ISNUMBER(Table44243140[[#This Row],[Post Total]]),1,0)=2,IF(IF(Table44243140[[#This Row],[Student Number]]=C133,1,0)+IF(Table44243140[[#This Row],[Session]]=B133,1,0)+IF(Table44243140[[#This Row],[Pre or Post]]="Post",1,0)+IF(D133="Pre",1,0)=4,Table44243140[[#This Row],[Post Total]],""),"")</f>
        <v>2</v>
      </c>
      <c r="N134" s="6">
        <f>IF(IF(ISNUMBER(J133),1,0)+IF(ISNUMBER(Table44243140[[#This Row],[Post Total]]),1,0)=2,IF(IF(Table44243140[[#This Row],[Student Number]]=C133,1,0)+IF(Table44243140[[#This Row],[Session]]=B133,1,0)+IF(Table44243140[[#This Row],[Pre or Post]]="Post",1,0)+IF(D133="Pre",1,0)=4,Table44243140[[#This Row],[Post Total]]-J133,""),"")</f>
        <v>0</v>
      </c>
      <c r="O134" s="6" t="b">
        <f>ISNUMBER(Table44243140[[#This Row],[Change]])</f>
        <v>1</v>
      </c>
    </row>
    <row r="135" spans="1:15">
      <c r="A135" s="2" t="s">
        <v>24</v>
      </c>
      <c r="B135" s="2" t="s">
        <v>26</v>
      </c>
      <c r="C135" s="1">
        <v>4</v>
      </c>
      <c r="D135" s="1" t="s">
        <v>6</v>
      </c>
      <c r="E135" s="1">
        <v>11</v>
      </c>
      <c r="F135" s="1">
        <v>2</v>
      </c>
      <c r="G135" s="2" t="s">
        <v>8</v>
      </c>
      <c r="H135" s="5">
        <f>IF(IF(Table44243140[[#This Row],[Pre or Post]]="Pre",1,0)+IF(ISNUMBER(Table44243140[[#This Row],[Response]])=TRUE,1,0)=2,1,"")</f>
        <v>1</v>
      </c>
      <c r="I135" s="5" t="str">
        <f>IF(IF(Table44243140[[#This Row],[Pre or Post]]="Post",1,0)+IF(ISNUMBER(Table44243140[[#This Row],[Response]])=TRUE,1,0)=2,1,"")</f>
        <v/>
      </c>
      <c r="J135" s="5">
        <f>IF(IF(Table44243140[[#This Row],[Pre or Post]]="Pre",1,0)+IF(ISNUMBER(Table44243140[[#This Row],[Response]])=TRUE,1,0)=2,Table44243140[[#This Row],[Response]],"")</f>
        <v>2</v>
      </c>
      <c r="K135" s="5" t="str">
        <f>IF(IF(Table44243140[[#This Row],[Pre or Post]]="Post",1,0)+IF(ISNUMBER(Table44243140[[#This Row],[Response]])=TRUE,1,0)=2,Table44243140[[#This Row],[Response]],"")</f>
        <v/>
      </c>
      <c r="L135" s="5">
        <f>IF(IF(ISNUMBER(J135),1,0)+IF(ISNUMBER(K136),1,0)=2,IF(IF(C136=C135,1,0)+IF(B136=B135,1,0)+IF(D136="Post",1,0)+IF(D135="Pre",1,0)=4,Table44243140[[#This Row],[Pre Total]],""),"")</f>
        <v>2</v>
      </c>
      <c r="M135" s="5" t="str">
        <f>IF(IF(ISNUMBER(J134),1,0)+IF(ISNUMBER(Table44243140[[#This Row],[Post Total]]),1,0)=2,IF(IF(Table44243140[[#This Row],[Student Number]]=C134,1,0)+IF(Table44243140[[#This Row],[Session]]=B134,1,0)+IF(Table44243140[[#This Row],[Pre or Post]]="Post",1,0)+IF(D134="Pre",1,0)=4,Table44243140[[#This Row],[Post Total]],""),"")</f>
        <v/>
      </c>
      <c r="N135" s="5" t="str">
        <f>IF(IF(ISNUMBER(J134),1,0)+IF(ISNUMBER(Table44243140[[#This Row],[Post Total]]),1,0)=2,IF(IF(Table44243140[[#This Row],[Student Number]]=C134,1,0)+IF(Table44243140[[#This Row],[Session]]=B134,1,0)+IF(Table44243140[[#This Row],[Pre or Post]]="Post",1,0)+IF(D134="Pre",1,0)=4,Table44243140[[#This Row],[Post Total]]-J134,""),"")</f>
        <v/>
      </c>
      <c r="O135" s="5" t="b">
        <f>ISNUMBER(Table44243140[[#This Row],[Change]])</f>
        <v>0</v>
      </c>
    </row>
    <row r="136" spans="1:15">
      <c r="A136" s="2" t="s">
        <v>24</v>
      </c>
      <c r="B136" s="2" t="s">
        <v>26</v>
      </c>
      <c r="C136" s="1">
        <v>4</v>
      </c>
      <c r="D136" s="1" t="s">
        <v>16</v>
      </c>
      <c r="E136" s="1">
        <v>4</v>
      </c>
      <c r="F136" s="1">
        <v>1</v>
      </c>
      <c r="G136" s="2" t="s">
        <v>8</v>
      </c>
      <c r="H136" s="5" t="str">
        <f>IF(IF(Table44243140[[#This Row],[Pre or Post]]="Pre",1,0)+IF(ISNUMBER(Table44243140[[#This Row],[Response]])=TRUE,1,0)=2,1,"")</f>
        <v/>
      </c>
      <c r="I136" s="5">
        <f>IF(IF(Table44243140[[#This Row],[Pre or Post]]="Post",1,0)+IF(ISNUMBER(Table44243140[[#This Row],[Response]])=TRUE,1,0)=2,1,"")</f>
        <v>1</v>
      </c>
      <c r="J136" s="5" t="str">
        <f>IF(IF(Table44243140[[#This Row],[Pre or Post]]="Pre",1,0)+IF(ISNUMBER(Table44243140[[#This Row],[Response]])=TRUE,1,0)=2,Table44243140[[#This Row],[Response]],"")</f>
        <v/>
      </c>
      <c r="K136" s="5">
        <f>IF(IF(Table44243140[[#This Row],[Pre or Post]]="Post",1,0)+IF(ISNUMBER(Table44243140[[#This Row],[Response]])=TRUE,1,0)=2,Table44243140[[#This Row],[Response]],"")</f>
        <v>1</v>
      </c>
      <c r="L136" s="5" t="str">
        <f>IF(IF(ISNUMBER(J136),1,0)+IF(ISNUMBER(K137),1,0)=2,IF(IF(C137=C136,1,0)+IF(B137=B136,1,0)+IF(D137="Post",1,0)+IF(D136="Pre",1,0)=4,Table44243140[[#This Row],[Pre Total]],""),"")</f>
        <v/>
      </c>
      <c r="M136" s="5">
        <f>IF(IF(ISNUMBER(J135),1,0)+IF(ISNUMBER(Table44243140[[#This Row],[Post Total]]),1,0)=2,IF(IF(Table44243140[[#This Row],[Student Number]]=C135,1,0)+IF(Table44243140[[#This Row],[Session]]=B135,1,0)+IF(Table44243140[[#This Row],[Pre or Post]]="Post",1,0)+IF(D135="Pre",1,0)=4,Table44243140[[#This Row],[Post Total]],""),"")</f>
        <v>1</v>
      </c>
      <c r="N136" s="5">
        <f>IF(IF(ISNUMBER(J135),1,0)+IF(ISNUMBER(Table44243140[[#This Row],[Post Total]]),1,0)=2,IF(IF(Table44243140[[#This Row],[Student Number]]=C135,1,0)+IF(Table44243140[[#This Row],[Session]]=B135,1,0)+IF(Table44243140[[#This Row],[Pre or Post]]="Post",1,0)+IF(D135="Pre",1,0)=4,Table44243140[[#This Row],[Post Total]]-J135,""),"")</f>
        <v>-1</v>
      </c>
      <c r="O136" s="5" t="b">
        <f>ISNUMBER(Table44243140[[#This Row],[Change]])</f>
        <v>1</v>
      </c>
    </row>
    <row r="137" spans="1:15">
      <c r="A137" s="2" t="s">
        <v>24</v>
      </c>
      <c r="B137" s="2" t="s">
        <v>26</v>
      </c>
      <c r="C137" s="1">
        <v>5</v>
      </c>
      <c r="D137" s="1" t="s">
        <v>6</v>
      </c>
      <c r="E137" s="1">
        <v>11</v>
      </c>
      <c r="F137" s="1">
        <v>2</v>
      </c>
      <c r="G137" s="2" t="s">
        <v>8</v>
      </c>
      <c r="H137" s="6">
        <f>IF(IF(Table44243140[[#This Row],[Pre or Post]]="Pre",1,0)+IF(ISNUMBER(Table44243140[[#This Row],[Response]])=TRUE,1,0)=2,1,"")</f>
        <v>1</v>
      </c>
      <c r="I137" s="6" t="str">
        <f>IF(IF(Table44243140[[#This Row],[Pre or Post]]="Post",1,0)+IF(ISNUMBER(Table44243140[[#This Row],[Response]])=TRUE,1,0)=2,1,"")</f>
        <v/>
      </c>
      <c r="J137" s="6">
        <f>IF(IF(Table44243140[[#This Row],[Pre or Post]]="Pre",1,0)+IF(ISNUMBER(Table44243140[[#This Row],[Response]])=TRUE,1,0)=2,Table44243140[[#This Row],[Response]],"")</f>
        <v>2</v>
      </c>
      <c r="K137" s="6" t="str">
        <f>IF(IF(Table44243140[[#This Row],[Pre or Post]]="Post",1,0)+IF(ISNUMBER(Table44243140[[#This Row],[Response]])=TRUE,1,0)=2,Table44243140[[#This Row],[Response]],"")</f>
        <v/>
      </c>
      <c r="L137" s="6">
        <f>IF(IF(ISNUMBER(J137),1,0)+IF(ISNUMBER(K138),1,0)=2,IF(IF(C138=C137,1,0)+IF(B138=B137,1,0)+IF(D138="Post",1,0)+IF(D137="Pre",1,0)=4,Table44243140[[#This Row],[Pre Total]],""),"")</f>
        <v>2</v>
      </c>
      <c r="M137" s="6" t="str">
        <f>IF(IF(ISNUMBER(J136),1,0)+IF(ISNUMBER(Table44243140[[#This Row],[Post Total]]),1,0)=2,IF(IF(Table44243140[[#This Row],[Student Number]]=C136,1,0)+IF(Table44243140[[#This Row],[Session]]=B136,1,0)+IF(Table44243140[[#This Row],[Pre or Post]]="Post",1,0)+IF(D136="Pre",1,0)=4,Table44243140[[#This Row],[Post Total]],""),"")</f>
        <v/>
      </c>
      <c r="N137" s="6" t="str">
        <f>IF(IF(ISNUMBER(J136),1,0)+IF(ISNUMBER(Table44243140[[#This Row],[Post Total]]),1,0)=2,IF(IF(Table44243140[[#This Row],[Student Number]]=C136,1,0)+IF(Table44243140[[#This Row],[Session]]=B136,1,0)+IF(Table44243140[[#This Row],[Pre or Post]]="Post",1,0)+IF(D136="Pre",1,0)=4,Table44243140[[#This Row],[Post Total]]-J136,""),"")</f>
        <v/>
      </c>
      <c r="O137" s="6" t="b">
        <f>ISNUMBER(Table44243140[[#This Row],[Change]])</f>
        <v>0</v>
      </c>
    </row>
    <row r="138" spans="1:15">
      <c r="A138" s="2" t="s">
        <v>24</v>
      </c>
      <c r="B138" s="2" t="s">
        <v>26</v>
      </c>
      <c r="C138" s="1">
        <v>5</v>
      </c>
      <c r="D138" s="1" t="s">
        <v>16</v>
      </c>
      <c r="E138" s="1">
        <v>4</v>
      </c>
      <c r="F138" s="1">
        <v>2</v>
      </c>
      <c r="G138" s="2" t="s">
        <v>8</v>
      </c>
      <c r="H138" s="6" t="str">
        <f>IF(IF(Table44243140[[#This Row],[Pre or Post]]="Pre",1,0)+IF(ISNUMBER(Table44243140[[#This Row],[Response]])=TRUE,1,0)=2,1,"")</f>
        <v/>
      </c>
      <c r="I138" s="6">
        <f>IF(IF(Table44243140[[#This Row],[Pre or Post]]="Post",1,0)+IF(ISNUMBER(Table44243140[[#This Row],[Response]])=TRUE,1,0)=2,1,"")</f>
        <v>1</v>
      </c>
      <c r="J138" s="6" t="str">
        <f>IF(IF(Table44243140[[#This Row],[Pre or Post]]="Pre",1,0)+IF(ISNUMBER(Table44243140[[#This Row],[Response]])=TRUE,1,0)=2,Table44243140[[#This Row],[Response]],"")</f>
        <v/>
      </c>
      <c r="K138" s="6">
        <f>IF(IF(Table44243140[[#This Row],[Pre or Post]]="Post",1,0)+IF(ISNUMBER(Table44243140[[#This Row],[Response]])=TRUE,1,0)=2,Table44243140[[#This Row],[Response]],"")</f>
        <v>2</v>
      </c>
      <c r="L138" s="6" t="str">
        <f>IF(IF(ISNUMBER(J138),1,0)+IF(ISNUMBER(K139),1,0)=2,IF(IF(C139=C138,1,0)+IF(B139=B138,1,0)+IF(D139="Post",1,0)+IF(D138="Pre",1,0)=4,Table44243140[[#This Row],[Pre Total]],""),"")</f>
        <v/>
      </c>
      <c r="M138" s="6">
        <f>IF(IF(ISNUMBER(J137),1,0)+IF(ISNUMBER(Table44243140[[#This Row],[Post Total]]),1,0)=2,IF(IF(Table44243140[[#This Row],[Student Number]]=C137,1,0)+IF(Table44243140[[#This Row],[Session]]=B137,1,0)+IF(Table44243140[[#This Row],[Pre or Post]]="Post",1,0)+IF(D137="Pre",1,0)=4,Table44243140[[#This Row],[Post Total]],""),"")</f>
        <v>2</v>
      </c>
      <c r="N138" s="6">
        <f>IF(IF(ISNUMBER(J137),1,0)+IF(ISNUMBER(Table44243140[[#This Row],[Post Total]]),1,0)=2,IF(IF(Table44243140[[#This Row],[Student Number]]=C137,1,0)+IF(Table44243140[[#This Row],[Session]]=B137,1,0)+IF(Table44243140[[#This Row],[Pre or Post]]="Post",1,0)+IF(D137="Pre",1,0)=4,Table44243140[[#This Row],[Post Total]]-J137,""),"")</f>
        <v>0</v>
      </c>
      <c r="O138" s="6" t="b">
        <f>ISNUMBER(Table44243140[[#This Row],[Change]])</f>
        <v>1</v>
      </c>
    </row>
    <row r="139" spans="1:15">
      <c r="A139" s="2" t="s">
        <v>24</v>
      </c>
      <c r="B139" s="2" t="s">
        <v>26</v>
      </c>
      <c r="C139" s="1">
        <v>6</v>
      </c>
      <c r="D139" s="1" t="s">
        <v>6</v>
      </c>
      <c r="E139" s="1">
        <v>11</v>
      </c>
      <c r="F139" s="1">
        <v>1</v>
      </c>
      <c r="G139" s="2" t="s">
        <v>8</v>
      </c>
      <c r="H139" s="5">
        <f>IF(IF(Table44243140[[#This Row],[Pre or Post]]="Pre",1,0)+IF(ISNUMBER(Table44243140[[#This Row],[Response]])=TRUE,1,0)=2,1,"")</f>
        <v>1</v>
      </c>
      <c r="I139" s="5" t="str">
        <f>IF(IF(Table44243140[[#This Row],[Pre or Post]]="Post",1,0)+IF(ISNUMBER(Table44243140[[#This Row],[Response]])=TRUE,1,0)=2,1,"")</f>
        <v/>
      </c>
      <c r="J139" s="5">
        <f>IF(IF(Table44243140[[#This Row],[Pre or Post]]="Pre",1,0)+IF(ISNUMBER(Table44243140[[#This Row],[Response]])=TRUE,1,0)=2,Table44243140[[#This Row],[Response]],"")</f>
        <v>1</v>
      </c>
      <c r="K139" s="5" t="str">
        <f>IF(IF(Table44243140[[#This Row],[Pre or Post]]="Post",1,0)+IF(ISNUMBER(Table44243140[[#This Row],[Response]])=TRUE,1,0)=2,Table44243140[[#This Row],[Response]],"")</f>
        <v/>
      </c>
      <c r="L139" s="5">
        <f>IF(IF(ISNUMBER(J139),1,0)+IF(ISNUMBER(K140),1,0)=2,IF(IF(C140=C139,1,0)+IF(B140=B139,1,0)+IF(D140="Post",1,0)+IF(D139="Pre",1,0)=4,Table44243140[[#This Row],[Pre Total]],""),"")</f>
        <v>1</v>
      </c>
      <c r="M139" s="5" t="str">
        <f>IF(IF(ISNUMBER(J138),1,0)+IF(ISNUMBER(Table44243140[[#This Row],[Post Total]]),1,0)=2,IF(IF(Table44243140[[#This Row],[Student Number]]=C138,1,0)+IF(Table44243140[[#This Row],[Session]]=B138,1,0)+IF(Table44243140[[#This Row],[Pre or Post]]="Post",1,0)+IF(D138="Pre",1,0)=4,Table44243140[[#This Row],[Post Total]],""),"")</f>
        <v/>
      </c>
      <c r="N139" s="5" t="str">
        <f>IF(IF(ISNUMBER(J138),1,0)+IF(ISNUMBER(Table44243140[[#This Row],[Post Total]]),1,0)=2,IF(IF(Table44243140[[#This Row],[Student Number]]=C138,1,0)+IF(Table44243140[[#This Row],[Session]]=B138,1,0)+IF(Table44243140[[#This Row],[Pre or Post]]="Post",1,0)+IF(D138="Pre",1,0)=4,Table44243140[[#This Row],[Post Total]]-J138,""),"")</f>
        <v/>
      </c>
      <c r="O139" s="5" t="b">
        <f>ISNUMBER(Table44243140[[#This Row],[Change]])</f>
        <v>0</v>
      </c>
    </row>
    <row r="140" spans="1:15">
      <c r="A140" s="2" t="s">
        <v>24</v>
      </c>
      <c r="B140" s="2" t="s">
        <v>26</v>
      </c>
      <c r="C140" s="1">
        <v>6</v>
      </c>
      <c r="D140" s="1" t="s">
        <v>16</v>
      </c>
      <c r="E140" s="1">
        <v>4</v>
      </c>
      <c r="F140" s="1">
        <v>2</v>
      </c>
      <c r="G140" s="2" t="s">
        <v>8</v>
      </c>
      <c r="H140" s="5" t="str">
        <f>IF(IF(Table44243140[[#This Row],[Pre or Post]]="Pre",1,0)+IF(ISNUMBER(Table44243140[[#This Row],[Response]])=TRUE,1,0)=2,1,"")</f>
        <v/>
      </c>
      <c r="I140" s="5">
        <f>IF(IF(Table44243140[[#This Row],[Pre or Post]]="Post",1,0)+IF(ISNUMBER(Table44243140[[#This Row],[Response]])=TRUE,1,0)=2,1,"")</f>
        <v>1</v>
      </c>
      <c r="J140" s="5" t="str">
        <f>IF(IF(Table44243140[[#This Row],[Pre or Post]]="Pre",1,0)+IF(ISNUMBER(Table44243140[[#This Row],[Response]])=TRUE,1,0)=2,Table44243140[[#This Row],[Response]],"")</f>
        <v/>
      </c>
      <c r="K140" s="5">
        <f>IF(IF(Table44243140[[#This Row],[Pre or Post]]="Post",1,0)+IF(ISNUMBER(Table44243140[[#This Row],[Response]])=TRUE,1,0)=2,Table44243140[[#This Row],[Response]],"")</f>
        <v>2</v>
      </c>
      <c r="L140" s="5" t="str">
        <f>IF(IF(ISNUMBER(J140),1,0)+IF(ISNUMBER(K141),1,0)=2,IF(IF(C141=C140,1,0)+IF(B141=B140,1,0)+IF(D141="Post",1,0)+IF(D140="Pre",1,0)=4,Table44243140[[#This Row],[Pre Total]],""),"")</f>
        <v/>
      </c>
      <c r="M140" s="5">
        <f>IF(IF(ISNUMBER(J139),1,0)+IF(ISNUMBER(Table44243140[[#This Row],[Post Total]]),1,0)=2,IF(IF(Table44243140[[#This Row],[Student Number]]=C139,1,0)+IF(Table44243140[[#This Row],[Session]]=B139,1,0)+IF(Table44243140[[#This Row],[Pre or Post]]="Post",1,0)+IF(D139="Pre",1,0)=4,Table44243140[[#This Row],[Post Total]],""),"")</f>
        <v>2</v>
      </c>
      <c r="N140" s="5">
        <f>IF(IF(ISNUMBER(J139),1,0)+IF(ISNUMBER(Table44243140[[#This Row],[Post Total]]),1,0)=2,IF(IF(Table44243140[[#This Row],[Student Number]]=C139,1,0)+IF(Table44243140[[#This Row],[Session]]=B139,1,0)+IF(Table44243140[[#This Row],[Pre or Post]]="Post",1,0)+IF(D139="Pre",1,0)=4,Table44243140[[#This Row],[Post Total]]-J139,""),"")</f>
        <v>1</v>
      </c>
      <c r="O140" s="5" t="b">
        <f>ISNUMBER(Table44243140[[#This Row],[Change]])</f>
        <v>1</v>
      </c>
    </row>
    <row r="141" spans="1:15">
      <c r="A141" s="2" t="s">
        <v>24</v>
      </c>
      <c r="B141" s="2" t="s">
        <v>26</v>
      </c>
      <c r="C141" s="1">
        <v>7</v>
      </c>
      <c r="D141" s="1" t="s">
        <v>6</v>
      </c>
      <c r="E141" s="1">
        <v>11</v>
      </c>
      <c r="F141" s="1">
        <v>2</v>
      </c>
      <c r="G141" s="2" t="s">
        <v>8</v>
      </c>
      <c r="H141" s="6">
        <f>IF(IF(Table44243140[[#This Row],[Pre or Post]]="Pre",1,0)+IF(ISNUMBER(Table44243140[[#This Row],[Response]])=TRUE,1,0)=2,1,"")</f>
        <v>1</v>
      </c>
      <c r="I141" s="6" t="str">
        <f>IF(IF(Table44243140[[#This Row],[Pre or Post]]="Post",1,0)+IF(ISNUMBER(Table44243140[[#This Row],[Response]])=TRUE,1,0)=2,1,"")</f>
        <v/>
      </c>
      <c r="J141" s="6">
        <f>IF(IF(Table44243140[[#This Row],[Pre or Post]]="Pre",1,0)+IF(ISNUMBER(Table44243140[[#This Row],[Response]])=TRUE,1,0)=2,Table44243140[[#This Row],[Response]],"")</f>
        <v>2</v>
      </c>
      <c r="K141" s="6" t="str">
        <f>IF(IF(Table44243140[[#This Row],[Pre or Post]]="Post",1,0)+IF(ISNUMBER(Table44243140[[#This Row],[Response]])=TRUE,1,0)=2,Table44243140[[#This Row],[Response]],"")</f>
        <v/>
      </c>
      <c r="L141" s="6">
        <f>IF(IF(ISNUMBER(J141),1,0)+IF(ISNUMBER(K142),1,0)=2,IF(IF(C142=C141,1,0)+IF(B142=B141,1,0)+IF(D142="Post",1,0)+IF(D141="Pre",1,0)=4,Table44243140[[#This Row],[Pre Total]],""),"")</f>
        <v>2</v>
      </c>
      <c r="M141" s="6" t="str">
        <f>IF(IF(ISNUMBER(J140),1,0)+IF(ISNUMBER(Table44243140[[#This Row],[Post Total]]),1,0)=2,IF(IF(Table44243140[[#This Row],[Student Number]]=C140,1,0)+IF(Table44243140[[#This Row],[Session]]=B140,1,0)+IF(Table44243140[[#This Row],[Pre or Post]]="Post",1,0)+IF(D140="Pre",1,0)=4,Table44243140[[#This Row],[Post Total]],""),"")</f>
        <v/>
      </c>
      <c r="N141" s="6" t="str">
        <f>IF(IF(ISNUMBER(J140),1,0)+IF(ISNUMBER(Table44243140[[#This Row],[Post Total]]),1,0)=2,IF(IF(Table44243140[[#This Row],[Student Number]]=C140,1,0)+IF(Table44243140[[#This Row],[Session]]=B140,1,0)+IF(Table44243140[[#This Row],[Pre or Post]]="Post",1,0)+IF(D140="Pre",1,0)=4,Table44243140[[#This Row],[Post Total]]-J140,""),"")</f>
        <v/>
      </c>
      <c r="O141" s="6" t="b">
        <f>ISNUMBER(Table44243140[[#This Row],[Change]])</f>
        <v>0</v>
      </c>
    </row>
    <row r="142" spans="1:15">
      <c r="A142" s="2" t="s">
        <v>24</v>
      </c>
      <c r="B142" s="2" t="s">
        <v>26</v>
      </c>
      <c r="C142" s="1">
        <v>7</v>
      </c>
      <c r="D142" s="1" t="s">
        <v>16</v>
      </c>
      <c r="E142" s="1">
        <v>4</v>
      </c>
      <c r="F142" s="1">
        <v>4</v>
      </c>
      <c r="G142" s="2" t="s">
        <v>8</v>
      </c>
      <c r="H142" s="6" t="str">
        <f>IF(IF(Table44243140[[#This Row],[Pre or Post]]="Pre",1,0)+IF(ISNUMBER(Table44243140[[#This Row],[Response]])=TRUE,1,0)=2,1,"")</f>
        <v/>
      </c>
      <c r="I142" s="6">
        <f>IF(IF(Table44243140[[#This Row],[Pre or Post]]="Post",1,0)+IF(ISNUMBER(Table44243140[[#This Row],[Response]])=TRUE,1,0)=2,1,"")</f>
        <v>1</v>
      </c>
      <c r="J142" s="6" t="str">
        <f>IF(IF(Table44243140[[#This Row],[Pre or Post]]="Pre",1,0)+IF(ISNUMBER(Table44243140[[#This Row],[Response]])=TRUE,1,0)=2,Table44243140[[#This Row],[Response]],"")</f>
        <v/>
      </c>
      <c r="K142" s="6">
        <f>IF(IF(Table44243140[[#This Row],[Pre or Post]]="Post",1,0)+IF(ISNUMBER(Table44243140[[#This Row],[Response]])=TRUE,1,0)=2,Table44243140[[#This Row],[Response]],"")</f>
        <v>4</v>
      </c>
      <c r="L142" s="6" t="str">
        <f>IF(IF(ISNUMBER(J142),1,0)+IF(ISNUMBER(K143),1,0)=2,IF(IF(C143=C142,1,0)+IF(B143=B142,1,0)+IF(D143="Post",1,0)+IF(D142="Pre",1,0)=4,Table44243140[[#This Row],[Pre Total]],""),"")</f>
        <v/>
      </c>
      <c r="M142" s="6">
        <f>IF(IF(ISNUMBER(J141),1,0)+IF(ISNUMBER(Table44243140[[#This Row],[Post Total]]),1,0)=2,IF(IF(Table44243140[[#This Row],[Student Number]]=C141,1,0)+IF(Table44243140[[#This Row],[Session]]=B141,1,0)+IF(Table44243140[[#This Row],[Pre or Post]]="Post",1,0)+IF(D141="Pre",1,0)=4,Table44243140[[#This Row],[Post Total]],""),"")</f>
        <v>4</v>
      </c>
      <c r="N142" s="6">
        <f>IF(IF(ISNUMBER(J141),1,0)+IF(ISNUMBER(Table44243140[[#This Row],[Post Total]]),1,0)=2,IF(IF(Table44243140[[#This Row],[Student Number]]=C141,1,0)+IF(Table44243140[[#This Row],[Session]]=B141,1,0)+IF(Table44243140[[#This Row],[Pre or Post]]="Post",1,0)+IF(D141="Pre",1,0)=4,Table44243140[[#This Row],[Post Total]]-J141,""),"")</f>
        <v>2</v>
      </c>
      <c r="O142" s="6" t="b">
        <f>ISNUMBER(Table44243140[[#This Row],[Change]])</f>
        <v>1</v>
      </c>
    </row>
    <row r="143" spans="1:15">
      <c r="A143" s="2" t="s">
        <v>24</v>
      </c>
      <c r="B143" s="2" t="s">
        <v>26</v>
      </c>
      <c r="C143" s="1">
        <v>8</v>
      </c>
      <c r="D143" s="1" t="s">
        <v>6</v>
      </c>
      <c r="E143" s="2">
        <v>11</v>
      </c>
      <c r="F143" s="1">
        <v>1</v>
      </c>
      <c r="G143" s="2" t="s">
        <v>8</v>
      </c>
      <c r="H143" s="5">
        <f>IF(IF(Table44243140[[#This Row],[Pre or Post]]="Pre",1,0)+IF(ISNUMBER(Table44243140[[#This Row],[Response]])=TRUE,1,0)=2,1,"")</f>
        <v>1</v>
      </c>
      <c r="I143" s="5" t="str">
        <f>IF(IF(Table44243140[[#This Row],[Pre or Post]]="Post",1,0)+IF(ISNUMBER(Table44243140[[#This Row],[Response]])=TRUE,1,0)=2,1,"")</f>
        <v/>
      </c>
      <c r="J143" s="5">
        <f>IF(IF(Table44243140[[#This Row],[Pre or Post]]="Pre",1,0)+IF(ISNUMBER(Table44243140[[#This Row],[Response]])=TRUE,1,0)=2,Table44243140[[#This Row],[Response]],"")</f>
        <v>1</v>
      </c>
      <c r="K143" s="5" t="str">
        <f>IF(IF(Table44243140[[#This Row],[Pre or Post]]="Post",1,0)+IF(ISNUMBER(Table44243140[[#This Row],[Response]])=TRUE,1,0)=2,Table44243140[[#This Row],[Response]],"")</f>
        <v/>
      </c>
      <c r="L143" s="5">
        <f>IF(IF(ISNUMBER(J143),1,0)+IF(ISNUMBER(K144),1,0)=2,IF(IF(C144=C143,1,0)+IF(B144=B143,1,0)+IF(D144="Post",1,0)+IF(D143="Pre",1,0)=4,Table44243140[[#This Row],[Pre Total]],""),"")</f>
        <v>1</v>
      </c>
      <c r="M143" s="5" t="str">
        <f>IF(IF(ISNUMBER(J142),1,0)+IF(ISNUMBER(Table44243140[[#This Row],[Post Total]]),1,0)=2,IF(IF(Table44243140[[#This Row],[Student Number]]=C142,1,0)+IF(Table44243140[[#This Row],[Session]]=B142,1,0)+IF(Table44243140[[#This Row],[Pre or Post]]="Post",1,0)+IF(D142="Pre",1,0)=4,Table44243140[[#This Row],[Post Total]],""),"")</f>
        <v/>
      </c>
      <c r="N143" s="5" t="str">
        <f>IF(IF(ISNUMBER(J142),1,0)+IF(ISNUMBER(Table44243140[[#This Row],[Post Total]]),1,0)=2,IF(IF(Table44243140[[#This Row],[Student Number]]=C142,1,0)+IF(Table44243140[[#This Row],[Session]]=B142,1,0)+IF(Table44243140[[#This Row],[Pre or Post]]="Post",1,0)+IF(D142="Pre",1,0)=4,Table44243140[[#This Row],[Post Total]]-J142,""),"")</f>
        <v/>
      </c>
      <c r="O143" s="5" t="b">
        <f>ISNUMBER(Table44243140[[#This Row],[Change]])</f>
        <v>0</v>
      </c>
    </row>
    <row r="144" spans="1:15">
      <c r="A144" s="2" t="s">
        <v>24</v>
      </c>
      <c r="B144" s="2" t="s">
        <v>26</v>
      </c>
      <c r="C144" s="1">
        <v>8</v>
      </c>
      <c r="D144" s="1" t="s">
        <v>16</v>
      </c>
      <c r="E144" s="1">
        <v>4</v>
      </c>
      <c r="F144" s="1">
        <v>5</v>
      </c>
      <c r="G144" s="2" t="s">
        <v>8</v>
      </c>
      <c r="H144" s="5" t="str">
        <f>IF(IF(Table44243140[[#This Row],[Pre or Post]]="Pre",1,0)+IF(ISNUMBER(Table44243140[[#This Row],[Response]])=TRUE,1,0)=2,1,"")</f>
        <v/>
      </c>
      <c r="I144" s="5">
        <f>IF(IF(Table44243140[[#This Row],[Pre or Post]]="Post",1,0)+IF(ISNUMBER(Table44243140[[#This Row],[Response]])=TRUE,1,0)=2,1,"")</f>
        <v>1</v>
      </c>
      <c r="J144" s="5" t="str">
        <f>IF(IF(Table44243140[[#This Row],[Pre or Post]]="Pre",1,0)+IF(ISNUMBER(Table44243140[[#This Row],[Response]])=TRUE,1,0)=2,Table44243140[[#This Row],[Response]],"")</f>
        <v/>
      </c>
      <c r="K144" s="5">
        <f>IF(IF(Table44243140[[#This Row],[Pre or Post]]="Post",1,0)+IF(ISNUMBER(Table44243140[[#This Row],[Response]])=TRUE,1,0)=2,Table44243140[[#This Row],[Response]],"")</f>
        <v>5</v>
      </c>
      <c r="L144" s="5" t="str">
        <f>IF(IF(ISNUMBER(J144),1,0)+IF(ISNUMBER(K145),1,0)=2,IF(IF(C145=C144,1,0)+IF(B145=B144,1,0)+IF(D145="Post",1,0)+IF(D144="Pre",1,0)=4,Table44243140[[#This Row],[Pre Total]],""),"")</f>
        <v/>
      </c>
      <c r="M144" s="5">
        <f>IF(IF(ISNUMBER(J143),1,0)+IF(ISNUMBER(Table44243140[[#This Row],[Post Total]]),1,0)=2,IF(IF(Table44243140[[#This Row],[Student Number]]=C143,1,0)+IF(Table44243140[[#This Row],[Session]]=B143,1,0)+IF(Table44243140[[#This Row],[Pre or Post]]="Post",1,0)+IF(D143="Pre",1,0)=4,Table44243140[[#This Row],[Post Total]],""),"")</f>
        <v>5</v>
      </c>
      <c r="N144" s="5">
        <f>IF(IF(ISNUMBER(J143),1,0)+IF(ISNUMBER(Table44243140[[#This Row],[Post Total]]),1,0)=2,IF(IF(Table44243140[[#This Row],[Student Number]]=C143,1,0)+IF(Table44243140[[#This Row],[Session]]=B143,1,0)+IF(Table44243140[[#This Row],[Pre or Post]]="Post",1,0)+IF(D143="Pre",1,0)=4,Table44243140[[#This Row],[Post Total]]-J143,""),"")</f>
        <v>4</v>
      </c>
      <c r="O144" s="5" t="b">
        <f>ISNUMBER(Table44243140[[#This Row],[Change]])</f>
        <v>1</v>
      </c>
    </row>
    <row r="145" spans="1:15">
      <c r="A145" s="2" t="s">
        <v>24</v>
      </c>
      <c r="B145" s="2" t="s">
        <v>26</v>
      </c>
      <c r="C145" s="1">
        <v>9</v>
      </c>
      <c r="D145" s="1" t="s">
        <v>6</v>
      </c>
      <c r="E145" s="1">
        <v>11</v>
      </c>
      <c r="F145" s="1">
        <v>2</v>
      </c>
      <c r="G145" s="2" t="s">
        <v>8</v>
      </c>
      <c r="H145" s="6">
        <f>IF(IF(Table44243140[[#This Row],[Pre or Post]]="Pre",1,0)+IF(ISNUMBER(Table44243140[[#This Row],[Response]])=TRUE,1,0)=2,1,"")</f>
        <v>1</v>
      </c>
      <c r="I145" s="6" t="str">
        <f>IF(IF(Table44243140[[#This Row],[Pre or Post]]="Post",1,0)+IF(ISNUMBER(Table44243140[[#This Row],[Response]])=TRUE,1,0)=2,1,"")</f>
        <v/>
      </c>
      <c r="J145" s="6">
        <f>IF(IF(Table44243140[[#This Row],[Pre or Post]]="Pre",1,0)+IF(ISNUMBER(Table44243140[[#This Row],[Response]])=TRUE,1,0)=2,Table44243140[[#This Row],[Response]],"")</f>
        <v>2</v>
      </c>
      <c r="K145" s="6" t="str">
        <f>IF(IF(Table44243140[[#This Row],[Pre or Post]]="Post",1,0)+IF(ISNUMBER(Table44243140[[#This Row],[Response]])=TRUE,1,0)=2,Table44243140[[#This Row],[Response]],"")</f>
        <v/>
      </c>
      <c r="L145" s="6">
        <f>IF(IF(ISNUMBER(J145),1,0)+IF(ISNUMBER(K146),1,0)=2,IF(IF(C146=C145,1,0)+IF(B146=B145,1,0)+IF(D146="Post",1,0)+IF(D145="Pre",1,0)=4,Table44243140[[#This Row],[Pre Total]],""),"")</f>
        <v>2</v>
      </c>
      <c r="M145" s="6" t="str">
        <f>IF(IF(ISNUMBER(J144),1,0)+IF(ISNUMBER(Table44243140[[#This Row],[Post Total]]),1,0)=2,IF(IF(Table44243140[[#This Row],[Student Number]]=C144,1,0)+IF(Table44243140[[#This Row],[Session]]=B144,1,0)+IF(Table44243140[[#This Row],[Pre or Post]]="Post",1,0)+IF(D144="Pre",1,0)=4,Table44243140[[#This Row],[Post Total]],""),"")</f>
        <v/>
      </c>
      <c r="N145" s="6" t="str">
        <f>IF(IF(ISNUMBER(J144),1,0)+IF(ISNUMBER(Table44243140[[#This Row],[Post Total]]),1,0)=2,IF(IF(Table44243140[[#This Row],[Student Number]]=C144,1,0)+IF(Table44243140[[#This Row],[Session]]=B144,1,0)+IF(Table44243140[[#This Row],[Pre or Post]]="Post",1,0)+IF(D144="Pre",1,0)=4,Table44243140[[#This Row],[Post Total]]-J144,""),"")</f>
        <v/>
      </c>
      <c r="O145" s="6" t="b">
        <f>ISNUMBER(Table44243140[[#This Row],[Change]])</f>
        <v>0</v>
      </c>
    </row>
    <row r="146" spans="1:15">
      <c r="A146" s="2" t="s">
        <v>24</v>
      </c>
      <c r="B146" s="2" t="s">
        <v>26</v>
      </c>
      <c r="C146" s="1">
        <v>9</v>
      </c>
      <c r="D146" s="1" t="s">
        <v>16</v>
      </c>
      <c r="E146" s="1">
        <v>4</v>
      </c>
      <c r="F146" s="1">
        <v>3</v>
      </c>
      <c r="G146" s="2" t="s">
        <v>8</v>
      </c>
      <c r="H146" s="6" t="str">
        <f>IF(IF(Table44243140[[#This Row],[Pre or Post]]="Pre",1,0)+IF(ISNUMBER(Table44243140[[#This Row],[Response]])=TRUE,1,0)=2,1,"")</f>
        <v/>
      </c>
      <c r="I146" s="6">
        <f>IF(IF(Table44243140[[#This Row],[Pre or Post]]="Post",1,0)+IF(ISNUMBER(Table44243140[[#This Row],[Response]])=TRUE,1,0)=2,1,"")</f>
        <v>1</v>
      </c>
      <c r="J146" s="6" t="str">
        <f>IF(IF(Table44243140[[#This Row],[Pre or Post]]="Pre",1,0)+IF(ISNUMBER(Table44243140[[#This Row],[Response]])=TRUE,1,0)=2,Table44243140[[#This Row],[Response]],"")</f>
        <v/>
      </c>
      <c r="K146" s="6">
        <f>IF(IF(Table44243140[[#This Row],[Pre or Post]]="Post",1,0)+IF(ISNUMBER(Table44243140[[#This Row],[Response]])=TRUE,1,0)=2,Table44243140[[#This Row],[Response]],"")</f>
        <v>3</v>
      </c>
      <c r="L146" s="6" t="str">
        <f>IF(IF(ISNUMBER(J146),1,0)+IF(ISNUMBER(K147),1,0)=2,IF(IF(C147=C146,1,0)+IF(B147=B146,1,0)+IF(D147="Post",1,0)+IF(D146="Pre",1,0)=4,Table44243140[[#This Row],[Pre Total]],""),"")</f>
        <v/>
      </c>
      <c r="M146" s="6">
        <f>IF(IF(ISNUMBER(J145),1,0)+IF(ISNUMBER(Table44243140[[#This Row],[Post Total]]),1,0)=2,IF(IF(Table44243140[[#This Row],[Student Number]]=C145,1,0)+IF(Table44243140[[#This Row],[Session]]=B145,1,0)+IF(Table44243140[[#This Row],[Pre or Post]]="Post",1,0)+IF(D145="Pre",1,0)=4,Table44243140[[#This Row],[Post Total]],""),"")</f>
        <v>3</v>
      </c>
      <c r="N146" s="6">
        <f>IF(IF(ISNUMBER(J145),1,0)+IF(ISNUMBER(Table44243140[[#This Row],[Post Total]]),1,0)=2,IF(IF(Table44243140[[#This Row],[Student Number]]=C145,1,0)+IF(Table44243140[[#This Row],[Session]]=B145,1,0)+IF(Table44243140[[#This Row],[Pre or Post]]="Post",1,0)+IF(D145="Pre",1,0)=4,Table44243140[[#This Row],[Post Total]]-J145,""),"")</f>
        <v>1</v>
      </c>
      <c r="O146" s="6" t="b">
        <f>ISNUMBER(Table44243140[[#This Row],[Change]])</f>
        <v>1</v>
      </c>
    </row>
    <row r="147" spans="1:15">
      <c r="A147" s="2" t="s">
        <v>24</v>
      </c>
      <c r="B147" s="2" t="s">
        <v>26</v>
      </c>
      <c r="C147" s="1">
        <v>10</v>
      </c>
      <c r="D147" s="1" t="s">
        <v>6</v>
      </c>
      <c r="E147" s="1">
        <v>11</v>
      </c>
      <c r="F147" s="1">
        <v>3</v>
      </c>
      <c r="G147" s="2" t="s">
        <v>8</v>
      </c>
      <c r="H147" s="5">
        <f>IF(IF(Table44243140[[#This Row],[Pre or Post]]="Pre",1,0)+IF(ISNUMBER(Table44243140[[#This Row],[Response]])=TRUE,1,0)=2,1,"")</f>
        <v>1</v>
      </c>
      <c r="I147" s="5" t="str">
        <f>IF(IF(Table44243140[[#This Row],[Pre or Post]]="Post",1,0)+IF(ISNUMBER(Table44243140[[#This Row],[Response]])=TRUE,1,0)=2,1,"")</f>
        <v/>
      </c>
      <c r="J147" s="5">
        <f>IF(IF(Table44243140[[#This Row],[Pre or Post]]="Pre",1,0)+IF(ISNUMBER(Table44243140[[#This Row],[Response]])=TRUE,1,0)=2,Table44243140[[#This Row],[Response]],"")</f>
        <v>3</v>
      </c>
      <c r="K147" s="5" t="str">
        <f>IF(IF(Table44243140[[#This Row],[Pre or Post]]="Post",1,0)+IF(ISNUMBER(Table44243140[[#This Row],[Response]])=TRUE,1,0)=2,Table44243140[[#This Row],[Response]],"")</f>
        <v/>
      </c>
      <c r="L147" s="5">
        <f>IF(IF(ISNUMBER(J147),1,0)+IF(ISNUMBER(K148),1,0)=2,IF(IF(C148=C147,1,0)+IF(B148=B147,1,0)+IF(D148="Post",1,0)+IF(D147="Pre",1,0)=4,Table44243140[[#This Row],[Pre Total]],""),"")</f>
        <v>3</v>
      </c>
      <c r="M147" s="5" t="str">
        <f>IF(IF(ISNUMBER(J146),1,0)+IF(ISNUMBER(Table44243140[[#This Row],[Post Total]]),1,0)=2,IF(IF(Table44243140[[#This Row],[Student Number]]=C146,1,0)+IF(Table44243140[[#This Row],[Session]]=B146,1,0)+IF(Table44243140[[#This Row],[Pre or Post]]="Post",1,0)+IF(D146="Pre",1,0)=4,Table44243140[[#This Row],[Post Total]],""),"")</f>
        <v/>
      </c>
      <c r="N147" s="5" t="str">
        <f>IF(IF(ISNUMBER(J146),1,0)+IF(ISNUMBER(Table44243140[[#This Row],[Post Total]]),1,0)=2,IF(IF(Table44243140[[#This Row],[Student Number]]=C146,1,0)+IF(Table44243140[[#This Row],[Session]]=B146,1,0)+IF(Table44243140[[#This Row],[Pre or Post]]="Post",1,0)+IF(D146="Pre",1,0)=4,Table44243140[[#This Row],[Post Total]]-J146,""),"")</f>
        <v/>
      </c>
      <c r="O147" s="5" t="b">
        <f>ISNUMBER(Table44243140[[#This Row],[Change]])</f>
        <v>0</v>
      </c>
    </row>
    <row r="148" spans="1:15">
      <c r="A148" s="2" t="s">
        <v>24</v>
      </c>
      <c r="B148" s="2" t="s">
        <v>26</v>
      </c>
      <c r="C148" s="1">
        <v>10</v>
      </c>
      <c r="D148" s="1" t="s">
        <v>16</v>
      </c>
      <c r="E148" s="1">
        <v>4</v>
      </c>
      <c r="F148" s="1">
        <v>4</v>
      </c>
      <c r="G148" s="2" t="s">
        <v>8</v>
      </c>
      <c r="H148" s="5" t="str">
        <f>IF(IF(Table44243140[[#This Row],[Pre or Post]]="Pre",1,0)+IF(ISNUMBER(Table44243140[[#This Row],[Response]])=TRUE,1,0)=2,1,"")</f>
        <v/>
      </c>
      <c r="I148" s="5">
        <f>IF(IF(Table44243140[[#This Row],[Pre or Post]]="Post",1,0)+IF(ISNUMBER(Table44243140[[#This Row],[Response]])=TRUE,1,0)=2,1,"")</f>
        <v>1</v>
      </c>
      <c r="J148" s="5" t="str">
        <f>IF(IF(Table44243140[[#This Row],[Pre or Post]]="Pre",1,0)+IF(ISNUMBER(Table44243140[[#This Row],[Response]])=TRUE,1,0)=2,Table44243140[[#This Row],[Response]],"")</f>
        <v/>
      </c>
      <c r="K148" s="5">
        <f>IF(IF(Table44243140[[#This Row],[Pre or Post]]="Post",1,0)+IF(ISNUMBER(Table44243140[[#This Row],[Response]])=TRUE,1,0)=2,Table44243140[[#This Row],[Response]],"")</f>
        <v>4</v>
      </c>
      <c r="L148" s="5" t="str">
        <f>IF(IF(ISNUMBER(J148),1,0)+IF(ISNUMBER(K149),1,0)=2,IF(IF(C149=C148,1,0)+IF(B149=B148,1,0)+IF(D149="Post",1,0)+IF(D148="Pre",1,0)=4,Table44243140[[#This Row],[Pre Total]],""),"")</f>
        <v/>
      </c>
      <c r="M148" s="5">
        <f>IF(IF(ISNUMBER(J147),1,0)+IF(ISNUMBER(Table44243140[[#This Row],[Post Total]]),1,0)=2,IF(IF(Table44243140[[#This Row],[Student Number]]=C147,1,0)+IF(Table44243140[[#This Row],[Session]]=B147,1,0)+IF(Table44243140[[#This Row],[Pre or Post]]="Post",1,0)+IF(D147="Pre",1,0)=4,Table44243140[[#This Row],[Post Total]],""),"")</f>
        <v>4</v>
      </c>
      <c r="N148" s="5">
        <f>IF(IF(ISNUMBER(J147),1,0)+IF(ISNUMBER(Table44243140[[#This Row],[Post Total]]),1,0)=2,IF(IF(Table44243140[[#This Row],[Student Number]]=C147,1,0)+IF(Table44243140[[#This Row],[Session]]=B147,1,0)+IF(Table44243140[[#This Row],[Pre or Post]]="Post",1,0)+IF(D147="Pre",1,0)=4,Table44243140[[#This Row],[Post Total]]-J147,""),"")</f>
        <v>1</v>
      </c>
      <c r="O148" s="5" t="b">
        <f>ISNUMBER(Table44243140[[#This Row],[Change]])</f>
        <v>1</v>
      </c>
    </row>
    <row r="149" spans="1:15">
      <c r="A149" s="2" t="s">
        <v>24</v>
      </c>
      <c r="B149" s="2" t="s">
        <v>26</v>
      </c>
      <c r="C149" s="1">
        <v>11</v>
      </c>
      <c r="D149" s="1" t="s">
        <v>6</v>
      </c>
      <c r="E149" s="1">
        <v>11</v>
      </c>
      <c r="F149" s="1">
        <v>2</v>
      </c>
      <c r="G149" s="2" t="s">
        <v>8</v>
      </c>
      <c r="H149" s="6">
        <f>IF(IF(Table44243140[[#This Row],[Pre or Post]]="Pre",1,0)+IF(ISNUMBER(Table44243140[[#This Row],[Response]])=TRUE,1,0)=2,1,"")</f>
        <v>1</v>
      </c>
      <c r="I149" s="6" t="str">
        <f>IF(IF(Table44243140[[#This Row],[Pre or Post]]="Post",1,0)+IF(ISNUMBER(Table44243140[[#This Row],[Response]])=TRUE,1,0)=2,1,"")</f>
        <v/>
      </c>
      <c r="J149" s="6">
        <f>IF(IF(Table44243140[[#This Row],[Pre or Post]]="Pre",1,0)+IF(ISNUMBER(Table44243140[[#This Row],[Response]])=TRUE,1,0)=2,Table44243140[[#This Row],[Response]],"")</f>
        <v>2</v>
      </c>
      <c r="K149" s="6" t="str">
        <f>IF(IF(Table44243140[[#This Row],[Pre or Post]]="Post",1,0)+IF(ISNUMBER(Table44243140[[#This Row],[Response]])=TRUE,1,0)=2,Table44243140[[#This Row],[Response]],"")</f>
        <v/>
      </c>
      <c r="L149" s="6">
        <f>IF(IF(ISNUMBER(J149),1,0)+IF(ISNUMBER(K150),1,0)=2,IF(IF(C150=C149,1,0)+IF(B150=B149,1,0)+IF(D150="Post",1,0)+IF(D149="Pre",1,0)=4,Table44243140[[#This Row],[Pre Total]],""),"")</f>
        <v>2</v>
      </c>
      <c r="M149" s="6" t="str">
        <f>IF(IF(ISNUMBER(J148),1,0)+IF(ISNUMBER(Table44243140[[#This Row],[Post Total]]),1,0)=2,IF(IF(Table44243140[[#This Row],[Student Number]]=C148,1,0)+IF(Table44243140[[#This Row],[Session]]=B148,1,0)+IF(Table44243140[[#This Row],[Pre or Post]]="Post",1,0)+IF(D148="Pre",1,0)=4,Table44243140[[#This Row],[Post Total]],""),"")</f>
        <v/>
      </c>
      <c r="N149" s="6" t="str">
        <f>IF(IF(ISNUMBER(J148),1,0)+IF(ISNUMBER(Table44243140[[#This Row],[Post Total]]),1,0)=2,IF(IF(Table44243140[[#This Row],[Student Number]]=C148,1,0)+IF(Table44243140[[#This Row],[Session]]=B148,1,0)+IF(Table44243140[[#This Row],[Pre or Post]]="Post",1,0)+IF(D148="Pre",1,0)=4,Table44243140[[#This Row],[Post Total]]-J148,""),"")</f>
        <v/>
      </c>
      <c r="O149" s="6" t="b">
        <f>ISNUMBER(Table44243140[[#This Row],[Change]])</f>
        <v>0</v>
      </c>
    </row>
    <row r="150" spans="1:15">
      <c r="A150" s="2" t="s">
        <v>24</v>
      </c>
      <c r="B150" s="2" t="s">
        <v>26</v>
      </c>
      <c r="C150" s="1">
        <v>11</v>
      </c>
      <c r="D150" s="1" t="s">
        <v>16</v>
      </c>
      <c r="E150" s="1">
        <v>4</v>
      </c>
      <c r="F150" s="1">
        <v>3</v>
      </c>
      <c r="G150" s="2" t="s">
        <v>8</v>
      </c>
      <c r="H150" s="6" t="str">
        <f>IF(IF(Table44243140[[#This Row],[Pre or Post]]="Pre",1,0)+IF(ISNUMBER(Table44243140[[#This Row],[Response]])=TRUE,1,0)=2,1,"")</f>
        <v/>
      </c>
      <c r="I150" s="6">
        <f>IF(IF(Table44243140[[#This Row],[Pre or Post]]="Post",1,0)+IF(ISNUMBER(Table44243140[[#This Row],[Response]])=TRUE,1,0)=2,1,"")</f>
        <v>1</v>
      </c>
      <c r="J150" s="6" t="str">
        <f>IF(IF(Table44243140[[#This Row],[Pre or Post]]="Pre",1,0)+IF(ISNUMBER(Table44243140[[#This Row],[Response]])=TRUE,1,0)=2,Table44243140[[#This Row],[Response]],"")</f>
        <v/>
      </c>
      <c r="K150" s="6">
        <f>IF(IF(Table44243140[[#This Row],[Pre or Post]]="Post",1,0)+IF(ISNUMBER(Table44243140[[#This Row],[Response]])=TRUE,1,0)=2,Table44243140[[#This Row],[Response]],"")</f>
        <v>3</v>
      </c>
      <c r="L150" s="6" t="str">
        <f>IF(IF(ISNUMBER(J150),1,0)+IF(ISNUMBER(K151),1,0)=2,IF(IF(C151=C150,1,0)+IF(B151=B150,1,0)+IF(D151="Post",1,0)+IF(D150="Pre",1,0)=4,Table44243140[[#This Row],[Pre Total]],""),"")</f>
        <v/>
      </c>
      <c r="M150" s="6">
        <f>IF(IF(ISNUMBER(J149),1,0)+IF(ISNUMBER(Table44243140[[#This Row],[Post Total]]),1,0)=2,IF(IF(Table44243140[[#This Row],[Student Number]]=C149,1,0)+IF(Table44243140[[#This Row],[Session]]=B149,1,0)+IF(Table44243140[[#This Row],[Pre or Post]]="Post",1,0)+IF(D149="Pre",1,0)=4,Table44243140[[#This Row],[Post Total]],""),"")</f>
        <v>3</v>
      </c>
      <c r="N150" s="6">
        <f>IF(IF(ISNUMBER(J149),1,0)+IF(ISNUMBER(Table44243140[[#This Row],[Post Total]]),1,0)=2,IF(IF(Table44243140[[#This Row],[Student Number]]=C149,1,0)+IF(Table44243140[[#This Row],[Session]]=B149,1,0)+IF(Table44243140[[#This Row],[Pre or Post]]="Post",1,0)+IF(D149="Pre",1,0)=4,Table44243140[[#This Row],[Post Total]]-J149,""),"")</f>
        <v>1</v>
      </c>
      <c r="O150" s="6" t="b">
        <f>ISNUMBER(Table44243140[[#This Row],[Change]])</f>
        <v>1</v>
      </c>
    </row>
    <row r="151" spans="1:15">
      <c r="A151" s="2" t="s">
        <v>24</v>
      </c>
      <c r="B151" s="2" t="s">
        <v>26</v>
      </c>
      <c r="C151" s="1">
        <v>12</v>
      </c>
      <c r="D151" s="1" t="s">
        <v>6</v>
      </c>
      <c r="E151" s="1">
        <v>11</v>
      </c>
      <c r="F151" s="1">
        <v>1</v>
      </c>
      <c r="G151" s="2" t="s">
        <v>8</v>
      </c>
      <c r="H151" s="5">
        <f>IF(IF(Table44243140[[#This Row],[Pre or Post]]="Pre",1,0)+IF(ISNUMBER(Table44243140[[#This Row],[Response]])=TRUE,1,0)=2,1,"")</f>
        <v>1</v>
      </c>
      <c r="I151" s="5" t="str">
        <f>IF(IF(Table44243140[[#This Row],[Pre or Post]]="Post",1,0)+IF(ISNUMBER(Table44243140[[#This Row],[Response]])=TRUE,1,0)=2,1,"")</f>
        <v/>
      </c>
      <c r="J151" s="5">
        <f>IF(IF(Table44243140[[#This Row],[Pre or Post]]="Pre",1,0)+IF(ISNUMBER(Table44243140[[#This Row],[Response]])=TRUE,1,0)=2,Table44243140[[#This Row],[Response]],"")</f>
        <v>1</v>
      </c>
      <c r="K151" s="5" t="str">
        <f>IF(IF(Table44243140[[#This Row],[Pre or Post]]="Post",1,0)+IF(ISNUMBER(Table44243140[[#This Row],[Response]])=TRUE,1,0)=2,Table44243140[[#This Row],[Response]],"")</f>
        <v/>
      </c>
      <c r="L151" s="5">
        <f>IF(IF(ISNUMBER(J151),1,0)+IF(ISNUMBER(K152),1,0)=2,IF(IF(C152=C151,1,0)+IF(B152=B151,1,0)+IF(D152="Post",1,0)+IF(D151="Pre",1,0)=4,Table44243140[[#This Row],[Pre Total]],""),"")</f>
        <v>1</v>
      </c>
      <c r="M151" s="5" t="str">
        <f>IF(IF(ISNUMBER(J150),1,0)+IF(ISNUMBER(Table44243140[[#This Row],[Post Total]]),1,0)=2,IF(IF(Table44243140[[#This Row],[Student Number]]=C150,1,0)+IF(Table44243140[[#This Row],[Session]]=B150,1,0)+IF(Table44243140[[#This Row],[Pre or Post]]="Post",1,0)+IF(D150="Pre",1,0)=4,Table44243140[[#This Row],[Post Total]],""),"")</f>
        <v/>
      </c>
      <c r="N151" s="5" t="str">
        <f>IF(IF(ISNUMBER(J150),1,0)+IF(ISNUMBER(Table44243140[[#This Row],[Post Total]]),1,0)=2,IF(IF(Table44243140[[#This Row],[Student Number]]=C150,1,0)+IF(Table44243140[[#This Row],[Session]]=B150,1,0)+IF(Table44243140[[#This Row],[Pre or Post]]="Post",1,0)+IF(D150="Pre",1,0)=4,Table44243140[[#This Row],[Post Total]]-J150,""),"")</f>
        <v/>
      </c>
      <c r="O151" s="5" t="b">
        <f>ISNUMBER(Table44243140[[#This Row],[Change]])</f>
        <v>0</v>
      </c>
    </row>
    <row r="152" spans="1:15">
      <c r="A152" s="2" t="s">
        <v>24</v>
      </c>
      <c r="B152" s="2" t="s">
        <v>26</v>
      </c>
      <c r="C152" s="1">
        <v>12</v>
      </c>
      <c r="D152" s="1" t="s">
        <v>16</v>
      </c>
      <c r="E152" s="1">
        <v>4</v>
      </c>
      <c r="F152" s="1">
        <v>3</v>
      </c>
      <c r="G152" s="2" t="s">
        <v>8</v>
      </c>
      <c r="H152" s="5" t="str">
        <f>IF(IF(Table44243140[[#This Row],[Pre or Post]]="Pre",1,0)+IF(ISNUMBER(Table44243140[[#This Row],[Response]])=TRUE,1,0)=2,1,"")</f>
        <v/>
      </c>
      <c r="I152" s="5">
        <f>IF(IF(Table44243140[[#This Row],[Pre or Post]]="Post",1,0)+IF(ISNUMBER(Table44243140[[#This Row],[Response]])=TRUE,1,0)=2,1,"")</f>
        <v>1</v>
      </c>
      <c r="J152" s="5" t="str">
        <f>IF(IF(Table44243140[[#This Row],[Pre or Post]]="Pre",1,0)+IF(ISNUMBER(Table44243140[[#This Row],[Response]])=TRUE,1,0)=2,Table44243140[[#This Row],[Response]],"")</f>
        <v/>
      </c>
      <c r="K152" s="5">
        <f>IF(IF(Table44243140[[#This Row],[Pre or Post]]="Post",1,0)+IF(ISNUMBER(Table44243140[[#This Row],[Response]])=TRUE,1,0)=2,Table44243140[[#This Row],[Response]],"")</f>
        <v>3</v>
      </c>
      <c r="L152" s="5" t="str">
        <f>IF(IF(ISNUMBER(J152),1,0)+IF(ISNUMBER(K153),1,0)=2,IF(IF(C153=C152,1,0)+IF(B153=B152,1,0)+IF(D153="Post",1,0)+IF(D152="Pre",1,0)=4,Table44243140[[#This Row],[Pre Total]],""),"")</f>
        <v/>
      </c>
      <c r="M152" s="5">
        <f>IF(IF(ISNUMBER(J151),1,0)+IF(ISNUMBER(Table44243140[[#This Row],[Post Total]]),1,0)=2,IF(IF(Table44243140[[#This Row],[Student Number]]=C151,1,0)+IF(Table44243140[[#This Row],[Session]]=B151,1,0)+IF(Table44243140[[#This Row],[Pre or Post]]="Post",1,0)+IF(D151="Pre",1,0)=4,Table44243140[[#This Row],[Post Total]],""),"")</f>
        <v>3</v>
      </c>
      <c r="N152" s="5">
        <f>IF(IF(ISNUMBER(J151),1,0)+IF(ISNUMBER(Table44243140[[#This Row],[Post Total]]),1,0)=2,IF(IF(Table44243140[[#This Row],[Student Number]]=C151,1,0)+IF(Table44243140[[#This Row],[Session]]=B151,1,0)+IF(Table44243140[[#This Row],[Pre or Post]]="Post",1,0)+IF(D151="Pre",1,0)=4,Table44243140[[#This Row],[Post Total]]-J151,""),"")</f>
        <v>2</v>
      </c>
      <c r="O152" s="5" t="b">
        <f>ISNUMBER(Table44243140[[#This Row],[Change]])</f>
        <v>1</v>
      </c>
    </row>
    <row r="153" spans="1:15">
      <c r="A153" s="2" t="s">
        <v>24</v>
      </c>
      <c r="B153" s="2" t="s">
        <v>26</v>
      </c>
      <c r="C153" s="1">
        <v>13</v>
      </c>
      <c r="D153" s="1" t="s">
        <v>6</v>
      </c>
      <c r="E153" s="1">
        <v>11</v>
      </c>
      <c r="F153" s="1">
        <v>1</v>
      </c>
      <c r="G153" s="2" t="s">
        <v>8</v>
      </c>
      <c r="H153" s="6">
        <f>IF(IF(Table44243140[[#This Row],[Pre or Post]]="Pre",1,0)+IF(ISNUMBER(Table44243140[[#This Row],[Response]])=TRUE,1,0)=2,1,"")</f>
        <v>1</v>
      </c>
      <c r="I153" s="6" t="str">
        <f>IF(IF(Table44243140[[#This Row],[Pre or Post]]="Post",1,0)+IF(ISNUMBER(Table44243140[[#This Row],[Response]])=TRUE,1,0)=2,1,"")</f>
        <v/>
      </c>
      <c r="J153" s="6">
        <f>IF(IF(Table44243140[[#This Row],[Pre or Post]]="Pre",1,0)+IF(ISNUMBER(Table44243140[[#This Row],[Response]])=TRUE,1,0)=2,Table44243140[[#This Row],[Response]],"")</f>
        <v>1</v>
      </c>
      <c r="K153" s="6" t="str">
        <f>IF(IF(Table44243140[[#This Row],[Pre or Post]]="Post",1,0)+IF(ISNUMBER(Table44243140[[#This Row],[Response]])=TRUE,1,0)=2,Table44243140[[#This Row],[Response]],"")</f>
        <v/>
      </c>
      <c r="L153" s="6">
        <f>IF(IF(ISNUMBER(J153),1,0)+IF(ISNUMBER(K154),1,0)=2,IF(IF(C154=C153,1,0)+IF(B154=B153,1,0)+IF(D154="Post",1,0)+IF(D153="Pre",1,0)=4,Table44243140[[#This Row],[Pre Total]],""),"")</f>
        <v>1</v>
      </c>
      <c r="M153" s="6" t="str">
        <f>IF(IF(ISNUMBER(J152),1,0)+IF(ISNUMBER(Table44243140[[#This Row],[Post Total]]),1,0)=2,IF(IF(Table44243140[[#This Row],[Student Number]]=C152,1,0)+IF(Table44243140[[#This Row],[Session]]=B152,1,0)+IF(Table44243140[[#This Row],[Pre or Post]]="Post",1,0)+IF(D152="Pre",1,0)=4,Table44243140[[#This Row],[Post Total]],""),"")</f>
        <v/>
      </c>
      <c r="N153" s="6" t="str">
        <f>IF(IF(ISNUMBER(J152),1,0)+IF(ISNUMBER(Table44243140[[#This Row],[Post Total]]),1,0)=2,IF(IF(Table44243140[[#This Row],[Student Number]]=C152,1,0)+IF(Table44243140[[#This Row],[Session]]=B152,1,0)+IF(Table44243140[[#This Row],[Pre or Post]]="Post",1,0)+IF(D152="Pre",1,0)=4,Table44243140[[#This Row],[Post Total]]-J152,""),"")</f>
        <v/>
      </c>
      <c r="O153" s="6" t="b">
        <f>ISNUMBER(Table44243140[[#This Row],[Change]])</f>
        <v>0</v>
      </c>
    </row>
    <row r="154" spans="1:15">
      <c r="A154" s="2" t="s">
        <v>24</v>
      </c>
      <c r="B154" s="2" t="s">
        <v>26</v>
      </c>
      <c r="C154" s="1">
        <v>13</v>
      </c>
      <c r="D154" s="1" t="s">
        <v>16</v>
      </c>
      <c r="E154" s="1">
        <v>4</v>
      </c>
      <c r="F154" s="1">
        <v>2</v>
      </c>
      <c r="G154" s="2" t="s">
        <v>8</v>
      </c>
      <c r="H154" s="6" t="str">
        <f>IF(IF(Table44243140[[#This Row],[Pre or Post]]="Pre",1,0)+IF(ISNUMBER(Table44243140[[#This Row],[Response]])=TRUE,1,0)=2,1,"")</f>
        <v/>
      </c>
      <c r="I154" s="6">
        <f>IF(IF(Table44243140[[#This Row],[Pre or Post]]="Post",1,0)+IF(ISNUMBER(Table44243140[[#This Row],[Response]])=TRUE,1,0)=2,1,"")</f>
        <v>1</v>
      </c>
      <c r="J154" s="6" t="str">
        <f>IF(IF(Table44243140[[#This Row],[Pre or Post]]="Pre",1,0)+IF(ISNUMBER(Table44243140[[#This Row],[Response]])=TRUE,1,0)=2,Table44243140[[#This Row],[Response]],"")</f>
        <v/>
      </c>
      <c r="K154" s="6">
        <f>IF(IF(Table44243140[[#This Row],[Pre or Post]]="Post",1,0)+IF(ISNUMBER(Table44243140[[#This Row],[Response]])=TRUE,1,0)=2,Table44243140[[#This Row],[Response]],"")</f>
        <v>2</v>
      </c>
      <c r="L154" s="6" t="str">
        <f>IF(IF(ISNUMBER(J154),1,0)+IF(ISNUMBER(K155),1,0)=2,IF(IF(C155=C154,1,0)+IF(B155=B154,1,0)+IF(D155="Post",1,0)+IF(D154="Pre",1,0)=4,Table44243140[[#This Row],[Pre Total]],""),"")</f>
        <v/>
      </c>
      <c r="M154" s="6">
        <f>IF(IF(ISNUMBER(J153),1,0)+IF(ISNUMBER(Table44243140[[#This Row],[Post Total]]),1,0)=2,IF(IF(Table44243140[[#This Row],[Student Number]]=C153,1,0)+IF(Table44243140[[#This Row],[Session]]=B153,1,0)+IF(Table44243140[[#This Row],[Pre or Post]]="Post",1,0)+IF(D153="Pre",1,0)=4,Table44243140[[#This Row],[Post Total]],""),"")</f>
        <v>2</v>
      </c>
      <c r="N154" s="6">
        <f>IF(IF(ISNUMBER(J153),1,0)+IF(ISNUMBER(Table44243140[[#This Row],[Post Total]]),1,0)=2,IF(IF(Table44243140[[#This Row],[Student Number]]=C153,1,0)+IF(Table44243140[[#This Row],[Session]]=B153,1,0)+IF(Table44243140[[#This Row],[Pre or Post]]="Post",1,0)+IF(D153="Pre",1,0)=4,Table44243140[[#This Row],[Post Total]]-J153,""),"")</f>
        <v>1</v>
      </c>
      <c r="O154" s="6" t="b">
        <f>ISNUMBER(Table44243140[[#This Row],[Change]])</f>
        <v>1</v>
      </c>
    </row>
    <row r="155" spans="1:15">
      <c r="A155" s="2" t="s">
        <v>24</v>
      </c>
      <c r="B155" s="2" t="s">
        <v>26</v>
      </c>
      <c r="C155" s="1">
        <v>14</v>
      </c>
      <c r="D155" s="1" t="s">
        <v>6</v>
      </c>
      <c r="E155" s="1">
        <v>11</v>
      </c>
      <c r="F155" s="1">
        <v>2</v>
      </c>
      <c r="G155" s="2" t="s">
        <v>8</v>
      </c>
      <c r="H155" s="5">
        <f>IF(IF(Table44243140[[#This Row],[Pre or Post]]="Pre",1,0)+IF(ISNUMBER(Table44243140[[#This Row],[Response]])=TRUE,1,0)=2,1,"")</f>
        <v>1</v>
      </c>
      <c r="I155" s="5" t="str">
        <f>IF(IF(Table44243140[[#This Row],[Pre or Post]]="Post",1,0)+IF(ISNUMBER(Table44243140[[#This Row],[Response]])=TRUE,1,0)=2,1,"")</f>
        <v/>
      </c>
      <c r="J155" s="5">
        <f>IF(IF(Table44243140[[#This Row],[Pre or Post]]="Pre",1,0)+IF(ISNUMBER(Table44243140[[#This Row],[Response]])=TRUE,1,0)=2,Table44243140[[#This Row],[Response]],"")</f>
        <v>2</v>
      </c>
      <c r="K155" s="5" t="str">
        <f>IF(IF(Table44243140[[#This Row],[Pre or Post]]="Post",1,0)+IF(ISNUMBER(Table44243140[[#This Row],[Response]])=TRUE,1,0)=2,Table44243140[[#This Row],[Response]],"")</f>
        <v/>
      </c>
      <c r="L155" s="5">
        <f>IF(IF(ISNUMBER(J155),1,0)+IF(ISNUMBER(K156),1,0)=2,IF(IF(C156=C155,1,0)+IF(B156=B155,1,0)+IF(D156="Post",1,0)+IF(D155="Pre",1,0)=4,Table44243140[[#This Row],[Pre Total]],""),"")</f>
        <v>2</v>
      </c>
      <c r="M155" s="5" t="str">
        <f>IF(IF(ISNUMBER(J154),1,0)+IF(ISNUMBER(Table44243140[[#This Row],[Post Total]]),1,0)=2,IF(IF(Table44243140[[#This Row],[Student Number]]=C154,1,0)+IF(Table44243140[[#This Row],[Session]]=B154,1,0)+IF(Table44243140[[#This Row],[Pre or Post]]="Post",1,0)+IF(D154="Pre",1,0)=4,Table44243140[[#This Row],[Post Total]],""),"")</f>
        <v/>
      </c>
      <c r="N155" s="5" t="str">
        <f>IF(IF(ISNUMBER(J154),1,0)+IF(ISNUMBER(Table44243140[[#This Row],[Post Total]]),1,0)=2,IF(IF(Table44243140[[#This Row],[Student Number]]=C154,1,0)+IF(Table44243140[[#This Row],[Session]]=B154,1,0)+IF(Table44243140[[#This Row],[Pre or Post]]="Post",1,0)+IF(D154="Pre",1,0)=4,Table44243140[[#This Row],[Post Total]]-J154,""),"")</f>
        <v/>
      </c>
      <c r="O155" s="5" t="b">
        <f>ISNUMBER(Table44243140[[#This Row],[Change]])</f>
        <v>0</v>
      </c>
    </row>
    <row r="156" spans="1:15">
      <c r="A156" s="2" t="s">
        <v>24</v>
      </c>
      <c r="B156" s="2" t="s">
        <v>26</v>
      </c>
      <c r="C156" s="1">
        <v>14</v>
      </c>
      <c r="D156" s="1" t="s">
        <v>16</v>
      </c>
      <c r="E156" s="1">
        <v>4</v>
      </c>
      <c r="F156" s="1">
        <v>3</v>
      </c>
      <c r="G156" s="2" t="s">
        <v>8</v>
      </c>
      <c r="H156" s="5" t="str">
        <f>IF(IF(Table44243140[[#This Row],[Pre or Post]]="Pre",1,0)+IF(ISNUMBER(Table44243140[[#This Row],[Response]])=TRUE,1,0)=2,1,"")</f>
        <v/>
      </c>
      <c r="I156" s="5">
        <f>IF(IF(Table44243140[[#This Row],[Pre or Post]]="Post",1,0)+IF(ISNUMBER(Table44243140[[#This Row],[Response]])=TRUE,1,0)=2,1,"")</f>
        <v>1</v>
      </c>
      <c r="J156" s="5" t="str">
        <f>IF(IF(Table44243140[[#This Row],[Pre or Post]]="Pre",1,0)+IF(ISNUMBER(Table44243140[[#This Row],[Response]])=TRUE,1,0)=2,Table44243140[[#This Row],[Response]],"")</f>
        <v/>
      </c>
      <c r="K156" s="5">
        <f>IF(IF(Table44243140[[#This Row],[Pre or Post]]="Post",1,0)+IF(ISNUMBER(Table44243140[[#This Row],[Response]])=TRUE,1,0)=2,Table44243140[[#This Row],[Response]],"")</f>
        <v>3</v>
      </c>
      <c r="L156" s="5" t="str">
        <f>IF(IF(ISNUMBER(J156),1,0)+IF(ISNUMBER(K157),1,0)=2,IF(IF(C157=C156,1,0)+IF(B157=B156,1,0)+IF(D157="Post",1,0)+IF(D156="Pre",1,0)=4,Table44243140[[#This Row],[Pre Total]],""),"")</f>
        <v/>
      </c>
      <c r="M156" s="5">
        <f>IF(IF(ISNUMBER(J155),1,0)+IF(ISNUMBER(Table44243140[[#This Row],[Post Total]]),1,0)=2,IF(IF(Table44243140[[#This Row],[Student Number]]=C155,1,0)+IF(Table44243140[[#This Row],[Session]]=B155,1,0)+IF(Table44243140[[#This Row],[Pre or Post]]="Post",1,0)+IF(D155="Pre",1,0)=4,Table44243140[[#This Row],[Post Total]],""),"")</f>
        <v>3</v>
      </c>
      <c r="N156" s="5">
        <f>IF(IF(ISNUMBER(J155),1,0)+IF(ISNUMBER(Table44243140[[#This Row],[Post Total]]),1,0)=2,IF(IF(Table44243140[[#This Row],[Student Number]]=C155,1,0)+IF(Table44243140[[#This Row],[Session]]=B155,1,0)+IF(Table44243140[[#This Row],[Pre or Post]]="Post",1,0)+IF(D155="Pre",1,0)=4,Table44243140[[#This Row],[Post Total]]-J155,""),"")</f>
        <v>1</v>
      </c>
      <c r="O156" s="5" t="b">
        <f>ISNUMBER(Table44243140[[#This Row],[Change]])</f>
        <v>1</v>
      </c>
    </row>
    <row r="157" spans="1:15">
      <c r="A157" s="2" t="s">
        <v>24</v>
      </c>
      <c r="B157" s="2" t="s">
        <v>26</v>
      </c>
      <c r="C157" s="1">
        <v>15</v>
      </c>
      <c r="D157" s="1" t="s">
        <v>6</v>
      </c>
      <c r="E157" s="1">
        <v>11</v>
      </c>
      <c r="F157" s="1">
        <v>3</v>
      </c>
      <c r="G157" s="2" t="s">
        <v>8</v>
      </c>
      <c r="H157" s="6">
        <f>IF(IF(Table44243140[[#This Row],[Pre or Post]]="Pre",1,0)+IF(ISNUMBER(Table44243140[[#This Row],[Response]])=TRUE,1,0)=2,1,"")</f>
        <v>1</v>
      </c>
      <c r="I157" s="6" t="str">
        <f>IF(IF(Table44243140[[#This Row],[Pre or Post]]="Post",1,0)+IF(ISNUMBER(Table44243140[[#This Row],[Response]])=TRUE,1,0)=2,1,"")</f>
        <v/>
      </c>
      <c r="J157" s="6">
        <f>IF(IF(Table44243140[[#This Row],[Pre or Post]]="Pre",1,0)+IF(ISNUMBER(Table44243140[[#This Row],[Response]])=TRUE,1,0)=2,Table44243140[[#This Row],[Response]],"")</f>
        <v>3</v>
      </c>
      <c r="K157" s="6" t="str">
        <f>IF(IF(Table44243140[[#This Row],[Pre or Post]]="Post",1,0)+IF(ISNUMBER(Table44243140[[#This Row],[Response]])=TRUE,1,0)=2,Table44243140[[#This Row],[Response]],"")</f>
        <v/>
      </c>
      <c r="L157" s="6">
        <f>IF(IF(ISNUMBER(J157),1,0)+IF(ISNUMBER(K158),1,0)=2,IF(IF(C158=C157,1,0)+IF(B158=B157,1,0)+IF(D158="Post",1,0)+IF(D157="Pre",1,0)=4,Table44243140[[#This Row],[Pre Total]],""),"")</f>
        <v>3</v>
      </c>
      <c r="M157" s="6" t="str">
        <f>IF(IF(ISNUMBER(J156),1,0)+IF(ISNUMBER(Table44243140[[#This Row],[Post Total]]),1,0)=2,IF(IF(Table44243140[[#This Row],[Student Number]]=C156,1,0)+IF(Table44243140[[#This Row],[Session]]=B156,1,0)+IF(Table44243140[[#This Row],[Pre or Post]]="Post",1,0)+IF(D156="Pre",1,0)=4,Table44243140[[#This Row],[Post Total]],""),"")</f>
        <v/>
      </c>
      <c r="N157" s="6" t="str">
        <f>IF(IF(ISNUMBER(J156),1,0)+IF(ISNUMBER(Table44243140[[#This Row],[Post Total]]),1,0)=2,IF(IF(Table44243140[[#This Row],[Student Number]]=C156,1,0)+IF(Table44243140[[#This Row],[Session]]=B156,1,0)+IF(Table44243140[[#This Row],[Pre or Post]]="Post",1,0)+IF(D156="Pre",1,0)=4,Table44243140[[#This Row],[Post Total]]-J156,""),"")</f>
        <v/>
      </c>
      <c r="O157" s="6" t="b">
        <f>ISNUMBER(Table44243140[[#This Row],[Change]])</f>
        <v>0</v>
      </c>
    </row>
    <row r="158" spans="1:15">
      <c r="A158" s="2" t="s">
        <v>24</v>
      </c>
      <c r="B158" s="2" t="s">
        <v>26</v>
      </c>
      <c r="C158" s="1">
        <v>15</v>
      </c>
      <c r="D158" s="1" t="s">
        <v>16</v>
      </c>
      <c r="E158" s="1">
        <v>4</v>
      </c>
      <c r="F158" s="1">
        <v>3</v>
      </c>
      <c r="G158" s="2" t="s">
        <v>8</v>
      </c>
      <c r="H158" s="6" t="str">
        <f>IF(IF(Table44243140[[#This Row],[Pre or Post]]="Pre",1,0)+IF(ISNUMBER(Table44243140[[#This Row],[Response]])=TRUE,1,0)=2,1,"")</f>
        <v/>
      </c>
      <c r="I158" s="6">
        <f>IF(IF(Table44243140[[#This Row],[Pre or Post]]="Post",1,0)+IF(ISNUMBER(Table44243140[[#This Row],[Response]])=TRUE,1,0)=2,1,"")</f>
        <v>1</v>
      </c>
      <c r="J158" s="6" t="str">
        <f>IF(IF(Table44243140[[#This Row],[Pre or Post]]="Pre",1,0)+IF(ISNUMBER(Table44243140[[#This Row],[Response]])=TRUE,1,0)=2,Table44243140[[#This Row],[Response]],"")</f>
        <v/>
      </c>
      <c r="K158" s="6">
        <f>IF(IF(Table44243140[[#This Row],[Pre or Post]]="Post",1,0)+IF(ISNUMBER(Table44243140[[#This Row],[Response]])=TRUE,1,0)=2,Table44243140[[#This Row],[Response]],"")</f>
        <v>3</v>
      </c>
      <c r="L158" s="6" t="str">
        <f>IF(IF(ISNUMBER(J158),1,0)+IF(ISNUMBER(K159),1,0)=2,IF(IF(C159=C158,1,0)+IF(B159=B158,1,0)+IF(D159="Post",1,0)+IF(D158="Pre",1,0)=4,Table44243140[[#This Row],[Pre Total]],""),"")</f>
        <v/>
      </c>
      <c r="M158" s="6">
        <f>IF(IF(ISNUMBER(J157),1,0)+IF(ISNUMBER(Table44243140[[#This Row],[Post Total]]),1,0)=2,IF(IF(Table44243140[[#This Row],[Student Number]]=C157,1,0)+IF(Table44243140[[#This Row],[Session]]=B157,1,0)+IF(Table44243140[[#This Row],[Pre or Post]]="Post",1,0)+IF(D157="Pre",1,0)=4,Table44243140[[#This Row],[Post Total]],""),"")</f>
        <v>3</v>
      </c>
      <c r="N158" s="6">
        <f>IF(IF(ISNUMBER(J157),1,0)+IF(ISNUMBER(Table44243140[[#This Row],[Post Total]]),1,0)=2,IF(IF(Table44243140[[#This Row],[Student Number]]=C157,1,0)+IF(Table44243140[[#This Row],[Session]]=B157,1,0)+IF(Table44243140[[#This Row],[Pre or Post]]="Post",1,0)+IF(D157="Pre",1,0)=4,Table44243140[[#This Row],[Post Total]]-J157,""),"")</f>
        <v>0</v>
      </c>
      <c r="O158" s="6" t="b">
        <f>ISNUMBER(Table44243140[[#This Row],[Change]])</f>
        <v>1</v>
      </c>
    </row>
    <row r="159" spans="1:15">
      <c r="A159" s="2"/>
      <c r="B159" s="2"/>
      <c r="C159" s="2"/>
      <c r="D159" s="2"/>
      <c r="E159" s="2"/>
      <c r="F159" s="2"/>
      <c r="G159" s="2"/>
      <c r="H159" s="6">
        <f>SUM([Pre Answers])</f>
        <v>61</v>
      </c>
      <c r="I159" s="6">
        <f>SUM([Post Answers])</f>
        <v>96</v>
      </c>
      <c r="J159" s="2">
        <f>SUM([Pre Total])</f>
        <v>130</v>
      </c>
      <c r="K159" s="2">
        <f>SUM([Post Total])</f>
        <v>317</v>
      </c>
      <c r="L159" s="2">
        <f>SUM([Pre Total (Pooled)])</f>
        <v>119</v>
      </c>
      <c r="M159" s="2">
        <f>SUM([Post Total (Pooled)])</f>
        <v>186</v>
      </c>
      <c r="N159" s="2">
        <f>SUM([Change])</f>
        <v>67</v>
      </c>
      <c r="O159" s="2">
        <f>COUNTIF([Number 2 Resp],TRUE)</f>
        <v>58</v>
      </c>
    </row>
    <row r="161" spans="1:13" ht="45">
      <c r="A161" s="16" t="s">
        <v>4</v>
      </c>
      <c r="B161" s="16" t="s">
        <v>36</v>
      </c>
      <c r="C161" s="16" t="s">
        <v>37</v>
      </c>
      <c r="D161" s="16" t="s">
        <v>68</v>
      </c>
      <c r="E161" s="16" t="s">
        <v>69</v>
      </c>
      <c r="F161" s="16" t="s">
        <v>84</v>
      </c>
      <c r="G161" s="16"/>
      <c r="H161" s="16"/>
      <c r="I161" s="16"/>
      <c r="J161" s="16"/>
      <c r="K161" s="16"/>
      <c r="L161" s="16"/>
    </row>
    <row r="162" spans="1:13">
      <c r="A162" s="1" t="s">
        <v>6</v>
      </c>
      <c r="B162" s="1">
        <f>COUNTIF(Table44243140[Pre or Post],"Pre")</f>
        <v>61</v>
      </c>
      <c r="C162" s="1">
        <f>Table44243140[[#Totals],[Pre Answers]]</f>
        <v>61</v>
      </c>
      <c r="D162" s="1">
        <f>Table44243140[[#Totals],[Pre Total]]/Table512253241[[#This Row],[Total Answers]]</f>
        <v>2.1311475409836067</v>
      </c>
      <c r="E162" s="1">
        <f>STDEV(Table44243140[Pre Total])</f>
        <v>0.95316001476632417</v>
      </c>
      <c r="F162" s="5">
        <f>STDEV(Table44243140[Change])</f>
        <v>1.3481855791087807</v>
      </c>
    </row>
    <row r="163" spans="1:13">
      <c r="A163" s="1" t="s">
        <v>16</v>
      </c>
      <c r="B163" s="1">
        <f>COUNTIF(Table44243140[Pre or Post],"Post")</f>
        <v>96</v>
      </c>
      <c r="C163" s="1">
        <f>Table44243140[[#Totals],[Post Answers]]</f>
        <v>96</v>
      </c>
      <c r="D163" s="1">
        <f>Table44243140[[#Totals],[Post Total]]/Table512253241[[#This Row],[Total Answers]]</f>
        <v>3.3020833333333335</v>
      </c>
      <c r="E163" s="1">
        <f>STDEV(Table44243140[Post Total])</f>
        <v>1.1527522367353034</v>
      </c>
      <c r="F163" s="5">
        <f>STDEV(Table44243140[Change])</f>
        <v>1.3481855791087807</v>
      </c>
    </row>
    <row r="165" spans="1:13" ht="30">
      <c r="A165" s="16" t="s">
        <v>46</v>
      </c>
      <c r="B165" s="16" t="s">
        <v>82</v>
      </c>
      <c r="C165" s="16" t="s">
        <v>70</v>
      </c>
      <c r="D165" s="16" t="s">
        <v>71</v>
      </c>
      <c r="E165" s="16" t="s">
        <v>73</v>
      </c>
      <c r="F165" s="16" t="s">
        <v>74</v>
      </c>
      <c r="G165" s="16" t="s">
        <v>75</v>
      </c>
      <c r="H165" s="16" t="s">
        <v>76</v>
      </c>
      <c r="I165" s="16" t="s">
        <v>77</v>
      </c>
      <c r="J165" s="16" t="s">
        <v>78</v>
      </c>
      <c r="K165" s="16" t="s">
        <v>79</v>
      </c>
      <c r="L165" s="16" t="s">
        <v>80</v>
      </c>
      <c r="M165" s="16" t="s">
        <v>81</v>
      </c>
    </row>
    <row r="166" spans="1:13">
      <c r="A166" s="1">
        <f>COUNTIF(Table44243140[Pre and Post?],"Yes")/2</f>
        <v>58</v>
      </c>
      <c r="B166" s="5">
        <f>COUNTIF(Table44243140[Number 2 Resp],TRUE)</f>
        <v>58</v>
      </c>
      <c r="C166" s="1">
        <f>COUNTIF(Table44243140[Change],1)</f>
        <v>17</v>
      </c>
      <c r="D166" s="1">
        <f>COUNTIF(Table44243140[Change],2)</f>
        <v>11</v>
      </c>
      <c r="E166" s="1">
        <f>COUNTIF(Table44243140[Change],3)</f>
        <v>4</v>
      </c>
      <c r="F166" s="1">
        <f>COUNTIF(Table44243140[Change],4)</f>
        <v>5</v>
      </c>
      <c r="G166" s="1">
        <f>COUNTIF(Table44243140[Change],-1)</f>
        <v>4</v>
      </c>
      <c r="H166" s="1">
        <f>COUNTIF(Table44243140[Change],-2)</f>
        <v>0</v>
      </c>
      <c r="I166" s="1">
        <f>COUNTIF(Table44243140[Change],-3)</f>
        <v>0</v>
      </c>
      <c r="J166" s="1">
        <f>COUNTIF(Table44243140[Change],-4)</f>
        <v>0</v>
      </c>
      <c r="K166" s="1">
        <f>SUM(Table613263342[[Increased by 1]:[Increased by 4]])</f>
        <v>37</v>
      </c>
      <c r="L166" s="1">
        <f>SUM(Table613263342[[Decreased by 1]:[Decreased by 4]])</f>
        <v>4</v>
      </c>
      <c r="M166" s="1">
        <f>COUNTIF(Table44243140[Change],0)</f>
        <v>17</v>
      </c>
    </row>
    <row r="168" spans="1:13">
      <c r="A168" s="1" t="s">
        <v>87</v>
      </c>
    </row>
    <row r="169" spans="1:13" ht="45">
      <c r="A169" t="s">
        <v>4</v>
      </c>
      <c r="B169" s="16" t="s">
        <v>36</v>
      </c>
      <c r="C169" s="16" t="s">
        <v>84</v>
      </c>
      <c r="D169" s="16" t="s">
        <v>68</v>
      </c>
      <c r="E169" s="16" t="s">
        <v>69</v>
      </c>
    </row>
    <row r="170" spans="1:13">
      <c r="A170" t="s">
        <v>6</v>
      </c>
      <c r="B170" s="1">
        <f>Table44243140[[#Totals],[Number 2 Resp]]</f>
        <v>58</v>
      </c>
      <c r="C170" s="1">
        <f>STDEV(Table44243140[Change])</f>
        <v>1.3481855791087807</v>
      </c>
      <c r="D170" s="5">
        <f>Table44243140[[#Totals],[Pre Total (Pooled)]]/B170</f>
        <v>2.0517241379310347</v>
      </c>
      <c r="E170" s="1">
        <f>STDEV(Table44243140[Pre Total (Pooled)])</f>
        <v>0.90655340739515722</v>
      </c>
    </row>
    <row r="171" spans="1:13">
      <c r="A171" t="s">
        <v>16</v>
      </c>
      <c r="B171" s="1">
        <f>Table44243140[[#Totals],[Number 2 Resp]]</f>
        <v>58</v>
      </c>
      <c r="C171" s="1">
        <f>STDEV(Table44243140[Change])</f>
        <v>1.3481855791087807</v>
      </c>
      <c r="D171" s="5">
        <f>Table44243140[[#Totals],[Post Total (Pooled)]]/B171</f>
        <v>3.2068965517241379</v>
      </c>
      <c r="E171" s="1">
        <f>STDEV(Table44243140[Post Total (Pooled)])</f>
        <v>1.1356831268224885</v>
      </c>
    </row>
  </sheetData>
  <conditionalFormatting sqref="F2:G158 F159:F164 G165:G166 F167:F206">
    <cfRule type="cellIs" dxfId="854" priority="5" operator="equal">
      <formula>"No"</formula>
    </cfRule>
    <cfRule type="cellIs" dxfId="853" priority="6" operator="equal">
      <formula>"Yes"</formula>
    </cfRule>
  </conditionalFormatting>
  <conditionalFormatting sqref="G167:G206 G2:G164 H165:H166">
    <cfRule type="cellIs" dxfId="852" priority="3" operator="equal">
      <formula>"Yes"</formula>
    </cfRule>
    <cfRule type="cellIs" dxfId="851" priority="4" operator="equal">
      <formula>"No"</formula>
    </cfRule>
  </conditionalFormatting>
  <conditionalFormatting sqref="C169">
    <cfRule type="cellIs" dxfId="850" priority="1" operator="equal">
      <formula>"No"</formula>
    </cfRule>
    <cfRule type="cellIs" dxfId="849" priority="2" operator="equal">
      <formula>"Yes"</formula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1"/>
  <sheetViews>
    <sheetView topLeftCell="A10" workbookViewId="0">
      <selection activeCell="A14" sqref="A14"/>
    </sheetView>
  </sheetViews>
  <sheetFormatPr defaultRowHeight="15"/>
  <cols>
    <col min="1" max="1" width="11" customWidth="1"/>
    <col min="2" max="2" width="12.85546875" bestFit="1" customWidth="1"/>
    <col min="3" max="3" width="15.7109375" bestFit="1" customWidth="1"/>
    <col min="4" max="4" width="16" bestFit="1" customWidth="1"/>
    <col min="5" max="6" width="12" bestFit="1" customWidth="1"/>
    <col min="7" max="7" width="14.140625" bestFit="1" customWidth="1"/>
    <col min="8" max="10" width="12.5703125" bestFit="1" customWidth="1"/>
    <col min="11" max="11" width="11.42578125" bestFit="1" customWidth="1"/>
    <col min="12" max="12" width="10.7109375" bestFit="1" customWidth="1"/>
    <col min="13" max="13" width="11.42578125" bestFit="1" customWidth="1"/>
    <col min="14" max="14" width="9.85546875" bestFit="1" customWidth="1"/>
  </cols>
  <sheetData>
    <row r="1" spans="1:14" s="13" customFormat="1" ht="60">
      <c r="A1" s="16" t="s">
        <v>53</v>
      </c>
      <c r="B1" s="16" t="s">
        <v>4</v>
      </c>
      <c r="C1" s="16" t="s">
        <v>36</v>
      </c>
      <c r="D1" s="16" t="s">
        <v>37</v>
      </c>
      <c r="E1" s="16" t="s">
        <v>68</v>
      </c>
      <c r="F1" s="16" t="s">
        <v>69</v>
      </c>
      <c r="G1" s="16" t="s">
        <v>84</v>
      </c>
    </row>
    <row r="2" spans="1:14">
      <c r="A2" s="1" t="s">
        <v>12</v>
      </c>
      <c r="B2" s="1" t="s">
        <v>6</v>
      </c>
      <c r="C2" s="5">
        <v>40</v>
      </c>
      <c r="D2" s="5">
        <v>40</v>
      </c>
      <c r="E2" s="5">
        <v>2.65</v>
      </c>
      <c r="F2" s="5">
        <v>1.2100010595460504</v>
      </c>
      <c r="G2" s="5">
        <v>1.3584965294445255</v>
      </c>
    </row>
    <row r="3" spans="1:14">
      <c r="A3" s="2" t="s">
        <v>24</v>
      </c>
      <c r="B3" s="1" t="s">
        <v>6</v>
      </c>
      <c r="C3" s="5">
        <v>61</v>
      </c>
      <c r="D3" s="5">
        <v>61</v>
      </c>
      <c r="E3" s="5">
        <v>2.1311475409836067</v>
      </c>
      <c r="F3" s="5">
        <v>0.95316001476632417</v>
      </c>
      <c r="G3" s="5">
        <v>1.3481855791087807</v>
      </c>
    </row>
    <row r="4" spans="1:14">
      <c r="A4" s="1"/>
      <c r="B4" s="1"/>
      <c r="C4" s="1"/>
      <c r="D4" s="1"/>
      <c r="E4" s="1"/>
      <c r="F4" s="1"/>
      <c r="G4" s="1"/>
      <c r="H4" s="1"/>
    </row>
    <row r="5" spans="1:14" s="13" customFormat="1" ht="60.75" thickBot="1">
      <c r="A5" s="14" t="s">
        <v>53</v>
      </c>
      <c r="B5" s="14" t="s">
        <v>4</v>
      </c>
      <c r="C5" s="16" t="s">
        <v>36</v>
      </c>
      <c r="D5" s="16" t="s">
        <v>37</v>
      </c>
      <c r="E5" s="16" t="s">
        <v>68</v>
      </c>
      <c r="F5" s="16" t="s">
        <v>69</v>
      </c>
      <c r="G5" s="16" t="s">
        <v>84</v>
      </c>
    </row>
    <row r="6" spans="1:14" ht="15.75" thickTop="1">
      <c r="A6" t="s">
        <v>12</v>
      </c>
      <c r="B6" s="3" t="s">
        <v>16</v>
      </c>
      <c r="C6" s="5">
        <v>65</v>
      </c>
      <c r="D6" s="5">
        <v>65</v>
      </c>
      <c r="E6" s="5">
        <v>3.2461538461538462</v>
      </c>
      <c r="F6" s="5">
        <v>1.2123165999282277</v>
      </c>
      <c r="G6" s="5">
        <v>1.3584965294445255</v>
      </c>
    </row>
    <row r="7" spans="1:14">
      <c r="A7" t="s">
        <v>24</v>
      </c>
      <c r="B7" s="4" t="s">
        <v>16</v>
      </c>
      <c r="C7" s="5">
        <v>96</v>
      </c>
      <c r="D7" s="5">
        <v>96</v>
      </c>
      <c r="E7" s="5">
        <v>3.3020833333333335</v>
      </c>
      <c r="F7" s="5">
        <v>1.1527522367353034</v>
      </c>
      <c r="G7" s="5">
        <v>1.3481855791087807</v>
      </c>
    </row>
    <row r="9" spans="1:14" ht="45">
      <c r="A9" s="16" t="s">
        <v>53</v>
      </c>
      <c r="B9" s="16" t="s">
        <v>46</v>
      </c>
      <c r="C9" s="16" t="s">
        <v>82</v>
      </c>
      <c r="D9" s="16" t="s">
        <v>70</v>
      </c>
      <c r="E9" s="16" t="s">
        <v>71</v>
      </c>
      <c r="F9" s="16" t="s">
        <v>73</v>
      </c>
      <c r="G9" s="16" t="s">
        <v>74</v>
      </c>
      <c r="H9" s="16" t="s">
        <v>75</v>
      </c>
      <c r="I9" s="16" t="s">
        <v>76</v>
      </c>
      <c r="J9" s="16" t="s">
        <v>77</v>
      </c>
      <c r="K9" s="16" t="s">
        <v>78</v>
      </c>
      <c r="L9" s="16" t="s">
        <v>79</v>
      </c>
      <c r="M9" s="16" t="s">
        <v>80</v>
      </c>
      <c r="N9" s="16" t="s">
        <v>81</v>
      </c>
    </row>
    <row r="10" spans="1:14">
      <c r="A10" s="10" t="s">
        <v>12</v>
      </c>
      <c r="B10" s="5">
        <v>58</v>
      </c>
      <c r="C10" s="5">
        <v>58</v>
      </c>
      <c r="D10" s="5">
        <v>17</v>
      </c>
      <c r="E10" s="5">
        <v>11</v>
      </c>
      <c r="F10" s="5">
        <v>4</v>
      </c>
      <c r="G10" s="5">
        <v>5</v>
      </c>
      <c r="H10" s="5">
        <v>4</v>
      </c>
      <c r="I10" s="5">
        <v>0</v>
      </c>
      <c r="J10" s="5">
        <v>0</v>
      </c>
      <c r="K10" s="5">
        <v>0</v>
      </c>
      <c r="L10" s="5">
        <v>37</v>
      </c>
      <c r="M10" s="5">
        <v>4</v>
      </c>
      <c r="N10" s="5">
        <v>17</v>
      </c>
    </row>
    <row r="11" spans="1:14">
      <c r="A11" s="11" t="s">
        <v>24</v>
      </c>
      <c r="B11" s="5">
        <v>58</v>
      </c>
      <c r="C11" s="5">
        <v>58</v>
      </c>
      <c r="D11" s="5">
        <v>17</v>
      </c>
      <c r="E11" s="5">
        <v>11</v>
      </c>
      <c r="F11" s="5">
        <v>4</v>
      </c>
      <c r="G11" s="5">
        <v>5</v>
      </c>
      <c r="H11" s="5">
        <v>4</v>
      </c>
      <c r="I11" s="5">
        <v>0</v>
      </c>
      <c r="J11" s="5">
        <v>0</v>
      </c>
      <c r="K11" s="5">
        <v>0</v>
      </c>
      <c r="L11" s="5">
        <v>37</v>
      </c>
      <c r="M11" s="5">
        <v>4</v>
      </c>
      <c r="N11" s="5">
        <v>17</v>
      </c>
    </row>
    <row r="13" spans="1:14">
      <c r="A13" s="1" t="s">
        <v>219</v>
      </c>
    </row>
    <row r="14" spans="1:14" ht="45">
      <c r="A14" s="16" t="s">
        <v>53</v>
      </c>
      <c r="B14" s="16" t="s">
        <v>4</v>
      </c>
      <c r="C14" s="16" t="s">
        <v>36</v>
      </c>
      <c r="D14" s="16" t="s">
        <v>84</v>
      </c>
      <c r="E14" s="16" t="s">
        <v>68</v>
      </c>
      <c r="F14" s="16" t="s">
        <v>69</v>
      </c>
    </row>
    <row r="15" spans="1:14">
      <c r="A15" s="1" t="s">
        <v>12</v>
      </c>
      <c r="B15" s="1" t="s">
        <v>6</v>
      </c>
      <c r="C15" s="1">
        <v>40</v>
      </c>
      <c r="D15" s="5">
        <v>1.3584965294445255</v>
      </c>
      <c r="E15" s="5">
        <v>2.65</v>
      </c>
      <c r="F15" s="1">
        <v>1.2100010595460504</v>
      </c>
    </row>
    <row r="16" spans="1:14">
      <c r="A16" s="2" t="s">
        <v>24</v>
      </c>
      <c r="B16" s="1" t="s">
        <v>6</v>
      </c>
      <c r="C16" s="1">
        <v>58</v>
      </c>
      <c r="D16" s="1">
        <v>1.3481855791087807</v>
      </c>
      <c r="E16" s="5">
        <v>2.0517241379310347</v>
      </c>
      <c r="F16" s="1">
        <v>0.90655340739515722</v>
      </c>
    </row>
    <row r="17" spans="1:11">
      <c r="A17" s="1"/>
      <c r="B17" s="1"/>
      <c r="C17" s="1"/>
      <c r="D17" s="1"/>
      <c r="E17" s="1"/>
      <c r="F17" s="1"/>
      <c r="G17" s="1"/>
    </row>
    <row r="18" spans="1:11" ht="45.75" thickBot="1">
      <c r="A18" s="14" t="s">
        <v>53</v>
      </c>
      <c r="B18" s="14" t="s">
        <v>4</v>
      </c>
      <c r="C18" s="16" t="s">
        <v>36</v>
      </c>
      <c r="D18" s="16" t="s">
        <v>84</v>
      </c>
      <c r="E18" s="16" t="s">
        <v>68</v>
      </c>
      <c r="F18" s="16" t="s">
        <v>69</v>
      </c>
    </row>
    <row r="19" spans="1:11" ht="15.75" thickTop="1">
      <c r="A19" t="s">
        <v>12</v>
      </c>
      <c r="B19" s="3" t="s">
        <v>16</v>
      </c>
      <c r="C19" s="1">
        <v>40</v>
      </c>
      <c r="D19" s="5">
        <v>1.3584965294445255</v>
      </c>
      <c r="E19" s="5">
        <v>3.375</v>
      </c>
      <c r="F19" s="1">
        <v>1.2338702919820614</v>
      </c>
    </row>
    <row r="20" spans="1:11">
      <c r="A20" t="s">
        <v>24</v>
      </c>
      <c r="B20" s="4" t="s">
        <v>16</v>
      </c>
      <c r="C20" s="1">
        <v>58</v>
      </c>
      <c r="D20" s="1">
        <v>1.3481855791087807</v>
      </c>
      <c r="E20" s="5">
        <v>3.2068965517241379</v>
      </c>
      <c r="F20" s="1">
        <v>1.1356831268224885</v>
      </c>
    </row>
    <row r="22" spans="1:11">
      <c r="A22" s="29" t="s">
        <v>85</v>
      </c>
      <c r="B22" s="29"/>
      <c r="C22" s="29"/>
      <c r="D22" s="29"/>
      <c r="E22" s="29"/>
      <c r="G22" s="29" t="s">
        <v>86</v>
      </c>
      <c r="H22" s="29"/>
      <c r="I22" s="29"/>
      <c r="J22" s="29"/>
      <c r="K22" s="29"/>
    </row>
    <row r="23" spans="1:11">
      <c r="A23" s="17" t="s">
        <v>220</v>
      </c>
      <c r="B23" s="17" t="s">
        <v>91</v>
      </c>
      <c r="C23" s="17" t="s">
        <v>92</v>
      </c>
      <c r="D23" s="17"/>
      <c r="E23" s="17"/>
      <c r="G23" s="17" t="s">
        <v>220</v>
      </c>
      <c r="H23" s="17" t="s">
        <v>97</v>
      </c>
      <c r="I23" s="17" t="s">
        <v>96</v>
      </c>
      <c r="J23" s="17"/>
      <c r="K23" s="17"/>
    </row>
    <row r="24" spans="1:11">
      <c r="A24" s="17" t="s">
        <v>93</v>
      </c>
      <c r="B24" s="17">
        <f>C16</f>
        <v>58</v>
      </c>
      <c r="C24" s="17">
        <f>C20</f>
        <v>58</v>
      </c>
      <c r="D24" s="17"/>
      <c r="E24" s="17"/>
      <c r="G24" s="17" t="s">
        <v>93</v>
      </c>
      <c r="H24" s="17">
        <f>C15</f>
        <v>40</v>
      </c>
      <c r="I24" s="17">
        <f>C19</f>
        <v>40</v>
      </c>
      <c r="J24" s="17"/>
      <c r="K24" s="17"/>
    </row>
    <row r="25" spans="1:11">
      <c r="A25" s="17" t="s">
        <v>94</v>
      </c>
      <c r="B25" s="17">
        <f>E16</f>
        <v>2.0517241379310347</v>
      </c>
      <c r="C25" s="17">
        <f>E20</f>
        <v>3.2068965517241379</v>
      </c>
      <c r="D25" s="17"/>
      <c r="E25" s="17"/>
      <c r="G25" s="17" t="s">
        <v>94</v>
      </c>
      <c r="H25" s="17">
        <f>E15</f>
        <v>2.65</v>
      </c>
      <c r="I25" s="17">
        <f>E19</f>
        <v>3.375</v>
      </c>
      <c r="J25" s="17"/>
      <c r="K25" s="17"/>
    </row>
    <row r="26" spans="1:11">
      <c r="A26" s="17" t="s">
        <v>95</v>
      </c>
      <c r="B26" s="17">
        <f>F16</f>
        <v>0.90655340739515722</v>
      </c>
      <c r="C26" s="17">
        <f>F20</f>
        <v>1.1356831268224885</v>
      </c>
      <c r="D26" s="17"/>
      <c r="E26" s="17"/>
      <c r="G26" s="17" t="s">
        <v>95</v>
      </c>
      <c r="H26" s="17">
        <f>F15</f>
        <v>1.2100010595460504</v>
      </c>
      <c r="I26" s="17">
        <f>F19</f>
        <v>1.2338702919820614</v>
      </c>
      <c r="J26" s="17"/>
      <c r="K26" s="17"/>
    </row>
    <row r="27" spans="1:11">
      <c r="A27" s="17"/>
      <c r="B27" s="17"/>
      <c r="C27" s="17"/>
      <c r="D27" s="17"/>
      <c r="E27" s="17"/>
      <c r="G27" s="17"/>
      <c r="H27" s="17"/>
      <c r="I27" s="17"/>
      <c r="J27" s="17"/>
      <c r="K27" s="17"/>
    </row>
    <row r="28" spans="1:11">
      <c r="A28" t="s">
        <v>90</v>
      </c>
      <c r="G28" t="s">
        <v>90</v>
      </c>
    </row>
    <row r="29" spans="1:11" ht="45" customHeight="1">
      <c r="A29" s="29" t="s">
        <v>106</v>
      </c>
      <c r="B29" s="29"/>
      <c r="C29" s="29"/>
      <c r="D29" s="29"/>
      <c r="E29" s="29"/>
      <c r="G29" s="30" t="s">
        <v>98</v>
      </c>
      <c r="H29" s="30"/>
      <c r="I29" s="30"/>
      <c r="J29" s="30"/>
      <c r="K29" s="30"/>
    </row>
    <row r="30" spans="1:11">
      <c r="B30" s="1"/>
      <c r="C30" s="5"/>
      <c r="D30" s="5"/>
      <c r="E30" s="1"/>
    </row>
    <row r="31" spans="1:11">
      <c r="A31" t="s">
        <v>99</v>
      </c>
      <c r="B31" s="1"/>
      <c r="C31" s="5"/>
      <c r="D31" s="5"/>
      <c r="E31" s="1"/>
    </row>
    <row r="32" spans="1:11" s="16" customFormat="1">
      <c r="A32" t="s">
        <v>107</v>
      </c>
    </row>
    <row r="33" spans="1:7" s="16" customFormat="1">
      <c r="B33" s="13" t="s">
        <v>220</v>
      </c>
      <c r="C33" s="16" t="s">
        <v>12</v>
      </c>
      <c r="D33" s="16" t="s">
        <v>24</v>
      </c>
    </row>
    <row r="34" spans="1:7" s="16" customFormat="1" ht="30">
      <c r="B34" s="13" t="s">
        <v>100</v>
      </c>
      <c r="C34" s="16">
        <f>29/40</f>
        <v>0.72499999999999998</v>
      </c>
      <c r="D34" s="16">
        <f>67/58</f>
        <v>1.1551724137931034</v>
      </c>
    </row>
    <row r="35" spans="1:7" ht="45">
      <c r="B35" s="13" t="s">
        <v>101</v>
      </c>
      <c r="C35" s="16">
        <v>1.3584965294445255</v>
      </c>
      <c r="D35" s="16">
        <v>1.3481855791087807</v>
      </c>
      <c r="E35" s="1"/>
    </row>
    <row r="36" spans="1:7">
      <c r="B36" s="13" t="s">
        <v>93</v>
      </c>
      <c r="C36" s="13">
        <v>40</v>
      </c>
      <c r="D36" s="13">
        <v>58</v>
      </c>
    </row>
    <row r="38" spans="1:7">
      <c r="A38" s="28" t="s">
        <v>108</v>
      </c>
      <c r="B38" s="28"/>
      <c r="C38" s="28"/>
      <c r="D38" s="28"/>
    </row>
    <row r="39" spans="1:7">
      <c r="A39" s="28"/>
      <c r="B39" s="28"/>
      <c r="C39" s="28"/>
      <c r="D39" s="28"/>
      <c r="G39" s="16"/>
    </row>
    <row r="40" spans="1:7" ht="47.25" customHeight="1">
      <c r="A40" s="29" t="s">
        <v>109</v>
      </c>
      <c r="B40" s="29"/>
      <c r="C40" s="29"/>
      <c r="D40" s="29"/>
      <c r="G40" s="16"/>
    </row>
    <row r="41" spans="1:7">
      <c r="A41" s="16"/>
      <c r="G41" s="16"/>
    </row>
  </sheetData>
  <mergeCells count="6">
    <mergeCell ref="A38:D39"/>
    <mergeCell ref="A40:D40"/>
    <mergeCell ref="A22:E22"/>
    <mergeCell ref="G22:K22"/>
    <mergeCell ref="A29:E29"/>
    <mergeCell ref="G29:K29"/>
  </mergeCells>
  <conditionalFormatting sqref="C2:C3">
    <cfRule type="aboveAverage" dxfId="792" priority="59" aboveAverage="0"/>
    <cfRule type="aboveAverage" dxfId="791" priority="60"/>
  </conditionalFormatting>
  <conditionalFormatting sqref="D2:D3">
    <cfRule type="aboveAverage" dxfId="790" priority="57" aboveAverage="0"/>
    <cfRule type="aboveAverage" dxfId="789" priority="58"/>
  </conditionalFormatting>
  <conditionalFormatting sqref="E2:E3">
    <cfRule type="aboveAverage" dxfId="788" priority="55" aboveAverage="0"/>
    <cfRule type="aboveAverage" dxfId="787" priority="56"/>
  </conditionalFormatting>
  <conditionalFormatting sqref="F2:F3">
    <cfRule type="aboveAverage" dxfId="786" priority="53" aboveAverage="0"/>
    <cfRule type="aboveAverage" dxfId="785" priority="54"/>
  </conditionalFormatting>
  <conditionalFormatting sqref="G2:G3">
    <cfRule type="aboveAverage" dxfId="784" priority="51"/>
    <cfRule type="aboveAverage" dxfId="783" priority="52" aboveAverage="0"/>
  </conditionalFormatting>
  <conditionalFormatting sqref="C6:C7">
    <cfRule type="aboveAverage" dxfId="782" priority="49" aboveAverage="0"/>
    <cfRule type="aboveAverage" dxfId="781" priority="50"/>
  </conditionalFormatting>
  <conditionalFormatting sqref="D6:D7">
    <cfRule type="aboveAverage" dxfId="780" priority="47" aboveAverage="0"/>
    <cfRule type="aboveAverage" dxfId="779" priority="48"/>
  </conditionalFormatting>
  <conditionalFormatting sqref="E6:E7">
    <cfRule type="aboveAverage" dxfId="778" priority="45" aboveAverage="0"/>
    <cfRule type="aboveAverage" dxfId="777" priority="46"/>
  </conditionalFormatting>
  <conditionalFormatting sqref="F6:F7">
    <cfRule type="aboveAverage" dxfId="776" priority="43" aboveAverage="0"/>
    <cfRule type="aboveAverage" dxfId="775" priority="44"/>
  </conditionalFormatting>
  <conditionalFormatting sqref="G6:G7">
    <cfRule type="aboveAverage" dxfId="774" priority="41"/>
    <cfRule type="aboveAverage" dxfId="773" priority="42" aboveAverage="0"/>
  </conditionalFormatting>
  <conditionalFormatting sqref="B11">
    <cfRule type="aboveAverage" dxfId="772" priority="39" aboveAverage="0"/>
    <cfRule type="aboveAverage" dxfId="771" priority="40"/>
  </conditionalFormatting>
  <conditionalFormatting sqref="C11">
    <cfRule type="aboveAverage" dxfId="770" priority="37" aboveAverage="0"/>
    <cfRule type="aboveAverage" dxfId="769" priority="38"/>
  </conditionalFormatting>
  <conditionalFormatting sqref="D11">
    <cfRule type="aboveAverage" dxfId="768" priority="35" aboveAverage="0"/>
    <cfRule type="aboveAverage" dxfId="767" priority="36"/>
  </conditionalFormatting>
  <conditionalFormatting sqref="E11">
    <cfRule type="aboveAverage" dxfId="766" priority="33" aboveAverage="0"/>
    <cfRule type="aboveAverage" dxfId="765" priority="34"/>
  </conditionalFormatting>
  <conditionalFormatting sqref="F11">
    <cfRule type="aboveAverage" dxfId="764" priority="31" aboveAverage="0"/>
    <cfRule type="aboveAverage" dxfId="763" priority="32"/>
  </conditionalFormatting>
  <conditionalFormatting sqref="G11">
    <cfRule type="aboveAverage" dxfId="762" priority="29" aboveAverage="0"/>
    <cfRule type="aboveAverage" dxfId="761" priority="30"/>
  </conditionalFormatting>
  <conditionalFormatting sqref="H11">
    <cfRule type="aboveAverage" dxfId="760" priority="27" aboveAverage="0"/>
    <cfRule type="aboveAverage" dxfId="759" priority="28"/>
  </conditionalFormatting>
  <conditionalFormatting sqref="I11">
    <cfRule type="aboveAverage" dxfId="758" priority="25" aboveAverage="0"/>
    <cfRule type="aboveAverage" dxfId="757" priority="26"/>
  </conditionalFormatting>
  <conditionalFormatting sqref="J11">
    <cfRule type="aboveAverage" dxfId="756" priority="23" aboveAverage="0"/>
    <cfRule type="aboveAverage" dxfId="755" priority="24"/>
  </conditionalFormatting>
  <conditionalFormatting sqref="C29:C31 D15 D19 G2 G6">
    <cfRule type="cellIs" dxfId="754" priority="21" operator="equal">
      <formula>"No"</formula>
    </cfRule>
    <cfRule type="cellIs" dxfId="753" priority="22" operator="equal">
      <formula>"Yes"</formula>
    </cfRule>
  </conditionalFormatting>
  <conditionalFormatting sqref="C15">
    <cfRule type="aboveAverage" dxfId="752" priority="19" aboveAverage="0"/>
    <cfRule type="aboveAverage" dxfId="751" priority="20"/>
  </conditionalFormatting>
  <conditionalFormatting sqref="D15">
    <cfRule type="aboveAverage" dxfId="750" priority="17" aboveAverage="0"/>
    <cfRule type="aboveAverage" dxfId="749" priority="18"/>
  </conditionalFormatting>
  <conditionalFormatting sqref="E15">
    <cfRule type="aboveAverage" dxfId="748" priority="15" aboveAverage="0"/>
    <cfRule type="aboveAverage" dxfId="747" priority="16"/>
  </conditionalFormatting>
  <conditionalFormatting sqref="F15">
    <cfRule type="aboveAverage" dxfId="746" priority="13" aboveAverage="0"/>
    <cfRule type="aboveAverage" dxfId="745" priority="14"/>
  </conditionalFormatting>
  <conditionalFormatting sqref="C19">
    <cfRule type="aboveAverage" dxfId="744" priority="11" aboveAverage="0"/>
    <cfRule type="aboveAverage" dxfId="743" priority="12"/>
  </conditionalFormatting>
  <conditionalFormatting sqref="D19">
    <cfRule type="aboveAverage" dxfId="742" priority="9" aboveAverage="0"/>
    <cfRule type="aboveAverage" dxfId="741" priority="10"/>
  </conditionalFormatting>
  <conditionalFormatting sqref="E19">
    <cfRule type="aboveAverage" dxfId="740" priority="7" aboveAverage="0"/>
    <cfRule type="aboveAverage" dxfId="739" priority="8"/>
  </conditionalFormatting>
  <conditionalFormatting sqref="F19">
    <cfRule type="aboveAverage" dxfId="738" priority="5" aboveAverage="0"/>
    <cfRule type="aboveAverage" dxfId="737" priority="6"/>
  </conditionalFormatting>
  <pageMargins left="0.7" right="0.7" top="0.75" bottom="0.75" header="0.3" footer="0.3"/>
  <pageSetup scale="51" fitToHeight="2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workbookViewId="0">
      <selection activeCell="I21" sqref="I21"/>
    </sheetView>
  </sheetViews>
  <sheetFormatPr defaultRowHeight="15"/>
  <cols>
    <col min="1" max="1" width="7.85546875" bestFit="1" customWidth="1"/>
    <col min="2" max="2" width="9.7109375" bestFit="1" customWidth="1"/>
    <col min="4" max="4" width="13.42578125" bestFit="1" customWidth="1"/>
    <col min="5" max="5" width="15.28515625" bestFit="1" customWidth="1"/>
    <col min="7" max="7" width="13.5703125" bestFit="1" customWidth="1"/>
    <col min="8" max="8" width="15.42578125" bestFit="1" customWidth="1"/>
  </cols>
  <sheetData>
    <row r="1" spans="1:8">
      <c r="A1" t="s">
        <v>113</v>
      </c>
      <c r="B1" t="s">
        <v>114</v>
      </c>
      <c r="D1" t="s">
        <v>115</v>
      </c>
      <c r="E1" t="s">
        <v>116</v>
      </c>
      <c r="G1" t="s">
        <v>117</v>
      </c>
      <c r="H1" t="s">
        <v>118</v>
      </c>
    </row>
    <row r="2" spans="1:8">
      <c r="A2">
        <v>-1</v>
      </c>
      <c r="B2">
        <v>1</v>
      </c>
      <c r="D2">
        <f>SUM(A2:A17)/16</f>
        <v>0.25</v>
      </c>
      <c r="E2">
        <f>SUM(B2:B43)/42</f>
        <v>0.34523809523809523</v>
      </c>
      <c r="G2">
        <f>STDEV(A2:A17)</f>
        <v>0.68313005106397318</v>
      </c>
      <c r="H2">
        <f>STDEV(B2:B43)</f>
        <v>0.71982463343761749</v>
      </c>
    </row>
    <row r="3" spans="1:8">
      <c r="A3">
        <v>1</v>
      </c>
      <c r="B3">
        <v>1</v>
      </c>
    </row>
    <row r="4" spans="1:8">
      <c r="A4">
        <v>2</v>
      </c>
      <c r="B4">
        <v>1</v>
      </c>
      <c r="D4" t="s">
        <v>119</v>
      </c>
    </row>
    <row r="5" spans="1:8">
      <c r="A5">
        <v>1</v>
      </c>
      <c r="B5">
        <v>2</v>
      </c>
    </row>
    <row r="6" spans="1:8">
      <c r="A6">
        <v>1</v>
      </c>
      <c r="B6">
        <v>2</v>
      </c>
    </row>
    <row r="7" spans="1:8">
      <c r="A7">
        <v>0</v>
      </c>
      <c r="B7">
        <v>1</v>
      </c>
    </row>
    <row r="8" spans="1:8">
      <c r="A8">
        <v>0</v>
      </c>
      <c r="B8">
        <v>1</v>
      </c>
    </row>
    <row r="9" spans="1:8">
      <c r="A9">
        <v>0</v>
      </c>
      <c r="B9">
        <v>1</v>
      </c>
    </row>
    <row r="10" spans="1:8">
      <c r="A10">
        <v>0</v>
      </c>
      <c r="B10">
        <v>1</v>
      </c>
    </row>
    <row r="11" spans="1:8">
      <c r="A11">
        <v>0</v>
      </c>
      <c r="B11">
        <v>1</v>
      </c>
    </row>
    <row r="12" spans="1:8">
      <c r="A12">
        <v>0</v>
      </c>
      <c r="B12">
        <v>1</v>
      </c>
    </row>
    <row r="13" spans="1:8">
      <c r="A13">
        <v>0</v>
      </c>
      <c r="B13">
        <v>-1</v>
      </c>
    </row>
    <row r="14" spans="1:8">
      <c r="A14">
        <v>0</v>
      </c>
      <c r="B14">
        <v>0.5</v>
      </c>
    </row>
    <row r="15" spans="1:8">
      <c r="A15">
        <v>0</v>
      </c>
      <c r="B15">
        <v>-1</v>
      </c>
    </row>
    <row r="16" spans="1:8">
      <c r="A16">
        <v>0</v>
      </c>
      <c r="B16">
        <v>1</v>
      </c>
    </row>
    <row r="17" spans="1:2">
      <c r="A17">
        <v>0</v>
      </c>
      <c r="B17">
        <v>1</v>
      </c>
    </row>
    <row r="18" spans="1:2">
      <c r="B18">
        <v>-1</v>
      </c>
    </row>
    <row r="19" spans="1:2">
      <c r="B19">
        <v>2</v>
      </c>
    </row>
    <row r="20" spans="1:2">
      <c r="B20">
        <v>0</v>
      </c>
    </row>
    <row r="21" spans="1:2">
      <c r="B21">
        <v>0</v>
      </c>
    </row>
    <row r="22" spans="1:2">
      <c r="B22">
        <v>0</v>
      </c>
    </row>
    <row r="23" spans="1:2">
      <c r="B23">
        <v>0</v>
      </c>
    </row>
    <row r="24" spans="1:2">
      <c r="B24">
        <v>0</v>
      </c>
    </row>
    <row r="25" spans="1:2">
      <c r="B25">
        <v>0</v>
      </c>
    </row>
    <row r="26" spans="1:2">
      <c r="B26">
        <v>0</v>
      </c>
    </row>
    <row r="27" spans="1:2">
      <c r="B27">
        <v>0</v>
      </c>
    </row>
    <row r="28" spans="1:2">
      <c r="B28">
        <v>0</v>
      </c>
    </row>
    <row r="29" spans="1:2">
      <c r="B29">
        <v>0</v>
      </c>
    </row>
    <row r="30" spans="1:2">
      <c r="B30">
        <v>0</v>
      </c>
    </row>
    <row r="31" spans="1:2">
      <c r="B31">
        <v>0</v>
      </c>
    </row>
    <row r="32" spans="1:2">
      <c r="B32">
        <v>0</v>
      </c>
    </row>
    <row r="33" spans="2:2">
      <c r="B33">
        <v>0</v>
      </c>
    </row>
    <row r="34" spans="2:2">
      <c r="B34">
        <v>0</v>
      </c>
    </row>
    <row r="35" spans="2:2">
      <c r="B35">
        <v>0</v>
      </c>
    </row>
    <row r="36" spans="2:2">
      <c r="B36">
        <v>0</v>
      </c>
    </row>
    <row r="37" spans="2:2">
      <c r="B37">
        <v>0</v>
      </c>
    </row>
    <row r="38" spans="2:2">
      <c r="B38">
        <v>0</v>
      </c>
    </row>
    <row r="39" spans="2:2">
      <c r="B39">
        <v>0</v>
      </c>
    </row>
    <row r="40" spans="2:2">
      <c r="B40">
        <v>0</v>
      </c>
    </row>
    <row r="41" spans="2:2">
      <c r="B41">
        <v>0</v>
      </c>
    </row>
    <row r="42" spans="2:2">
      <c r="B42">
        <v>0</v>
      </c>
    </row>
    <row r="43" spans="2:2">
      <c r="B4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73"/>
  <sheetViews>
    <sheetView topLeftCell="C128" workbookViewId="0">
      <selection activeCell="A165" sqref="A165:I170"/>
    </sheetView>
  </sheetViews>
  <sheetFormatPr defaultColWidth="16.7109375" defaultRowHeight="15"/>
  <cols>
    <col min="1" max="16384" width="16.7109375" style="1"/>
  </cols>
  <sheetData>
    <row r="1" spans="1:13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120</v>
      </c>
      <c r="H1" s="1" t="s">
        <v>121</v>
      </c>
      <c r="I1" s="1" t="s">
        <v>35</v>
      </c>
      <c r="J1" s="1" t="s">
        <v>122</v>
      </c>
      <c r="K1" s="1" t="s">
        <v>123</v>
      </c>
      <c r="L1" s="1" t="s">
        <v>124</v>
      </c>
      <c r="M1" s="1" t="s">
        <v>125</v>
      </c>
    </row>
    <row r="2" spans="1:13">
      <c r="A2" s="1" t="s">
        <v>12</v>
      </c>
      <c r="B2" s="1" t="s">
        <v>10</v>
      </c>
      <c r="C2" s="1">
        <v>1</v>
      </c>
      <c r="D2" s="1" t="s">
        <v>16</v>
      </c>
      <c r="E2" s="1">
        <v>9</v>
      </c>
      <c r="F2" s="1" t="s">
        <v>17</v>
      </c>
      <c r="G2" s="5">
        <f>IF(Table41648[[#This Row],[Response]]="Crossman",1,"")</f>
        <v>1</v>
      </c>
      <c r="H2" s="5" t="str">
        <f>IF(Table41648[[#This Row],[Response]]="","",IF(Table41648[[#This Row],[Response]]="Crossman","",1))</f>
        <v/>
      </c>
      <c r="I2" s="5">
        <f>IF(SUM(Table41648[[#This Row],[If Crossman]:[If Other]])=1,1,"")</f>
        <v>1</v>
      </c>
      <c r="J2" s="5" t="str">
        <f>IF(IF(Table41648[[#This Row],[Old or New?]]="New",1,0)+IF(Table41648[[#This Row],[If Crossman]]=1,1,0)=2,1,"")</f>
        <v/>
      </c>
      <c r="K2" s="5" t="str">
        <f>IF(IF(Table41648[[#This Row],[Old or New?]]="New",1,0)+IF(Table41648[[#This Row],[If Other]]=1,1,0)=2,1,"")</f>
        <v/>
      </c>
      <c r="L2" s="5">
        <f>IF(IF(Table41648[[#This Row],[Old or New?]]="Old",1,0)+IF(Table41648[[#This Row],[If Crossman]]=1,1,0)=2,1,"")</f>
        <v>1</v>
      </c>
      <c r="M2" s="5" t="str">
        <f>IF(IF(Table41648[[#This Row],[Old or New?]]="Old",1,0)+IF(Table41648[[#This Row],[If Other]]=1,1,0)=2,1,"")</f>
        <v/>
      </c>
    </row>
    <row r="3" spans="1:13">
      <c r="A3" s="1" t="s">
        <v>12</v>
      </c>
      <c r="B3" s="1" t="s">
        <v>10</v>
      </c>
      <c r="C3" s="1">
        <v>2</v>
      </c>
      <c r="D3" s="1" t="s">
        <v>16</v>
      </c>
      <c r="E3" s="1">
        <v>9</v>
      </c>
      <c r="F3" s="1" t="s">
        <v>17</v>
      </c>
      <c r="G3" s="5">
        <f>IF(Table41648[[#This Row],[Response]]="Crossman",1,"")</f>
        <v>1</v>
      </c>
      <c r="H3" s="5" t="str">
        <f>IF(Table41648[[#This Row],[Response]]="","",IF(Table41648[[#This Row],[Response]]="Crossman","",1))</f>
        <v/>
      </c>
      <c r="I3" s="5">
        <f>IF(SUM(Table41648[[#This Row],[If Crossman]:[If Other]])=1,1,"")</f>
        <v>1</v>
      </c>
      <c r="J3" s="5" t="str">
        <f>IF(IF(Table41648[[#This Row],[Old or New?]]="New",1,0)+IF(Table41648[[#This Row],[If Crossman]]=1,1,0)=2,1,"")</f>
        <v/>
      </c>
      <c r="K3" s="5" t="str">
        <f>IF(IF(Table41648[[#This Row],[Old or New?]]="New",1,0)+IF(Table41648[[#This Row],[If Other]]=1,1,0)=2,1,"")</f>
        <v/>
      </c>
      <c r="L3" s="5">
        <f>IF(IF(Table41648[[#This Row],[Old or New?]]="Old",1,0)+IF(Table41648[[#This Row],[If Crossman]]=1,1,0)=2,1,"")</f>
        <v>1</v>
      </c>
      <c r="M3" s="5" t="str">
        <f>IF(IF(Table41648[[#This Row],[Old or New?]]="Old",1,0)+IF(Table41648[[#This Row],[If Other]]=1,1,0)=2,1,"")</f>
        <v/>
      </c>
    </row>
    <row r="4" spans="1:13">
      <c r="A4" s="1" t="s">
        <v>12</v>
      </c>
      <c r="B4" s="1" t="s">
        <v>10</v>
      </c>
      <c r="C4" s="1">
        <v>3</v>
      </c>
      <c r="D4" s="1" t="s">
        <v>16</v>
      </c>
      <c r="E4" s="1">
        <v>9</v>
      </c>
      <c r="F4" s="1" t="s">
        <v>17</v>
      </c>
      <c r="G4" s="5">
        <f>IF(Table41648[[#This Row],[Response]]="Crossman",1,"")</f>
        <v>1</v>
      </c>
      <c r="H4" s="5" t="str">
        <f>IF(Table41648[[#This Row],[Response]]="","",IF(Table41648[[#This Row],[Response]]="Crossman","",1))</f>
        <v/>
      </c>
      <c r="I4" s="5">
        <f>IF(SUM(Table41648[[#This Row],[If Crossman]:[If Other]])=1,1,"")</f>
        <v>1</v>
      </c>
      <c r="J4" s="5" t="str">
        <f>IF(IF(Table41648[[#This Row],[Old or New?]]="New",1,0)+IF(Table41648[[#This Row],[If Crossman]]=1,1,0)=2,1,"")</f>
        <v/>
      </c>
      <c r="K4" s="5" t="str">
        <f>IF(IF(Table41648[[#This Row],[Old or New?]]="New",1,0)+IF(Table41648[[#This Row],[If Other]]=1,1,0)=2,1,"")</f>
        <v/>
      </c>
      <c r="L4" s="5">
        <f>IF(IF(Table41648[[#This Row],[Old or New?]]="Old",1,0)+IF(Table41648[[#This Row],[If Crossman]]=1,1,0)=2,1,"")</f>
        <v>1</v>
      </c>
      <c r="M4" s="5" t="str">
        <f>IF(IF(Table41648[[#This Row],[Old or New?]]="Old",1,0)+IF(Table41648[[#This Row],[If Other]]=1,1,0)=2,1,"")</f>
        <v/>
      </c>
    </row>
    <row r="5" spans="1:13">
      <c r="A5" s="1" t="s">
        <v>12</v>
      </c>
      <c r="B5" s="1" t="s">
        <v>10</v>
      </c>
      <c r="C5" s="1">
        <v>4</v>
      </c>
      <c r="D5" s="1" t="s">
        <v>16</v>
      </c>
      <c r="E5" s="1">
        <v>9</v>
      </c>
      <c r="F5" s="1" t="s">
        <v>17</v>
      </c>
      <c r="G5" s="5">
        <f>IF(Table41648[[#This Row],[Response]]="Crossman",1,"")</f>
        <v>1</v>
      </c>
      <c r="H5" s="5" t="str">
        <f>IF(Table41648[[#This Row],[Response]]="","",IF(Table41648[[#This Row],[Response]]="Crossman","",1))</f>
        <v/>
      </c>
      <c r="I5" s="5">
        <f>IF(SUM(Table41648[[#This Row],[If Crossman]:[If Other]])=1,1,"")</f>
        <v>1</v>
      </c>
      <c r="J5" s="5" t="str">
        <f>IF(IF(Table41648[[#This Row],[Old or New?]]="New",1,0)+IF(Table41648[[#This Row],[If Crossman]]=1,1,0)=2,1,"")</f>
        <v/>
      </c>
      <c r="K5" s="5" t="str">
        <f>IF(IF(Table41648[[#This Row],[Old or New?]]="New",1,0)+IF(Table41648[[#This Row],[If Other]]=1,1,0)=2,1,"")</f>
        <v/>
      </c>
      <c r="L5" s="5">
        <f>IF(IF(Table41648[[#This Row],[Old or New?]]="Old",1,0)+IF(Table41648[[#This Row],[If Crossman]]=1,1,0)=2,1,"")</f>
        <v>1</v>
      </c>
      <c r="M5" s="5" t="str">
        <f>IF(IF(Table41648[[#This Row],[Old or New?]]="Old",1,0)+IF(Table41648[[#This Row],[If Other]]=1,1,0)=2,1,"")</f>
        <v/>
      </c>
    </row>
    <row r="6" spans="1:13">
      <c r="A6" s="1" t="s">
        <v>12</v>
      </c>
      <c r="B6" s="1" t="s">
        <v>10</v>
      </c>
      <c r="C6" s="1">
        <v>5</v>
      </c>
      <c r="D6" s="1" t="s">
        <v>16</v>
      </c>
      <c r="E6" s="1">
        <v>9</v>
      </c>
      <c r="F6" s="1" t="s">
        <v>17</v>
      </c>
      <c r="G6" s="5">
        <f>IF(Table41648[[#This Row],[Response]]="Crossman",1,"")</f>
        <v>1</v>
      </c>
      <c r="H6" s="5" t="str">
        <f>IF(Table41648[[#This Row],[Response]]="","",IF(Table41648[[#This Row],[Response]]="Crossman","",1))</f>
        <v/>
      </c>
      <c r="I6" s="5">
        <f>IF(SUM(Table41648[[#This Row],[If Crossman]:[If Other]])=1,1,"")</f>
        <v>1</v>
      </c>
      <c r="J6" s="5" t="str">
        <f>IF(IF(Table41648[[#This Row],[Old or New?]]="New",1,0)+IF(Table41648[[#This Row],[If Crossman]]=1,1,0)=2,1,"")</f>
        <v/>
      </c>
      <c r="K6" s="5" t="str">
        <f>IF(IF(Table41648[[#This Row],[Old or New?]]="New",1,0)+IF(Table41648[[#This Row],[If Other]]=1,1,0)=2,1,"")</f>
        <v/>
      </c>
      <c r="L6" s="5">
        <f>IF(IF(Table41648[[#This Row],[Old or New?]]="Old",1,0)+IF(Table41648[[#This Row],[If Crossman]]=1,1,0)=2,1,"")</f>
        <v>1</v>
      </c>
      <c r="M6" s="5" t="str">
        <f>IF(IF(Table41648[[#This Row],[Old or New?]]="Old",1,0)+IF(Table41648[[#This Row],[If Other]]=1,1,0)=2,1,"")</f>
        <v/>
      </c>
    </row>
    <row r="7" spans="1:13">
      <c r="A7" s="1" t="s">
        <v>12</v>
      </c>
      <c r="B7" s="1" t="s">
        <v>10</v>
      </c>
      <c r="C7" s="1">
        <v>6</v>
      </c>
      <c r="D7" s="1" t="s">
        <v>16</v>
      </c>
      <c r="E7" s="1">
        <v>9</v>
      </c>
      <c r="F7" s="1" t="s">
        <v>17</v>
      </c>
      <c r="G7" s="5">
        <f>IF(Table41648[[#This Row],[Response]]="Crossman",1,"")</f>
        <v>1</v>
      </c>
      <c r="H7" s="5" t="str">
        <f>IF(Table41648[[#This Row],[Response]]="","",IF(Table41648[[#This Row],[Response]]="Crossman","",1))</f>
        <v/>
      </c>
      <c r="I7" s="5">
        <f>IF(SUM(Table41648[[#This Row],[If Crossman]:[If Other]])=1,1,"")</f>
        <v>1</v>
      </c>
      <c r="J7" s="5" t="str">
        <f>IF(IF(Table41648[[#This Row],[Old or New?]]="New",1,0)+IF(Table41648[[#This Row],[If Crossman]]=1,1,0)=2,1,"")</f>
        <v/>
      </c>
      <c r="K7" s="5" t="str">
        <f>IF(IF(Table41648[[#This Row],[Old or New?]]="New",1,0)+IF(Table41648[[#This Row],[If Other]]=1,1,0)=2,1,"")</f>
        <v/>
      </c>
      <c r="L7" s="5">
        <f>IF(IF(Table41648[[#This Row],[Old or New?]]="Old",1,0)+IF(Table41648[[#This Row],[If Crossman]]=1,1,0)=2,1,"")</f>
        <v>1</v>
      </c>
      <c r="M7" s="5" t="str">
        <f>IF(IF(Table41648[[#This Row],[Old or New?]]="Old",1,0)+IF(Table41648[[#This Row],[If Other]]=1,1,0)=2,1,"")</f>
        <v/>
      </c>
    </row>
    <row r="8" spans="1:13">
      <c r="A8" s="1" t="s">
        <v>12</v>
      </c>
      <c r="B8" s="1" t="s">
        <v>10</v>
      </c>
      <c r="C8" s="1">
        <v>7</v>
      </c>
      <c r="D8" s="1" t="s">
        <v>16</v>
      </c>
      <c r="E8" s="1">
        <v>9</v>
      </c>
      <c r="F8" s="1" t="s">
        <v>17</v>
      </c>
      <c r="G8" s="5">
        <f>IF(Table41648[[#This Row],[Response]]="Crossman",1,"")</f>
        <v>1</v>
      </c>
      <c r="H8" s="5" t="str">
        <f>IF(Table41648[[#This Row],[Response]]="","",IF(Table41648[[#This Row],[Response]]="Crossman","",1))</f>
        <v/>
      </c>
      <c r="I8" s="5">
        <f>IF(SUM(Table41648[[#This Row],[If Crossman]:[If Other]])=1,1,"")</f>
        <v>1</v>
      </c>
      <c r="J8" s="5" t="str">
        <f>IF(IF(Table41648[[#This Row],[Old or New?]]="New",1,0)+IF(Table41648[[#This Row],[If Crossman]]=1,1,0)=2,1,"")</f>
        <v/>
      </c>
      <c r="K8" s="5" t="str">
        <f>IF(IF(Table41648[[#This Row],[Old or New?]]="New",1,0)+IF(Table41648[[#This Row],[If Other]]=1,1,0)=2,1,"")</f>
        <v/>
      </c>
      <c r="L8" s="5">
        <f>IF(IF(Table41648[[#This Row],[Old or New?]]="Old",1,0)+IF(Table41648[[#This Row],[If Crossman]]=1,1,0)=2,1,"")</f>
        <v>1</v>
      </c>
      <c r="M8" s="5" t="str">
        <f>IF(IF(Table41648[[#This Row],[Old or New?]]="Old",1,0)+IF(Table41648[[#This Row],[If Other]]=1,1,0)=2,1,"")</f>
        <v/>
      </c>
    </row>
    <row r="9" spans="1:13">
      <c r="A9" s="1" t="s">
        <v>12</v>
      </c>
      <c r="B9" s="1" t="s">
        <v>10</v>
      </c>
      <c r="C9" s="1">
        <v>8</v>
      </c>
      <c r="D9" s="1" t="s">
        <v>16</v>
      </c>
      <c r="E9" s="1">
        <v>9</v>
      </c>
      <c r="F9" s="1" t="s">
        <v>17</v>
      </c>
      <c r="G9" s="5">
        <f>IF(Table41648[[#This Row],[Response]]="Crossman",1,"")</f>
        <v>1</v>
      </c>
      <c r="H9" s="5" t="str">
        <f>IF(Table41648[[#This Row],[Response]]="","",IF(Table41648[[#This Row],[Response]]="Crossman","",1))</f>
        <v/>
      </c>
      <c r="I9" s="5">
        <f>IF(SUM(Table41648[[#This Row],[If Crossman]:[If Other]])=1,1,"")</f>
        <v>1</v>
      </c>
      <c r="J9" s="5" t="str">
        <f>IF(IF(Table41648[[#This Row],[Old or New?]]="New",1,0)+IF(Table41648[[#This Row],[If Crossman]]=1,1,0)=2,1,"")</f>
        <v/>
      </c>
      <c r="K9" s="5" t="str">
        <f>IF(IF(Table41648[[#This Row],[Old or New?]]="New",1,0)+IF(Table41648[[#This Row],[If Other]]=1,1,0)=2,1,"")</f>
        <v/>
      </c>
      <c r="L9" s="5">
        <f>IF(IF(Table41648[[#This Row],[Old or New?]]="Old",1,0)+IF(Table41648[[#This Row],[If Crossman]]=1,1,0)=2,1,"")</f>
        <v>1</v>
      </c>
      <c r="M9" s="5" t="str">
        <f>IF(IF(Table41648[[#This Row],[Old or New?]]="Old",1,0)+IF(Table41648[[#This Row],[If Other]]=1,1,0)=2,1,"")</f>
        <v/>
      </c>
    </row>
    <row r="10" spans="1:13">
      <c r="A10" s="1" t="s">
        <v>12</v>
      </c>
      <c r="B10" s="1" t="s">
        <v>10</v>
      </c>
      <c r="C10" s="1">
        <v>9</v>
      </c>
      <c r="D10" s="1" t="s">
        <v>16</v>
      </c>
      <c r="E10" s="1">
        <v>9</v>
      </c>
      <c r="F10" s="1" t="s">
        <v>17</v>
      </c>
      <c r="G10" s="5">
        <f>IF(Table41648[[#This Row],[Response]]="Crossman",1,"")</f>
        <v>1</v>
      </c>
      <c r="H10" s="5" t="str">
        <f>IF(Table41648[[#This Row],[Response]]="","",IF(Table41648[[#This Row],[Response]]="Crossman","",1))</f>
        <v/>
      </c>
      <c r="I10" s="5">
        <f>IF(SUM(Table41648[[#This Row],[If Crossman]:[If Other]])=1,1,"")</f>
        <v>1</v>
      </c>
      <c r="J10" s="5" t="str">
        <f>IF(IF(Table41648[[#This Row],[Old or New?]]="New",1,0)+IF(Table41648[[#This Row],[If Crossman]]=1,1,0)=2,1,"")</f>
        <v/>
      </c>
      <c r="K10" s="5" t="str">
        <f>IF(IF(Table41648[[#This Row],[Old or New?]]="New",1,0)+IF(Table41648[[#This Row],[If Other]]=1,1,0)=2,1,"")</f>
        <v/>
      </c>
      <c r="L10" s="5">
        <f>IF(IF(Table41648[[#This Row],[Old or New?]]="Old",1,0)+IF(Table41648[[#This Row],[If Crossman]]=1,1,0)=2,1,"")</f>
        <v>1</v>
      </c>
      <c r="M10" s="5" t="str">
        <f>IF(IF(Table41648[[#This Row],[Old or New?]]="Old",1,0)+IF(Table41648[[#This Row],[If Other]]=1,1,0)=2,1,"")</f>
        <v/>
      </c>
    </row>
    <row r="11" spans="1:13">
      <c r="A11" s="1" t="s">
        <v>12</v>
      </c>
      <c r="B11" s="1" t="s">
        <v>10</v>
      </c>
      <c r="C11" s="1">
        <v>10</v>
      </c>
      <c r="D11" s="1" t="s">
        <v>16</v>
      </c>
      <c r="E11" s="1">
        <v>9</v>
      </c>
      <c r="F11" s="1" t="s">
        <v>17</v>
      </c>
      <c r="G11" s="5">
        <f>IF(Table41648[[#This Row],[Response]]="Crossman",1,"")</f>
        <v>1</v>
      </c>
      <c r="H11" s="5" t="str">
        <f>IF(Table41648[[#This Row],[Response]]="","",IF(Table41648[[#This Row],[Response]]="Crossman","",1))</f>
        <v/>
      </c>
      <c r="I11" s="5">
        <f>IF(SUM(Table41648[[#This Row],[If Crossman]:[If Other]])=1,1,"")</f>
        <v>1</v>
      </c>
      <c r="J11" s="5" t="str">
        <f>IF(IF(Table41648[[#This Row],[Old or New?]]="New",1,0)+IF(Table41648[[#This Row],[If Crossman]]=1,1,0)=2,1,"")</f>
        <v/>
      </c>
      <c r="K11" s="5" t="str">
        <f>IF(IF(Table41648[[#This Row],[Old or New?]]="New",1,0)+IF(Table41648[[#This Row],[If Other]]=1,1,0)=2,1,"")</f>
        <v/>
      </c>
      <c r="L11" s="5">
        <f>IF(IF(Table41648[[#This Row],[Old or New?]]="Old",1,0)+IF(Table41648[[#This Row],[If Crossman]]=1,1,0)=2,1,"")</f>
        <v>1</v>
      </c>
      <c r="M11" s="5" t="str">
        <f>IF(IF(Table41648[[#This Row],[Old or New?]]="Old",1,0)+IF(Table41648[[#This Row],[If Other]]=1,1,0)=2,1,"")</f>
        <v/>
      </c>
    </row>
    <row r="12" spans="1:13">
      <c r="A12" s="1" t="s">
        <v>12</v>
      </c>
      <c r="B12" s="1" t="s">
        <v>10</v>
      </c>
      <c r="C12" s="1">
        <v>11</v>
      </c>
      <c r="D12" s="1" t="s">
        <v>16</v>
      </c>
      <c r="E12" s="1">
        <v>9</v>
      </c>
      <c r="F12" s="1" t="s">
        <v>17</v>
      </c>
      <c r="G12" s="5">
        <f>IF(Table41648[[#This Row],[Response]]="Crossman",1,"")</f>
        <v>1</v>
      </c>
      <c r="H12" s="5" t="str">
        <f>IF(Table41648[[#This Row],[Response]]="","",IF(Table41648[[#This Row],[Response]]="Crossman","",1))</f>
        <v/>
      </c>
      <c r="I12" s="5">
        <f>IF(SUM(Table41648[[#This Row],[If Crossman]:[If Other]])=1,1,"")</f>
        <v>1</v>
      </c>
      <c r="J12" s="5" t="str">
        <f>IF(IF(Table41648[[#This Row],[Old or New?]]="New",1,0)+IF(Table41648[[#This Row],[If Crossman]]=1,1,0)=2,1,"")</f>
        <v/>
      </c>
      <c r="K12" s="5" t="str">
        <f>IF(IF(Table41648[[#This Row],[Old or New?]]="New",1,0)+IF(Table41648[[#This Row],[If Other]]=1,1,0)=2,1,"")</f>
        <v/>
      </c>
      <c r="L12" s="5">
        <f>IF(IF(Table41648[[#This Row],[Old or New?]]="Old",1,0)+IF(Table41648[[#This Row],[If Crossman]]=1,1,0)=2,1,"")</f>
        <v>1</v>
      </c>
      <c r="M12" s="5" t="str">
        <f>IF(IF(Table41648[[#This Row],[Old or New?]]="Old",1,0)+IF(Table41648[[#This Row],[If Other]]=1,1,0)=2,1,"")</f>
        <v/>
      </c>
    </row>
    <row r="13" spans="1:13">
      <c r="A13" s="1" t="s">
        <v>12</v>
      </c>
      <c r="B13" s="1" t="s">
        <v>10</v>
      </c>
      <c r="C13" s="1">
        <v>12</v>
      </c>
      <c r="D13" s="1" t="s">
        <v>16</v>
      </c>
      <c r="E13" s="1">
        <v>9</v>
      </c>
      <c r="F13" s="1" t="s">
        <v>17</v>
      </c>
      <c r="G13" s="5">
        <f>IF(Table41648[[#This Row],[Response]]="Crossman",1,"")</f>
        <v>1</v>
      </c>
      <c r="H13" s="5" t="str">
        <f>IF(Table41648[[#This Row],[Response]]="","",IF(Table41648[[#This Row],[Response]]="Crossman","",1))</f>
        <v/>
      </c>
      <c r="I13" s="5">
        <f>IF(SUM(Table41648[[#This Row],[If Crossman]:[If Other]])=1,1,"")</f>
        <v>1</v>
      </c>
      <c r="J13" s="5" t="str">
        <f>IF(IF(Table41648[[#This Row],[Old or New?]]="New",1,0)+IF(Table41648[[#This Row],[If Crossman]]=1,1,0)=2,1,"")</f>
        <v/>
      </c>
      <c r="K13" s="5" t="str">
        <f>IF(IF(Table41648[[#This Row],[Old or New?]]="New",1,0)+IF(Table41648[[#This Row],[If Other]]=1,1,0)=2,1,"")</f>
        <v/>
      </c>
      <c r="L13" s="5">
        <f>IF(IF(Table41648[[#This Row],[Old or New?]]="Old",1,0)+IF(Table41648[[#This Row],[If Crossman]]=1,1,0)=2,1,"")</f>
        <v>1</v>
      </c>
      <c r="M13" s="5" t="str">
        <f>IF(IF(Table41648[[#This Row],[Old or New?]]="Old",1,0)+IF(Table41648[[#This Row],[If Other]]=1,1,0)=2,1,"")</f>
        <v/>
      </c>
    </row>
    <row r="14" spans="1:13">
      <c r="A14" s="1" t="s">
        <v>12</v>
      </c>
      <c r="B14" s="1" t="s">
        <v>10</v>
      </c>
      <c r="C14" s="1">
        <v>13</v>
      </c>
      <c r="D14" s="1" t="s">
        <v>16</v>
      </c>
      <c r="E14" s="1">
        <v>9</v>
      </c>
      <c r="F14" s="1" t="s">
        <v>17</v>
      </c>
      <c r="G14" s="5">
        <f>IF(Table41648[[#This Row],[Response]]="Crossman",1,"")</f>
        <v>1</v>
      </c>
      <c r="H14" s="5" t="str">
        <f>IF(Table41648[[#This Row],[Response]]="","",IF(Table41648[[#This Row],[Response]]="Crossman","",1))</f>
        <v/>
      </c>
      <c r="I14" s="5">
        <f>IF(SUM(Table41648[[#This Row],[If Crossman]:[If Other]])=1,1,"")</f>
        <v>1</v>
      </c>
      <c r="J14" s="5" t="str">
        <f>IF(IF(Table41648[[#This Row],[Old or New?]]="New",1,0)+IF(Table41648[[#This Row],[If Crossman]]=1,1,0)=2,1,"")</f>
        <v/>
      </c>
      <c r="K14" s="5" t="str">
        <f>IF(IF(Table41648[[#This Row],[Old or New?]]="New",1,0)+IF(Table41648[[#This Row],[If Other]]=1,1,0)=2,1,"")</f>
        <v/>
      </c>
      <c r="L14" s="5">
        <f>IF(IF(Table41648[[#This Row],[Old or New?]]="Old",1,0)+IF(Table41648[[#This Row],[If Crossman]]=1,1,0)=2,1,"")</f>
        <v>1</v>
      </c>
      <c r="M14" s="5" t="str">
        <f>IF(IF(Table41648[[#This Row],[Old or New?]]="Old",1,0)+IF(Table41648[[#This Row],[If Other]]=1,1,0)=2,1,"")</f>
        <v/>
      </c>
    </row>
    <row r="15" spans="1:13">
      <c r="A15" s="1" t="s">
        <v>12</v>
      </c>
      <c r="B15" s="1" t="s">
        <v>10</v>
      </c>
      <c r="C15" s="1">
        <v>14</v>
      </c>
      <c r="D15" s="1" t="s">
        <v>16</v>
      </c>
      <c r="E15" s="1">
        <v>9</v>
      </c>
      <c r="F15" s="1" t="s">
        <v>17</v>
      </c>
      <c r="G15" s="5">
        <f>IF(Table41648[[#This Row],[Response]]="Crossman",1,"")</f>
        <v>1</v>
      </c>
      <c r="H15" s="5" t="str">
        <f>IF(Table41648[[#This Row],[Response]]="","",IF(Table41648[[#This Row],[Response]]="Crossman","",1))</f>
        <v/>
      </c>
      <c r="I15" s="5">
        <f>IF(SUM(Table41648[[#This Row],[If Crossman]:[If Other]])=1,1,"")</f>
        <v>1</v>
      </c>
      <c r="J15" s="5" t="str">
        <f>IF(IF(Table41648[[#This Row],[Old or New?]]="New",1,0)+IF(Table41648[[#This Row],[If Crossman]]=1,1,0)=2,1,"")</f>
        <v/>
      </c>
      <c r="K15" s="5" t="str">
        <f>IF(IF(Table41648[[#This Row],[Old or New?]]="New",1,0)+IF(Table41648[[#This Row],[If Other]]=1,1,0)=2,1,"")</f>
        <v/>
      </c>
      <c r="L15" s="5">
        <f>IF(IF(Table41648[[#This Row],[Old or New?]]="Old",1,0)+IF(Table41648[[#This Row],[If Crossman]]=1,1,0)=2,1,"")</f>
        <v>1</v>
      </c>
      <c r="M15" s="5" t="str">
        <f>IF(IF(Table41648[[#This Row],[Old or New?]]="Old",1,0)+IF(Table41648[[#This Row],[If Other]]=1,1,0)=2,1,"")</f>
        <v/>
      </c>
    </row>
    <row r="16" spans="1:13">
      <c r="A16" s="1" t="s">
        <v>12</v>
      </c>
      <c r="B16" s="1" t="s">
        <v>10</v>
      </c>
      <c r="C16" s="1">
        <v>15</v>
      </c>
      <c r="D16" s="1" t="s">
        <v>16</v>
      </c>
      <c r="E16" s="1">
        <v>9</v>
      </c>
      <c r="F16" s="1" t="s">
        <v>17</v>
      </c>
      <c r="G16" s="5">
        <f>IF(Table41648[[#This Row],[Response]]="Crossman",1,"")</f>
        <v>1</v>
      </c>
      <c r="H16" s="5" t="str">
        <f>IF(Table41648[[#This Row],[Response]]="","",IF(Table41648[[#This Row],[Response]]="Crossman","",1))</f>
        <v/>
      </c>
      <c r="I16" s="5">
        <f>IF(SUM(Table41648[[#This Row],[If Crossman]:[If Other]])=1,1,"")</f>
        <v>1</v>
      </c>
      <c r="J16" s="5" t="str">
        <f>IF(IF(Table41648[[#This Row],[Old or New?]]="New",1,0)+IF(Table41648[[#This Row],[If Crossman]]=1,1,0)=2,1,"")</f>
        <v/>
      </c>
      <c r="K16" s="5" t="str">
        <f>IF(IF(Table41648[[#This Row],[Old or New?]]="New",1,0)+IF(Table41648[[#This Row],[If Other]]=1,1,0)=2,1,"")</f>
        <v/>
      </c>
      <c r="L16" s="5">
        <f>IF(IF(Table41648[[#This Row],[Old or New?]]="Old",1,0)+IF(Table41648[[#This Row],[If Crossman]]=1,1,0)=2,1,"")</f>
        <v>1</v>
      </c>
      <c r="M16" s="5" t="str">
        <f>IF(IF(Table41648[[#This Row],[Old or New?]]="Old",1,0)+IF(Table41648[[#This Row],[If Other]]=1,1,0)=2,1,"")</f>
        <v/>
      </c>
    </row>
    <row r="17" spans="1:13">
      <c r="A17" s="1" t="s">
        <v>12</v>
      </c>
      <c r="B17" s="1" t="s">
        <v>10</v>
      </c>
      <c r="C17" s="1">
        <v>16</v>
      </c>
      <c r="D17" s="1" t="s">
        <v>16</v>
      </c>
      <c r="E17" s="1">
        <v>9</v>
      </c>
      <c r="F17" s="1" t="s">
        <v>17</v>
      </c>
      <c r="G17" s="5">
        <f>IF(Table41648[[#This Row],[Response]]="Crossman",1,"")</f>
        <v>1</v>
      </c>
      <c r="H17" s="5" t="str">
        <f>IF(Table41648[[#This Row],[Response]]="","",IF(Table41648[[#This Row],[Response]]="Crossman","",1))</f>
        <v/>
      </c>
      <c r="I17" s="5">
        <f>IF(SUM(Table41648[[#This Row],[If Crossman]:[If Other]])=1,1,"")</f>
        <v>1</v>
      </c>
      <c r="J17" s="5" t="str">
        <f>IF(IF(Table41648[[#This Row],[Old or New?]]="New",1,0)+IF(Table41648[[#This Row],[If Crossman]]=1,1,0)=2,1,"")</f>
        <v/>
      </c>
      <c r="K17" s="5" t="str">
        <f>IF(IF(Table41648[[#This Row],[Old or New?]]="New",1,0)+IF(Table41648[[#This Row],[If Other]]=1,1,0)=2,1,"")</f>
        <v/>
      </c>
      <c r="L17" s="5">
        <f>IF(IF(Table41648[[#This Row],[Old or New?]]="Old",1,0)+IF(Table41648[[#This Row],[If Crossman]]=1,1,0)=2,1,"")</f>
        <v>1</v>
      </c>
      <c r="M17" s="5" t="str">
        <f>IF(IF(Table41648[[#This Row],[Old or New?]]="Old",1,0)+IF(Table41648[[#This Row],[If Other]]=1,1,0)=2,1,"")</f>
        <v/>
      </c>
    </row>
    <row r="18" spans="1:13">
      <c r="A18" s="1" t="s">
        <v>12</v>
      </c>
      <c r="B18" s="1" t="s">
        <v>10</v>
      </c>
      <c r="C18" s="1">
        <v>17</v>
      </c>
      <c r="D18" s="1" t="s">
        <v>16</v>
      </c>
      <c r="E18" s="1">
        <v>9</v>
      </c>
      <c r="F18" s="1" t="s">
        <v>17</v>
      </c>
      <c r="G18" s="5">
        <f>IF(Table41648[[#This Row],[Response]]="Crossman",1,"")</f>
        <v>1</v>
      </c>
      <c r="H18" s="5" t="str">
        <f>IF(Table41648[[#This Row],[Response]]="","",IF(Table41648[[#This Row],[Response]]="Crossman","",1))</f>
        <v/>
      </c>
      <c r="I18" s="5">
        <f>IF(SUM(Table41648[[#This Row],[If Crossman]:[If Other]])=1,1,"")</f>
        <v>1</v>
      </c>
      <c r="J18" s="5" t="str">
        <f>IF(IF(Table41648[[#This Row],[Old or New?]]="New",1,0)+IF(Table41648[[#This Row],[If Crossman]]=1,1,0)=2,1,"")</f>
        <v/>
      </c>
      <c r="K18" s="5" t="str">
        <f>IF(IF(Table41648[[#This Row],[Old or New?]]="New",1,0)+IF(Table41648[[#This Row],[If Other]]=1,1,0)=2,1,"")</f>
        <v/>
      </c>
      <c r="L18" s="5">
        <f>IF(IF(Table41648[[#This Row],[Old or New?]]="Old",1,0)+IF(Table41648[[#This Row],[If Crossman]]=1,1,0)=2,1,"")</f>
        <v>1</v>
      </c>
      <c r="M18" s="5" t="str">
        <f>IF(IF(Table41648[[#This Row],[Old or New?]]="Old",1,0)+IF(Table41648[[#This Row],[If Other]]=1,1,0)=2,1,"")</f>
        <v/>
      </c>
    </row>
    <row r="19" spans="1:13">
      <c r="A19" s="1" t="s">
        <v>12</v>
      </c>
      <c r="B19" s="1" t="s">
        <v>10</v>
      </c>
      <c r="C19" s="1">
        <v>18</v>
      </c>
      <c r="D19" s="1" t="s">
        <v>16</v>
      </c>
      <c r="E19" s="1">
        <v>9</v>
      </c>
      <c r="F19" s="1" t="s">
        <v>17</v>
      </c>
      <c r="G19" s="5">
        <f>IF(Table41648[[#This Row],[Response]]="Crossman",1,"")</f>
        <v>1</v>
      </c>
      <c r="H19" s="5" t="str">
        <f>IF(Table41648[[#This Row],[Response]]="","",IF(Table41648[[#This Row],[Response]]="Crossman","",1))</f>
        <v/>
      </c>
      <c r="I19" s="5">
        <f>IF(SUM(Table41648[[#This Row],[If Crossman]:[If Other]])=1,1,"")</f>
        <v>1</v>
      </c>
      <c r="J19" s="5" t="str">
        <f>IF(IF(Table41648[[#This Row],[Old or New?]]="New",1,0)+IF(Table41648[[#This Row],[If Crossman]]=1,1,0)=2,1,"")</f>
        <v/>
      </c>
      <c r="K19" s="5" t="str">
        <f>IF(IF(Table41648[[#This Row],[Old or New?]]="New",1,0)+IF(Table41648[[#This Row],[If Other]]=1,1,0)=2,1,"")</f>
        <v/>
      </c>
      <c r="L19" s="5">
        <f>IF(IF(Table41648[[#This Row],[Old or New?]]="Old",1,0)+IF(Table41648[[#This Row],[If Crossman]]=1,1,0)=2,1,"")</f>
        <v>1</v>
      </c>
      <c r="M19" s="5" t="str">
        <f>IF(IF(Table41648[[#This Row],[Old or New?]]="Old",1,0)+IF(Table41648[[#This Row],[If Other]]=1,1,0)=2,1,"")</f>
        <v/>
      </c>
    </row>
    <row r="20" spans="1:13">
      <c r="A20" s="2" t="s">
        <v>12</v>
      </c>
      <c r="B20" s="2" t="s">
        <v>21</v>
      </c>
      <c r="C20" s="1">
        <v>1</v>
      </c>
      <c r="D20" s="2" t="s">
        <v>16</v>
      </c>
      <c r="E20" s="1">
        <v>9</v>
      </c>
      <c r="F20" s="1" t="s">
        <v>17</v>
      </c>
      <c r="G20" s="5">
        <f>IF(Table41648[[#This Row],[Response]]="Crossman",1,"")</f>
        <v>1</v>
      </c>
      <c r="H20" s="5" t="str">
        <f>IF(Table41648[[#This Row],[Response]]="","",IF(Table41648[[#This Row],[Response]]="Crossman","",1))</f>
        <v/>
      </c>
      <c r="I20" s="5">
        <f>IF(SUM(Table41648[[#This Row],[If Crossman]:[If Other]])=1,1,"")</f>
        <v>1</v>
      </c>
      <c r="J20" s="5" t="str">
        <f>IF(IF(Table41648[[#This Row],[Old or New?]]="New",1,0)+IF(Table41648[[#This Row],[If Crossman]]=1,1,0)=2,1,"")</f>
        <v/>
      </c>
      <c r="K20" s="5" t="str">
        <f>IF(IF(Table41648[[#This Row],[Old or New?]]="New",1,0)+IF(Table41648[[#This Row],[If Other]]=1,1,0)=2,1,"")</f>
        <v/>
      </c>
      <c r="L20" s="5">
        <f>IF(IF(Table41648[[#This Row],[Old or New?]]="Old",1,0)+IF(Table41648[[#This Row],[If Crossman]]=1,1,0)=2,1,"")</f>
        <v>1</v>
      </c>
      <c r="M20" s="5" t="str">
        <f>IF(IF(Table41648[[#This Row],[Old or New?]]="Old",1,0)+IF(Table41648[[#This Row],[If Other]]=1,1,0)=2,1,"")</f>
        <v/>
      </c>
    </row>
    <row r="21" spans="1:13">
      <c r="A21" s="2" t="s">
        <v>12</v>
      </c>
      <c r="B21" s="2" t="s">
        <v>21</v>
      </c>
      <c r="C21" s="1">
        <v>2</v>
      </c>
      <c r="D21" s="2" t="s">
        <v>16</v>
      </c>
      <c r="E21" s="1">
        <v>9</v>
      </c>
      <c r="F21" s="1" t="s">
        <v>17</v>
      </c>
      <c r="G21" s="5">
        <f>IF(Table41648[[#This Row],[Response]]="Crossman",1,"")</f>
        <v>1</v>
      </c>
      <c r="H21" s="5" t="str">
        <f>IF(Table41648[[#This Row],[Response]]="","",IF(Table41648[[#This Row],[Response]]="Crossman","",1))</f>
        <v/>
      </c>
      <c r="I21" s="5">
        <f>IF(SUM(Table41648[[#This Row],[If Crossman]:[If Other]])=1,1,"")</f>
        <v>1</v>
      </c>
      <c r="J21" s="5" t="str">
        <f>IF(IF(Table41648[[#This Row],[Old or New?]]="New",1,0)+IF(Table41648[[#This Row],[If Crossman]]=1,1,0)=2,1,"")</f>
        <v/>
      </c>
      <c r="K21" s="5" t="str">
        <f>IF(IF(Table41648[[#This Row],[Old or New?]]="New",1,0)+IF(Table41648[[#This Row],[If Other]]=1,1,0)=2,1,"")</f>
        <v/>
      </c>
      <c r="L21" s="5">
        <f>IF(IF(Table41648[[#This Row],[Old or New?]]="Old",1,0)+IF(Table41648[[#This Row],[If Crossman]]=1,1,0)=2,1,"")</f>
        <v>1</v>
      </c>
      <c r="M21" s="5" t="str">
        <f>IF(IF(Table41648[[#This Row],[Old or New?]]="Old",1,0)+IF(Table41648[[#This Row],[If Other]]=1,1,0)=2,1,"")</f>
        <v/>
      </c>
    </row>
    <row r="22" spans="1:13">
      <c r="A22" s="2" t="s">
        <v>12</v>
      </c>
      <c r="B22" s="2" t="s">
        <v>21</v>
      </c>
      <c r="C22" s="1">
        <v>3</v>
      </c>
      <c r="D22" s="2" t="s">
        <v>16</v>
      </c>
      <c r="E22" s="1">
        <v>9</v>
      </c>
      <c r="F22" s="1" t="s">
        <v>17</v>
      </c>
      <c r="G22" s="5">
        <f>IF(Table41648[[#This Row],[Response]]="Crossman",1,"")</f>
        <v>1</v>
      </c>
      <c r="H22" s="5" t="str">
        <f>IF(Table41648[[#This Row],[Response]]="","",IF(Table41648[[#This Row],[Response]]="Crossman","",1))</f>
        <v/>
      </c>
      <c r="I22" s="5">
        <f>IF(SUM(Table41648[[#This Row],[If Crossman]:[If Other]])=1,1,"")</f>
        <v>1</v>
      </c>
      <c r="J22" s="5" t="str">
        <f>IF(IF(Table41648[[#This Row],[Old or New?]]="New",1,0)+IF(Table41648[[#This Row],[If Crossman]]=1,1,0)=2,1,"")</f>
        <v/>
      </c>
      <c r="K22" s="5" t="str">
        <f>IF(IF(Table41648[[#This Row],[Old or New?]]="New",1,0)+IF(Table41648[[#This Row],[If Other]]=1,1,0)=2,1,"")</f>
        <v/>
      </c>
      <c r="L22" s="5">
        <f>IF(IF(Table41648[[#This Row],[Old or New?]]="Old",1,0)+IF(Table41648[[#This Row],[If Crossman]]=1,1,0)=2,1,"")</f>
        <v>1</v>
      </c>
      <c r="M22" s="5" t="str">
        <f>IF(IF(Table41648[[#This Row],[Old or New?]]="Old",1,0)+IF(Table41648[[#This Row],[If Other]]=1,1,0)=2,1,"")</f>
        <v/>
      </c>
    </row>
    <row r="23" spans="1:13">
      <c r="A23" s="2" t="s">
        <v>12</v>
      </c>
      <c r="B23" s="2" t="s">
        <v>21</v>
      </c>
      <c r="C23" s="1">
        <v>4</v>
      </c>
      <c r="D23" s="2" t="s">
        <v>16</v>
      </c>
      <c r="E23" s="1">
        <v>9</v>
      </c>
      <c r="F23" s="1" t="s">
        <v>17</v>
      </c>
      <c r="G23" s="5">
        <f>IF(Table41648[[#This Row],[Response]]="Crossman",1,"")</f>
        <v>1</v>
      </c>
      <c r="H23" s="5" t="str">
        <f>IF(Table41648[[#This Row],[Response]]="","",IF(Table41648[[#This Row],[Response]]="Crossman","",1))</f>
        <v/>
      </c>
      <c r="I23" s="5">
        <f>IF(SUM(Table41648[[#This Row],[If Crossman]:[If Other]])=1,1,"")</f>
        <v>1</v>
      </c>
      <c r="J23" s="5" t="str">
        <f>IF(IF(Table41648[[#This Row],[Old or New?]]="New",1,0)+IF(Table41648[[#This Row],[If Crossman]]=1,1,0)=2,1,"")</f>
        <v/>
      </c>
      <c r="K23" s="5" t="str">
        <f>IF(IF(Table41648[[#This Row],[Old or New?]]="New",1,0)+IF(Table41648[[#This Row],[If Other]]=1,1,0)=2,1,"")</f>
        <v/>
      </c>
      <c r="L23" s="5">
        <f>IF(IF(Table41648[[#This Row],[Old or New?]]="Old",1,0)+IF(Table41648[[#This Row],[If Crossman]]=1,1,0)=2,1,"")</f>
        <v>1</v>
      </c>
      <c r="M23" s="5" t="str">
        <f>IF(IF(Table41648[[#This Row],[Old or New?]]="Old",1,0)+IF(Table41648[[#This Row],[If Other]]=1,1,0)=2,1,"")</f>
        <v/>
      </c>
    </row>
    <row r="24" spans="1:13">
      <c r="A24" s="2" t="s">
        <v>12</v>
      </c>
      <c r="B24" s="2" t="s">
        <v>21</v>
      </c>
      <c r="C24" s="1">
        <v>5</v>
      </c>
      <c r="D24" s="2" t="s">
        <v>16</v>
      </c>
      <c r="E24" s="1">
        <v>9</v>
      </c>
      <c r="F24" s="1" t="s">
        <v>17</v>
      </c>
      <c r="G24" s="5">
        <f>IF(Table41648[[#This Row],[Response]]="Crossman",1,"")</f>
        <v>1</v>
      </c>
      <c r="H24" s="5" t="str">
        <f>IF(Table41648[[#This Row],[Response]]="","",IF(Table41648[[#This Row],[Response]]="Crossman","",1))</f>
        <v/>
      </c>
      <c r="I24" s="5">
        <f>IF(SUM(Table41648[[#This Row],[If Crossman]:[If Other]])=1,1,"")</f>
        <v>1</v>
      </c>
      <c r="J24" s="5" t="str">
        <f>IF(IF(Table41648[[#This Row],[Old or New?]]="New",1,0)+IF(Table41648[[#This Row],[If Crossman]]=1,1,0)=2,1,"")</f>
        <v/>
      </c>
      <c r="K24" s="5" t="str">
        <f>IF(IF(Table41648[[#This Row],[Old or New?]]="New",1,0)+IF(Table41648[[#This Row],[If Other]]=1,1,0)=2,1,"")</f>
        <v/>
      </c>
      <c r="L24" s="5">
        <f>IF(IF(Table41648[[#This Row],[Old or New?]]="Old",1,0)+IF(Table41648[[#This Row],[If Crossman]]=1,1,0)=2,1,"")</f>
        <v>1</v>
      </c>
      <c r="M24" s="5" t="str">
        <f>IF(IF(Table41648[[#This Row],[Old or New?]]="Old",1,0)+IF(Table41648[[#This Row],[If Other]]=1,1,0)=2,1,"")</f>
        <v/>
      </c>
    </row>
    <row r="25" spans="1:13">
      <c r="A25" s="2" t="s">
        <v>12</v>
      </c>
      <c r="B25" s="2" t="s">
        <v>21</v>
      </c>
      <c r="C25" s="1">
        <v>6</v>
      </c>
      <c r="D25" s="2" t="s">
        <v>16</v>
      </c>
      <c r="E25" s="1">
        <v>9</v>
      </c>
      <c r="F25" s="1" t="s">
        <v>22</v>
      </c>
      <c r="G25" s="5" t="str">
        <f>IF(Table41648[[#This Row],[Response]]="Crossman",1,"")</f>
        <v/>
      </c>
      <c r="H25" s="5">
        <f>IF(Table41648[[#This Row],[Response]]="","",IF(Table41648[[#This Row],[Response]]="Crossman","",1))</f>
        <v>1</v>
      </c>
      <c r="I25" s="5">
        <f>IF(SUM(Table41648[[#This Row],[If Crossman]:[If Other]])=1,1,"")</f>
        <v>1</v>
      </c>
      <c r="J25" s="5" t="str">
        <f>IF(IF(Table41648[[#This Row],[Old or New?]]="New",1,0)+IF(Table41648[[#This Row],[If Crossman]]=1,1,0)=2,1,"")</f>
        <v/>
      </c>
      <c r="K25" s="5" t="str">
        <f>IF(IF(Table41648[[#This Row],[Old or New?]]="New",1,0)+IF(Table41648[[#This Row],[If Other]]=1,1,0)=2,1,"")</f>
        <v/>
      </c>
      <c r="L25" s="5" t="str">
        <f>IF(IF(Table41648[[#This Row],[Old or New?]]="Old",1,0)+IF(Table41648[[#This Row],[If Crossman]]=1,1,0)=2,1,"")</f>
        <v/>
      </c>
      <c r="M25" s="5">
        <f>IF(IF(Table41648[[#This Row],[Old or New?]]="Old",1,0)+IF(Table41648[[#This Row],[If Other]]=1,1,0)=2,1,"")</f>
        <v>1</v>
      </c>
    </row>
    <row r="26" spans="1:13">
      <c r="A26" s="2" t="s">
        <v>12</v>
      </c>
      <c r="B26" s="2" t="s">
        <v>21</v>
      </c>
      <c r="C26" s="1">
        <v>7</v>
      </c>
      <c r="D26" s="2" t="s">
        <v>16</v>
      </c>
      <c r="E26" s="1">
        <v>9</v>
      </c>
      <c r="F26" s="1" t="s">
        <v>22</v>
      </c>
      <c r="G26" s="5" t="str">
        <f>IF(Table41648[[#This Row],[Response]]="Crossman",1,"")</f>
        <v/>
      </c>
      <c r="H26" s="5">
        <f>IF(Table41648[[#This Row],[Response]]="","",IF(Table41648[[#This Row],[Response]]="Crossman","",1))</f>
        <v>1</v>
      </c>
      <c r="I26" s="5">
        <f>IF(SUM(Table41648[[#This Row],[If Crossman]:[If Other]])=1,1,"")</f>
        <v>1</v>
      </c>
      <c r="J26" s="5" t="str">
        <f>IF(IF(Table41648[[#This Row],[Old or New?]]="New",1,0)+IF(Table41648[[#This Row],[If Crossman]]=1,1,0)=2,1,"")</f>
        <v/>
      </c>
      <c r="K26" s="5" t="str">
        <f>IF(IF(Table41648[[#This Row],[Old or New?]]="New",1,0)+IF(Table41648[[#This Row],[If Other]]=1,1,0)=2,1,"")</f>
        <v/>
      </c>
      <c r="L26" s="5" t="str">
        <f>IF(IF(Table41648[[#This Row],[Old or New?]]="Old",1,0)+IF(Table41648[[#This Row],[If Crossman]]=1,1,0)=2,1,"")</f>
        <v/>
      </c>
      <c r="M26" s="5">
        <f>IF(IF(Table41648[[#This Row],[Old or New?]]="Old",1,0)+IF(Table41648[[#This Row],[If Other]]=1,1,0)=2,1,"")</f>
        <v>1</v>
      </c>
    </row>
    <row r="27" spans="1:13">
      <c r="A27" s="2" t="s">
        <v>12</v>
      </c>
      <c r="B27" s="2" t="s">
        <v>21</v>
      </c>
      <c r="C27" s="1">
        <v>8</v>
      </c>
      <c r="D27" s="2" t="s">
        <v>16</v>
      </c>
      <c r="E27" s="1">
        <v>9</v>
      </c>
      <c r="F27" s="1" t="s">
        <v>17</v>
      </c>
      <c r="G27" s="5">
        <f>IF(Table41648[[#This Row],[Response]]="Crossman",1,"")</f>
        <v>1</v>
      </c>
      <c r="H27" s="5" t="str">
        <f>IF(Table41648[[#This Row],[Response]]="","",IF(Table41648[[#This Row],[Response]]="Crossman","",1))</f>
        <v/>
      </c>
      <c r="I27" s="5">
        <f>IF(SUM(Table41648[[#This Row],[If Crossman]:[If Other]])=1,1,"")</f>
        <v>1</v>
      </c>
      <c r="J27" s="5" t="str">
        <f>IF(IF(Table41648[[#This Row],[Old or New?]]="New",1,0)+IF(Table41648[[#This Row],[If Crossman]]=1,1,0)=2,1,"")</f>
        <v/>
      </c>
      <c r="K27" s="5" t="str">
        <f>IF(IF(Table41648[[#This Row],[Old or New?]]="New",1,0)+IF(Table41648[[#This Row],[If Other]]=1,1,0)=2,1,"")</f>
        <v/>
      </c>
      <c r="L27" s="5">
        <f>IF(IF(Table41648[[#This Row],[Old or New?]]="Old",1,0)+IF(Table41648[[#This Row],[If Crossman]]=1,1,0)=2,1,"")</f>
        <v>1</v>
      </c>
      <c r="M27" s="5" t="str">
        <f>IF(IF(Table41648[[#This Row],[Old or New?]]="Old",1,0)+IF(Table41648[[#This Row],[If Other]]=1,1,0)=2,1,"")</f>
        <v/>
      </c>
    </row>
    <row r="28" spans="1:13">
      <c r="A28" s="2" t="s">
        <v>12</v>
      </c>
      <c r="B28" s="2" t="s">
        <v>21</v>
      </c>
      <c r="C28" s="1">
        <v>9</v>
      </c>
      <c r="D28" s="2" t="s">
        <v>16</v>
      </c>
      <c r="E28" s="1">
        <v>9</v>
      </c>
      <c r="F28" s="1" t="s">
        <v>17</v>
      </c>
      <c r="G28" s="5">
        <f>IF(Table41648[[#This Row],[Response]]="Crossman",1,"")</f>
        <v>1</v>
      </c>
      <c r="H28" s="5" t="str">
        <f>IF(Table41648[[#This Row],[Response]]="","",IF(Table41648[[#This Row],[Response]]="Crossman","",1))</f>
        <v/>
      </c>
      <c r="I28" s="5">
        <f>IF(SUM(Table41648[[#This Row],[If Crossman]:[If Other]])=1,1,"")</f>
        <v>1</v>
      </c>
      <c r="J28" s="5" t="str">
        <f>IF(IF(Table41648[[#This Row],[Old or New?]]="New",1,0)+IF(Table41648[[#This Row],[If Crossman]]=1,1,0)=2,1,"")</f>
        <v/>
      </c>
      <c r="K28" s="5" t="str">
        <f>IF(IF(Table41648[[#This Row],[Old or New?]]="New",1,0)+IF(Table41648[[#This Row],[If Other]]=1,1,0)=2,1,"")</f>
        <v/>
      </c>
      <c r="L28" s="5">
        <f>IF(IF(Table41648[[#This Row],[Old or New?]]="Old",1,0)+IF(Table41648[[#This Row],[If Crossman]]=1,1,0)=2,1,"")</f>
        <v>1</v>
      </c>
      <c r="M28" s="5" t="str">
        <f>IF(IF(Table41648[[#This Row],[Old or New?]]="Old",1,0)+IF(Table41648[[#This Row],[If Other]]=1,1,0)=2,1,"")</f>
        <v/>
      </c>
    </row>
    <row r="29" spans="1:13">
      <c r="A29" s="2" t="s">
        <v>12</v>
      </c>
      <c r="B29" s="2" t="s">
        <v>21</v>
      </c>
      <c r="C29" s="1">
        <v>10</v>
      </c>
      <c r="D29" s="2" t="s">
        <v>16</v>
      </c>
      <c r="E29" s="1">
        <v>9</v>
      </c>
      <c r="F29" s="1" t="s">
        <v>17</v>
      </c>
      <c r="G29" s="5">
        <f>IF(Table41648[[#This Row],[Response]]="Crossman",1,"")</f>
        <v>1</v>
      </c>
      <c r="H29" s="5" t="str">
        <f>IF(Table41648[[#This Row],[Response]]="","",IF(Table41648[[#This Row],[Response]]="Crossman","",1))</f>
        <v/>
      </c>
      <c r="I29" s="5">
        <f>IF(SUM(Table41648[[#This Row],[If Crossman]:[If Other]])=1,1,"")</f>
        <v>1</v>
      </c>
      <c r="J29" s="5" t="str">
        <f>IF(IF(Table41648[[#This Row],[Old or New?]]="New",1,0)+IF(Table41648[[#This Row],[If Crossman]]=1,1,0)=2,1,"")</f>
        <v/>
      </c>
      <c r="K29" s="5" t="str">
        <f>IF(IF(Table41648[[#This Row],[Old or New?]]="New",1,0)+IF(Table41648[[#This Row],[If Other]]=1,1,0)=2,1,"")</f>
        <v/>
      </c>
      <c r="L29" s="5">
        <f>IF(IF(Table41648[[#This Row],[Old or New?]]="Old",1,0)+IF(Table41648[[#This Row],[If Crossman]]=1,1,0)=2,1,"")</f>
        <v>1</v>
      </c>
      <c r="M29" s="5" t="str">
        <f>IF(IF(Table41648[[#This Row],[Old or New?]]="Old",1,0)+IF(Table41648[[#This Row],[If Other]]=1,1,0)=2,1,"")</f>
        <v/>
      </c>
    </row>
    <row r="30" spans="1:13">
      <c r="A30" s="2" t="s">
        <v>12</v>
      </c>
      <c r="B30" s="2" t="s">
        <v>21</v>
      </c>
      <c r="C30" s="1">
        <v>11</v>
      </c>
      <c r="D30" s="2" t="s">
        <v>16</v>
      </c>
      <c r="E30" s="1">
        <v>9</v>
      </c>
      <c r="F30" s="1" t="s">
        <v>17</v>
      </c>
      <c r="G30" s="5">
        <f>IF(Table41648[[#This Row],[Response]]="Crossman",1,"")</f>
        <v>1</v>
      </c>
      <c r="H30" s="5" t="str">
        <f>IF(Table41648[[#This Row],[Response]]="","",IF(Table41648[[#This Row],[Response]]="Crossman","",1))</f>
        <v/>
      </c>
      <c r="I30" s="5">
        <f>IF(SUM(Table41648[[#This Row],[If Crossman]:[If Other]])=1,1,"")</f>
        <v>1</v>
      </c>
      <c r="J30" s="5" t="str">
        <f>IF(IF(Table41648[[#This Row],[Old or New?]]="New",1,0)+IF(Table41648[[#This Row],[If Crossman]]=1,1,0)=2,1,"")</f>
        <v/>
      </c>
      <c r="K30" s="5" t="str">
        <f>IF(IF(Table41648[[#This Row],[Old or New?]]="New",1,0)+IF(Table41648[[#This Row],[If Other]]=1,1,0)=2,1,"")</f>
        <v/>
      </c>
      <c r="L30" s="5">
        <f>IF(IF(Table41648[[#This Row],[Old or New?]]="Old",1,0)+IF(Table41648[[#This Row],[If Crossman]]=1,1,0)=2,1,"")</f>
        <v>1</v>
      </c>
      <c r="M30" s="5" t="str">
        <f>IF(IF(Table41648[[#This Row],[Old or New?]]="Old",1,0)+IF(Table41648[[#This Row],[If Other]]=1,1,0)=2,1,"")</f>
        <v/>
      </c>
    </row>
    <row r="31" spans="1:13">
      <c r="A31" s="2" t="s">
        <v>12</v>
      </c>
      <c r="B31" s="2" t="s">
        <v>21</v>
      </c>
      <c r="C31" s="1">
        <v>12</v>
      </c>
      <c r="D31" s="2" t="s">
        <v>16</v>
      </c>
      <c r="E31" s="1">
        <v>9</v>
      </c>
      <c r="F31" s="1" t="s">
        <v>17</v>
      </c>
      <c r="G31" s="5">
        <f>IF(Table41648[[#This Row],[Response]]="Crossman",1,"")</f>
        <v>1</v>
      </c>
      <c r="H31" s="5" t="str">
        <f>IF(Table41648[[#This Row],[Response]]="","",IF(Table41648[[#This Row],[Response]]="Crossman","",1))</f>
        <v/>
      </c>
      <c r="I31" s="5">
        <f>IF(SUM(Table41648[[#This Row],[If Crossman]:[If Other]])=1,1,"")</f>
        <v>1</v>
      </c>
      <c r="J31" s="5" t="str">
        <f>IF(IF(Table41648[[#This Row],[Old or New?]]="New",1,0)+IF(Table41648[[#This Row],[If Crossman]]=1,1,0)=2,1,"")</f>
        <v/>
      </c>
      <c r="K31" s="5" t="str">
        <f>IF(IF(Table41648[[#This Row],[Old or New?]]="New",1,0)+IF(Table41648[[#This Row],[If Other]]=1,1,0)=2,1,"")</f>
        <v/>
      </c>
      <c r="L31" s="5">
        <f>IF(IF(Table41648[[#This Row],[Old or New?]]="Old",1,0)+IF(Table41648[[#This Row],[If Crossman]]=1,1,0)=2,1,"")</f>
        <v>1</v>
      </c>
      <c r="M31" s="5" t="str">
        <f>IF(IF(Table41648[[#This Row],[Old or New?]]="Old",1,0)+IF(Table41648[[#This Row],[If Other]]=1,1,0)=2,1,"")</f>
        <v/>
      </c>
    </row>
    <row r="32" spans="1:13">
      <c r="A32" s="2" t="s">
        <v>12</v>
      </c>
      <c r="B32" s="2" t="s">
        <v>21</v>
      </c>
      <c r="C32" s="1">
        <v>13</v>
      </c>
      <c r="D32" s="2" t="s">
        <v>16</v>
      </c>
      <c r="E32" s="1">
        <v>9</v>
      </c>
      <c r="F32" s="1" t="s">
        <v>17</v>
      </c>
      <c r="G32" s="5">
        <f>IF(Table41648[[#This Row],[Response]]="Crossman",1,"")</f>
        <v>1</v>
      </c>
      <c r="H32" s="5" t="str">
        <f>IF(Table41648[[#This Row],[Response]]="","",IF(Table41648[[#This Row],[Response]]="Crossman","",1))</f>
        <v/>
      </c>
      <c r="I32" s="5">
        <f>IF(SUM(Table41648[[#This Row],[If Crossman]:[If Other]])=1,1,"")</f>
        <v>1</v>
      </c>
      <c r="J32" s="5" t="str">
        <f>IF(IF(Table41648[[#This Row],[Old or New?]]="New",1,0)+IF(Table41648[[#This Row],[If Crossman]]=1,1,0)=2,1,"")</f>
        <v/>
      </c>
      <c r="K32" s="5" t="str">
        <f>IF(IF(Table41648[[#This Row],[Old or New?]]="New",1,0)+IF(Table41648[[#This Row],[If Other]]=1,1,0)=2,1,"")</f>
        <v/>
      </c>
      <c r="L32" s="5">
        <f>IF(IF(Table41648[[#This Row],[Old or New?]]="Old",1,0)+IF(Table41648[[#This Row],[If Crossman]]=1,1,0)=2,1,"")</f>
        <v>1</v>
      </c>
      <c r="M32" s="5" t="str">
        <f>IF(IF(Table41648[[#This Row],[Old or New?]]="Old",1,0)+IF(Table41648[[#This Row],[If Other]]=1,1,0)=2,1,"")</f>
        <v/>
      </c>
    </row>
    <row r="33" spans="1:13">
      <c r="A33" s="2" t="s">
        <v>12</v>
      </c>
      <c r="B33" s="2" t="s">
        <v>21</v>
      </c>
      <c r="C33" s="1">
        <v>14</v>
      </c>
      <c r="D33" s="2" t="s">
        <v>16</v>
      </c>
      <c r="E33" s="1">
        <v>9</v>
      </c>
      <c r="F33" s="1" t="s">
        <v>17</v>
      </c>
      <c r="G33" s="5">
        <f>IF(Table41648[[#This Row],[Response]]="Crossman",1,"")</f>
        <v>1</v>
      </c>
      <c r="H33" s="5" t="str">
        <f>IF(Table41648[[#This Row],[Response]]="","",IF(Table41648[[#This Row],[Response]]="Crossman","",1))</f>
        <v/>
      </c>
      <c r="I33" s="5">
        <f>IF(SUM(Table41648[[#This Row],[If Crossman]:[If Other]])=1,1,"")</f>
        <v>1</v>
      </c>
      <c r="J33" s="5" t="str">
        <f>IF(IF(Table41648[[#This Row],[Old or New?]]="New",1,0)+IF(Table41648[[#This Row],[If Crossman]]=1,1,0)=2,1,"")</f>
        <v/>
      </c>
      <c r="K33" s="5" t="str">
        <f>IF(IF(Table41648[[#This Row],[Old or New?]]="New",1,0)+IF(Table41648[[#This Row],[If Other]]=1,1,0)=2,1,"")</f>
        <v/>
      </c>
      <c r="L33" s="5">
        <f>IF(IF(Table41648[[#This Row],[Old or New?]]="Old",1,0)+IF(Table41648[[#This Row],[If Crossman]]=1,1,0)=2,1,"")</f>
        <v>1</v>
      </c>
      <c r="M33" s="5" t="str">
        <f>IF(IF(Table41648[[#This Row],[Old or New?]]="Old",1,0)+IF(Table41648[[#This Row],[If Other]]=1,1,0)=2,1,"")</f>
        <v/>
      </c>
    </row>
    <row r="34" spans="1:13">
      <c r="A34" s="2" t="s">
        <v>12</v>
      </c>
      <c r="B34" s="2" t="s">
        <v>21</v>
      </c>
      <c r="C34" s="1">
        <v>15</v>
      </c>
      <c r="D34" s="2" t="s">
        <v>16</v>
      </c>
      <c r="E34" s="1">
        <v>9</v>
      </c>
      <c r="F34" s="1" t="s">
        <v>17</v>
      </c>
      <c r="G34" s="5">
        <f>IF(Table41648[[#This Row],[Response]]="Crossman",1,"")</f>
        <v>1</v>
      </c>
      <c r="H34" s="5" t="str">
        <f>IF(Table41648[[#This Row],[Response]]="","",IF(Table41648[[#This Row],[Response]]="Crossman","",1))</f>
        <v/>
      </c>
      <c r="I34" s="5">
        <f>IF(SUM(Table41648[[#This Row],[If Crossman]:[If Other]])=1,1,"")</f>
        <v>1</v>
      </c>
      <c r="J34" s="5" t="str">
        <f>IF(IF(Table41648[[#This Row],[Old or New?]]="New",1,0)+IF(Table41648[[#This Row],[If Crossman]]=1,1,0)=2,1,"")</f>
        <v/>
      </c>
      <c r="K34" s="5" t="str">
        <f>IF(IF(Table41648[[#This Row],[Old or New?]]="New",1,0)+IF(Table41648[[#This Row],[If Other]]=1,1,0)=2,1,"")</f>
        <v/>
      </c>
      <c r="L34" s="5">
        <f>IF(IF(Table41648[[#This Row],[Old or New?]]="Old",1,0)+IF(Table41648[[#This Row],[If Crossman]]=1,1,0)=2,1,"")</f>
        <v>1</v>
      </c>
      <c r="M34" s="5" t="str">
        <f>IF(IF(Table41648[[#This Row],[Old or New?]]="Old",1,0)+IF(Table41648[[#This Row],[If Other]]=1,1,0)=2,1,"")</f>
        <v/>
      </c>
    </row>
    <row r="35" spans="1:13">
      <c r="A35" s="2" t="s">
        <v>12</v>
      </c>
      <c r="B35" s="2" t="s">
        <v>21</v>
      </c>
      <c r="C35" s="1">
        <v>16</v>
      </c>
      <c r="D35" s="2" t="s">
        <v>16</v>
      </c>
      <c r="E35" s="1">
        <v>9</v>
      </c>
      <c r="F35" s="1" t="s">
        <v>17</v>
      </c>
      <c r="G35" s="5">
        <f>IF(Table41648[[#This Row],[Response]]="Crossman",1,"")</f>
        <v>1</v>
      </c>
      <c r="H35" s="5" t="str">
        <f>IF(Table41648[[#This Row],[Response]]="","",IF(Table41648[[#This Row],[Response]]="Crossman","",1))</f>
        <v/>
      </c>
      <c r="I35" s="5">
        <f>IF(SUM(Table41648[[#This Row],[If Crossman]:[If Other]])=1,1,"")</f>
        <v>1</v>
      </c>
      <c r="J35" s="5" t="str">
        <f>IF(IF(Table41648[[#This Row],[Old or New?]]="New",1,0)+IF(Table41648[[#This Row],[If Crossman]]=1,1,0)=2,1,"")</f>
        <v/>
      </c>
      <c r="K35" s="5" t="str">
        <f>IF(IF(Table41648[[#This Row],[Old or New?]]="New",1,0)+IF(Table41648[[#This Row],[If Other]]=1,1,0)=2,1,"")</f>
        <v/>
      </c>
      <c r="L35" s="5">
        <f>IF(IF(Table41648[[#This Row],[Old or New?]]="Old",1,0)+IF(Table41648[[#This Row],[If Crossman]]=1,1,0)=2,1,"")</f>
        <v>1</v>
      </c>
      <c r="M35" s="5" t="str">
        <f>IF(IF(Table41648[[#This Row],[Old or New?]]="Old",1,0)+IF(Table41648[[#This Row],[If Other]]=1,1,0)=2,1,"")</f>
        <v/>
      </c>
    </row>
    <row r="36" spans="1:13">
      <c r="A36" s="2" t="s">
        <v>12</v>
      </c>
      <c r="B36" s="2" t="s">
        <v>21</v>
      </c>
      <c r="C36" s="1">
        <v>17</v>
      </c>
      <c r="D36" s="2" t="s">
        <v>16</v>
      </c>
      <c r="E36" s="1">
        <v>9</v>
      </c>
      <c r="F36" s="1" t="s">
        <v>17</v>
      </c>
      <c r="G36" s="5">
        <f>IF(Table41648[[#This Row],[Response]]="Crossman",1,"")</f>
        <v>1</v>
      </c>
      <c r="H36" s="5" t="str">
        <f>IF(Table41648[[#This Row],[Response]]="","",IF(Table41648[[#This Row],[Response]]="Crossman","",1))</f>
        <v/>
      </c>
      <c r="I36" s="5">
        <f>IF(SUM(Table41648[[#This Row],[If Crossman]:[If Other]])=1,1,"")</f>
        <v>1</v>
      </c>
      <c r="J36" s="5" t="str">
        <f>IF(IF(Table41648[[#This Row],[Old or New?]]="New",1,0)+IF(Table41648[[#This Row],[If Crossman]]=1,1,0)=2,1,"")</f>
        <v/>
      </c>
      <c r="K36" s="5" t="str">
        <f>IF(IF(Table41648[[#This Row],[Old or New?]]="New",1,0)+IF(Table41648[[#This Row],[If Other]]=1,1,0)=2,1,"")</f>
        <v/>
      </c>
      <c r="L36" s="5">
        <f>IF(IF(Table41648[[#This Row],[Old or New?]]="Old",1,0)+IF(Table41648[[#This Row],[If Crossman]]=1,1,0)=2,1,"")</f>
        <v>1</v>
      </c>
      <c r="M36" s="5" t="str">
        <f>IF(IF(Table41648[[#This Row],[Old or New?]]="Old",1,0)+IF(Table41648[[#This Row],[If Other]]=1,1,0)=2,1,"")</f>
        <v/>
      </c>
    </row>
    <row r="37" spans="1:13">
      <c r="A37" s="2" t="s">
        <v>12</v>
      </c>
      <c r="B37" s="2" t="s">
        <v>21</v>
      </c>
      <c r="C37" s="1">
        <v>18</v>
      </c>
      <c r="D37" s="2" t="s">
        <v>16</v>
      </c>
      <c r="E37" s="1">
        <v>9</v>
      </c>
      <c r="F37" s="1" t="s">
        <v>17</v>
      </c>
      <c r="G37" s="5">
        <f>IF(Table41648[[#This Row],[Response]]="Crossman",1,"")</f>
        <v>1</v>
      </c>
      <c r="H37" s="5" t="str">
        <f>IF(Table41648[[#This Row],[Response]]="","",IF(Table41648[[#This Row],[Response]]="Crossman","",1))</f>
        <v/>
      </c>
      <c r="I37" s="5">
        <f>IF(SUM(Table41648[[#This Row],[If Crossman]:[If Other]])=1,1,"")</f>
        <v>1</v>
      </c>
      <c r="J37" s="5" t="str">
        <f>IF(IF(Table41648[[#This Row],[Old or New?]]="New",1,0)+IF(Table41648[[#This Row],[If Crossman]]=1,1,0)=2,1,"")</f>
        <v/>
      </c>
      <c r="K37" s="5" t="str">
        <f>IF(IF(Table41648[[#This Row],[Old or New?]]="New",1,0)+IF(Table41648[[#This Row],[If Other]]=1,1,0)=2,1,"")</f>
        <v/>
      </c>
      <c r="L37" s="5">
        <f>IF(IF(Table41648[[#This Row],[Old or New?]]="Old",1,0)+IF(Table41648[[#This Row],[If Crossman]]=1,1,0)=2,1,"")</f>
        <v>1</v>
      </c>
      <c r="M37" s="5" t="str">
        <f>IF(IF(Table41648[[#This Row],[Old or New?]]="Old",1,0)+IF(Table41648[[#This Row],[If Other]]=1,1,0)=2,1,"")</f>
        <v/>
      </c>
    </row>
    <row r="38" spans="1:13">
      <c r="A38" s="2" t="s">
        <v>12</v>
      </c>
      <c r="B38" s="2" t="s">
        <v>21</v>
      </c>
      <c r="C38" s="1">
        <v>19</v>
      </c>
      <c r="D38" s="2" t="s">
        <v>16</v>
      </c>
      <c r="E38" s="1">
        <v>9</v>
      </c>
      <c r="F38" s="1" t="s">
        <v>17</v>
      </c>
      <c r="G38" s="5">
        <f>IF(Table41648[[#This Row],[Response]]="Crossman",1,"")</f>
        <v>1</v>
      </c>
      <c r="H38" s="5" t="str">
        <f>IF(Table41648[[#This Row],[Response]]="","",IF(Table41648[[#This Row],[Response]]="Crossman","",1))</f>
        <v/>
      </c>
      <c r="I38" s="5">
        <f>IF(SUM(Table41648[[#This Row],[If Crossman]:[If Other]])=1,1,"")</f>
        <v>1</v>
      </c>
      <c r="J38" s="5" t="str">
        <f>IF(IF(Table41648[[#This Row],[Old or New?]]="New",1,0)+IF(Table41648[[#This Row],[If Crossman]]=1,1,0)=2,1,"")</f>
        <v/>
      </c>
      <c r="K38" s="5" t="str">
        <f>IF(IF(Table41648[[#This Row],[Old or New?]]="New",1,0)+IF(Table41648[[#This Row],[If Other]]=1,1,0)=2,1,"")</f>
        <v/>
      </c>
      <c r="L38" s="5">
        <f>IF(IF(Table41648[[#This Row],[Old or New?]]="Old",1,0)+IF(Table41648[[#This Row],[If Crossman]]=1,1,0)=2,1,"")</f>
        <v>1</v>
      </c>
      <c r="M38" s="5" t="str">
        <f>IF(IF(Table41648[[#This Row],[Old or New?]]="Old",1,0)+IF(Table41648[[#This Row],[If Other]]=1,1,0)=2,1,"")</f>
        <v/>
      </c>
    </row>
    <row r="39" spans="1:13">
      <c r="A39" s="2" t="s">
        <v>12</v>
      </c>
      <c r="B39" s="2" t="s">
        <v>21</v>
      </c>
      <c r="C39" s="1">
        <v>20</v>
      </c>
      <c r="D39" s="2" t="s">
        <v>16</v>
      </c>
      <c r="E39" s="1">
        <v>9</v>
      </c>
      <c r="F39" s="1" t="s">
        <v>17</v>
      </c>
      <c r="G39" s="5">
        <f>IF(Table41648[[#This Row],[Response]]="Crossman",1,"")</f>
        <v>1</v>
      </c>
      <c r="H39" s="5" t="str">
        <f>IF(Table41648[[#This Row],[Response]]="","",IF(Table41648[[#This Row],[Response]]="Crossman","",1))</f>
        <v/>
      </c>
      <c r="I39" s="5">
        <f>IF(SUM(Table41648[[#This Row],[If Crossman]:[If Other]])=1,1,"")</f>
        <v>1</v>
      </c>
      <c r="J39" s="5" t="str">
        <f>IF(IF(Table41648[[#This Row],[Old or New?]]="New",1,0)+IF(Table41648[[#This Row],[If Crossman]]=1,1,0)=2,1,"")</f>
        <v/>
      </c>
      <c r="K39" s="5" t="str">
        <f>IF(IF(Table41648[[#This Row],[Old or New?]]="New",1,0)+IF(Table41648[[#This Row],[If Other]]=1,1,0)=2,1,"")</f>
        <v/>
      </c>
      <c r="L39" s="5">
        <f>IF(IF(Table41648[[#This Row],[Old or New?]]="Old",1,0)+IF(Table41648[[#This Row],[If Crossman]]=1,1,0)=2,1,"")</f>
        <v>1</v>
      </c>
      <c r="M39" s="5" t="str">
        <f>IF(IF(Table41648[[#This Row],[Old or New?]]="Old",1,0)+IF(Table41648[[#This Row],[If Other]]=1,1,0)=2,1,"")</f>
        <v/>
      </c>
    </row>
    <row r="40" spans="1:13">
      <c r="A40" s="2" t="s">
        <v>12</v>
      </c>
      <c r="B40" s="2" t="s">
        <v>21</v>
      </c>
      <c r="C40" s="1">
        <v>21</v>
      </c>
      <c r="D40" s="2" t="s">
        <v>16</v>
      </c>
      <c r="E40" s="1">
        <v>9</v>
      </c>
      <c r="F40" s="1" t="s">
        <v>17</v>
      </c>
      <c r="G40" s="5">
        <f>IF(Table41648[[#This Row],[Response]]="Crossman",1,"")</f>
        <v>1</v>
      </c>
      <c r="H40" s="5" t="str">
        <f>IF(Table41648[[#This Row],[Response]]="","",IF(Table41648[[#This Row],[Response]]="Crossman","",1))</f>
        <v/>
      </c>
      <c r="I40" s="5">
        <f>IF(SUM(Table41648[[#This Row],[If Crossman]:[If Other]])=1,1,"")</f>
        <v>1</v>
      </c>
      <c r="J40" s="5" t="str">
        <f>IF(IF(Table41648[[#This Row],[Old or New?]]="New",1,0)+IF(Table41648[[#This Row],[If Crossman]]=1,1,0)=2,1,"")</f>
        <v/>
      </c>
      <c r="K40" s="5" t="str">
        <f>IF(IF(Table41648[[#This Row],[Old or New?]]="New",1,0)+IF(Table41648[[#This Row],[If Other]]=1,1,0)=2,1,"")</f>
        <v/>
      </c>
      <c r="L40" s="5">
        <f>IF(IF(Table41648[[#This Row],[Old or New?]]="Old",1,0)+IF(Table41648[[#This Row],[If Crossman]]=1,1,0)=2,1,"")</f>
        <v>1</v>
      </c>
      <c r="M40" s="5" t="str">
        <f>IF(IF(Table41648[[#This Row],[Old or New?]]="Old",1,0)+IF(Table41648[[#This Row],[If Other]]=1,1,0)=2,1,"")</f>
        <v/>
      </c>
    </row>
    <row r="41" spans="1:13">
      <c r="A41" s="2" t="s">
        <v>12</v>
      </c>
      <c r="B41" s="2" t="s">
        <v>21</v>
      </c>
      <c r="C41" s="1">
        <v>22</v>
      </c>
      <c r="D41" s="2" t="s">
        <v>16</v>
      </c>
      <c r="E41" s="1">
        <v>9</v>
      </c>
      <c r="F41" s="1" t="s">
        <v>17</v>
      </c>
      <c r="G41" s="5">
        <f>IF(Table41648[[#This Row],[Response]]="Crossman",1,"")</f>
        <v>1</v>
      </c>
      <c r="H41" s="5" t="str">
        <f>IF(Table41648[[#This Row],[Response]]="","",IF(Table41648[[#This Row],[Response]]="Crossman","",1))</f>
        <v/>
      </c>
      <c r="I41" s="5">
        <f>IF(SUM(Table41648[[#This Row],[If Crossman]:[If Other]])=1,1,"")</f>
        <v>1</v>
      </c>
      <c r="J41" s="5" t="str">
        <f>IF(IF(Table41648[[#This Row],[Old or New?]]="New",1,0)+IF(Table41648[[#This Row],[If Crossman]]=1,1,0)=2,1,"")</f>
        <v/>
      </c>
      <c r="K41" s="5" t="str">
        <f>IF(IF(Table41648[[#This Row],[Old or New?]]="New",1,0)+IF(Table41648[[#This Row],[If Other]]=1,1,0)=2,1,"")</f>
        <v/>
      </c>
      <c r="L41" s="5">
        <f>IF(IF(Table41648[[#This Row],[Old or New?]]="Old",1,0)+IF(Table41648[[#This Row],[If Crossman]]=1,1,0)=2,1,"")</f>
        <v>1</v>
      </c>
      <c r="M41" s="5" t="str">
        <f>IF(IF(Table41648[[#This Row],[Old or New?]]="Old",1,0)+IF(Table41648[[#This Row],[If Other]]=1,1,0)=2,1,"")</f>
        <v/>
      </c>
    </row>
    <row r="42" spans="1:13">
      <c r="A42" s="2" t="s">
        <v>12</v>
      </c>
      <c r="B42" s="2" t="s">
        <v>21</v>
      </c>
      <c r="C42" s="1">
        <v>23</v>
      </c>
      <c r="D42" s="2" t="s">
        <v>16</v>
      </c>
      <c r="E42" s="1">
        <v>9</v>
      </c>
      <c r="G42" s="5" t="str">
        <f>IF(Table41648[[#This Row],[Response]]="Crossman",1,"")</f>
        <v/>
      </c>
      <c r="H42" s="5" t="str">
        <f>IF(Table41648[[#This Row],[Response]]="","",IF(Table41648[[#This Row],[Response]]="Crossman","",1))</f>
        <v/>
      </c>
      <c r="I42" s="5" t="str">
        <f>IF(SUM(Table41648[[#This Row],[If Crossman]:[If Other]])=1,1,"")</f>
        <v/>
      </c>
      <c r="J42" s="5" t="str">
        <f>IF(IF(Table41648[[#This Row],[Old or New?]]="New",1,0)+IF(Table41648[[#This Row],[If Crossman]]=1,1,0)=2,1,"")</f>
        <v/>
      </c>
      <c r="K42" s="5" t="str">
        <f>IF(IF(Table41648[[#This Row],[Old or New?]]="New",1,0)+IF(Table41648[[#This Row],[If Other]]=1,1,0)=2,1,"")</f>
        <v/>
      </c>
      <c r="L42" s="5" t="str">
        <f>IF(IF(Table41648[[#This Row],[Old or New?]]="Old",1,0)+IF(Table41648[[#This Row],[If Crossman]]=1,1,0)=2,1,"")</f>
        <v/>
      </c>
      <c r="M42" s="5" t="str">
        <f>IF(IF(Table41648[[#This Row],[Old or New?]]="Old",1,0)+IF(Table41648[[#This Row],[If Other]]=1,1,0)=2,1,"")</f>
        <v/>
      </c>
    </row>
    <row r="43" spans="1:13">
      <c r="A43" s="2" t="s">
        <v>12</v>
      </c>
      <c r="B43" s="2" t="s">
        <v>5</v>
      </c>
      <c r="C43" s="1">
        <v>1</v>
      </c>
      <c r="D43" s="2" t="s">
        <v>16</v>
      </c>
      <c r="E43" s="1">
        <v>9</v>
      </c>
      <c r="G43" s="5" t="str">
        <f>IF(Table41648[[#This Row],[Response]]="Crossman",1,"")</f>
        <v/>
      </c>
      <c r="H43" s="5" t="str">
        <f>IF(Table41648[[#This Row],[Response]]="","",IF(Table41648[[#This Row],[Response]]="Crossman","",1))</f>
        <v/>
      </c>
      <c r="I43" s="5" t="str">
        <f>IF(SUM(Table41648[[#This Row],[If Crossman]:[If Other]])=1,1,"")</f>
        <v/>
      </c>
      <c r="J43" s="5" t="str">
        <f>IF(IF(Table41648[[#This Row],[Old or New?]]="New",1,0)+IF(Table41648[[#This Row],[If Crossman]]=1,1,0)=2,1,"")</f>
        <v/>
      </c>
      <c r="K43" s="5" t="str">
        <f>IF(IF(Table41648[[#This Row],[Old or New?]]="New",1,0)+IF(Table41648[[#This Row],[If Other]]=1,1,0)=2,1,"")</f>
        <v/>
      </c>
      <c r="L43" s="5" t="str">
        <f>IF(IF(Table41648[[#This Row],[Old or New?]]="Old",1,0)+IF(Table41648[[#This Row],[If Crossman]]=1,1,0)=2,1,"")</f>
        <v/>
      </c>
      <c r="M43" s="5" t="str">
        <f>IF(IF(Table41648[[#This Row],[Old or New?]]="Old",1,0)+IF(Table41648[[#This Row],[If Other]]=1,1,0)=2,1,"")</f>
        <v/>
      </c>
    </row>
    <row r="44" spans="1:13">
      <c r="A44" s="2" t="s">
        <v>12</v>
      </c>
      <c r="B44" s="2" t="s">
        <v>5</v>
      </c>
      <c r="C44" s="1">
        <v>2</v>
      </c>
      <c r="D44" s="2" t="s">
        <v>16</v>
      </c>
      <c r="E44" s="1">
        <v>9</v>
      </c>
      <c r="F44" s="1" t="s">
        <v>17</v>
      </c>
      <c r="G44" s="5">
        <f>IF(Table41648[[#This Row],[Response]]="Crossman",1,"")</f>
        <v>1</v>
      </c>
      <c r="H44" s="5" t="str">
        <f>IF(Table41648[[#This Row],[Response]]="","",IF(Table41648[[#This Row],[Response]]="Crossman","",1))</f>
        <v/>
      </c>
      <c r="I44" s="5">
        <f>IF(SUM(Table41648[[#This Row],[If Crossman]:[If Other]])=1,1,"")</f>
        <v>1</v>
      </c>
      <c r="J44" s="5" t="str">
        <f>IF(IF(Table41648[[#This Row],[Old or New?]]="New",1,0)+IF(Table41648[[#This Row],[If Crossman]]=1,1,0)=2,1,"")</f>
        <v/>
      </c>
      <c r="K44" s="5" t="str">
        <f>IF(IF(Table41648[[#This Row],[Old or New?]]="New",1,0)+IF(Table41648[[#This Row],[If Other]]=1,1,0)=2,1,"")</f>
        <v/>
      </c>
      <c r="L44" s="5">
        <f>IF(IF(Table41648[[#This Row],[Old or New?]]="Old",1,0)+IF(Table41648[[#This Row],[If Crossman]]=1,1,0)=2,1,"")</f>
        <v>1</v>
      </c>
      <c r="M44" s="5" t="str">
        <f>IF(IF(Table41648[[#This Row],[Old or New?]]="Old",1,0)+IF(Table41648[[#This Row],[If Other]]=1,1,0)=2,1,"")</f>
        <v/>
      </c>
    </row>
    <row r="45" spans="1:13">
      <c r="A45" s="2" t="s">
        <v>12</v>
      </c>
      <c r="B45" s="2" t="s">
        <v>5</v>
      </c>
      <c r="C45" s="1">
        <v>3</v>
      </c>
      <c r="D45" s="2" t="s">
        <v>16</v>
      </c>
      <c r="E45" s="1">
        <v>9</v>
      </c>
      <c r="F45" s="1" t="s">
        <v>17</v>
      </c>
      <c r="G45" s="5">
        <f>IF(Table41648[[#This Row],[Response]]="Crossman",1,"")</f>
        <v>1</v>
      </c>
      <c r="H45" s="5" t="str">
        <f>IF(Table41648[[#This Row],[Response]]="","",IF(Table41648[[#This Row],[Response]]="Crossman","",1))</f>
        <v/>
      </c>
      <c r="I45" s="5">
        <f>IF(SUM(Table41648[[#This Row],[If Crossman]:[If Other]])=1,1,"")</f>
        <v>1</v>
      </c>
      <c r="J45" s="5" t="str">
        <f>IF(IF(Table41648[[#This Row],[Old or New?]]="New",1,0)+IF(Table41648[[#This Row],[If Crossman]]=1,1,0)=2,1,"")</f>
        <v/>
      </c>
      <c r="K45" s="5" t="str">
        <f>IF(IF(Table41648[[#This Row],[Old or New?]]="New",1,0)+IF(Table41648[[#This Row],[If Other]]=1,1,0)=2,1,"")</f>
        <v/>
      </c>
      <c r="L45" s="5">
        <f>IF(IF(Table41648[[#This Row],[Old or New?]]="Old",1,0)+IF(Table41648[[#This Row],[If Crossman]]=1,1,0)=2,1,"")</f>
        <v>1</v>
      </c>
      <c r="M45" s="5" t="str">
        <f>IF(IF(Table41648[[#This Row],[Old or New?]]="Old",1,0)+IF(Table41648[[#This Row],[If Other]]=1,1,0)=2,1,"")</f>
        <v/>
      </c>
    </row>
    <row r="46" spans="1:13">
      <c r="A46" s="2" t="s">
        <v>12</v>
      </c>
      <c r="B46" s="2" t="s">
        <v>5</v>
      </c>
      <c r="C46" s="1">
        <v>4</v>
      </c>
      <c r="D46" s="2" t="s">
        <v>16</v>
      </c>
      <c r="E46" s="1">
        <v>9</v>
      </c>
      <c r="G46" s="5" t="str">
        <f>IF(Table41648[[#This Row],[Response]]="Crossman",1,"")</f>
        <v/>
      </c>
      <c r="H46" s="5" t="str">
        <f>IF(Table41648[[#This Row],[Response]]="","",IF(Table41648[[#This Row],[Response]]="Crossman","",1))</f>
        <v/>
      </c>
      <c r="I46" s="5" t="str">
        <f>IF(SUM(Table41648[[#This Row],[If Crossman]:[If Other]])=1,1,"")</f>
        <v/>
      </c>
      <c r="J46" s="5" t="str">
        <f>IF(IF(Table41648[[#This Row],[Old or New?]]="New",1,0)+IF(Table41648[[#This Row],[If Crossman]]=1,1,0)=2,1,"")</f>
        <v/>
      </c>
      <c r="K46" s="5" t="str">
        <f>IF(IF(Table41648[[#This Row],[Old or New?]]="New",1,0)+IF(Table41648[[#This Row],[If Other]]=1,1,0)=2,1,"")</f>
        <v/>
      </c>
      <c r="L46" s="5" t="str">
        <f>IF(IF(Table41648[[#This Row],[Old or New?]]="Old",1,0)+IF(Table41648[[#This Row],[If Crossman]]=1,1,0)=2,1,"")</f>
        <v/>
      </c>
      <c r="M46" s="5" t="str">
        <f>IF(IF(Table41648[[#This Row],[Old or New?]]="Old",1,0)+IF(Table41648[[#This Row],[If Other]]=1,1,0)=2,1,"")</f>
        <v/>
      </c>
    </row>
    <row r="47" spans="1:13">
      <c r="A47" s="2" t="s">
        <v>12</v>
      </c>
      <c r="B47" s="2" t="s">
        <v>5</v>
      </c>
      <c r="C47" s="1">
        <v>5</v>
      </c>
      <c r="D47" s="2" t="s">
        <v>16</v>
      </c>
      <c r="E47" s="1">
        <v>9</v>
      </c>
      <c r="F47" s="1" t="s">
        <v>17</v>
      </c>
      <c r="G47" s="5">
        <f>IF(Table41648[[#This Row],[Response]]="Crossman",1,"")</f>
        <v>1</v>
      </c>
      <c r="H47" s="5" t="str">
        <f>IF(Table41648[[#This Row],[Response]]="","",IF(Table41648[[#This Row],[Response]]="Crossman","",1))</f>
        <v/>
      </c>
      <c r="I47" s="5">
        <f>IF(SUM(Table41648[[#This Row],[If Crossman]:[If Other]])=1,1,"")</f>
        <v>1</v>
      </c>
      <c r="J47" s="5" t="str">
        <f>IF(IF(Table41648[[#This Row],[Old or New?]]="New",1,0)+IF(Table41648[[#This Row],[If Crossman]]=1,1,0)=2,1,"")</f>
        <v/>
      </c>
      <c r="K47" s="5" t="str">
        <f>IF(IF(Table41648[[#This Row],[Old or New?]]="New",1,0)+IF(Table41648[[#This Row],[If Other]]=1,1,0)=2,1,"")</f>
        <v/>
      </c>
      <c r="L47" s="5">
        <f>IF(IF(Table41648[[#This Row],[Old or New?]]="Old",1,0)+IF(Table41648[[#This Row],[If Crossman]]=1,1,0)=2,1,"")</f>
        <v>1</v>
      </c>
      <c r="M47" s="5" t="str">
        <f>IF(IF(Table41648[[#This Row],[Old or New?]]="Old",1,0)+IF(Table41648[[#This Row],[If Other]]=1,1,0)=2,1,"")</f>
        <v/>
      </c>
    </row>
    <row r="48" spans="1:13">
      <c r="A48" s="2" t="s">
        <v>12</v>
      </c>
      <c r="B48" s="2" t="s">
        <v>5</v>
      </c>
      <c r="C48" s="1">
        <v>6</v>
      </c>
      <c r="D48" s="2" t="s">
        <v>16</v>
      </c>
      <c r="E48" s="1">
        <v>9</v>
      </c>
      <c r="F48" s="1" t="s">
        <v>17</v>
      </c>
      <c r="G48" s="5">
        <f>IF(Table41648[[#This Row],[Response]]="Crossman",1,"")</f>
        <v>1</v>
      </c>
      <c r="H48" s="5" t="str">
        <f>IF(Table41648[[#This Row],[Response]]="","",IF(Table41648[[#This Row],[Response]]="Crossman","",1))</f>
        <v/>
      </c>
      <c r="I48" s="5">
        <f>IF(SUM(Table41648[[#This Row],[If Crossman]:[If Other]])=1,1,"")</f>
        <v>1</v>
      </c>
      <c r="J48" s="5" t="str">
        <f>IF(IF(Table41648[[#This Row],[Old or New?]]="New",1,0)+IF(Table41648[[#This Row],[If Crossman]]=1,1,0)=2,1,"")</f>
        <v/>
      </c>
      <c r="K48" s="5" t="str">
        <f>IF(IF(Table41648[[#This Row],[Old or New?]]="New",1,0)+IF(Table41648[[#This Row],[If Other]]=1,1,0)=2,1,"")</f>
        <v/>
      </c>
      <c r="L48" s="5">
        <f>IF(IF(Table41648[[#This Row],[Old or New?]]="Old",1,0)+IF(Table41648[[#This Row],[If Crossman]]=1,1,0)=2,1,"")</f>
        <v>1</v>
      </c>
      <c r="M48" s="5" t="str">
        <f>IF(IF(Table41648[[#This Row],[Old or New?]]="Old",1,0)+IF(Table41648[[#This Row],[If Other]]=1,1,0)=2,1,"")</f>
        <v/>
      </c>
    </row>
    <row r="49" spans="1:13">
      <c r="A49" s="2" t="s">
        <v>12</v>
      </c>
      <c r="B49" s="2" t="s">
        <v>5</v>
      </c>
      <c r="C49" s="1">
        <v>7</v>
      </c>
      <c r="D49" s="2" t="s">
        <v>16</v>
      </c>
      <c r="E49" s="1">
        <v>9</v>
      </c>
      <c r="G49" s="5" t="str">
        <f>IF(Table41648[[#This Row],[Response]]="Crossman",1,"")</f>
        <v/>
      </c>
      <c r="H49" s="5" t="str">
        <f>IF(Table41648[[#This Row],[Response]]="","",IF(Table41648[[#This Row],[Response]]="Crossman","",1))</f>
        <v/>
      </c>
      <c r="I49" s="5" t="str">
        <f>IF(SUM(Table41648[[#This Row],[If Crossman]:[If Other]])=1,1,"")</f>
        <v/>
      </c>
      <c r="J49" s="5" t="str">
        <f>IF(IF(Table41648[[#This Row],[Old or New?]]="New",1,0)+IF(Table41648[[#This Row],[If Crossman]]=1,1,0)=2,1,"")</f>
        <v/>
      </c>
      <c r="K49" s="5" t="str">
        <f>IF(IF(Table41648[[#This Row],[Old or New?]]="New",1,0)+IF(Table41648[[#This Row],[If Other]]=1,1,0)=2,1,"")</f>
        <v/>
      </c>
      <c r="L49" s="5" t="str">
        <f>IF(IF(Table41648[[#This Row],[Old or New?]]="Old",1,0)+IF(Table41648[[#This Row],[If Crossman]]=1,1,0)=2,1,"")</f>
        <v/>
      </c>
      <c r="M49" s="5" t="str">
        <f>IF(IF(Table41648[[#This Row],[Old or New?]]="Old",1,0)+IF(Table41648[[#This Row],[If Other]]=1,1,0)=2,1,"")</f>
        <v/>
      </c>
    </row>
    <row r="50" spans="1:13">
      <c r="A50" s="2" t="s">
        <v>12</v>
      </c>
      <c r="B50" s="2" t="s">
        <v>5</v>
      </c>
      <c r="C50" s="1">
        <v>8</v>
      </c>
      <c r="D50" s="2" t="s">
        <v>16</v>
      </c>
      <c r="E50" s="1">
        <v>9</v>
      </c>
      <c r="G50" s="5" t="str">
        <f>IF(Table41648[[#This Row],[Response]]="Crossman",1,"")</f>
        <v/>
      </c>
      <c r="H50" s="5" t="str">
        <f>IF(Table41648[[#This Row],[Response]]="","",IF(Table41648[[#This Row],[Response]]="Crossman","",1))</f>
        <v/>
      </c>
      <c r="I50" s="5" t="str">
        <f>IF(SUM(Table41648[[#This Row],[If Crossman]:[If Other]])=1,1,"")</f>
        <v/>
      </c>
      <c r="J50" s="5" t="str">
        <f>IF(IF(Table41648[[#This Row],[Old or New?]]="New",1,0)+IF(Table41648[[#This Row],[If Crossman]]=1,1,0)=2,1,"")</f>
        <v/>
      </c>
      <c r="K50" s="5" t="str">
        <f>IF(IF(Table41648[[#This Row],[Old or New?]]="New",1,0)+IF(Table41648[[#This Row],[If Other]]=1,1,0)=2,1,"")</f>
        <v/>
      </c>
      <c r="L50" s="5" t="str">
        <f>IF(IF(Table41648[[#This Row],[Old or New?]]="Old",1,0)+IF(Table41648[[#This Row],[If Crossman]]=1,1,0)=2,1,"")</f>
        <v/>
      </c>
      <c r="M50" s="5" t="str">
        <f>IF(IF(Table41648[[#This Row],[Old or New?]]="Old",1,0)+IF(Table41648[[#This Row],[If Other]]=1,1,0)=2,1,"")</f>
        <v/>
      </c>
    </row>
    <row r="51" spans="1:13">
      <c r="A51" s="2" t="s">
        <v>12</v>
      </c>
      <c r="B51" s="2" t="s">
        <v>5</v>
      </c>
      <c r="C51" s="1">
        <v>9</v>
      </c>
      <c r="D51" s="2" t="s">
        <v>16</v>
      </c>
      <c r="E51" s="1">
        <v>9</v>
      </c>
      <c r="G51" s="5" t="str">
        <f>IF(Table41648[[#This Row],[Response]]="Crossman",1,"")</f>
        <v/>
      </c>
      <c r="H51" s="5" t="str">
        <f>IF(Table41648[[#This Row],[Response]]="","",IF(Table41648[[#This Row],[Response]]="Crossman","",1))</f>
        <v/>
      </c>
      <c r="I51" s="5" t="str">
        <f>IF(SUM(Table41648[[#This Row],[If Crossman]:[If Other]])=1,1,"")</f>
        <v/>
      </c>
      <c r="J51" s="5" t="str">
        <f>IF(IF(Table41648[[#This Row],[Old or New?]]="New",1,0)+IF(Table41648[[#This Row],[If Crossman]]=1,1,0)=2,1,"")</f>
        <v/>
      </c>
      <c r="K51" s="5" t="str">
        <f>IF(IF(Table41648[[#This Row],[Old or New?]]="New",1,0)+IF(Table41648[[#This Row],[If Other]]=1,1,0)=2,1,"")</f>
        <v/>
      </c>
      <c r="L51" s="5" t="str">
        <f>IF(IF(Table41648[[#This Row],[Old or New?]]="Old",1,0)+IF(Table41648[[#This Row],[If Crossman]]=1,1,0)=2,1,"")</f>
        <v/>
      </c>
      <c r="M51" s="5" t="str">
        <f>IF(IF(Table41648[[#This Row],[Old or New?]]="Old",1,0)+IF(Table41648[[#This Row],[If Other]]=1,1,0)=2,1,"")</f>
        <v/>
      </c>
    </row>
    <row r="52" spans="1:13">
      <c r="A52" s="2" t="s">
        <v>12</v>
      </c>
      <c r="B52" s="2" t="s">
        <v>5</v>
      </c>
      <c r="C52" s="1">
        <v>10</v>
      </c>
      <c r="D52" s="2" t="s">
        <v>16</v>
      </c>
      <c r="E52" s="1">
        <v>9</v>
      </c>
      <c r="G52" s="5" t="str">
        <f>IF(Table41648[[#This Row],[Response]]="Crossman",1,"")</f>
        <v/>
      </c>
      <c r="H52" s="5" t="str">
        <f>IF(Table41648[[#This Row],[Response]]="","",IF(Table41648[[#This Row],[Response]]="Crossman","",1))</f>
        <v/>
      </c>
      <c r="I52" s="5" t="str">
        <f>IF(SUM(Table41648[[#This Row],[If Crossman]:[If Other]])=1,1,"")</f>
        <v/>
      </c>
      <c r="J52" s="5" t="str">
        <f>IF(IF(Table41648[[#This Row],[Old or New?]]="New",1,0)+IF(Table41648[[#This Row],[If Crossman]]=1,1,0)=2,1,"")</f>
        <v/>
      </c>
      <c r="K52" s="5" t="str">
        <f>IF(IF(Table41648[[#This Row],[Old or New?]]="New",1,0)+IF(Table41648[[#This Row],[If Other]]=1,1,0)=2,1,"")</f>
        <v/>
      </c>
      <c r="L52" s="5" t="str">
        <f>IF(IF(Table41648[[#This Row],[Old or New?]]="Old",1,0)+IF(Table41648[[#This Row],[If Crossman]]=1,1,0)=2,1,"")</f>
        <v/>
      </c>
      <c r="M52" s="5" t="str">
        <f>IF(IF(Table41648[[#This Row],[Old or New?]]="Old",1,0)+IF(Table41648[[#This Row],[If Other]]=1,1,0)=2,1,"")</f>
        <v/>
      </c>
    </row>
    <row r="53" spans="1:13">
      <c r="A53" s="2" t="s">
        <v>12</v>
      </c>
      <c r="B53" s="2" t="s">
        <v>5</v>
      </c>
      <c r="C53" s="1">
        <v>11</v>
      </c>
      <c r="D53" s="2" t="s">
        <v>16</v>
      </c>
      <c r="E53" s="1">
        <v>9</v>
      </c>
      <c r="G53" s="5" t="str">
        <f>IF(Table41648[[#This Row],[Response]]="Crossman",1,"")</f>
        <v/>
      </c>
      <c r="H53" s="5" t="str">
        <f>IF(Table41648[[#This Row],[Response]]="","",IF(Table41648[[#This Row],[Response]]="Crossman","",1))</f>
        <v/>
      </c>
      <c r="I53" s="5" t="str">
        <f>IF(SUM(Table41648[[#This Row],[If Crossman]:[If Other]])=1,1,"")</f>
        <v/>
      </c>
      <c r="J53" s="5" t="str">
        <f>IF(IF(Table41648[[#This Row],[Old or New?]]="New",1,0)+IF(Table41648[[#This Row],[If Crossman]]=1,1,0)=2,1,"")</f>
        <v/>
      </c>
      <c r="K53" s="5" t="str">
        <f>IF(IF(Table41648[[#This Row],[Old or New?]]="New",1,0)+IF(Table41648[[#This Row],[If Other]]=1,1,0)=2,1,"")</f>
        <v/>
      </c>
      <c r="L53" s="5" t="str">
        <f>IF(IF(Table41648[[#This Row],[Old or New?]]="Old",1,0)+IF(Table41648[[#This Row],[If Crossman]]=1,1,0)=2,1,"")</f>
        <v/>
      </c>
      <c r="M53" s="5" t="str">
        <f>IF(IF(Table41648[[#This Row],[Old or New?]]="Old",1,0)+IF(Table41648[[#This Row],[If Other]]=1,1,0)=2,1,"")</f>
        <v/>
      </c>
    </row>
    <row r="54" spans="1:13">
      <c r="A54" s="2" t="s">
        <v>12</v>
      </c>
      <c r="B54" s="2" t="s">
        <v>5</v>
      </c>
      <c r="C54" s="1">
        <v>12</v>
      </c>
      <c r="D54" s="2" t="s">
        <v>16</v>
      </c>
      <c r="E54" s="1">
        <v>9</v>
      </c>
      <c r="G54" s="5" t="str">
        <f>IF(Table41648[[#This Row],[Response]]="Crossman",1,"")</f>
        <v/>
      </c>
      <c r="H54" s="5" t="str">
        <f>IF(Table41648[[#This Row],[Response]]="","",IF(Table41648[[#This Row],[Response]]="Crossman","",1))</f>
        <v/>
      </c>
      <c r="I54" s="5" t="str">
        <f>IF(SUM(Table41648[[#This Row],[If Crossman]:[If Other]])=1,1,"")</f>
        <v/>
      </c>
      <c r="J54" s="5" t="str">
        <f>IF(IF(Table41648[[#This Row],[Old or New?]]="New",1,0)+IF(Table41648[[#This Row],[If Crossman]]=1,1,0)=2,1,"")</f>
        <v/>
      </c>
      <c r="K54" s="5" t="str">
        <f>IF(IF(Table41648[[#This Row],[Old or New?]]="New",1,0)+IF(Table41648[[#This Row],[If Other]]=1,1,0)=2,1,"")</f>
        <v/>
      </c>
      <c r="L54" s="5" t="str">
        <f>IF(IF(Table41648[[#This Row],[Old or New?]]="Old",1,0)+IF(Table41648[[#This Row],[If Crossman]]=1,1,0)=2,1,"")</f>
        <v/>
      </c>
      <c r="M54" s="5" t="str">
        <f>IF(IF(Table41648[[#This Row],[Old or New?]]="Old",1,0)+IF(Table41648[[#This Row],[If Other]]=1,1,0)=2,1,"")</f>
        <v/>
      </c>
    </row>
    <row r="55" spans="1:13">
      <c r="A55" s="2" t="s">
        <v>12</v>
      </c>
      <c r="B55" s="2" t="s">
        <v>5</v>
      </c>
      <c r="C55" s="1">
        <v>13</v>
      </c>
      <c r="D55" s="2" t="s">
        <v>16</v>
      </c>
      <c r="E55" s="1">
        <v>9</v>
      </c>
      <c r="G55" s="5" t="str">
        <f>IF(Table41648[[#This Row],[Response]]="Crossman",1,"")</f>
        <v/>
      </c>
      <c r="H55" s="5" t="str">
        <f>IF(Table41648[[#This Row],[Response]]="","",IF(Table41648[[#This Row],[Response]]="Crossman","",1))</f>
        <v/>
      </c>
      <c r="I55" s="5" t="str">
        <f>IF(SUM(Table41648[[#This Row],[If Crossman]:[If Other]])=1,1,"")</f>
        <v/>
      </c>
      <c r="J55" s="5" t="str">
        <f>IF(IF(Table41648[[#This Row],[Old or New?]]="New",1,0)+IF(Table41648[[#This Row],[If Crossman]]=1,1,0)=2,1,"")</f>
        <v/>
      </c>
      <c r="K55" s="5" t="str">
        <f>IF(IF(Table41648[[#This Row],[Old or New?]]="New",1,0)+IF(Table41648[[#This Row],[If Other]]=1,1,0)=2,1,"")</f>
        <v/>
      </c>
      <c r="L55" s="5" t="str">
        <f>IF(IF(Table41648[[#This Row],[Old or New?]]="Old",1,0)+IF(Table41648[[#This Row],[If Crossman]]=1,1,0)=2,1,"")</f>
        <v/>
      </c>
      <c r="M55" s="5" t="str">
        <f>IF(IF(Table41648[[#This Row],[Old or New?]]="Old",1,0)+IF(Table41648[[#This Row],[If Other]]=1,1,0)=2,1,"")</f>
        <v/>
      </c>
    </row>
    <row r="56" spans="1:13">
      <c r="A56" s="2" t="s">
        <v>12</v>
      </c>
      <c r="B56" s="2" t="s">
        <v>5</v>
      </c>
      <c r="C56" s="1">
        <v>14</v>
      </c>
      <c r="D56" s="2" t="s">
        <v>16</v>
      </c>
      <c r="E56" s="1">
        <v>9</v>
      </c>
      <c r="G56" s="5" t="str">
        <f>IF(Table41648[[#This Row],[Response]]="Crossman",1,"")</f>
        <v/>
      </c>
      <c r="H56" s="5" t="str">
        <f>IF(Table41648[[#This Row],[Response]]="","",IF(Table41648[[#This Row],[Response]]="Crossman","",1))</f>
        <v/>
      </c>
      <c r="I56" s="5" t="str">
        <f>IF(SUM(Table41648[[#This Row],[If Crossman]:[If Other]])=1,1,"")</f>
        <v/>
      </c>
      <c r="J56" s="5" t="str">
        <f>IF(IF(Table41648[[#This Row],[Old or New?]]="New",1,0)+IF(Table41648[[#This Row],[If Crossman]]=1,1,0)=2,1,"")</f>
        <v/>
      </c>
      <c r="K56" s="5" t="str">
        <f>IF(IF(Table41648[[#This Row],[Old or New?]]="New",1,0)+IF(Table41648[[#This Row],[If Other]]=1,1,0)=2,1,"")</f>
        <v/>
      </c>
      <c r="L56" s="5" t="str">
        <f>IF(IF(Table41648[[#This Row],[Old or New?]]="Old",1,0)+IF(Table41648[[#This Row],[If Crossman]]=1,1,0)=2,1,"")</f>
        <v/>
      </c>
      <c r="M56" s="5" t="str">
        <f>IF(IF(Table41648[[#This Row],[Old or New?]]="Old",1,0)+IF(Table41648[[#This Row],[If Other]]=1,1,0)=2,1,"")</f>
        <v/>
      </c>
    </row>
    <row r="57" spans="1:13">
      <c r="A57" s="2" t="s">
        <v>12</v>
      </c>
      <c r="B57" s="2" t="s">
        <v>5</v>
      </c>
      <c r="C57" s="1">
        <v>15</v>
      </c>
      <c r="D57" s="2" t="s">
        <v>16</v>
      </c>
      <c r="E57" s="1">
        <v>9</v>
      </c>
      <c r="F57" s="1" t="s">
        <v>17</v>
      </c>
      <c r="G57" s="5">
        <f>IF(Table41648[[#This Row],[Response]]="Crossman",1,"")</f>
        <v>1</v>
      </c>
      <c r="H57" s="5" t="str">
        <f>IF(Table41648[[#This Row],[Response]]="","",IF(Table41648[[#This Row],[Response]]="Crossman","",1))</f>
        <v/>
      </c>
      <c r="I57" s="5">
        <f>IF(SUM(Table41648[[#This Row],[If Crossman]:[If Other]])=1,1,"")</f>
        <v>1</v>
      </c>
      <c r="J57" s="5" t="str">
        <f>IF(IF(Table41648[[#This Row],[Old or New?]]="New",1,0)+IF(Table41648[[#This Row],[If Crossman]]=1,1,0)=2,1,"")</f>
        <v/>
      </c>
      <c r="K57" s="5" t="str">
        <f>IF(IF(Table41648[[#This Row],[Old or New?]]="New",1,0)+IF(Table41648[[#This Row],[If Other]]=1,1,0)=2,1,"")</f>
        <v/>
      </c>
      <c r="L57" s="5">
        <f>IF(IF(Table41648[[#This Row],[Old or New?]]="Old",1,0)+IF(Table41648[[#This Row],[If Crossman]]=1,1,0)=2,1,"")</f>
        <v>1</v>
      </c>
      <c r="M57" s="5" t="str">
        <f>IF(IF(Table41648[[#This Row],[Old or New?]]="Old",1,0)+IF(Table41648[[#This Row],[If Other]]=1,1,0)=2,1,"")</f>
        <v/>
      </c>
    </row>
    <row r="58" spans="1:13">
      <c r="A58" s="2" t="s">
        <v>12</v>
      </c>
      <c r="B58" s="2" t="s">
        <v>5</v>
      </c>
      <c r="C58" s="1">
        <v>16</v>
      </c>
      <c r="D58" s="2" t="s">
        <v>16</v>
      </c>
      <c r="E58" s="1">
        <v>9</v>
      </c>
      <c r="F58" s="1" t="s">
        <v>17</v>
      </c>
      <c r="G58" s="5">
        <f>IF(Table41648[[#This Row],[Response]]="Crossman",1,"")</f>
        <v>1</v>
      </c>
      <c r="H58" s="5" t="str">
        <f>IF(Table41648[[#This Row],[Response]]="","",IF(Table41648[[#This Row],[Response]]="Crossman","",1))</f>
        <v/>
      </c>
      <c r="I58" s="5">
        <f>IF(SUM(Table41648[[#This Row],[If Crossman]:[If Other]])=1,1,"")</f>
        <v>1</v>
      </c>
      <c r="J58" s="5" t="str">
        <f>IF(IF(Table41648[[#This Row],[Old or New?]]="New",1,0)+IF(Table41648[[#This Row],[If Crossman]]=1,1,0)=2,1,"")</f>
        <v/>
      </c>
      <c r="K58" s="5" t="str">
        <f>IF(IF(Table41648[[#This Row],[Old or New?]]="New",1,0)+IF(Table41648[[#This Row],[If Other]]=1,1,0)=2,1,"")</f>
        <v/>
      </c>
      <c r="L58" s="5">
        <f>IF(IF(Table41648[[#This Row],[Old or New?]]="Old",1,0)+IF(Table41648[[#This Row],[If Crossman]]=1,1,0)=2,1,"")</f>
        <v>1</v>
      </c>
      <c r="M58" s="5" t="str">
        <f>IF(IF(Table41648[[#This Row],[Old or New?]]="Old",1,0)+IF(Table41648[[#This Row],[If Other]]=1,1,0)=2,1,"")</f>
        <v/>
      </c>
    </row>
    <row r="59" spans="1:13">
      <c r="A59" s="2" t="s">
        <v>12</v>
      </c>
      <c r="B59" s="2" t="s">
        <v>5</v>
      </c>
      <c r="C59" s="1">
        <v>17</v>
      </c>
      <c r="D59" s="2" t="s">
        <v>16</v>
      </c>
      <c r="E59" s="1">
        <v>9</v>
      </c>
      <c r="G59" s="5" t="str">
        <f>IF(Table41648[[#This Row],[Response]]="Crossman",1,"")</f>
        <v/>
      </c>
      <c r="H59" s="5" t="str">
        <f>IF(Table41648[[#This Row],[Response]]="","",IF(Table41648[[#This Row],[Response]]="Crossman","",1))</f>
        <v/>
      </c>
      <c r="I59" s="5" t="str">
        <f>IF(SUM(Table41648[[#This Row],[If Crossman]:[If Other]])=1,1,"")</f>
        <v/>
      </c>
      <c r="J59" s="5" t="str">
        <f>IF(IF(Table41648[[#This Row],[Old or New?]]="New",1,0)+IF(Table41648[[#This Row],[If Crossman]]=1,1,0)=2,1,"")</f>
        <v/>
      </c>
      <c r="K59" s="5" t="str">
        <f>IF(IF(Table41648[[#This Row],[Old or New?]]="New",1,0)+IF(Table41648[[#This Row],[If Other]]=1,1,0)=2,1,"")</f>
        <v/>
      </c>
      <c r="L59" s="5" t="str">
        <f>IF(IF(Table41648[[#This Row],[Old or New?]]="Old",1,0)+IF(Table41648[[#This Row],[If Crossman]]=1,1,0)=2,1,"")</f>
        <v/>
      </c>
      <c r="M59" s="5" t="str">
        <f>IF(IF(Table41648[[#This Row],[Old or New?]]="Old",1,0)+IF(Table41648[[#This Row],[If Other]]=1,1,0)=2,1,"")</f>
        <v/>
      </c>
    </row>
    <row r="60" spans="1:13">
      <c r="A60" s="2" t="s">
        <v>12</v>
      </c>
      <c r="B60" s="2" t="s">
        <v>5</v>
      </c>
      <c r="C60" s="1">
        <v>18</v>
      </c>
      <c r="D60" s="2" t="s">
        <v>16</v>
      </c>
      <c r="E60" s="1">
        <v>9</v>
      </c>
      <c r="G60" s="5" t="str">
        <f>IF(Table41648[[#This Row],[Response]]="Crossman",1,"")</f>
        <v/>
      </c>
      <c r="H60" s="5" t="str">
        <f>IF(Table41648[[#This Row],[Response]]="","",IF(Table41648[[#This Row],[Response]]="Crossman","",1))</f>
        <v/>
      </c>
      <c r="I60" s="5" t="str">
        <f>IF(SUM(Table41648[[#This Row],[If Crossman]:[If Other]])=1,1,"")</f>
        <v/>
      </c>
      <c r="J60" s="5" t="str">
        <f>IF(IF(Table41648[[#This Row],[Old or New?]]="New",1,0)+IF(Table41648[[#This Row],[If Crossman]]=1,1,0)=2,1,"")</f>
        <v/>
      </c>
      <c r="K60" s="5" t="str">
        <f>IF(IF(Table41648[[#This Row],[Old or New?]]="New",1,0)+IF(Table41648[[#This Row],[If Other]]=1,1,0)=2,1,"")</f>
        <v/>
      </c>
      <c r="L60" s="5" t="str">
        <f>IF(IF(Table41648[[#This Row],[Old or New?]]="Old",1,0)+IF(Table41648[[#This Row],[If Crossman]]=1,1,0)=2,1,"")</f>
        <v/>
      </c>
      <c r="M60" s="5" t="str">
        <f>IF(IF(Table41648[[#This Row],[Old or New?]]="Old",1,0)+IF(Table41648[[#This Row],[If Other]]=1,1,0)=2,1,"")</f>
        <v/>
      </c>
    </row>
    <row r="61" spans="1:13">
      <c r="A61" s="2" t="s">
        <v>12</v>
      </c>
      <c r="B61" s="2" t="s">
        <v>5</v>
      </c>
      <c r="C61" s="2">
        <v>19</v>
      </c>
      <c r="D61" s="2" t="s">
        <v>16</v>
      </c>
      <c r="E61" s="1">
        <v>9</v>
      </c>
      <c r="F61" s="2" t="s">
        <v>17</v>
      </c>
      <c r="G61" s="5">
        <f>IF(Table41648[[#This Row],[Response]]="Crossman",1,"")</f>
        <v>1</v>
      </c>
      <c r="H61" s="5" t="str">
        <f>IF(Table41648[[#This Row],[Response]]="","",IF(Table41648[[#This Row],[Response]]="Crossman","",1))</f>
        <v/>
      </c>
      <c r="I61" s="5">
        <f>IF(SUM(Table41648[[#This Row],[If Crossman]:[If Other]])=1,1,"")</f>
        <v>1</v>
      </c>
      <c r="J61" s="5" t="str">
        <f>IF(IF(Table41648[[#This Row],[Old or New?]]="New",1,0)+IF(Table41648[[#This Row],[If Crossman]]=1,1,0)=2,1,"")</f>
        <v/>
      </c>
      <c r="K61" s="5" t="str">
        <f>IF(IF(Table41648[[#This Row],[Old or New?]]="New",1,0)+IF(Table41648[[#This Row],[If Other]]=1,1,0)=2,1,"")</f>
        <v/>
      </c>
      <c r="L61" s="5">
        <f>IF(IF(Table41648[[#This Row],[Old or New?]]="Old",1,0)+IF(Table41648[[#This Row],[If Crossman]]=1,1,0)=2,1,"")</f>
        <v>1</v>
      </c>
      <c r="M61" s="5" t="str">
        <f>IF(IF(Table41648[[#This Row],[Old or New?]]="Old",1,0)+IF(Table41648[[#This Row],[If Other]]=1,1,0)=2,1,"")</f>
        <v/>
      </c>
    </row>
    <row r="62" spans="1:13">
      <c r="A62" s="2" t="s">
        <v>12</v>
      </c>
      <c r="B62" s="2" t="s">
        <v>5</v>
      </c>
      <c r="C62" s="2">
        <v>20</v>
      </c>
      <c r="D62" s="2" t="s">
        <v>16</v>
      </c>
      <c r="E62" s="1">
        <v>9</v>
      </c>
      <c r="F62" s="2"/>
      <c r="G62" s="5" t="str">
        <f>IF(Table41648[[#This Row],[Response]]="Crossman",1,"")</f>
        <v/>
      </c>
      <c r="H62" s="5" t="str">
        <f>IF(Table41648[[#This Row],[Response]]="","",IF(Table41648[[#This Row],[Response]]="Crossman","",1))</f>
        <v/>
      </c>
      <c r="I62" s="5" t="str">
        <f>IF(SUM(Table41648[[#This Row],[If Crossman]:[If Other]])=1,1,"")</f>
        <v/>
      </c>
      <c r="J62" s="5" t="str">
        <f>IF(IF(Table41648[[#This Row],[Old or New?]]="New",1,0)+IF(Table41648[[#This Row],[If Crossman]]=1,1,0)=2,1,"")</f>
        <v/>
      </c>
      <c r="K62" s="5" t="str">
        <f>IF(IF(Table41648[[#This Row],[Old or New?]]="New",1,0)+IF(Table41648[[#This Row],[If Other]]=1,1,0)=2,1,"")</f>
        <v/>
      </c>
      <c r="L62" s="5" t="str">
        <f>IF(IF(Table41648[[#This Row],[Old or New?]]="Old",1,0)+IF(Table41648[[#This Row],[If Crossman]]=1,1,0)=2,1,"")</f>
        <v/>
      </c>
      <c r="M62" s="5" t="str">
        <f>IF(IF(Table41648[[#This Row],[Old or New?]]="Old",1,0)+IF(Table41648[[#This Row],[If Other]]=1,1,0)=2,1,"")</f>
        <v/>
      </c>
    </row>
    <row r="63" spans="1:13">
      <c r="A63" s="2" t="s">
        <v>12</v>
      </c>
      <c r="B63" s="2" t="s">
        <v>5</v>
      </c>
      <c r="C63" s="2">
        <v>21</v>
      </c>
      <c r="D63" s="2" t="s">
        <v>16</v>
      </c>
      <c r="E63" s="1">
        <v>9</v>
      </c>
      <c r="F63" s="2"/>
      <c r="G63" s="5" t="str">
        <f>IF(Table41648[[#This Row],[Response]]="Crossman",1,"")</f>
        <v/>
      </c>
      <c r="H63" s="5" t="str">
        <f>IF(Table41648[[#This Row],[Response]]="","",IF(Table41648[[#This Row],[Response]]="Crossman","",1))</f>
        <v/>
      </c>
      <c r="I63" s="5" t="str">
        <f>IF(SUM(Table41648[[#This Row],[If Crossman]:[If Other]])=1,1,"")</f>
        <v/>
      </c>
      <c r="J63" s="5" t="str">
        <f>IF(IF(Table41648[[#This Row],[Old or New?]]="New",1,0)+IF(Table41648[[#This Row],[If Crossman]]=1,1,0)=2,1,"")</f>
        <v/>
      </c>
      <c r="K63" s="5" t="str">
        <f>IF(IF(Table41648[[#This Row],[Old or New?]]="New",1,0)+IF(Table41648[[#This Row],[If Other]]=1,1,0)=2,1,"")</f>
        <v/>
      </c>
      <c r="L63" s="5" t="str">
        <f>IF(IF(Table41648[[#This Row],[Old or New?]]="Old",1,0)+IF(Table41648[[#This Row],[If Crossman]]=1,1,0)=2,1,"")</f>
        <v/>
      </c>
      <c r="M63" s="5" t="str">
        <f>IF(IF(Table41648[[#This Row],[Old or New?]]="Old",1,0)+IF(Table41648[[#This Row],[If Other]]=1,1,0)=2,1,"")</f>
        <v/>
      </c>
    </row>
    <row r="64" spans="1:13">
      <c r="A64" s="2" t="s">
        <v>12</v>
      </c>
      <c r="B64" s="2" t="s">
        <v>5</v>
      </c>
      <c r="C64" s="2">
        <v>22</v>
      </c>
      <c r="D64" s="2" t="s">
        <v>16</v>
      </c>
      <c r="E64" s="1">
        <v>9</v>
      </c>
      <c r="F64" s="2" t="s">
        <v>17</v>
      </c>
      <c r="G64" s="5">
        <f>IF(Table41648[[#This Row],[Response]]="Crossman",1,"")</f>
        <v>1</v>
      </c>
      <c r="H64" s="5" t="str">
        <f>IF(Table41648[[#This Row],[Response]]="","",IF(Table41648[[#This Row],[Response]]="Crossman","",1))</f>
        <v/>
      </c>
      <c r="I64" s="5">
        <f>IF(SUM(Table41648[[#This Row],[If Crossman]:[If Other]])=1,1,"")</f>
        <v>1</v>
      </c>
      <c r="J64" s="5" t="str">
        <f>IF(IF(Table41648[[#This Row],[Old or New?]]="New",1,0)+IF(Table41648[[#This Row],[If Crossman]]=1,1,0)=2,1,"")</f>
        <v/>
      </c>
      <c r="K64" s="5" t="str">
        <f>IF(IF(Table41648[[#This Row],[Old or New?]]="New",1,0)+IF(Table41648[[#This Row],[If Other]]=1,1,0)=2,1,"")</f>
        <v/>
      </c>
      <c r="L64" s="5">
        <f>IF(IF(Table41648[[#This Row],[Old or New?]]="Old",1,0)+IF(Table41648[[#This Row],[If Crossman]]=1,1,0)=2,1,"")</f>
        <v>1</v>
      </c>
      <c r="M64" s="5" t="str">
        <f>IF(IF(Table41648[[#This Row],[Old or New?]]="Old",1,0)+IF(Table41648[[#This Row],[If Other]]=1,1,0)=2,1,"")</f>
        <v/>
      </c>
    </row>
    <row r="65" spans="1:13">
      <c r="A65" s="2" t="s">
        <v>12</v>
      </c>
      <c r="B65" s="2" t="s">
        <v>5</v>
      </c>
      <c r="C65" s="2">
        <v>23</v>
      </c>
      <c r="D65" s="2" t="s">
        <v>16</v>
      </c>
      <c r="E65" s="1">
        <v>9</v>
      </c>
      <c r="F65" s="2"/>
      <c r="G65" s="5" t="str">
        <f>IF(Table41648[[#This Row],[Response]]="Crossman",1,"")</f>
        <v/>
      </c>
      <c r="H65" s="5" t="str">
        <f>IF(Table41648[[#This Row],[Response]]="","",IF(Table41648[[#This Row],[Response]]="Crossman","",1))</f>
        <v/>
      </c>
      <c r="I65" s="5" t="str">
        <f>IF(SUM(Table41648[[#This Row],[If Crossman]:[If Other]])=1,1,"")</f>
        <v/>
      </c>
      <c r="J65" s="5" t="str">
        <f>IF(IF(Table41648[[#This Row],[Old or New?]]="New",1,0)+IF(Table41648[[#This Row],[If Crossman]]=1,1,0)=2,1,"")</f>
        <v/>
      </c>
      <c r="K65" s="5" t="str">
        <f>IF(IF(Table41648[[#This Row],[Old or New?]]="New",1,0)+IF(Table41648[[#This Row],[If Other]]=1,1,0)=2,1,"")</f>
        <v/>
      </c>
      <c r="L65" s="5" t="str">
        <f>IF(IF(Table41648[[#This Row],[Old or New?]]="Old",1,0)+IF(Table41648[[#This Row],[If Crossman]]=1,1,0)=2,1,"")</f>
        <v/>
      </c>
      <c r="M65" s="5" t="str">
        <f>IF(IF(Table41648[[#This Row],[Old or New?]]="Old",1,0)+IF(Table41648[[#This Row],[If Other]]=1,1,0)=2,1,"")</f>
        <v/>
      </c>
    </row>
    <row r="66" spans="1:13">
      <c r="A66" s="2" t="s">
        <v>12</v>
      </c>
      <c r="B66" s="2" t="s">
        <v>5</v>
      </c>
      <c r="C66" s="2">
        <v>24</v>
      </c>
      <c r="D66" s="2" t="s">
        <v>16</v>
      </c>
      <c r="E66" s="1">
        <v>9</v>
      </c>
      <c r="F66" s="2"/>
      <c r="G66" s="5" t="str">
        <f>IF(Table41648[[#This Row],[Response]]="Crossman",1,"")</f>
        <v/>
      </c>
      <c r="H66" s="5" t="str">
        <f>IF(Table41648[[#This Row],[Response]]="","",IF(Table41648[[#This Row],[Response]]="Crossman","",1))</f>
        <v/>
      </c>
      <c r="I66" s="5" t="str">
        <f>IF(SUM(Table41648[[#This Row],[If Crossman]:[If Other]])=1,1,"")</f>
        <v/>
      </c>
      <c r="J66" s="5" t="str">
        <f>IF(IF(Table41648[[#This Row],[Old or New?]]="New",1,0)+IF(Table41648[[#This Row],[If Crossman]]=1,1,0)=2,1,"")</f>
        <v/>
      </c>
      <c r="K66" s="5" t="str">
        <f>IF(IF(Table41648[[#This Row],[Old or New?]]="New",1,0)+IF(Table41648[[#This Row],[If Other]]=1,1,0)=2,1,"")</f>
        <v/>
      </c>
      <c r="L66" s="5" t="str">
        <f>IF(IF(Table41648[[#This Row],[Old or New?]]="Old",1,0)+IF(Table41648[[#This Row],[If Crossman]]=1,1,0)=2,1,"")</f>
        <v/>
      </c>
      <c r="M66" s="5" t="str">
        <f>IF(IF(Table41648[[#This Row],[Old or New?]]="Old",1,0)+IF(Table41648[[#This Row],[If Other]]=1,1,0)=2,1,"")</f>
        <v/>
      </c>
    </row>
    <row r="67" spans="1:13">
      <c r="A67" s="1" t="s">
        <v>24</v>
      </c>
      <c r="B67" s="1" t="s">
        <v>23</v>
      </c>
      <c r="C67" s="1">
        <v>1</v>
      </c>
      <c r="D67" s="1" t="s">
        <v>16</v>
      </c>
      <c r="E67" s="1">
        <v>9</v>
      </c>
      <c r="F67" s="1" t="s">
        <v>17</v>
      </c>
      <c r="G67" s="5">
        <f>IF(Table41648[[#This Row],[Response]]="Crossman",1,"")</f>
        <v>1</v>
      </c>
      <c r="H67" s="5" t="str">
        <f>IF(Table41648[[#This Row],[Response]]="","",IF(Table41648[[#This Row],[Response]]="Crossman","",1))</f>
        <v/>
      </c>
      <c r="I67" s="5">
        <f>IF(SUM(Table41648[[#This Row],[If Crossman]:[If Other]])=1,1,"")</f>
        <v>1</v>
      </c>
      <c r="J67" s="5">
        <f>IF(IF(Table41648[[#This Row],[Old or New?]]="New",1,0)+IF(Table41648[[#This Row],[If Crossman]]=1,1,0)=2,1,"")</f>
        <v>1</v>
      </c>
      <c r="K67" s="5" t="str">
        <f>IF(IF(Table41648[[#This Row],[Old or New?]]="New",1,0)+IF(Table41648[[#This Row],[If Other]]=1,1,0)=2,1,"")</f>
        <v/>
      </c>
      <c r="L67" s="5" t="str">
        <f>IF(IF(Table41648[[#This Row],[Old or New?]]="Old",1,0)+IF(Table41648[[#This Row],[If Crossman]]=1,1,0)=2,1,"")</f>
        <v/>
      </c>
      <c r="M67" s="5" t="str">
        <f>IF(IF(Table41648[[#This Row],[Old or New?]]="Old",1,0)+IF(Table41648[[#This Row],[If Other]]=1,1,0)=2,1,"")</f>
        <v/>
      </c>
    </row>
    <row r="68" spans="1:13">
      <c r="A68" s="1" t="s">
        <v>24</v>
      </c>
      <c r="B68" s="1" t="s">
        <v>23</v>
      </c>
      <c r="C68" s="1">
        <v>2</v>
      </c>
      <c r="D68" s="1" t="s">
        <v>16</v>
      </c>
      <c r="E68" s="1">
        <v>9</v>
      </c>
      <c r="F68" s="1" t="s">
        <v>17</v>
      </c>
      <c r="G68" s="5">
        <f>IF(Table41648[[#This Row],[Response]]="Crossman",1,"")</f>
        <v>1</v>
      </c>
      <c r="H68" s="5" t="str">
        <f>IF(Table41648[[#This Row],[Response]]="","",IF(Table41648[[#This Row],[Response]]="Crossman","",1))</f>
        <v/>
      </c>
      <c r="I68" s="5">
        <f>IF(SUM(Table41648[[#This Row],[If Crossman]:[If Other]])=1,1,"")</f>
        <v>1</v>
      </c>
      <c r="J68" s="5">
        <f>IF(IF(Table41648[[#This Row],[Old or New?]]="New",1,0)+IF(Table41648[[#This Row],[If Crossman]]=1,1,0)=2,1,"")</f>
        <v>1</v>
      </c>
      <c r="K68" s="5" t="str">
        <f>IF(IF(Table41648[[#This Row],[Old or New?]]="New",1,0)+IF(Table41648[[#This Row],[If Other]]=1,1,0)=2,1,"")</f>
        <v/>
      </c>
      <c r="L68" s="5" t="str">
        <f>IF(IF(Table41648[[#This Row],[Old or New?]]="Old",1,0)+IF(Table41648[[#This Row],[If Crossman]]=1,1,0)=2,1,"")</f>
        <v/>
      </c>
      <c r="M68" s="5" t="str">
        <f>IF(IF(Table41648[[#This Row],[Old or New?]]="Old",1,0)+IF(Table41648[[#This Row],[If Other]]=1,1,0)=2,1,"")</f>
        <v/>
      </c>
    </row>
    <row r="69" spans="1:13">
      <c r="A69" s="1" t="s">
        <v>24</v>
      </c>
      <c r="B69" s="1" t="s">
        <v>23</v>
      </c>
      <c r="C69" s="1">
        <v>3</v>
      </c>
      <c r="D69" s="1" t="s">
        <v>16</v>
      </c>
      <c r="E69" s="1">
        <v>9</v>
      </c>
      <c r="F69" s="1" t="s">
        <v>17</v>
      </c>
      <c r="G69" s="5">
        <f>IF(Table41648[[#This Row],[Response]]="Crossman",1,"")</f>
        <v>1</v>
      </c>
      <c r="H69" s="5" t="str">
        <f>IF(Table41648[[#This Row],[Response]]="","",IF(Table41648[[#This Row],[Response]]="Crossman","",1))</f>
        <v/>
      </c>
      <c r="I69" s="5">
        <f>IF(SUM(Table41648[[#This Row],[If Crossman]:[If Other]])=1,1,"")</f>
        <v>1</v>
      </c>
      <c r="J69" s="5">
        <f>IF(IF(Table41648[[#This Row],[Old or New?]]="New",1,0)+IF(Table41648[[#This Row],[If Crossman]]=1,1,0)=2,1,"")</f>
        <v>1</v>
      </c>
      <c r="K69" s="5" t="str">
        <f>IF(IF(Table41648[[#This Row],[Old or New?]]="New",1,0)+IF(Table41648[[#This Row],[If Other]]=1,1,0)=2,1,"")</f>
        <v/>
      </c>
      <c r="L69" s="5" t="str">
        <f>IF(IF(Table41648[[#This Row],[Old or New?]]="Old",1,0)+IF(Table41648[[#This Row],[If Crossman]]=1,1,0)=2,1,"")</f>
        <v/>
      </c>
      <c r="M69" s="5" t="str">
        <f>IF(IF(Table41648[[#This Row],[Old or New?]]="Old",1,0)+IF(Table41648[[#This Row],[If Other]]=1,1,0)=2,1,"")</f>
        <v/>
      </c>
    </row>
    <row r="70" spans="1:13">
      <c r="A70" s="1" t="s">
        <v>24</v>
      </c>
      <c r="B70" s="1" t="s">
        <v>23</v>
      </c>
      <c r="C70" s="1">
        <v>4</v>
      </c>
      <c r="D70" s="1" t="s">
        <v>16</v>
      </c>
      <c r="E70" s="1">
        <v>9</v>
      </c>
      <c r="F70" s="1" t="s">
        <v>17</v>
      </c>
      <c r="G70" s="5">
        <f>IF(Table41648[[#This Row],[Response]]="Crossman",1,"")</f>
        <v>1</v>
      </c>
      <c r="H70" s="5" t="str">
        <f>IF(Table41648[[#This Row],[Response]]="","",IF(Table41648[[#This Row],[Response]]="Crossman","",1))</f>
        <v/>
      </c>
      <c r="I70" s="5">
        <f>IF(SUM(Table41648[[#This Row],[If Crossman]:[If Other]])=1,1,"")</f>
        <v>1</v>
      </c>
      <c r="J70" s="5">
        <f>IF(IF(Table41648[[#This Row],[Old or New?]]="New",1,0)+IF(Table41648[[#This Row],[If Crossman]]=1,1,0)=2,1,"")</f>
        <v>1</v>
      </c>
      <c r="K70" s="5" t="str">
        <f>IF(IF(Table41648[[#This Row],[Old or New?]]="New",1,0)+IF(Table41648[[#This Row],[If Other]]=1,1,0)=2,1,"")</f>
        <v/>
      </c>
      <c r="L70" s="5" t="str">
        <f>IF(IF(Table41648[[#This Row],[Old or New?]]="Old",1,0)+IF(Table41648[[#This Row],[If Crossman]]=1,1,0)=2,1,"")</f>
        <v/>
      </c>
      <c r="M70" s="5" t="str">
        <f>IF(IF(Table41648[[#This Row],[Old or New?]]="Old",1,0)+IF(Table41648[[#This Row],[If Other]]=1,1,0)=2,1,"")</f>
        <v/>
      </c>
    </row>
    <row r="71" spans="1:13">
      <c r="A71" s="1" t="s">
        <v>24</v>
      </c>
      <c r="B71" s="1" t="s">
        <v>23</v>
      </c>
      <c r="C71" s="1">
        <v>5</v>
      </c>
      <c r="D71" s="1" t="s">
        <v>16</v>
      </c>
      <c r="E71" s="1">
        <v>9</v>
      </c>
      <c r="F71" s="1" t="s">
        <v>17</v>
      </c>
      <c r="G71" s="5">
        <f>IF(Table41648[[#This Row],[Response]]="Crossman",1,"")</f>
        <v>1</v>
      </c>
      <c r="H71" s="5" t="str">
        <f>IF(Table41648[[#This Row],[Response]]="","",IF(Table41648[[#This Row],[Response]]="Crossman","",1))</f>
        <v/>
      </c>
      <c r="I71" s="5">
        <f>IF(SUM(Table41648[[#This Row],[If Crossman]:[If Other]])=1,1,"")</f>
        <v>1</v>
      </c>
      <c r="J71" s="5">
        <f>IF(IF(Table41648[[#This Row],[Old or New?]]="New",1,0)+IF(Table41648[[#This Row],[If Crossman]]=1,1,0)=2,1,"")</f>
        <v>1</v>
      </c>
      <c r="K71" s="5" t="str">
        <f>IF(IF(Table41648[[#This Row],[Old or New?]]="New",1,0)+IF(Table41648[[#This Row],[If Other]]=1,1,0)=2,1,"")</f>
        <v/>
      </c>
      <c r="L71" s="5" t="str">
        <f>IF(IF(Table41648[[#This Row],[Old or New?]]="Old",1,0)+IF(Table41648[[#This Row],[If Crossman]]=1,1,0)=2,1,"")</f>
        <v/>
      </c>
      <c r="M71" s="5" t="str">
        <f>IF(IF(Table41648[[#This Row],[Old or New?]]="Old",1,0)+IF(Table41648[[#This Row],[If Other]]=1,1,0)=2,1,"")</f>
        <v/>
      </c>
    </row>
    <row r="72" spans="1:13">
      <c r="A72" s="1" t="s">
        <v>24</v>
      </c>
      <c r="B72" s="1" t="s">
        <v>23</v>
      </c>
      <c r="C72" s="1">
        <v>6</v>
      </c>
      <c r="D72" s="1" t="s">
        <v>16</v>
      </c>
      <c r="E72" s="1">
        <v>9</v>
      </c>
      <c r="F72" s="1" t="s">
        <v>17</v>
      </c>
      <c r="G72" s="5">
        <f>IF(Table41648[[#This Row],[Response]]="Crossman",1,"")</f>
        <v>1</v>
      </c>
      <c r="H72" s="5" t="str">
        <f>IF(Table41648[[#This Row],[Response]]="","",IF(Table41648[[#This Row],[Response]]="Crossman","",1))</f>
        <v/>
      </c>
      <c r="I72" s="5">
        <f>IF(SUM(Table41648[[#This Row],[If Crossman]:[If Other]])=1,1,"")</f>
        <v>1</v>
      </c>
      <c r="J72" s="5">
        <f>IF(IF(Table41648[[#This Row],[Old or New?]]="New",1,0)+IF(Table41648[[#This Row],[If Crossman]]=1,1,0)=2,1,"")</f>
        <v>1</v>
      </c>
      <c r="K72" s="5" t="str">
        <f>IF(IF(Table41648[[#This Row],[Old or New?]]="New",1,0)+IF(Table41648[[#This Row],[If Other]]=1,1,0)=2,1,"")</f>
        <v/>
      </c>
      <c r="L72" s="5" t="str">
        <f>IF(IF(Table41648[[#This Row],[Old or New?]]="Old",1,0)+IF(Table41648[[#This Row],[If Crossman]]=1,1,0)=2,1,"")</f>
        <v/>
      </c>
      <c r="M72" s="5" t="str">
        <f>IF(IF(Table41648[[#This Row],[Old or New?]]="Old",1,0)+IF(Table41648[[#This Row],[If Other]]=1,1,0)=2,1,"")</f>
        <v/>
      </c>
    </row>
    <row r="73" spans="1:13">
      <c r="A73" s="1" t="s">
        <v>24</v>
      </c>
      <c r="B73" s="1" t="s">
        <v>23</v>
      </c>
      <c r="C73" s="1">
        <v>7</v>
      </c>
      <c r="D73" s="1" t="s">
        <v>16</v>
      </c>
      <c r="E73" s="1">
        <v>9</v>
      </c>
      <c r="F73" s="1" t="s">
        <v>17</v>
      </c>
      <c r="G73" s="5">
        <f>IF(Table41648[[#This Row],[Response]]="Crossman",1,"")</f>
        <v>1</v>
      </c>
      <c r="H73" s="5" t="str">
        <f>IF(Table41648[[#This Row],[Response]]="","",IF(Table41648[[#This Row],[Response]]="Crossman","",1))</f>
        <v/>
      </c>
      <c r="I73" s="5">
        <f>IF(SUM(Table41648[[#This Row],[If Crossman]:[If Other]])=1,1,"")</f>
        <v>1</v>
      </c>
      <c r="J73" s="5">
        <f>IF(IF(Table41648[[#This Row],[Old or New?]]="New",1,0)+IF(Table41648[[#This Row],[If Crossman]]=1,1,0)=2,1,"")</f>
        <v>1</v>
      </c>
      <c r="K73" s="5" t="str">
        <f>IF(IF(Table41648[[#This Row],[Old or New?]]="New",1,0)+IF(Table41648[[#This Row],[If Other]]=1,1,0)=2,1,"")</f>
        <v/>
      </c>
      <c r="L73" s="5" t="str">
        <f>IF(IF(Table41648[[#This Row],[Old or New?]]="Old",1,0)+IF(Table41648[[#This Row],[If Crossman]]=1,1,0)=2,1,"")</f>
        <v/>
      </c>
      <c r="M73" s="5" t="str">
        <f>IF(IF(Table41648[[#This Row],[Old or New?]]="Old",1,0)+IF(Table41648[[#This Row],[If Other]]=1,1,0)=2,1,"")</f>
        <v/>
      </c>
    </row>
    <row r="74" spans="1:13">
      <c r="A74" s="1" t="s">
        <v>24</v>
      </c>
      <c r="B74" s="1" t="s">
        <v>23</v>
      </c>
      <c r="C74" s="1">
        <v>8</v>
      </c>
      <c r="D74" s="1" t="s">
        <v>16</v>
      </c>
      <c r="E74" s="1">
        <v>9</v>
      </c>
      <c r="F74" s="1" t="s">
        <v>17</v>
      </c>
      <c r="G74" s="5">
        <f>IF(Table41648[[#This Row],[Response]]="Crossman",1,"")</f>
        <v>1</v>
      </c>
      <c r="H74" s="5" t="str">
        <f>IF(Table41648[[#This Row],[Response]]="","",IF(Table41648[[#This Row],[Response]]="Crossman","",1))</f>
        <v/>
      </c>
      <c r="I74" s="5">
        <f>IF(SUM(Table41648[[#This Row],[If Crossman]:[If Other]])=1,1,"")</f>
        <v>1</v>
      </c>
      <c r="J74" s="5">
        <f>IF(IF(Table41648[[#This Row],[Old or New?]]="New",1,0)+IF(Table41648[[#This Row],[If Crossman]]=1,1,0)=2,1,"")</f>
        <v>1</v>
      </c>
      <c r="K74" s="5" t="str">
        <f>IF(IF(Table41648[[#This Row],[Old or New?]]="New",1,0)+IF(Table41648[[#This Row],[If Other]]=1,1,0)=2,1,"")</f>
        <v/>
      </c>
      <c r="L74" s="5" t="str">
        <f>IF(IF(Table41648[[#This Row],[Old or New?]]="Old",1,0)+IF(Table41648[[#This Row],[If Crossman]]=1,1,0)=2,1,"")</f>
        <v/>
      </c>
      <c r="M74" s="5" t="str">
        <f>IF(IF(Table41648[[#This Row],[Old or New?]]="Old",1,0)+IF(Table41648[[#This Row],[If Other]]=1,1,0)=2,1,"")</f>
        <v/>
      </c>
    </row>
    <row r="75" spans="1:13">
      <c r="A75" s="1" t="s">
        <v>24</v>
      </c>
      <c r="B75" s="1" t="s">
        <v>23</v>
      </c>
      <c r="C75" s="1">
        <v>9</v>
      </c>
      <c r="D75" s="1" t="s">
        <v>16</v>
      </c>
      <c r="E75" s="1">
        <v>9</v>
      </c>
      <c r="F75" s="1" t="s">
        <v>17</v>
      </c>
      <c r="G75" s="5">
        <f>IF(Table41648[[#This Row],[Response]]="Crossman",1,"")</f>
        <v>1</v>
      </c>
      <c r="H75" s="5" t="str">
        <f>IF(Table41648[[#This Row],[Response]]="","",IF(Table41648[[#This Row],[Response]]="Crossman","",1))</f>
        <v/>
      </c>
      <c r="I75" s="5">
        <f>IF(SUM(Table41648[[#This Row],[If Crossman]:[If Other]])=1,1,"")</f>
        <v>1</v>
      </c>
      <c r="J75" s="5">
        <f>IF(IF(Table41648[[#This Row],[Old or New?]]="New",1,0)+IF(Table41648[[#This Row],[If Crossman]]=1,1,0)=2,1,"")</f>
        <v>1</v>
      </c>
      <c r="K75" s="5" t="str">
        <f>IF(IF(Table41648[[#This Row],[Old or New?]]="New",1,0)+IF(Table41648[[#This Row],[If Other]]=1,1,0)=2,1,"")</f>
        <v/>
      </c>
      <c r="L75" s="5" t="str">
        <f>IF(IF(Table41648[[#This Row],[Old or New?]]="Old",1,0)+IF(Table41648[[#This Row],[If Crossman]]=1,1,0)=2,1,"")</f>
        <v/>
      </c>
      <c r="M75" s="5" t="str">
        <f>IF(IF(Table41648[[#This Row],[Old or New?]]="Old",1,0)+IF(Table41648[[#This Row],[If Other]]=1,1,0)=2,1,"")</f>
        <v/>
      </c>
    </row>
    <row r="76" spans="1:13">
      <c r="A76" s="1" t="s">
        <v>24</v>
      </c>
      <c r="B76" s="1" t="s">
        <v>23</v>
      </c>
      <c r="C76" s="1">
        <v>10</v>
      </c>
      <c r="D76" s="1" t="s">
        <v>16</v>
      </c>
      <c r="E76" s="1">
        <v>9</v>
      </c>
      <c r="F76" s="1" t="s">
        <v>17</v>
      </c>
      <c r="G76" s="5">
        <f>IF(Table41648[[#This Row],[Response]]="Crossman",1,"")</f>
        <v>1</v>
      </c>
      <c r="H76" s="5" t="str">
        <f>IF(Table41648[[#This Row],[Response]]="","",IF(Table41648[[#This Row],[Response]]="Crossman","",1))</f>
        <v/>
      </c>
      <c r="I76" s="5">
        <f>IF(SUM(Table41648[[#This Row],[If Crossman]:[If Other]])=1,1,"")</f>
        <v>1</v>
      </c>
      <c r="J76" s="5">
        <f>IF(IF(Table41648[[#This Row],[Old or New?]]="New",1,0)+IF(Table41648[[#This Row],[If Crossman]]=1,1,0)=2,1,"")</f>
        <v>1</v>
      </c>
      <c r="K76" s="5" t="str">
        <f>IF(IF(Table41648[[#This Row],[Old or New?]]="New",1,0)+IF(Table41648[[#This Row],[If Other]]=1,1,0)=2,1,"")</f>
        <v/>
      </c>
      <c r="L76" s="5" t="str">
        <f>IF(IF(Table41648[[#This Row],[Old or New?]]="Old",1,0)+IF(Table41648[[#This Row],[If Crossman]]=1,1,0)=2,1,"")</f>
        <v/>
      </c>
      <c r="M76" s="5" t="str">
        <f>IF(IF(Table41648[[#This Row],[Old or New?]]="Old",1,0)+IF(Table41648[[#This Row],[If Other]]=1,1,0)=2,1,"")</f>
        <v/>
      </c>
    </row>
    <row r="77" spans="1:13">
      <c r="A77" s="1" t="s">
        <v>24</v>
      </c>
      <c r="B77" s="1" t="s">
        <v>23</v>
      </c>
      <c r="C77" s="1">
        <v>11</v>
      </c>
      <c r="D77" s="1" t="s">
        <v>16</v>
      </c>
      <c r="E77" s="1">
        <v>9</v>
      </c>
      <c r="F77" s="1" t="s">
        <v>17</v>
      </c>
      <c r="G77" s="5">
        <f>IF(Table41648[[#This Row],[Response]]="Crossman",1,"")</f>
        <v>1</v>
      </c>
      <c r="H77" s="5" t="str">
        <f>IF(Table41648[[#This Row],[Response]]="","",IF(Table41648[[#This Row],[Response]]="Crossman","",1))</f>
        <v/>
      </c>
      <c r="I77" s="5">
        <f>IF(SUM(Table41648[[#This Row],[If Crossman]:[If Other]])=1,1,"")</f>
        <v>1</v>
      </c>
      <c r="J77" s="5">
        <f>IF(IF(Table41648[[#This Row],[Old or New?]]="New",1,0)+IF(Table41648[[#This Row],[If Crossman]]=1,1,0)=2,1,"")</f>
        <v>1</v>
      </c>
      <c r="K77" s="5" t="str">
        <f>IF(IF(Table41648[[#This Row],[Old or New?]]="New",1,0)+IF(Table41648[[#This Row],[If Other]]=1,1,0)=2,1,"")</f>
        <v/>
      </c>
      <c r="L77" s="5" t="str">
        <f>IF(IF(Table41648[[#This Row],[Old or New?]]="Old",1,0)+IF(Table41648[[#This Row],[If Crossman]]=1,1,0)=2,1,"")</f>
        <v/>
      </c>
      <c r="M77" s="5" t="str">
        <f>IF(IF(Table41648[[#This Row],[Old or New?]]="Old",1,0)+IF(Table41648[[#This Row],[If Other]]=1,1,0)=2,1,"")</f>
        <v/>
      </c>
    </row>
    <row r="78" spans="1:13">
      <c r="A78" s="1" t="s">
        <v>24</v>
      </c>
      <c r="B78" s="1" t="s">
        <v>23</v>
      </c>
      <c r="C78" s="1">
        <v>12</v>
      </c>
      <c r="D78" s="1" t="s">
        <v>16</v>
      </c>
      <c r="E78" s="1">
        <v>9</v>
      </c>
      <c r="F78" s="1" t="s">
        <v>17</v>
      </c>
      <c r="G78" s="5">
        <f>IF(Table41648[[#This Row],[Response]]="Crossman",1,"")</f>
        <v>1</v>
      </c>
      <c r="H78" s="5" t="str">
        <f>IF(Table41648[[#This Row],[Response]]="","",IF(Table41648[[#This Row],[Response]]="Crossman","",1))</f>
        <v/>
      </c>
      <c r="I78" s="5">
        <f>IF(SUM(Table41648[[#This Row],[If Crossman]:[If Other]])=1,1,"")</f>
        <v>1</v>
      </c>
      <c r="J78" s="5">
        <f>IF(IF(Table41648[[#This Row],[Old or New?]]="New",1,0)+IF(Table41648[[#This Row],[If Crossman]]=1,1,0)=2,1,"")</f>
        <v>1</v>
      </c>
      <c r="K78" s="5" t="str">
        <f>IF(IF(Table41648[[#This Row],[Old or New?]]="New",1,0)+IF(Table41648[[#This Row],[If Other]]=1,1,0)=2,1,"")</f>
        <v/>
      </c>
      <c r="L78" s="5" t="str">
        <f>IF(IF(Table41648[[#This Row],[Old or New?]]="Old",1,0)+IF(Table41648[[#This Row],[If Crossman]]=1,1,0)=2,1,"")</f>
        <v/>
      </c>
      <c r="M78" s="5" t="str">
        <f>IF(IF(Table41648[[#This Row],[Old or New?]]="Old",1,0)+IF(Table41648[[#This Row],[If Other]]=1,1,0)=2,1,"")</f>
        <v/>
      </c>
    </row>
    <row r="79" spans="1:13">
      <c r="A79" s="1" t="s">
        <v>24</v>
      </c>
      <c r="B79" s="1" t="s">
        <v>23</v>
      </c>
      <c r="C79" s="1">
        <v>13</v>
      </c>
      <c r="D79" s="1" t="s">
        <v>16</v>
      </c>
      <c r="E79" s="1">
        <v>9</v>
      </c>
      <c r="F79" s="1" t="s">
        <v>17</v>
      </c>
      <c r="G79" s="5">
        <f>IF(Table41648[[#This Row],[Response]]="Crossman",1,"")</f>
        <v>1</v>
      </c>
      <c r="H79" s="5" t="str">
        <f>IF(Table41648[[#This Row],[Response]]="","",IF(Table41648[[#This Row],[Response]]="Crossman","",1))</f>
        <v/>
      </c>
      <c r="I79" s="5">
        <f>IF(SUM(Table41648[[#This Row],[If Crossman]:[If Other]])=1,1,"")</f>
        <v>1</v>
      </c>
      <c r="J79" s="5">
        <f>IF(IF(Table41648[[#This Row],[Old or New?]]="New",1,0)+IF(Table41648[[#This Row],[If Crossman]]=1,1,0)=2,1,"")</f>
        <v>1</v>
      </c>
      <c r="K79" s="5" t="str">
        <f>IF(IF(Table41648[[#This Row],[Old or New?]]="New",1,0)+IF(Table41648[[#This Row],[If Other]]=1,1,0)=2,1,"")</f>
        <v/>
      </c>
      <c r="L79" s="5" t="str">
        <f>IF(IF(Table41648[[#This Row],[Old or New?]]="Old",1,0)+IF(Table41648[[#This Row],[If Crossman]]=1,1,0)=2,1,"")</f>
        <v/>
      </c>
      <c r="M79" s="5" t="str">
        <f>IF(IF(Table41648[[#This Row],[Old or New?]]="Old",1,0)+IF(Table41648[[#This Row],[If Other]]=1,1,0)=2,1,"")</f>
        <v/>
      </c>
    </row>
    <row r="80" spans="1:13">
      <c r="A80" s="1" t="s">
        <v>24</v>
      </c>
      <c r="B80" s="1" t="s">
        <v>23</v>
      </c>
      <c r="C80" s="1">
        <v>14</v>
      </c>
      <c r="D80" s="1" t="s">
        <v>16</v>
      </c>
      <c r="E80" s="1">
        <v>9</v>
      </c>
      <c r="F80" s="1" t="s">
        <v>17</v>
      </c>
      <c r="G80" s="5">
        <f>IF(Table41648[[#This Row],[Response]]="Crossman",1,"")</f>
        <v>1</v>
      </c>
      <c r="H80" s="5" t="str">
        <f>IF(Table41648[[#This Row],[Response]]="","",IF(Table41648[[#This Row],[Response]]="Crossman","",1))</f>
        <v/>
      </c>
      <c r="I80" s="5">
        <f>IF(SUM(Table41648[[#This Row],[If Crossman]:[If Other]])=1,1,"")</f>
        <v>1</v>
      </c>
      <c r="J80" s="5">
        <f>IF(IF(Table41648[[#This Row],[Old or New?]]="New",1,0)+IF(Table41648[[#This Row],[If Crossman]]=1,1,0)=2,1,"")</f>
        <v>1</v>
      </c>
      <c r="K80" s="5" t="str">
        <f>IF(IF(Table41648[[#This Row],[Old or New?]]="New",1,0)+IF(Table41648[[#This Row],[If Other]]=1,1,0)=2,1,"")</f>
        <v/>
      </c>
      <c r="L80" s="5" t="str">
        <f>IF(IF(Table41648[[#This Row],[Old or New?]]="Old",1,0)+IF(Table41648[[#This Row],[If Crossman]]=1,1,0)=2,1,"")</f>
        <v/>
      </c>
      <c r="M80" s="5" t="str">
        <f>IF(IF(Table41648[[#This Row],[Old or New?]]="Old",1,0)+IF(Table41648[[#This Row],[If Other]]=1,1,0)=2,1,"")</f>
        <v/>
      </c>
    </row>
    <row r="81" spans="1:13">
      <c r="A81" s="1" t="s">
        <v>24</v>
      </c>
      <c r="B81" s="1" t="s">
        <v>23</v>
      </c>
      <c r="C81" s="1">
        <v>15</v>
      </c>
      <c r="D81" s="1" t="s">
        <v>16</v>
      </c>
      <c r="E81" s="1">
        <v>9</v>
      </c>
      <c r="F81" s="1" t="s">
        <v>17</v>
      </c>
      <c r="G81" s="5">
        <f>IF(Table41648[[#This Row],[Response]]="Crossman",1,"")</f>
        <v>1</v>
      </c>
      <c r="H81" s="5" t="str">
        <f>IF(Table41648[[#This Row],[Response]]="","",IF(Table41648[[#This Row],[Response]]="Crossman","",1))</f>
        <v/>
      </c>
      <c r="I81" s="5">
        <f>IF(SUM(Table41648[[#This Row],[If Crossman]:[If Other]])=1,1,"")</f>
        <v>1</v>
      </c>
      <c r="J81" s="5">
        <f>IF(IF(Table41648[[#This Row],[Old or New?]]="New",1,0)+IF(Table41648[[#This Row],[If Crossman]]=1,1,0)=2,1,"")</f>
        <v>1</v>
      </c>
      <c r="K81" s="5" t="str">
        <f>IF(IF(Table41648[[#This Row],[Old or New?]]="New",1,0)+IF(Table41648[[#This Row],[If Other]]=1,1,0)=2,1,"")</f>
        <v/>
      </c>
      <c r="L81" s="5" t="str">
        <f>IF(IF(Table41648[[#This Row],[Old or New?]]="Old",1,0)+IF(Table41648[[#This Row],[If Crossman]]=1,1,0)=2,1,"")</f>
        <v/>
      </c>
      <c r="M81" s="5" t="str">
        <f>IF(IF(Table41648[[#This Row],[Old or New?]]="Old",1,0)+IF(Table41648[[#This Row],[If Other]]=1,1,0)=2,1,"")</f>
        <v/>
      </c>
    </row>
    <row r="82" spans="1:13">
      <c r="A82" s="1" t="s">
        <v>24</v>
      </c>
      <c r="B82" s="1" t="s">
        <v>23</v>
      </c>
      <c r="C82" s="1">
        <v>16</v>
      </c>
      <c r="D82" s="1" t="s">
        <v>16</v>
      </c>
      <c r="E82" s="1">
        <v>9</v>
      </c>
      <c r="F82" s="1" t="s">
        <v>17</v>
      </c>
      <c r="G82" s="5">
        <f>IF(Table41648[[#This Row],[Response]]="Crossman",1,"")</f>
        <v>1</v>
      </c>
      <c r="H82" s="5" t="str">
        <f>IF(Table41648[[#This Row],[Response]]="","",IF(Table41648[[#This Row],[Response]]="Crossman","",1))</f>
        <v/>
      </c>
      <c r="I82" s="5">
        <f>IF(SUM(Table41648[[#This Row],[If Crossman]:[If Other]])=1,1,"")</f>
        <v>1</v>
      </c>
      <c r="J82" s="5">
        <f>IF(IF(Table41648[[#This Row],[Old or New?]]="New",1,0)+IF(Table41648[[#This Row],[If Crossman]]=1,1,0)=2,1,"")</f>
        <v>1</v>
      </c>
      <c r="K82" s="5" t="str">
        <f>IF(IF(Table41648[[#This Row],[Old or New?]]="New",1,0)+IF(Table41648[[#This Row],[If Other]]=1,1,0)=2,1,"")</f>
        <v/>
      </c>
      <c r="L82" s="5" t="str">
        <f>IF(IF(Table41648[[#This Row],[Old or New?]]="Old",1,0)+IF(Table41648[[#This Row],[If Crossman]]=1,1,0)=2,1,"")</f>
        <v/>
      </c>
      <c r="M82" s="5" t="str">
        <f>IF(IF(Table41648[[#This Row],[Old or New?]]="Old",1,0)+IF(Table41648[[#This Row],[If Other]]=1,1,0)=2,1,"")</f>
        <v/>
      </c>
    </row>
    <row r="83" spans="1:13">
      <c r="A83" s="1" t="s">
        <v>24</v>
      </c>
      <c r="B83" s="1" t="s">
        <v>25</v>
      </c>
      <c r="C83" s="1">
        <v>1</v>
      </c>
      <c r="D83" s="1" t="s">
        <v>16</v>
      </c>
      <c r="E83" s="1">
        <v>9</v>
      </c>
      <c r="F83" s="1" t="s">
        <v>17</v>
      </c>
      <c r="G83" s="5">
        <f>IF(Table41648[[#This Row],[Response]]="Crossman",1,"")</f>
        <v>1</v>
      </c>
      <c r="H83" s="5" t="str">
        <f>IF(Table41648[[#This Row],[Response]]="","",IF(Table41648[[#This Row],[Response]]="Crossman","",1))</f>
        <v/>
      </c>
      <c r="I83" s="5">
        <f>IF(SUM(Table41648[[#This Row],[If Crossman]:[If Other]])=1,1,"")</f>
        <v>1</v>
      </c>
      <c r="J83" s="5">
        <f>IF(IF(Table41648[[#This Row],[Old or New?]]="New",1,0)+IF(Table41648[[#This Row],[If Crossman]]=1,1,0)=2,1,"")</f>
        <v>1</v>
      </c>
      <c r="K83" s="5" t="str">
        <f>IF(IF(Table41648[[#This Row],[Old or New?]]="New",1,0)+IF(Table41648[[#This Row],[If Other]]=1,1,0)=2,1,"")</f>
        <v/>
      </c>
      <c r="L83" s="5" t="str">
        <f>IF(IF(Table41648[[#This Row],[Old or New?]]="Old",1,0)+IF(Table41648[[#This Row],[If Crossman]]=1,1,0)=2,1,"")</f>
        <v/>
      </c>
      <c r="M83" s="5" t="str">
        <f>IF(IF(Table41648[[#This Row],[Old or New?]]="Old",1,0)+IF(Table41648[[#This Row],[If Other]]=1,1,0)=2,1,"")</f>
        <v/>
      </c>
    </row>
    <row r="84" spans="1:13">
      <c r="A84" s="1" t="s">
        <v>24</v>
      </c>
      <c r="B84" s="1" t="s">
        <v>25</v>
      </c>
      <c r="C84" s="1">
        <v>2</v>
      </c>
      <c r="D84" s="1" t="s">
        <v>16</v>
      </c>
      <c r="E84" s="1">
        <v>9</v>
      </c>
      <c r="F84" s="1" t="s">
        <v>17</v>
      </c>
      <c r="G84" s="5">
        <f>IF(Table41648[[#This Row],[Response]]="Crossman",1,"")</f>
        <v>1</v>
      </c>
      <c r="H84" s="5" t="str">
        <f>IF(Table41648[[#This Row],[Response]]="","",IF(Table41648[[#This Row],[Response]]="Crossman","",1))</f>
        <v/>
      </c>
      <c r="I84" s="5">
        <f>IF(SUM(Table41648[[#This Row],[If Crossman]:[If Other]])=1,1,"")</f>
        <v>1</v>
      </c>
      <c r="J84" s="5">
        <f>IF(IF(Table41648[[#This Row],[Old or New?]]="New",1,0)+IF(Table41648[[#This Row],[If Crossman]]=1,1,0)=2,1,"")</f>
        <v>1</v>
      </c>
      <c r="K84" s="5" t="str">
        <f>IF(IF(Table41648[[#This Row],[Old or New?]]="New",1,0)+IF(Table41648[[#This Row],[If Other]]=1,1,0)=2,1,"")</f>
        <v/>
      </c>
      <c r="L84" s="5" t="str">
        <f>IF(IF(Table41648[[#This Row],[Old or New?]]="Old",1,0)+IF(Table41648[[#This Row],[If Crossman]]=1,1,0)=2,1,"")</f>
        <v/>
      </c>
      <c r="M84" s="5" t="str">
        <f>IF(IF(Table41648[[#This Row],[Old or New?]]="Old",1,0)+IF(Table41648[[#This Row],[If Other]]=1,1,0)=2,1,"")</f>
        <v/>
      </c>
    </row>
    <row r="85" spans="1:13">
      <c r="A85" s="1" t="s">
        <v>24</v>
      </c>
      <c r="B85" s="1" t="s">
        <v>25</v>
      </c>
      <c r="C85" s="1">
        <v>3</v>
      </c>
      <c r="D85" s="1" t="s">
        <v>16</v>
      </c>
      <c r="E85" s="1">
        <v>9</v>
      </c>
      <c r="F85" s="1" t="s">
        <v>17</v>
      </c>
      <c r="G85" s="5">
        <f>IF(Table41648[[#This Row],[Response]]="Crossman",1,"")</f>
        <v>1</v>
      </c>
      <c r="H85" s="5" t="str">
        <f>IF(Table41648[[#This Row],[Response]]="","",IF(Table41648[[#This Row],[Response]]="Crossman","",1))</f>
        <v/>
      </c>
      <c r="I85" s="5">
        <f>IF(SUM(Table41648[[#This Row],[If Crossman]:[If Other]])=1,1,"")</f>
        <v>1</v>
      </c>
      <c r="J85" s="5">
        <f>IF(IF(Table41648[[#This Row],[Old or New?]]="New",1,0)+IF(Table41648[[#This Row],[If Crossman]]=1,1,0)=2,1,"")</f>
        <v>1</v>
      </c>
      <c r="K85" s="5" t="str">
        <f>IF(IF(Table41648[[#This Row],[Old or New?]]="New",1,0)+IF(Table41648[[#This Row],[If Other]]=1,1,0)=2,1,"")</f>
        <v/>
      </c>
      <c r="L85" s="5" t="str">
        <f>IF(IF(Table41648[[#This Row],[Old or New?]]="Old",1,0)+IF(Table41648[[#This Row],[If Crossman]]=1,1,0)=2,1,"")</f>
        <v/>
      </c>
      <c r="M85" s="5" t="str">
        <f>IF(IF(Table41648[[#This Row],[Old or New?]]="Old",1,0)+IF(Table41648[[#This Row],[If Other]]=1,1,0)=2,1,"")</f>
        <v/>
      </c>
    </row>
    <row r="86" spans="1:13">
      <c r="A86" s="1" t="s">
        <v>24</v>
      </c>
      <c r="B86" s="1" t="s">
        <v>25</v>
      </c>
      <c r="C86" s="1">
        <v>4</v>
      </c>
      <c r="D86" s="1" t="s">
        <v>16</v>
      </c>
      <c r="E86" s="1">
        <v>9</v>
      </c>
      <c r="F86" s="1" t="s">
        <v>17</v>
      </c>
      <c r="G86" s="5">
        <f>IF(Table41648[[#This Row],[Response]]="Crossman",1,"")</f>
        <v>1</v>
      </c>
      <c r="H86" s="5" t="str">
        <f>IF(Table41648[[#This Row],[Response]]="","",IF(Table41648[[#This Row],[Response]]="Crossman","",1))</f>
        <v/>
      </c>
      <c r="I86" s="5">
        <f>IF(SUM(Table41648[[#This Row],[If Crossman]:[If Other]])=1,1,"")</f>
        <v>1</v>
      </c>
      <c r="J86" s="5">
        <f>IF(IF(Table41648[[#This Row],[Old or New?]]="New",1,0)+IF(Table41648[[#This Row],[If Crossman]]=1,1,0)=2,1,"")</f>
        <v>1</v>
      </c>
      <c r="K86" s="5" t="str">
        <f>IF(IF(Table41648[[#This Row],[Old or New?]]="New",1,0)+IF(Table41648[[#This Row],[If Other]]=1,1,0)=2,1,"")</f>
        <v/>
      </c>
      <c r="L86" s="5" t="str">
        <f>IF(IF(Table41648[[#This Row],[Old or New?]]="Old",1,0)+IF(Table41648[[#This Row],[If Crossman]]=1,1,0)=2,1,"")</f>
        <v/>
      </c>
      <c r="M86" s="5" t="str">
        <f>IF(IF(Table41648[[#This Row],[Old or New?]]="Old",1,0)+IF(Table41648[[#This Row],[If Other]]=1,1,0)=2,1,"")</f>
        <v/>
      </c>
    </row>
    <row r="87" spans="1:13">
      <c r="A87" s="1" t="s">
        <v>24</v>
      </c>
      <c r="B87" s="1" t="s">
        <v>25</v>
      </c>
      <c r="C87" s="1">
        <v>5</v>
      </c>
      <c r="D87" s="1" t="s">
        <v>16</v>
      </c>
      <c r="E87" s="1">
        <v>9</v>
      </c>
      <c r="F87" s="1" t="s">
        <v>17</v>
      </c>
      <c r="G87" s="5">
        <f>IF(Table41648[[#This Row],[Response]]="Crossman",1,"")</f>
        <v>1</v>
      </c>
      <c r="H87" s="5" t="str">
        <f>IF(Table41648[[#This Row],[Response]]="","",IF(Table41648[[#This Row],[Response]]="Crossman","",1))</f>
        <v/>
      </c>
      <c r="I87" s="5">
        <f>IF(SUM(Table41648[[#This Row],[If Crossman]:[If Other]])=1,1,"")</f>
        <v>1</v>
      </c>
      <c r="J87" s="5">
        <f>IF(IF(Table41648[[#This Row],[Old or New?]]="New",1,0)+IF(Table41648[[#This Row],[If Crossman]]=1,1,0)=2,1,"")</f>
        <v>1</v>
      </c>
      <c r="K87" s="5" t="str">
        <f>IF(IF(Table41648[[#This Row],[Old or New?]]="New",1,0)+IF(Table41648[[#This Row],[If Other]]=1,1,0)=2,1,"")</f>
        <v/>
      </c>
      <c r="L87" s="5" t="str">
        <f>IF(IF(Table41648[[#This Row],[Old or New?]]="Old",1,0)+IF(Table41648[[#This Row],[If Crossman]]=1,1,0)=2,1,"")</f>
        <v/>
      </c>
      <c r="M87" s="5" t="str">
        <f>IF(IF(Table41648[[#This Row],[Old or New?]]="Old",1,0)+IF(Table41648[[#This Row],[If Other]]=1,1,0)=2,1,"")</f>
        <v/>
      </c>
    </row>
    <row r="88" spans="1:13">
      <c r="A88" s="1" t="s">
        <v>24</v>
      </c>
      <c r="B88" s="1" t="s">
        <v>25</v>
      </c>
      <c r="C88" s="1">
        <v>6</v>
      </c>
      <c r="D88" s="1" t="s">
        <v>16</v>
      </c>
      <c r="E88" s="1">
        <v>9</v>
      </c>
      <c r="F88" s="1" t="s">
        <v>17</v>
      </c>
      <c r="G88" s="5">
        <f>IF(Table41648[[#This Row],[Response]]="Crossman",1,"")</f>
        <v>1</v>
      </c>
      <c r="H88" s="5" t="str">
        <f>IF(Table41648[[#This Row],[Response]]="","",IF(Table41648[[#This Row],[Response]]="Crossman","",1))</f>
        <v/>
      </c>
      <c r="I88" s="5">
        <f>IF(SUM(Table41648[[#This Row],[If Crossman]:[If Other]])=1,1,"")</f>
        <v>1</v>
      </c>
      <c r="J88" s="5">
        <f>IF(IF(Table41648[[#This Row],[Old or New?]]="New",1,0)+IF(Table41648[[#This Row],[If Crossman]]=1,1,0)=2,1,"")</f>
        <v>1</v>
      </c>
      <c r="K88" s="5" t="str">
        <f>IF(IF(Table41648[[#This Row],[Old or New?]]="New",1,0)+IF(Table41648[[#This Row],[If Other]]=1,1,0)=2,1,"")</f>
        <v/>
      </c>
      <c r="L88" s="5" t="str">
        <f>IF(IF(Table41648[[#This Row],[Old or New?]]="Old",1,0)+IF(Table41648[[#This Row],[If Crossman]]=1,1,0)=2,1,"")</f>
        <v/>
      </c>
      <c r="M88" s="5" t="str">
        <f>IF(IF(Table41648[[#This Row],[Old or New?]]="Old",1,0)+IF(Table41648[[#This Row],[If Other]]=1,1,0)=2,1,"")</f>
        <v/>
      </c>
    </row>
    <row r="89" spans="1:13">
      <c r="A89" s="1" t="s">
        <v>24</v>
      </c>
      <c r="B89" s="1" t="s">
        <v>25</v>
      </c>
      <c r="C89" s="1">
        <v>7</v>
      </c>
      <c r="D89" s="1" t="s">
        <v>16</v>
      </c>
      <c r="E89" s="1">
        <v>9</v>
      </c>
      <c r="F89" s="1" t="s">
        <v>17</v>
      </c>
      <c r="G89" s="5">
        <f>IF(Table41648[[#This Row],[Response]]="Crossman",1,"")</f>
        <v>1</v>
      </c>
      <c r="H89" s="5" t="str">
        <f>IF(Table41648[[#This Row],[Response]]="","",IF(Table41648[[#This Row],[Response]]="Crossman","",1))</f>
        <v/>
      </c>
      <c r="I89" s="5">
        <f>IF(SUM(Table41648[[#This Row],[If Crossman]:[If Other]])=1,1,"")</f>
        <v>1</v>
      </c>
      <c r="J89" s="5">
        <f>IF(IF(Table41648[[#This Row],[Old or New?]]="New",1,0)+IF(Table41648[[#This Row],[If Crossman]]=1,1,0)=2,1,"")</f>
        <v>1</v>
      </c>
      <c r="K89" s="5" t="str">
        <f>IF(IF(Table41648[[#This Row],[Old or New?]]="New",1,0)+IF(Table41648[[#This Row],[If Other]]=1,1,0)=2,1,"")</f>
        <v/>
      </c>
      <c r="L89" s="5" t="str">
        <f>IF(IF(Table41648[[#This Row],[Old or New?]]="Old",1,0)+IF(Table41648[[#This Row],[If Crossman]]=1,1,0)=2,1,"")</f>
        <v/>
      </c>
      <c r="M89" s="5" t="str">
        <f>IF(IF(Table41648[[#This Row],[Old or New?]]="Old",1,0)+IF(Table41648[[#This Row],[If Other]]=1,1,0)=2,1,"")</f>
        <v/>
      </c>
    </row>
    <row r="90" spans="1:13">
      <c r="A90" s="1" t="s">
        <v>24</v>
      </c>
      <c r="B90" s="1" t="s">
        <v>25</v>
      </c>
      <c r="C90" s="1">
        <v>8</v>
      </c>
      <c r="D90" s="1" t="s">
        <v>16</v>
      </c>
      <c r="E90" s="1">
        <v>9</v>
      </c>
      <c r="F90" s="1" t="s">
        <v>17</v>
      </c>
      <c r="G90" s="5">
        <f>IF(Table41648[[#This Row],[Response]]="Crossman",1,"")</f>
        <v>1</v>
      </c>
      <c r="H90" s="5" t="str">
        <f>IF(Table41648[[#This Row],[Response]]="","",IF(Table41648[[#This Row],[Response]]="Crossman","",1))</f>
        <v/>
      </c>
      <c r="I90" s="5">
        <f>IF(SUM(Table41648[[#This Row],[If Crossman]:[If Other]])=1,1,"")</f>
        <v>1</v>
      </c>
      <c r="J90" s="5">
        <f>IF(IF(Table41648[[#This Row],[Old or New?]]="New",1,0)+IF(Table41648[[#This Row],[If Crossman]]=1,1,0)=2,1,"")</f>
        <v>1</v>
      </c>
      <c r="K90" s="5" t="str">
        <f>IF(IF(Table41648[[#This Row],[Old or New?]]="New",1,0)+IF(Table41648[[#This Row],[If Other]]=1,1,0)=2,1,"")</f>
        <v/>
      </c>
      <c r="L90" s="5" t="str">
        <f>IF(IF(Table41648[[#This Row],[Old or New?]]="Old",1,0)+IF(Table41648[[#This Row],[If Crossman]]=1,1,0)=2,1,"")</f>
        <v/>
      </c>
      <c r="M90" s="5" t="str">
        <f>IF(IF(Table41648[[#This Row],[Old or New?]]="Old",1,0)+IF(Table41648[[#This Row],[If Other]]=1,1,0)=2,1,"")</f>
        <v/>
      </c>
    </row>
    <row r="91" spans="1:13">
      <c r="A91" s="1" t="s">
        <v>24</v>
      </c>
      <c r="B91" s="1" t="s">
        <v>25</v>
      </c>
      <c r="C91" s="1">
        <v>9</v>
      </c>
      <c r="D91" s="1" t="s">
        <v>16</v>
      </c>
      <c r="E91" s="1">
        <v>9</v>
      </c>
      <c r="F91" s="1" t="s">
        <v>17</v>
      </c>
      <c r="G91" s="5">
        <f>IF(Table41648[[#This Row],[Response]]="Crossman",1,"")</f>
        <v>1</v>
      </c>
      <c r="H91" s="5" t="str">
        <f>IF(Table41648[[#This Row],[Response]]="","",IF(Table41648[[#This Row],[Response]]="Crossman","",1))</f>
        <v/>
      </c>
      <c r="I91" s="5">
        <f>IF(SUM(Table41648[[#This Row],[If Crossman]:[If Other]])=1,1,"")</f>
        <v>1</v>
      </c>
      <c r="J91" s="5">
        <f>IF(IF(Table41648[[#This Row],[Old or New?]]="New",1,0)+IF(Table41648[[#This Row],[If Crossman]]=1,1,0)=2,1,"")</f>
        <v>1</v>
      </c>
      <c r="K91" s="5" t="str">
        <f>IF(IF(Table41648[[#This Row],[Old or New?]]="New",1,0)+IF(Table41648[[#This Row],[If Other]]=1,1,0)=2,1,"")</f>
        <v/>
      </c>
      <c r="L91" s="5" t="str">
        <f>IF(IF(Table41648[[#This Row],[Old or New?]]="Old",1,0)+IF(Table41648[[#This Row],[If Crossman]]=1,1,0)=2,1,"")</f>
        <v/>
      </c>
      <c r="M91" s="5" t="str">
        <f>IF(IF(Table41648[[#This Row],[Old or New?]]="Old",1,0)+IF(Table41648[[#This Row],[If Other]]=1,1,0)=2,1,"")</f>
        <v/>
      </c>
    </row>
    <row r="92" spans="1:13">
      <c r="A92" s="1" t="s">
        <v>24</v>
      </c>
      <c r="B92" s="1" t="s">
        <v>25</v>
      </c>
      <c r="C92" s="1">
        <v>10</v>
      </c>
      <c r="D92" s="1" t="s">
        <v>16</v>
      </c>
      <c r="E92" s="1">
        <v>9</v>
      </c>
      <c r="F92" s="1" t="s">
        <v>17</v>
      </c>
      <c r="G92" s="5">
        <f>IF(Table41648[[#This Row],[Response]]="Crossman",1,"")</f>
        <v>1</v>
      </c>
      <c r="H92" s="5" t="str">
        <f>IF(Table41648[[#This Row],[Response]]="","",IF(Table41648[[#This Row],[Response]]="Crossman","",1))</f>
        <v/>
      </c>
      <c r="I92" s="5">
        <f>IF(SUM(Table41648[[#This Row],[If Crossman]:[If Other]])=1,1,"")</f>
        <v>1</v>
      </c>
      <c r="J92" s="5">
        <f>IF(IF(Table41648[[#This Row],[Old or New?]]="New",1,0)+IF(Table41648[[#This Row],[If Crossman]]=1,1,0)=2,1,"")</f>
        <v>1</v>
      </c>
      <c r="K92" s="5" t="str">
        <f>IF(IF(Table41648[[#This Row],[Old or New?]]="New",1,0)+IF(Table41648[[#This Row],[If Other]]=1,1,0)=2,1,"")</f>
        <v/>
      </c>
      <c r="L92" s="5" t="str">
        <f>IF(IF(Table41648[[#This Row],[Old or New?]]="Old",1,0)+IF(Table41648[[#This Row],[If Crossman]]=1,1,0)=2,1,"")</f>
        <v/>
      </c>
      <c r="M92" s="5" t="str">
        <f>IF(IF(Table41648[[#This Row],[Old or New?]]="Old",1,0)+IF(Table41648[[#This Row],[If Other]]=1,1,0)=2,1,"")</f>
        <v/>
      </c>
    </row>
    <row r="93" spans="1:13">
      <c r="A93" s="1" t="s">
        <v>24</v>
      </c>
      <c r="B93" s="1" t="s">
        <v>25</v>
      </c>
      <c r="C93" s="1">
        <v>11</v>
      </c>
      <c r="D93" s="1" t="s">
        <v>16</v>
      </c>
      <c r="E93" s="1">
        <v>9</v>
      </c>
      <c r="G93" s="5" t="str">
        <f>IF(Table41648[[#This Row],[Response]]="Crossman",1,"")</f>
        <v/>
      </c>
      <c r="H93" s="5" t="str">
        <f>IF(Table41648[[#This Row],[Response]]="","",IF(Table41648[[#This Row],[Response]]="Crossman","",1))</f>
        <v/>
      </c>
      <c r="I93" s="5" t="str">
        <f>IF(SUM(Table41648[[#This Row],[If Crossman]:[If Other]])=1,1,"")</f>
        <v/>
      </c>
      <c r="J93" s="5" t="str">
        <f>IF(IF(Table41648[[#This Row],[Old or New?]]="New",1,0)+IF(Table41648[[#This Row],[If Crossman]]=1,1,0)=2,1,"")</f>
        <v/>
      </c>
      <c r="K93" s="5" t="str">
        <f>IF(IF(Table41648[[#This Row],[Old or New?]]="New",1,0)+IF(Table41648[[#This Row],[If Other]]=1,1,0)=2,1,"")</f>
        <v/>
      </c>
      <c r="L93" s="5" t="str">
        <f>IF(IF(Table41648[[#This Row],[Old or New?]]="Old",1,0)+IF(Table41648[[#This Row],[If Crossman]]=1,1,0)=2,1,"")</f>
        <v/>
      </c>
      <c r="M93" s="5" t="str">
        <f>IF(IF(Table41648[[#This Row],[Old or New?]]="Old",1,0)+IF(Table41648[[#This Row],[If Other]]=1,1,0)=2,1,"")</f>
        <v/>
      </c>
    </row>
    <row r="94" spans="1:13">
      <c r="A94" s="1" t="s">
        <v>24</v>
      </c>
      <c r="B94" s="1" t="s">
        <v>25</v>
      </c>
      <c r="C94" s="1">
        <v>12</v>
      </c>
      <c r="D94" s="1" t="s">
        <v>16</v>
      </c>
      <c r="E94" s="1">
        <v>9</v>
      </c>
      <c r="F94" s="1" t="s">
        <v>17</v>
      </c>
      <c r="G94" s="5">
        <f>IF(Table41648[[#This Row],[Response]]="Crossman",1,"")</f>
        <v>1</v>
      </c>
      <c r="H94" s="5" t="str">
        <f>IF(Table41648[[#This Row],[Response]]="","",IF(Table41648[[#This Row],[Response]]="Crossman","",1))</f>
        <v/>
      </c>
      <c r="I94" s="5">
        <f>IF(SUM(Table41648[[#This Row],[If Crossman]:[If Other]])=1,1,"")</f>
        <v>1</v>
      </c>
      <c r="J94" s="5">
        <f>IF(IF(Table41648[[#This Row],[Old or New?]]="New",1,0)+IF(Table41648[[#This Row],[If Crossman]]=1,1,0)=2,1,"")</f>
        <v>1</v>
      </c>
      <c r="K94" s="5" t="str">
        <f>IF(IF(Table41648[[#This Row],[Old or New?]]="New",1,0)+IF(Table41648[[#This Row],[If Other]]=1,1,0)=2,1,"")</f>
        <v/>
      </c>
      <c r="L94" s="5" t="str">
        <f>IF(IF(Table41648[[#This Row],[Old or New?]]="Old",1,0)+IF(Table41648[[#This Row],[If Crossman]]=1,1,0)=2,1,"")</f>
        <v/>
      </c>
      <c r="M94" s="5" t="str">
        <f>IF(IF(Table41648[[#This Row],[Old or New?]]="Old",1,0)+IF(Table41648[[#This Row],[If Other]]=1,1,0)=2,1,"")</f>
        <v/>
      </c>
    </row>
    <row r="95" spans="1:13">
      <c r="A95" s="1" t="s">
        <v>24</v>
      </c>
      <c r="B95" s="1" t="s">
        <v>25</v>
      </c>
      <c r="C95" s="1">
        <v>13</v>
      </c>
      <c r="D95" s="1" t="s">
        <v>16</v>
      </c>
      <c r="E95" s="1">
        <v>9</v>
      </c>
      <c r="F95" s="1" t="s">
        <v>17</v>
      </c>
      <c r="G95" s="5">
        <f>IF(Table41648[[#This Row],[Response]]="Crossman",1,"")</f>
        <v>1</v>
      </c>
      <c r="H95" s="5" t="str">
        <f>IF(Table41648[[#This Row],[Response]]="","",IF(Table41648[[#This Row],[Response]]="Crossman","",1))</f>
        <v/>
      </c>
      <c r="I95" s="5">
        <f>IF(SUM(Table41648[[#This Row],[If Crossman]:[If Other]])=1,1,"")</f>
        <v>1</v>
      </c>
      <c r="J95" s="5">
        <f>IF(IF(Table41648[[#This Row],[Old or New?]]="New",1,0)+IF(Table41648[[#This Row],[If Crossman]]=1,1,0)=2,1,"")</f>
        <v>1</v>
      </c>
      <c r="K95" s="5" t="str">
        <f>IF(IF(Table41648[[#This Row],[Old or New?]]="New",1,0)+IF(Table41648[[#This Row],[If Other]]=1,1,0)=2,1,"")</f>
        <v/>
      </c>
      <c r="L95" s="5" t="str">
        <f>IF(IF(Table41648[[#This Row],[Old or New?]]="Old",1,0)+IF(Table41648[[#This Row],[If Crossman]]=1,1,0)=2,1,"")</f>
        <v/>
      </c>
      <c r="M95" s="5" t="str">
        <f>IF(IF(Table41648[[#This Row],[Old or New?]]="Old",1,0)+IF(Table41648[[#This Row],[If Other]]=1,1,0)=2,1,"")</f>
        <v/>
      </c>
    </row>
    <row r="96" spans="1:13">
      <c r="A96" s="1" t="s">
        <v>24</v>
      </c>
      <c r="B96" s="1" t="s">
        <v>25</v>
      </c>
      <c r="C96" s="1">
        <v>14</v>
      </c>
      <c r="D96" s="1" t="s">
        <v>16</v>
      </c>
      <c r="E96" s="1">
        <v>9</v>
      </c>
      <c r="G96" s="5" t="str">
        <f>IF(Table41648[[#This Row],[Response]]="Crossman",1,"")</f>
        <v/>
      </c>
      <c r="H96" s="5" t="str">
        <f>IF(Table41648[[#This Row],[Response]]="","",IF(Table41648[[#This Row],[Response]]="Crossman","",1))</f>
        <v/>
      </c>
      <c r="I96" s="5" t="str">
        <f>IF(SUM(Table41648[[#This Row],[If Crossman]:[If Other]])=1,1,"")</f>
        <v/>
      </c>
      <c r="J96" s="5" t="str">
        <f>IF(IF(Table41648[[#This Row],[Old or New?]]="New",1,0)+IF(Table41648[[#This Row],[If Crossman]]=1,1,0)=2,1,"")</f>
        <v/>
      </c>
      <c r="K96" s="5" t="str">
        <f>IF(IF(Table41648[[#This Row],[Old or New?]]="New",1,0)+IF(Table41648[[#This Row],[If Other]]=1,1,0)=2,1,"")</f>
        <v/>
      </c>
      <c r="L96" s="5" t="str">
        <f>IF(IF(Table41648[[#This Row],[Old or New?]]="Old",1,0)+IF(Table41648[[#This Row],[If Crossman]]=1,1,0)=2,1,"")</f>
        <v/>
      </c>
      <c r="M96" s="5" t="str">
        <f>IF(IF(Table41648[[#This Row],[Old or New?]]="Old",1,0)+IF(Table41648[[#This Row],[If Other]]=1,1,0)=2,1,"")</f>
        <v/>
      </c>
    </row>
    <row r="97" spans="1:13">
      <c r="A97" s="1" t="s">
        <v>24</v>
      </c>
      <c r="B97" s="1" t="s">
        <v>25</v>
      </c>
      <c r="C97" s="1">
        <v>18</v>
      </c>
      <c r="D97" s="1" t="s">
        <v>16</v>
      </c>
      <c r="E97" s="1">
        <v>9</v>
      </c>
      <c r="G97" s="5" t="str">
        <f>IF(Table41648[[#This Row],[Response]]="Crossman",1,"")</f>
        <v/>
      </c>
      <c r="H97" s="5" t="str">
        <f>IF(Table41648[[#This Row],[Response]]="","",IF(Table41648[[#This Row],[Response]]="Crossman","",1))</f>
        <v/>
      </c>
      <c r="I97" s="5" t="str">
        <f>IF(SUM(Table41648[[#This Row],[If Crossman]:[If Other]])=1,1,"")</f>
        <v/>
      </c>
      <c r="J97" s="5" t="str">
        <f>IF(IF(Table41648[[#This Row],[Old or New?]]="New",1,0)+IF(Table41648[[#This Row],[If Crossman]]=1,1,0)=2,1,"")</f>
        <v/>
      </c>
      <c r="K97" s="5" t="str">
        <f>IF(IF(Table41648[[#This Row],[Old or New?]]="New",1,0)+IF(Table41648[[#This Row],[If Other]]=1,1,0)=2,1,"")</f>
        <v/>
      </c>
      <c r="L97" s="5" t="str">
        <f>IF(IF(Table41648[[#This Row],[Old or New?]]="Old",1,0)+IF(Table41648[[#This Row],[If Crossman]]=1,1,0)=2,1,"")</f>
        <v/>
      </c>
      <c r="M97" s="5" t="str">
        <f>IF(IF(Table41648[[#This Row],[Old or New?]]="Old",1,0)+IF(Table41648[[#This Row],[If Other]]=1,1,0)=2,1,"")</f>
        <v/>
      </c>
    </row>
    <row r="98" spans="1:13">
      <c r="A98" s="1" t="s">
        <v>24</v>
      </c>
      <c r="B98" s="1" t="s">
        <v>25</v>
      </c>
      <c r="C98" s="1">
        <v>19</v>
      </c>
      <c r="D98" s="1" t="s">
        <v>16</v>
      </c>
      <c r="E98" s="1">
        <v>9</v>
      </c>
      <c r="F98" s="1" t="s">
        <v>17</v>
      </c>
      <c r="G98" s="5">
        <f>IF(Table41648[[#This Row],[Response]]="Crossman",1,"")</f>
        <v>1</v>
      </c>
      <c r="H98" s="5" t="str">
        <f>IF(Table41648[[#This Row],[Response]]="","",IF(Table41648[[#This Row],[Response]]="Crossman","",1))</f>
        <v/>
      </c>
      <c r="I98" s="5">
        <f>IF(SUM(Table41648[[#This Row],[If Crossman]:[If Other]])=1,1,"")</f>
        <v>1</v>
      </c>
      <c r="J98" s="5">
        <f>IF(IF(Table41648[[#This Row],[Old or New?]]="New",1,0)+IF(Table41648[[#This Row],[If Crossman]]=1,1,0)=2,1,"")</f>
        <v>1</v>
      </c>
      <c r="K98" s="5" t="str">
        <f>IF(IF(Table41648[[#This Row],[Old or New?]]="New",1,0)+IF(Table41648[[#This Row],[If Other]]=1,1,0)=2,1,"")</f>
        <v/>
      </c>
      <c r="L98" s="5" t="str">
        <f>IF(IF(Table41648[[#This Row],[Old or New?]]="Old",1,0)+IF(Table41648[[#This Row],[If Crossman]]=1,1,0)=2,1,"")</f>
        <v/>
      </c>
      <c r="M98" s="5" t="str">
        <f>IF(IF(Table41648[[#This Row],[Old or New?]]="Old",1,0)+IF(Table41648[[#This Row],[If Other]]=1,1,0)=2,1,"")</f>
        <v/>
      </c>
    </row>
    <row r="99" spans="1:13">
      <c r="A99" s="1" t="s">
        <v>24</v>
      </c>
      <c r="B99" s="1" t="s">
        <v>25</v>
      </c>
      <c r="C99" s="1">
        <v>20</v>
      </c>
      <c r="D99" s="1" t="s">
        <v>16</v>
      </c>
      <c r="E99" s="1">
        <v>9</v>
      </c>
      <c r="F99" s="1" t="s">
        <v>17</v>
      </c>
      <c r="G99" s="5">
        <f>IF(Table41648[[#This Row],[Response]]="Crossman",1,"")</f>
        <v>1</v>
      </c>
      <c r="H99" s="5" t="str">
        <f>IF(Table41648[[#This Row],[Response]]="","",IF(Table41648[[#This Row],[Response]]="Crossman","",1))</f>
        <v/>
      </c>
      <c r="I99" s="5">
        <f>IF(SUM(Table41648[[#This Row],[If Crossman]:[If Other]])=1,1,"")</f>
        <v>1</v>
      </c>
      <c r="J99" s="5">
        <f>IF(IF(Table41648[[#This Row],[Old or New?]]="New",1,0)+IF(Table41648[[#This Row],[If Crossman]]=1,1,0)=2,1,"")</f>
        <v>1</v>
      </c>
      <c r="K99" s="5" t="str">
        <f>IF(IF(Table41648[[#This Row],[Old or New?]]="New",1,0)+IF(Table41648[[#This Row],[If Other]]=1,1,0)=2,1,"")</f>
        <v/>
      </c>
      <c r="L99" s="5" t="str">
        <f>IF(IF(Table41648[[#This Row],[Old or New?]]="Old",1,0)+IF(Table41648[[#This Row],[If Crossman]]=1,1,0)=2,1,"")</f>
        <v/>
      </c>
      <c r="M99" s="5" t="str">
        <f>IF(IF(Table41648[[#This Row],[Old or New?]]="Old",1,0)+IF(Table41648[[#This Row],[If Other]]=1,1,0)=2,1,"")</f>
        <v/>
      </c>
    </row>
    <row r="100" spans="1:13">
      <c r="A100" s="1" t="s">
        <v>24</v>
      </c>
      <c r="B100" s="1" t="s">
        <v>25</v>
      </c>
      <c r="C100" s="1">
        <v>21</v>
      </c>
      <c r="D100" s="1" t="s">
        <v>16</v>
      </c>
      <c r="E100" s="1">
        <v>9</v>
      </c>
      <c r="G100" s="5" t="str">
        <f>IF(Table41648[[#This Row],[Response]]="Crossman",1,"")</f>
        <v/>
      </c>
      <c r="H100" s="5" t="str">
        <f>IF(Table41648[[#This Row],[Response]]="","",IF(Table41648[[#This Row],[Response]]="Crossman","",1))</f>
        <v/>
      </c>
      <c r="I100" s="5" t="str">
        <f>IF(SUM(Table41648[[#This Row],[If Crossman]:[If Other]])=1,1,"")</f>
        <v/>
      </c>
      <c r="J100" s="5" t="str">
        <f>IF(IF(Table41648[[#This Row],[Old or New?]]="New",1,0)+IF(Table41648[[#This Row],[If Crossman]]=1,1,0)=2,1,"")</f>
        <v/>
      </c>
      <c r="K100" s="5" t="str">
        <f>IF(IF(Table41648[[#This Row],[Old or New?]]="New",1,0)+IF(Table41648[[#This Row],[If Other]]=1,1,0)=2,1,"")</f>
        <v/>
      </c>
      <c r="L100" s="5" t="str">
        <f>IF(IF(Table41648[[#This Row],[Old or New?]]="Old",1,0)+IF(Table41648[[#This Row],[If Crossman]]=1,1,0)=2,1,"")</f>
        <v/>
      </c>
      <c r="M100" s="5" t="str">
        <f>IF(IF(Table41648[[#This Row],[Old or New?]]="Old",1,0)+IF(Table41648[[#This Row],[If Other]]=1,1,0)=2,1,"")</f>
        <v/>
      </c>
    </row>
    <row r="101" spans="1:13">
      <c r="A101" s="2" t="s">
        <v>24</v>
      </c>
      <c r="B101" s="2" t="s">
        <v>26</v>
      </c>
      <c r="C101" s="1">
        <v>1</v>
      </c>
      <c r="D101" s="1" t="s">
        <v>16</v>
      </c>
      <c r="E101" s="1">
        <v>9</v>
      </c>
      <c r="F101" s="1" t="s">
        <v>22</v>
      </c>
      <c r="G101" s="5" t="str">
        <f>IF(Table41648[[#This Row],[Response]]="Crossman",1,"")</f>
        <v/>
      </c>
      <c r="H101" s="5">
        <f>IF(Table41648[[#This Row],[Response]]="","",IF(Table41648[[#This Row],[Response]]="Crossman","",1))</f>
        <v>1</v>
      </c>
      <c r="I101" s="5">
        <f>IF(SUM(Table41648[[#This Row],[If Crossman]:[If Other]])=1,1,"")</f>
        <v>1</v>
      </c>
      <c r="J101" s="5" t="str">
        <f>IF(IF(Table41648[[#This Row],[Old or New?]]="New",1,0)+IF(Table41648[[#This Row],[If Crossman]]=1,1,0)=2,1,"")</f>
        <v/>
      </c>
      <c r="K101" s="5">
        <f>IF(IF(Table41648[[#This Row],[Old or New?]]="New",1,0)+IF(Table41648[[#This Row],[If Other]]=1,1,0)=2,1,"")</f>
        <v>1</v>
      </c>
      <c r="L101" s="5" t="str">
        <f>IF(IF(Table41648[[#This Row],[Old or New?]]="Old",1,0)+IF(Table41648[[#This Row],[If Crossman]]=1,1,0)=2,1,"")</f>
        <v/>
      </c>
      <c r="M101" s="5" t="str">
        <f>IF(IF(Table41648[[#This Row],[Old or New?]]="Old",1,0)+IF(Table41648[[#This Row],[If Other]]=1,1,0)=2,1,"")</f>
        <v/>
      </c>
    </row>
    <row r="102" spans="1:13">
      <c r="A102" s="2" t="s">
        <v>24</v>
      </c>
      <c r="B102" s="2" t="s">
        <v>26</v>
      </c>
      <c r="C102" s="1">
        <v>2</v>
      </c>
      <c r="D102" s="1" t="s">
        <v>16</v>
      </c>
      <c r="E102" s="1">
        <v>9</v>
      </c>
      <c r="F102" s="1" t="s">
        <v>27</v>
      </c>
      <c r="G102" s="5" t="str">
        <f>IF(Table41648[[#This Row],[Response]]="Crossman",1,"")</f>
        <v/>
      </c>
      <c r="H102" s="5">
        <f>IF(Table41648[[#This Row],[Response]]="","",IF(Table41648[[#This Row],[Response]]="Crossman","",1))</f>
        <v>1</v>
      </c>
      <c r="I102" s="5">
        <f>IF(SUM(Table41648[[#This Row],[If Crossman]:[If Other]])=1,1,"")</f>
        <v>1</v>
      </c>
      <c r="J102" s="5" t="str">
        <f>IF(IF(Table41648[[#This Row],[Old or New?]]="New",1,0)+IF(Table41648[[#This Row],[If Crossman]]=1,1,0)=2,1,"")</f>
        <v/>
      </c>
      <c r="K102" s="5">
        <f>IF(IF(Table41648[[#This Row],[Old or New?]]="New",1,0)+IF(Table41648[[#This Row],[If Other]]=1,1,0)=2,1,"")</f>
        <v>1</v>
      </c>
      <c r="L102" s="5" t="str">
        <f>IF(IF(Table41648[[#This Row],[Old or New?]]="Old",1,0)+IF(Table41648[[#This Row],[If Crossman]]=1,1,0)=2,1,"")</f>
        <v/>
      </c>
      <c r="M102" s="5" t="str">
        <f>IF(IF(Table41648[[#This Row],[Old or New?]]="Old",1,0)+IF(Table41648[[#This Row],[If Other]]=1,1,0)=2,1,"")</f>
        <v/>
      </c>
    </row>
    <row r="103" spans="1:13">
      <c r="A103" s="2" t="s">
        <v>24</v>
      </c>
      <c r="B103" s="2" t="s">
        <v>26</v>
      </c>
      <c r="C103" s="1">
        <v>3</v>
      </c>
      <c r="D103" s="1" t="s">
        <v>16</v>
      </c>
      <c r="E103" s="1">
        <v>9</v>
      </c>
      <c r="F103" s="1" t="s">
        <v>17</v>
      </c>
      <c r="G103" s="5">
        <f>IF(Table41648[[#This Row],[Response]]="Crossman",1,"")</f>
        <v>1</v>
      </c>
      <c r="H103" s="5" t="str">
        <f>IF(Table41648[[#This Row],[Response]]="","",IF(Table41648[[#This Row],[Response]]="Crossman","",1))</f>
        <v/>
      </c>
      <c r="I103" s="5">
        <f>IF(SUM(Table41648[[#This Row],[If Crossman]:[If Other]])=1,1,"")</f>
        <v>1</v>
      </c>
      <c r="J103" s="5">
        <f>IF(IF(Table41648[[#This Row],[Old or New?]]="New",1,0)+IF(Table41648[[#This Row],[If Crossman]]=1,1,0)=2,1,"")</f>
        <v>1</v>
      </c>
      <c r="K103" s="5" t="str">
        <f>IF(IF(Table41648[[#This Row],[Old or New?]]="New",1,0)+IF(Table41648[[#This Row],[If Other]]=1,1,0)=2,1,"")</f>
        <v/>
      </c>
      <c r="L103" s="5" t="str">
        <f>IF(IF(Table41648[[#This Row],[Old or New?]]="Old",1,0)+IF(Table41648[[#This Row],[If Crossman]]=1,1,0)=2,1,"")</f>
        <v/>
      </c>
      <c r="M103" s="5" t="str">
        <f>IF(IF(Table41648[[#This Row],[Old or New?]]="Old",1,0)+IF(Table41648[[#This Row],[If Other]]=1,1,0)=2,1,"")</f>
        <v/>
      </c>
    </row>
    <row r="104" spans="1:13">
      <c r="A104" s="2" t="s">
        <v>24</v>
      </c>
      <c r="B104" s="2" t="s">
        <v>26</v>
      </c>
      <c r="C104" s="1">
        <v>4</v>
      </c>
      <c r="D104" s="1" t="s">
        <v>16</v>
      </c>
      <c r="E104" s="1">
        <v>9</v>
      </c>
      <c r="G104" s="5" t="str">
        <f>IF(Table41648[[#This Row],[Response]]="Crossman",1,"")</f>
        <v/>
      </c>
      <c r="H104" s="5" t="str">
        <f>IF(Table41648[[#This Row],[Response]]="","",IF(Table41648[[#This Row],[Response]]="Crossman","",1))</f>
        <v/>
      </c>
      <c r="I104" s="5" t="str">
        <f>IF(SUM(Table41648[[#This Row],[If Crossman]:[If Other]])=1,1,"")</f>
        <v/>
      </c>
      <c r="J104" s="5" t="str">
        <f>IF(IF(Table41648[[#This Row],[Old or New?]]="New",1,0)+IF(Table41648[[#This Row],[If Crossman]]=1,1,0)=2,1,"")</f>
        <v/>
      </c>
      <c r="K104" s="5" t="str">
        <f>IF(IF(Table41648[[#This Row],[Old or New?]]="New",1,0)+IF(Table41648[[#This Row],[If Other]]=1,1,0)=2,1,"")</f>
        <v/>
      </c>
      <c r="L104" s="5" t="str">
        <f>IF(IF(Table41648[[#This Row],[Old or New?]]="Old",1,0)+IF(Table41648[[#This Row],[If Crossman]]=1,1,0)=2,1,"")</f>
        <v/>
      </c>
      <c r="M104" s="5" t="str">
        <f>IF(IF(Table41648[[#This Row],[Old or New?]]="Old",1,0)+IF(Table41648[[#This Row],[If Other]]=1,1,0)=2,1,"")</f>
        <v/>
      </c>
    </row>
    <row r="105" spans="1:13">
      <c r="A105" s="2" t="s">
        <v>24</v>
      </c>
      <c r="B105" s="2" t="s">
        <v>26</v>
      </c>
      <c r="C105" s="1">
        <v>5</v>
      </c>
      <c r="D105" s="1" t="s">
        <v>16</v>
      </c>
      <c r="E105" s="1">
        <v>9</v>
      </c>
      <c r="F105" s="1" t="s">
        <v>17</v>
      </c>
      <c r="G105" s="5">
        <f>IF(Table41648[[#This Row],[Response]]="Crossman",1,"")</f>
        <v>1</v>
      </c>
      <c r="H105" s="5" t="str">
        <f>IF(Table41648[[#This Row],[Response]]="","",IF(Table41648[[#This Row],[Response]]="Crossman","",1))</f>
        <v/>
      </c>
      <c r="I105" s="5">
        <f>IF(SUM(Table41648[[#This Row],[If Crossman]:[If Other]])=1,1,"")</f>
        <v>1</v>
      </c>
      <c r="J105" s="5">
        <f>IF(IF(Table41648[[#This Row],[Old or New?]]="New",1,0)+IF(Table41648[[#This Row],[If Crossman]]=1,1,0)=2,1,"")</f>
        <v>1</v>
      </c>
      <c r="K105" s="5" t="str">
        <f>IF(IF(Table41648[[#This Row],[Old or New?]]="New",1,0)+IF(Table41648[[#This Row],[If Other]]=1,1,0)=2,1,"")</f>
        <v/>
      </c>
      <c r="L105" s="5" t="str">
        <f>IF(IF(Table41648[[#This Row],[Old or New?]]="Old",1,0)+IF(Table41648[[#This Row],[If Crossman]]=1,1,0)=2,1,"")</f>
        <v/>
      </c>
      <c r="M105" s="5" t="str">
        <f>IF(IF(Table41648[[#This Row],[Old or New?]]="Old",1,0)+IF(Table41648[[#This Row],[If Other]]=1,1,0)=2,1,"")</f>
        <v/>
      </c>
    </row>
    <row r="106" spans="1:13">
      <c r="A106" s="2" t="s">
        <v>24</v>
      </c>
      <c r="B106" s="2" t="s">
        <v>26</v>
      </c>
      <c r="C106" s="1">
        <v>6</v>
      </c>
      <c r="D106" s="1" t="s">
        <v>16</v>
      </c>
      <c r="E106" s="1">
        <v>9</v>
      </c>
      <c r="F106" s="1" t="s">
        <v>17</v>
      </c>
      <c r="G106" s="6">
        <f>IF(Table41648[[#This Row],[Response]]="Crossman",1,"")</f>
        <v>1</v>
      </c>
      <c r="H106" s="6" t="str">
        <f>IF(Table41648[[#This Row],[Response]]="","",IF(Table41648[[#This Row],[Response]]="Crossman","",1))</f>
        <v/>
      </c>
      <c r="I106" s="6">
        <f>IF(SUM(Table41648[[#This Row],[If Crossman]:[If Other]])=1,1,"")</f>
        <v>1</v>
      </c>
      <c r="J106" s="6">
        <f>IF(IF(Table41648[[#This Row],[Old or New?]]="New",1,0)+IF(Table41648[[#This Row],[If Crossman]]=1,1,0)=2,1,"")</f>
        <v>1</v>
      </c>
      <c r="K106" s="6" t="str">
        <f>IF(IF(Table41648[[#This Row],[Old or New?]]="New",1,0)+IF(Table41648[[#This Row],[If Other]]=1,1,0)=2,1,"")</f>
        <v/>
      </c>
      <c r="L106" s="6" t="str">
        <f>IF(IF(Table41648[[#This Row],[Old or New?]]="Old",1,0)+IF(Table41648[[#This Row],[If Crossman]]=1,1,0)=2,1,"")</f>
        <v/>
      </c>
      <c r="M106" s="6" t="str">
        <f>IF(IF(Table41648[[#This Row],[Old or New?]]="Old",1,0)+IF(Table41648[[#This Row],[If Other]]=1,1,0)=2,1,"")</f>
        <v/>
      </c>
    </row>
    <row r="107" spans="1:13">
      <c r="A107" s="2" t="s">
        <v>24</v>
      </c>
      <c r="B107" s="2" t="s">
        <v>26</v>
      </c>
      <c r="C107" s="1">
        <v>7</v>
      </c>
      <c r="D107" s="1" t="s">
        <v>16</v>
      </c>
      <c r="E107" s="1">
        <v>9</v>
      </c>
      <c r="F107" s="1" t="s">
        <v>17</v>
      </c>
      <c r="G107" s="6">
        <f>IF(Table41648[[#This Row],[Response]]="Crossman",1,"")</f>
        <v>1</v>
      </c>
      <c r="H107" s="6" t="str">
        <f>IF(Table41648[[#This Row],[Response]]="","",IF(Table41648[[#This Row],[Response]]="Crossman","",1))</f>
        <v/>
      </c>
      <c r="I107" s="6">
        <f>IF(SUM(Table41648[[#This Row],[If Crossman]:[If Other]])=1,1,"")</f>
        <v>1</v>
      </c>
      <c r="J107" s="6">
        <f>IF(IF(Table41648[[#This Row],[Old or New?]]="New",1,0)+IF(Table41648[[#This Row],[If Crossman]]=1,1,0)=2,1,"")</f>
        <v>1</v>
      </c>
      <c r="K107" s="6" t="str">
        <f>IF(IF(Table41648[[#This Row],[Old or New?]]="New",1,0)+IF(Table41648[[#This Row],[If Other]]=1,1,0)=2,1,"")</f>
        <v/>
      </c>
      <c r="L107" s="6" t="str">
        <f>IF(IF(Table41648[[#This Row],[Old or New?]]="Old",1,0)+IF(Table41648[[#This Row],[If Crossman]]=1,1,0)=2,1,"")</f>
        <v/>
      </c>
      <c r="M107" s="6" t="str">
        <f>IF(IF(Table41648[[#This Row],[Old or New?]]="Old",1,0)+IF(Table41648[[#This Row],[If Other]]=1,1,0)=2,1,"")</f>
        <v/>
      </c>
    </row>
    <row r="108" spans="1:13">
      <c r="A108" s="2" t="s">
        <v>24</v>
      </c>
      <c r="B108" s="2" t="s">
        <v>26</v>
      </c>
      <c r="C108" s="1">
        <v>8</v>
      </c>
      <c r="D108" s="1" t="s">
        <v>16</v>
      </c>
      <c r="E108" s="1">
        <v>9</v>
      </c>
      <c r="F108" s="1" t="s">
        <v>17</v>
      </c>
      <c r="G108" s="6">
        <f>IF(Table41648[[#This Row],[Response]]="Crossman",1,"")</f>
        <v>1</v>
      </c>
      <c r="H108" s="6" t="str">
        <f>IF(Table41648[[#This Row],[Response]]="","",IF(Table41648[[#This Row],[Response]]="Crossman","",1))</f>
        <v/>
      </c>
      <c r="I108" s="6">
        <f>IF(SUM(Table41648[[#This Row],[If Crossman]:[If Other]])=1,1,"")</f>
        <v>1</v>
      </c>
      <c r="J108" s="6">
        <f>IF(IF(Table41648[[#This Row],[Old or New?]]="New",1,0)+IF(Table41648[[#This Row],[If Crossman]]=1,1,0)=2,1,"")</f>
        <v>1</v>
      </c>
      <c r="K108" s="6" t="str">
        <f>IF(IF(Table41648[[#This Row],[Old or New?]]="New",1,0)+IF(Table41648[[#This Row],[If Other]]=1,1,0)=2,1,"")</f>
        <v/>
      </c>
      <c r="L108" s="6" t="str">
        <f>IF(IF(Table41648[[#This Row],[Old or New?]]="Old",1,0)+IF(Table41648[[#This Row],[If Crossman]]=1,1,0)=2,1,"")</f>
        <v/>
      </c>
      <c r="M108" s="6" t="str">
        <f>IF(IF(Table41648[[#This Row],[Old or New?]]="Old",1,0)+IF(Table41648[[#This Row],[If Other]]=1,1,0)=2,1,"")</f>
        <v/>
      </c>
    </row>
    <row r="109" spans="1:13">
      <c r="A109" s="2" t="s">
        <v>24</v>
      </c>
      <c r="B109" s="2" t="s">
        <v>26</v>
      </c>
      <c r="C109" s="1">
        <v>9</v>
      </c>
      <c r="D109" s="1" t="s">
        <v>16</v>
      </c>
      <c r="E109" s="1">
        <v>9</v>
      </c>
      <c r="F109" s="1" t="s">
        <v>17</v>
      </c>
      <c r="G109" s="6">
        <f>IF(Table41648[[#This Row],[Response]]="Crossman",1,"")</f>
        <v>1</v>
      </c>
      <c r="H109" s="6" t="str">
        <f>IF(Table41648[[#This Row],[Response]]="","",IF(Table41648[[#This Row],[Response]]="Crossman","",1))</f>
        <v/>
      </c>
      <c r="I109" s="6">
        <f>IF(SUM(Table41648[[#This Row],[If Crossman]:[If Other]])=1,1,"")</f>
        <v>1</v>
      </c>
      <c r="J109" s="6">
        <f>IF(IF(Table41648[[#This Row],[Old or New?]]="New",1,0)+IF(Table41648[[#This Row],[If Crossman]]=1,1,0)=2,1,"")</f>
        <v>1</v>
      </c>
      <c r="K109" s="6" t="str">
        <f>IF(IF(Table41648[[#This Row],[Old or New?]]="New",1,0)+IF(Table41648[[#This Row],[If Other]]=1,1,0)=2,1,"")</f>
        <v/>
      </c>
      <c r="L109" s="6" t="str">
        <f>IF(IF(Table41648[[#This Row],[Old or New?]]="Old",1,0)+IF(Table41648[[#This Row],[If Crossman]]=1,1,0)=2,1,"")</f>
        <v/>
      </c>
      <c r="M109" s="6" t="str">
        <f>IF(IF(Table41648[[#This Row],[Old or New?]]="Old",1,0)+IF(Table41648[[#This Row],[If Other]]=1,1,0)=2,1,"")</f>
        <v/>
      </c>
    </row>
    <row r="110" spans="1:13">
      <c r="A110" s="2" t="s">
        <v>24</v>
      </c>
      <c r="B110" s="2" t="s">
        <v>26</v>
      </c>
      <c r="C110" s="1">
        <v>10</v>
      </c>
      <c r="D110" s="1" t="s">
        <v>16</v>
      </c>
      <c r="E110" s="1">
        <v>9</v>
      </c>
      <c r="G110" s="6" t="str">
        <f>IF(Table41648[[#This Row],[Response]]="Crossman",1,"")</f>
        <v/>
      </c>
      <c r="H110" s="6" t="str">
        <f>IF(Table41648[[#This Row],[Response]]="","",IF(Table41648[[#This Row],[Response]]="Crossman","",1))</f>
        <v/>
      </c>
      <c r="I110" s="6" t="str">
        <f>IF(SUM(Table41648[[#This Row],[If Crossman]:[If Other]])=1,1,"")</f>
        <v/>
      </c>
      <c r="J110" s="6" t="str">
        <f>IF(IF(Table41648[[#This Row],[Old or New?]]="New",1,0)+IF(Table41648[[#This Row],[If Crossman]]=1,1,0)=2,1,"")</f>
        <v/>
      </c>
      <c r="K110" s="6" t="str">
        <f>IF(IF(Table41648[[#This Row],[Old or New?]]="New",1,0)+IF(Table41648[[#This Row],[If Other]]=1,1,0)=2,1,"")</f>
        <v/>
      </c>
      <c r="L110" s="6" t="str">
        <f>IF(IF(Table41648[[#This Row],[Old or New?]]="Old",1,0)+IF(Table41648[[#This Row],[If Crossman]]=1,1,0)=2,1,"")</f>
        <v/>
      </c>
      <c r="M110" s="6" t="str">
        <f>IF(IF(Table41648[[#This Row],[Old or New?]]="Old",1,0)+IF(Table41648[[#This Row],[If Other]]=1,1,0)=2,1,"")</f>
        <v/>
      </c>
    </row>
    <row r="111" spans="1:13">
      <c r="A111" s="2" t="s">
        <v>24</v>
      </c>
      <c r="B111" s="2" t="s">
        <v>26</v>
      </c>
      <c r="C111" s="1">
        <v>11</v>
      </c>
      <c r="D111" s="1" t="s">
        <v>16</v>
      </c>
      <c r="E111" s="1">
        <v>9</v>
      </c>
      <c r="F111" s="1" t="s">
        <v>17</v>
      </c>
      <c r="G111" s="6">
        <f>IF(Table41648[[#This Row],[Response]]="Crossman",1,"")</f>
        <v>1</v>
      </c>
      <c r="H111" s="6" t="str">
        <f>IF(Table41648[[#This Row],[Response]]="","",IF(Table41648[[#This Row],[Response]]="Crossman","",1))</f>
        <v/>
      </c>
      <c r="I111" s="6">
        <f>IF(SUM(Table41648[[#This Row],[If Crossman]:[If Other]])=1,1,"")</f>
        <v>1</v>
      </c>
      <c r="J111" s="6">
        <f>IF(IF(Table41648[[#This Row],[Old or New?]]="New",1,0)+IF(Table41648[[#This Row],[If Crossman]]=1,1,0)=2,1,"")</f>
        <v>1</v>
      </c>
      <c r="K111" s="6" t="str">
        <f>IF(IF(Table41648[[#This Row],[Old or New?]]="New",1,0)+IF(Table41648[[#This Row],[If Other]]=1,1,0)=2,1,"")</f>
        <v/>
      </c>
      <c r="L111" s="6" t="str">
        <f>IF(IF(Table41648[[#This Row],[Old or New?]]="Old",1,0)+IF(Table41648[[#This Row],[If Crossman]]=1,1,0)=2,1,"")</f>
        <v/>
      </c>
      <c r="M111" s="6" t="str">
        <f>IF(IF(Table41648[[#This Row],[Old or New?]]="Old",1,0)+IF(Table41648[[#This Row],[If Other]]=1,1,0)=2,1,"")</f>
        <v/>
      </c>
    </row>
    <row r="112" spans="1:13">
      <c r="A112" s="2" t="s">
        <v>24</v>
      </c>
      <c r="B112" s="2" t="s">
        <v>26</v>
      </c>
      <c r="C112" s="1">
        <v>12</v>
      </c>
      <c r="D112" s="1" t="s">
        <v>16</v>
      </c>
      <c r="E112" s="1">
        <v>9</v>
      </c>
      <c r="G112" s="6" t="str">
        <f>IF(Table41648[[#This Row],[Response]]="Crossman",1,"")</f>
        <v/>
      </c>
      <c r="H112" s="6" t="str">
        <f>IF(Table41648[[#This Row],[Response]]="","",IF(Table41648[[#This Row],[Response]]="Crossman","",1))</f>
        <v/>
      </c>
      <c r="I112" s="6" t="str">
        <f>IF(SUM(Table41648[[#This Row],[If Crossman]:[If Other]])=1,1,"")</f>
        <v/>
      </c>
      <c r="J112" s="6" t="str">
        <f>IF(IF(Table41648[[#This Row],[Old or New?]]="New",1,0)+IF(Table41648[[#This Row],[If Crossman]]=1,1,0)=2,1,"")</f>
        <v/>
      </c>
      <c r="K112" s="6" t="str">
        <f>IF(IF(Table41648[[#This Row],[Old or New?]]="New",1,0)+IF(Table41648[[#This Row],[If Other]]=1,1,0)=2,1,"")</f>
        <v/>
      </c>
      <c r="L112" s="6" t="str">
        <f>IF(IF(Table41648[[#This Row],[Old or New?]]="Old",1,0)+IF(Table41648[[#This Row],[If Crossman]]=1,1,0)=2,1,"")</f>
        <v/>
      </c>
      <c r="M112" s="6" t="str">
        <f>IF(IF(Table41648[[#This Row],[Old or New?]]="Old",1,0)+IF(Table41648[[#This Row],[If Other]]=1,1,0)=2,1,"")</f>
        <v/>
      </c>
    </row>
    <row r="113" spans="1:13">
      <c r="A113" s="2" t="s">
        <v>24</v>
      </c>
      <c r="B113" s="2" t="s">
        <v>26</v>
      </c>
      <c r="C113" s="1">
        <v>13</v>
      </c>
      <c r="D113" s="1" t="s">
        <v>16</v>
      </c>
      <c r="E113" s="1">
        <v>9</v>
      </c>
      <c r="G113" s="6" t="str">
        <f>IF(Table41648[[#This Row],[Response]]="Crossman",1,"")</f>
        <v/>
      </c>
      <c r="H113" s="6" t="str">
        <f>IF(Table41648[[#This Row],[Response]]="","",IF(Table41648[[#This Row],[Response]]="Crossman","",1))</f>
        <v/>
      </c>
      <c r="I113" s="6" t="str">
        <f>IF(SUM(Table41648[[#This Row],[If Crossman]:[If Other]])=1,1,"")</f>
        <v/>
      </c>
      <c r="J113" s="6" t="str">
        <f>IF(IF(Table41648[[#This Row],[Old or New?]]="New",1,0)+IF(Table41648[[#This Row],[If Crossman]]=1,1,0)=2,1,"")</f>
        <v/>
      </c>
      <c r="K113" s="6" t="str">
        <f>IF(IF(Table41648[[#This Row],[Old or New?]]="New",1,0)+IF(Table41648[[#This Row],[If Other]]=1,1,0)=2,1,"")</f>
        <v/>
      </c>
      <c r="L113" s="6" t="str">
        <f>IF(IF(Table41648[[#This Row],[Old or New?]]="Old",1,0)+IF(Table41648[[#This Row],[If Crossman]]=1,1,0)=2,1,"")</f>
        <v/>
      </c>
      <c r="M113" s="6" t="str">
        <f>IF(IF(Table41648[[#This Row],[Old or New?]]="Old",1,0)+IF(Table41648[[#This Row],[If Other]]=1,1,0)=2,1,"")</f>
        <v/>
      </c>
    </row>
    <row r="114" spans="1:13">
      <c r="A114" s="2" t="s">
        <v>24</v>
      </c>
      <c r="B114" s="2" t="s">
        <v>26</v>
      </c>
      <c r="C114" s="1">
        <v>14</v>
      </c>
      <c r="D114" s="1" t="s">
        <v>16</v>
      </c>
      <c r="E114" s="1">
        <v>9</v>
      </c>
      <c r="F114" s="1" t="s">
        <v>22</v>
      </c>
      <c r="G114" s="6" t="str">
        <f>IF(Table41648[[#This Row],[Response]]="Crossman",1,"")</f>
        <v/>
      </c>
      <c r="H114" s="6">
        <f>IF(Table41648[[#This Row],[Response]]="","",IF(Table41648[[#This Row],[Response]]="Crossman","",1))</f>
        <v>1</v>
      </c>
      <c r="I114" s="6">
        <f>IF(SUM(Table41648[[#This Row],[If Crossman]:[If Other]])=1,1,"")</f>
        <v>1</v>
      </c>
      <c r="J114" s="6" t="str">
        <f>IF(IF(Table41648[[#This Row],[Old or New?]]="New",1,0)+IF(Table41648[[#This Row],[If Crossman]]=1,1,0)=2,1,"")</f>
        <v/>
      </c>
      <c r="K114" s="6">
        <f>IF(IF(Table41648[[#This Row],[Old or New?]]="New",1,0)+IF(Table41648[[#This Row],[If Other]]=1,1,0)=2,1,"")</f>
        <v>1</v>
      </c>
      <c r="L114" s="6" t="str">
        <f>IF(IF(Table41648[[#This Row],[Old or New?]]="Old",1,0)+IF(Table41648[[#This Row],[If Crossman]]=1,1,0)=2,1,"")</f>
        <v/>
      </c>
      <c r="M114" s="6" t="str">
        <f>IF(IF(Table41648[[#This Row],[Old or New?]]="Old",1,0)+IF(Table41648[[#This Row],[If Other]]=1,1,0)=2,1,"")</f>
        <v/>
      </c>
    </row>
    <row r="115" spans="1:13">
      <c r="A115" s="2" t="s">
        <v>24</v>
      </c>
      <c r="B115" s="2" t="s">
        <v>26</v>
      </c>
      <c r="C115" s="1">
        <v>15</v>
      </c>
      <c r="D115" s="1" t="s">
        <v>16</v>
      </c>
      <c r="E115" s="1">
        <v>9</v>
      </c>
      <c r="F115" s="1" t="s">
        <v>17</v>
      </c>
      <c r="G115" s="6">
        <f>IF(Table41648[[#This Row],[Response]]="Crossman",1,"")</f>
        <v>1</v>
      </c>
      <c r="H115" s="6" t="str">
        <f>IF(Table41648[[#This Row],[Response]]="","",IF(Table41648[[#This Row],[Response]]="Crossman","",1))</f>
        <v/>
      </c>
      <c r="I115" s="6">
        <f>IF(SUM(Table41648[[#This Row],[If Crossman]:[If Other]])=1,1,"")</f>
        <v>1</v>
      </c>
      <c r="J115" s="6">
        <f>IF(IF(Table41648[[#This Row],[Old or New?]]="New",1,0)+IF(Table41648[[#This Row],[If Crossman]]=1,1,0)=2,1,"")</f>
        <v>1</v>
      </c>
      <c r="K115" s="6" t="str">
        <f>IF(IF(Table41648[[#This Row],[Old or New?]]="New",1,0)+IF(Table41648[[#This Row],[If Other]]=1,1,0)=2,1,"")</f>
        <v/>
      </c>
      <c r="L115" s="6" t="str">
        <f>IF(IF(Table41648[[#This Row],[Old or New?]]="Old",1,0)+IF(Table41648[[#This Row],[If Crossman]]=1,1,0)=2,1,"")</f>
        <v/>
      </c>
      <c r="M115" s="6" t="str">
        <f>IF(IF(Table41648[[#This Row],[Old or New?]]="Old",1,0)+IF(Table41648[[#This Row],[If Other]]=1,1,0)=2,1,"")</f>
        <v/>
      </c>
    </row>
    <row r="116" spans="1:13">
      <c r="A116" s="2" t="s">
        <v>24</v>
      </c>
      <c r="B116" s="2" t="s">
        <v>28</v>
      </c>
      <c r="C116" s="1">
        <v>1</v>
      </c>
      <c r="D116" s="1" t="s">
        <v>16</v>
      </c>
      <c r="E116" s="1">
        <v>9</v>
      </c>
      <c r="F116" s="2" t="s">
        <v>17</v>
      </c>
      <c r="G116" s="6">
        <f>IF(Table41648[[#This Row],[Response]]="Crossman",1,"")</f>
        <v>1</v>
      </c>
      <c r="H116" s="6" t="str">
        <f>IF(Table41648[[#This Row],[Response]]="","",IF(Table41648[[#This Row],[Response]]="Crossman","",1))</f>
        <v/>
      </c>
      <c r="I116" s="6">
        <f>IF(SUM(Table41648[[#This Row],[If Crossman]:[If Other]])=1,1,"")</f>
        <v>1</v>
      </c>
      <c r="J116" s="6">
        <f>IF(IF(Table41648[[#This Row],[Old or New?]]="New",1,0)+IF(Table41648[[#This Row],[If Crossman]]=1,1,0)=2,1,"")</f>
        <v>1</v>
      </c>
      <c r="K116" s="6" t="str">
        <f>IF(IF(Table41648[[#This Row],[Old or New?]]="New",1,0)+IF(Table41648[[#This Row],[If Other]]=1,1,0)=2,1,"")</f>
        <v/>
      </c>
      <c r="L116" s="6" t="str">
        <f>IF(IF(Table41648[[#This Row],[Old or New?]]="Old",1,0)+IF(Table41648[[#This Row],[If Crossman]]=1,1,0)=2,1,"")</f>
        <v/>
      </c>
      <c r="M116" s="6" t="str">
        <f>IF(IF(Table41648[[#This Row],[Old or New?]]="Old",1,0)+IF(Table41648[[#This Row],[If Other]]=1,1,0)=2,1,"")</f>
        <v/>
      </c>
    </row>
    <row r="117" spans="1:13">
      <c r="A117" s="2" t="s">
        <v>24</v>
      </c>
      <c r="B117" s="2" t="s">
        <v>28</v>
      </c>
      <c r="C117" s="1">
        <v>2</v>
      </c>
      <c r="D117" s="1" t="s">
        <v>16</v>
      </c>
      <c r="E117" s="1">
        <v>9</v>
      </c>
      <c r="F117" s="2"/>
      <c r="G117" s="6" t="str">
        <f>IF(Table41648[[#This Row],[Response]]="Crossman",1,"")</f>
        <v/>
      </c>
      <c r="H117" s="6" t="str">
        <f>IF(Table41648[[#This Row],[Response]]="","",IF(Table41648[[#This Row],[Response]]="Crossman","",1))</f>
        <v/>
      </c>
      <c r="I117" s="6" t="str">
        <f>IF(SUM(Table41648[[#This Row],[If Crossman]:[If Other]])=1,1,"")</f>
        <v/>
      </c>
      <c r="J117" s="6" t="str">
        <f>IF(IF(Table41648[[#This Row],[Old or New?]]="New",1,0)+IF(Table41648[[#This Row],[If Crossman]]=1,1,0)=2,1,"")</f>
        <v/>
      </c>
      <c r="K117" s="6" t="str">
        <f>IF(IF(Table41648[[#This Row],[Old or New?]]="New",1,0)+IF(Table41648[[#This Row],[If Other]]=1,1,0)=2,1,"")</f>
        <v/>
      </c>
      <c r="L117" s="6" t="str">
        <f>IF(IF(Table41648[[#This Row],[Old or New?]]="Old",1,0)+IF(Table41648[[#This Row],[If Crossman]]=1,1,0)=2,1,"")</f>
        <v/>
      </c>
      <c r="M117" s="6" t="str">
        <f>IF(IF(Table41648[[#This Row],[Old or New?]]="Old",1,0)+IF(Table41648[[#This Row],[If Other]]=1,1,0)=2,1,"")</f>
        <v/>
      </c>
    </row>
    <row r="118" spans="1:13">
      <c r="A118" s="2" t="s">
        <v>24</v>
      </c>
      <c r="B118" s="2" t="s">
        <v>28</v>
      </c>
      <c r="C118" s="1">
        <v>3</v>
      </c>
      <c r="D118" s="1" t="s">
        <v>16</v>
      </c>
      <c r="E118" s="1">
        <v>9</v>
      </c>
      <c r="F118" s="2"/>
      <c r="G118" s="6" t="str">
        <f>IF(Table41648[[#This Row],[Response]]="Crossman",1,"")</f>
        <v/>
      </c>
      <c r="H118" s="6" t="str">
        <f>IF(Table41648[[#This Row],[Response]]="","",IF(Table41648[[#This Row],[Response]]="Crossman","",1))</f>
        <v/>
      </c>
      <c r="I118" s="6" t="str">
        <f>IF(SUM(Table41648[[#This Row],[If Crossman]:[If Other]])=1,1,"")</f>
        <v/>
      </c>
      <c r="J118" s="6" t="str">
        <f>IF(IF(Table41648[[#This Row],[Old or New?]]="New",1,0)+IF(Table41648[[#This Row],[If Crossman]]=1,1,0)=2,1,"")</f>
        <v/>
      </c>
      <c r="K118" s="6" t="str">
        <f>IF(IF(Table41648[[#This Row],[Old or New?]]="New",1,0)+IF(Table41648[[#This Row],[If Other]]=1,1,0)=2,1,"")</f>
        <v/>
      </c>
      <c r="L118" s="6" t="str">
        <f>IF(IF(Table41648[[#This Row],[Old or New?]]="Old",1,0)+IF(Table41648[[#This Row],[If Crossman]]=1,1,0)=2,1,"")</f>
        <v/>
      </c>
      <c r="M118" s="6" t="str">
        <f>IF(IF(Table41648[[#This Row],[Old or New?]]="Old",1,0)+IF(Table41648[[#This Row],[If Other]]=1,1,0)=2,1,"")</f>
        <v/>
      </c>
    </row>
    <row r="119" spans="1:13">
      <c r="A119" s="2" t="s">
        <v>24</v>
      </c>
      <c r="B119" s="2" t="s">
        <v>28</v>
      </c>
      <c r="C119" s="1">
        <v>4</v>
      </c>
      <c r="D119" s="1" t="s">
        <v>16</v>
      </c>
      <c r="E119" s="1">
        <v>9</v>
      </c>
      <c r="F119" s="2" t="s">
        <v>17</v>
      </c>
      <c r="G119" s="6">
        <f>IF(Table41648[[#This Row],[Response]]="Crossman",1,"")</f>
        <v>1</v>
      </c>
      <c r="H119" s="6" t="str">
        <f>IF(Table41648[[#This Row],[Response]]="","",IF(Table41648[[#This Row],[Response]]="Crossman","",1))</f>
        <v/>
      </c>
      <c r="I119" s="6">
        <f>IF(SUM(Table41648[[#This Row],[If Crossman]:[If Other]])=1,1,"")</f>
        <v>1</v>
      </c>
      <c r="J119" s="6">
        <f>IF(IF(Table41648[[#This Row],[Old or New?]]="New",1,0)+IF(Table41648[[#This Row],[If Crossman]]=1,1,0)=2,1,"")</f>
        <v>1</v>
      </c>
      <c r="K119" s="6" t="str">
        <f>IF(IF(Table41648[[#This Row],[Old or New?]]="New",1,0)+IF(Table41648[[#This Row],[If Other]]=1,1,0)=2,1,"")</f>
        <v/>
      </c>
      <c r="L119" s="6" t="str">
        <f>IF(IF(Table41648[[#This Row],[Old or New?]]="Old",1,0)+IF(Table41648[[#This Row],[If Crossman]]=1,1,0)=2,1,"")</f>
        <v/>
      </c>
      <c r="M119" s="6" t="str">
        <f>IF(IF(Table41648[[#This Row],[Old or New?]]="Old",1,0)+IF(Table41648[[#This Row],[If Other]]=1,1,0)=2,1,"")</f>
        <v/>
      </c>
    </row>
    <row r="120" spans="1:13">
      <c r="A120" s="2" t="s">
        <v>24</v>
      </c>
      <c r="B120" s="2" t="s">
        <v>28</v>
      </c>
      <c r="C120" s="1">
        <v>5</v>
      </c>
      <c r="D120" s="1" t="s">
        <v>16</v>
      </c>
      <c r="E120" s="1">
        <v>9</v>
      </c>
      <c r="F120" s="2" t="s">
        <v>17</v>
      </c>
      <c r="G120" s="6">
        <f>IF(Table41648[[#This Row],[Response]]="Crossman",1,"")</f>
        <v>1</v>
      </c>
      <c r="H120" s="6" t="str">
        <f>IF(Table41648[[#This Row],[Response]]="","",IF(Table41648[[#This Row],[Response]]="Crossman","",1))</f>
        <v/>
      </c>
      <c r="I120" s="6">
        <f>IF(SUM(Table41648[[#This Row],[If Crossman]:[If Other]])=1,1,"")</f>
        <v>1</v>
      </c>
      <c r="J120" s="6">
        <f>IF(IF(Table41648[[#This Row],[Old or New?]]="New",1,0)+IF(Table41648[[#This Row],[If Crossman]]=1,1,0)=2,1,"")</f>
        <v>1</v>
      </c>
      <c r="K120" s="6" t="str">
        <f>IF(IF(Table41648[[#This Row],[Old or New?]]="New",1,0)+IF(Table41648[[#This Row],[If Other]]=1,1,0)=2,1,"")</f>
        <v/>
      </c>
      <c r="L120" s="6" t="str">
        <f>IF(IF(Table41648[[#This Row],[Old or New?]]="Old",1,0)+IF(Table41648[[#This Row],[If Crossman]]=1,1,0)=2,1,"")</f>
        <v/>
      </c>
      <c r="M120" s="6" t="str">
        <f>IF(IF(Table41648[[#This Row],[Old or New?]]="Old",1,0)+IF(Table41648[[#This Row],[If Other]]=1,1,0)=2,1,"")</f>
        <v/>
      </c>
    </row>
    <row r="121" spans="1:13">
      <c r="A121" s="2" t="s">
        <v>24</v>
      </c>
      <c r="B121" s="2" t="s">
        <v>28</v>
      </c>
      <c r="C121" s="1">
        <v>6</v>
      </c>
      <c r="D121" s="1" t="s">
        <v>16</v>
      </c>
      <c r="E121" s="1">
        <v>9</v>
      </c>
      <c r="F121" s="2" t="s">
        <v>17</v>
      </c>
      <c r="G121" s="6">
        <f>IF(Table41648[[#This Row],[Response]]="Crossman",1,"")</f>
        <v>1</v>
      </c>
      <c r="H121" s="6" t="str">
        <f>IF(Table41648[[#This Row],[Response]]="","",IF(Table41648[[#This Row],[Response]]="Crossman","",1))</f>
        <v/>
      </c>
      <c r="I121" s="6">
        <f>IF(SUM(Table41648[[#This Row],[If Crossman]:[If Other]])=1,1,"")</f>
        <v>1</v>
      </c>
      <c r="J121" s="6">
        <f>IF(IF(Table41648[[#This Row],[Old or New?]]="New",1,0)+IF(Table41648[[#This Row],[If Crossman]]=1,1,0)=2,1,"")</f>
        <v>1</v>
      </c>
      <c r="K121" s="6" t="str">
        <f>IF(IF(Table41648[[#This Row],[Old or New?]]="New",1,0)+IF(Table41648[[#This Row],[If Other]]=1,1,0)=2,1,"")</f>
        <v/>
      </c>
      <c r="L121" s="6" t="str">
        <f>IF(IF(Table41648[[#This Row],[Old or New?]]="Old",1,0)+IF(Table41648[[#This Row],[If Crossman]]=1,1,0)=2,1,"")</f>
        <v/>
      </c>
      <c r="M121" s="6" t="str">
        <f>IF(IF(Table41648[[#This Row],[Old or New?]]="Old",1,0)+IF(Table41648[[#This Row],[If Other]]=1,1,0)=2,1,"")</f>
        <v/>
      </c>
    </row>
    <row r="122" spans="1:13">
      <c r="A122" s="2" t="s">
        <v>24</v>
      </c>
      <c r="B122" s="2" t="s">
        <v>28</v>
      </c>
      <c r="C122" s="1">
        <v>7</v>
      </c>
      <c r="D122" s="1" t="s">
        <v>16</v>
      </c>
      <c r="E122" s="1">
        <v>9</v>
      </c>
      <c r="F122" s="2" t="s">
        <v>17</v>
      </c>
      <c r="G122" s="6">
        <f>IF(Table41648[[#This Row],[Response]]="Crossman",1,"")</f>
        <v>1</v>
      </c>
      <c r="H122" s="6" t="str">
        <f>IF(Table41648[[#This Row],[Response]]="","",IF(Table41648[[#This Row],[Response]]="Crossman","",1))</f>
        <v/>
      </c>
      <c r="I122" s="6">
        <f>IF(SUM(Table41648[[#This Row],[If Crossman]:[If Other]])=1,1,"")</f>
        <v>1</v>
      </c>
      <c r="J122" s="6">
        <f>IF(IF(Table41648[[#This Row],[Old or New?]]="New",1,0)+IF(Table41648[[#This Row],[If Crossman]]=1,1,0)=2,1,"")</f>
        <v>1</v>
      </c>
      <c r="K122" s="6" t="str">
        <f>IF(IF(Table41648[[#This Row],[Old or New?]]="New",1,0)+IF(Table41648[[#This Row],[If Other]]=1,1,0)=2,1,"")</f>
        <v/>
      </c>
      <c r="L122" s="6" t="str">
        <f>IF(IF(Table41648[[#This Row],[Old or New?]]="Old",1,0)+IF(Table41648[[#This Row],[If Crossman]]=1,1,0)=2,1,"")</f>
        <v/>
      </c>
      <c r="M122" s="6" t="str">
        <f>IF(IF(Table41648[[#This Row],[Old or New?]]="Old",1,0)+IF(Table41648[[#This Row],[If Other]]=1,1,0)=2,1,"")</f>
        <v/>
      </c>
    </row>
    <row r="123" spans="1:13">
      <c r="A123" s="2" t="s">
        <v>24</v>
      </c>
      <c r="B123" s="2" t="s">
        <v>28</v>
      </c>
      <c r="C123" s="1">
        <v>8</v>
      </c>
      <c r="D123" s="1" t="s">
        <v>16</v>
      </c>
      <c r="E123" s="1">
        <v>9</v>
      </c>
      <c r="F123" s="1" t="s">
        <v>17</v>
      </c>
      <c r="G123" s="6">
        <f>IF(Table41648[[#This Row],[Response]]="Crossman",1,"")</f>
        <v>1</v>
      </c>
      <c r="H123" s="6" t="str">
        <f>IF(Table41648[[#This Row],[Response]]="","",IF(Table41648[[#This Row],[Response]]="Crossman","",1))</f>
        <v/>
      </c>
      <c r="I123" s="6">
        <f>IF(SUM(Table41648[[#This Row],[If Crossman]:[If Other]])=1,1,"")</f>
        <v>1</v>
      </c>
      <c r="J123" s="6">
        <f>IF(IF(Table41648[[#This Row],[Old or New?]]="New",1,0)+IF(Table41648[[#This Row],[If Crossman]]=1,1,0)=2,1,"")</f>
        <v>1</v>
      </c>
      <c r="K123" s="6" t="str">
        <f>IF(IF(Table41648[[#This Row],[Old or New?]]="New",1,0)+IF(Table41648[[#This Row],[If Other]]=1,1,0)=2,1,"")</f>
        <v/>
      </c>
      <c r="L123" s="6" t="str">
        <f>IF(IF(Table41648[[#This Row],[Old or New?]]="Old",1,0)+IF(Table41648[[#This Row],[If Crossman]]=1,1,0)=2,1,"")</f>
        <v/>
      </c>
      <c r="M123" s="6" t="str">
        <f>IF(IF(Table41648[[#This Row],[Old or New?]]="Old",1,0)+IF(Table41648[[#This Row],[If Other]]=1,1,0)=2,1,"")</f>
        <v/>
      </c>
    </row>
    <row r="124" spans="1:13">
      <c r="A124" s="2" t="s">
        <v>24</v>
      </c>
      <c r="B124" s="2" t="s">
        <v>28</v>
      </c>
      <c r="C124" s="1">
        <v>9</v>
      </c>
      <c r="D124" s="1" t="s">
        <v>16</v>
      </c>
      <c r="E124" s="1">
        <v>9</v>
      </c>
      <c r="G124" s="6" t="str">
        <f>IF(Table41648[[#This Row],[Response]]="Crossman",1,"")</f>
        <v/>
      </c>
      <c r="H124" s="6" t="str">
        <f>IF(Table41648[[#This Row],[Response]]="","",IF(Table41648[[#This Row],[Response]]="Crossman","",1))</f>
        <v/>
      </c>
      <c r="I124" s="6" t="str">
        <f>IF(SUM(Table41648[[#This Row],[If Crossman]:[If Other]])=1,1,"")</f>
        <v/>
      </c>
      <c r="J124" s="6" t="str">
        <f>IF(IF(Table41648[[#This Row],[Old or New?]]="New",1,0)+IF(Table41648[[#This Row],[If Crossman]]=1,1,0)=2,1,"")</f>
        <v/>
      </c>
      <c r="K124" s="6" t="str">
        <f>IF(IF(Table41648[[#This Row],[Old or New?]]="New",1,0)+IF(Table41648[[#This Row],[If Other]]=1,1,0)=2,1,"")</f>
        <v/>
      </c>
      <c r="L124" s="6" t="str">
        <f>IF(IF(Table41648[[#This Row],[Old or New?]]="Old",1,0)+IF(Table41648[[#This Row],[If Crossman]]=1,1,0)=2,1,"")</f>
        <v/>
      </c>
      <c r="M124" s="6" t="str">
        <f>IF(IF(Table41648[[#This Row],[Old or New?]]="Old",1,0)+IF(Table41648[[#This Row],[If Other]]=1,1,0)=2,1,"")</f>
        <v/>
      </c>
    </row>
    <row r="125" spans="1:13">
      <c r="A125" s="2" t="s">
        <v>24</v>
      </c>
      <c r="B125" s="2" t="s">
        <v>28</v>
      </c>
      <c r="C125" s="1">
        <v>10</v>
      </c>
      <c r="D125" s="1" t="s">
        <v>16</v>
      </c>
      <c r="E125" s="1">
        <v>9</v>
      </c>
      <c r="F125" s="1" t="s">
        <v>17</v>
      </c>
      <c r="G125" s="6">
        <f>IF(Table41648[[#This Row],[Response]]="Crossman",1,"")</f>
        <v>1</v>
      </c>
      <c r="H125" s="6" t="str">
        <f>IF(Table41648[[#This Row],[Response]]="","",IF(Table41648[[#This Row],[Response]]="Crossman","",1))</f>
        <v/>
      </c>
      <c r="I125" s="6">
        <f>IF(SUM(Table41648[[#This Row],[If Crossman]:[If Other]])=1,1,"")</f>
        <v>1</v>
      </c>
      <c r="J125" s="6">
        <f>IF(IF(Table41648[[#This Row],[Old or New?]]="New",1,0)+IF(Table41648[[#This Row],[If Crossman]]=1,1,0)=2,1,"")</f>
        <v>1</v>
      </c>
      <c r="K125" s="6" t="str">
        <f>IF(IF(Table41648[[#This Row],[Old or New?]]="New",1,0)+IF(Table41648[[#This Row],[If Other]]=1,1,0)=2,1,"")</f>
        <v/>
      </c>
      <c r="L125" s="6" t="str">
        <f>IF(IF(Table41648[[#This Row],[Old or New?]]="Old",1,0)+IF(Table41648[[#This Row],[If Crossman]]=1,1,0)=2,1,"")</f>
        <v/>
      </c>
      <c r="M125" s="6" t="str">
        <f>IF(IF(Table41648[[#This Row],[Old or New?]]="Old",1,0)+IF(Table41648[[#This Row],[If Other]]=1,1,0)=2,1,"")</f>
        <v/>
      </c>
    </row>
    <row r="126" spans="1:13">
      <c r="A126" s="2" t="s">
        <v>24</v>
      </c>
      <c r="B126" s="2" t="s">
        <v>28</v>
      </c>
      <c r="C126" s="1">
        <v>11</v>
      </c>
      <c r="D126" s="1" t="s">
        <v>16</v>
      </c>
      <c r="E126" s="1">
        <v>9</v>
      </c>
      <c r="F126" s="1" t="s">
        <v>17</v>
      </c>
      <c r="G126" s="6">
        <f>IF(Table41648[[#This Row],[Response]]="Crossman",1,"")</f>
        <v>1</v>
      </c>
      <c r="H126" s="6" t="str">
        <f>IF(Table41648[[#This Row],[Response]]="","",IF(Table41648[[#This Row],[Response]]="Crossman","",1))</f>
        <v/>
      </c>
      <c r="I126" s="6">
        <f>IF(SUM(Table41648[[#This Row],[If Crossman]:[If Other]])=1,1,"")</f>
        <v>1</v>
      </c>
      <c r="J126" s="6">
        <f>IF(IF(Table41648[[#This Row],[Old or New?]]="New",1,0)+IF(Table41648[[#This Row],[If Crossman]]=1,1,0)=2,1,"")</f>
        <v>1</v>
      </c>
      <c r="K126" s="6" t="str">
        <f>IF(IF(Table41648[[#This Row],[Old or New?]]="New",1,0)+IF(Table41648[[#This Row],[If Other]]=1,1,0)=2,1,"")</f>
        <v/>
      </c>
      <c r="L126" s="6" t="str">
        <f>IF(IF(Table41648[[#This Row],[Old or New?]]="Old",1,0)+IF(Table41648[[#This Row],[If Crossman]]=1,1,0)=2,1,"")</f>
        <v/>
      </c>
      <c r="M126" s="6" t="str">
        <f>IF(IF(Table41648[[#This Row],[Old or New?]]="Old",1,0)+IF(Table41648[[#This Row],[If Other]]=1,1,0)=2,1,"")</f>
        <v/>
      </c>
    </row>
    <row r="127" spans="1:13">
      <c r="A127" s="2" t="s">
        <v>24</v>
      </c>
      <c r="B127" s="2" t="s">
        <v>28</v>
      </c>
      <c r="C127" s="1">
        <v>12</v>
      </c>
      <c r="D127" s="1" t="s">
        <v>16</v>
      </c>
      <c r="E127" s="1">
        <v>9</v>
      </c>
      <c r="F127" s="1" t="s">
        <v>17</v>
      </c>
      <c r="G127" s="6">
        <f>IF(Table41648[[#This Row],[Response]]="Crossman",1,"")</f>
        <v>1</v>
      </c>
      <c r="H127" s="6" t="str">
        <f>IF(Table41648[[#This Row],[Response]]="","",IF(Table41648[[#This Row],[Response]]="Crossman","",1))</f>
        <v/>
      </c>
      <c r="I127" s="6">
        <f>IF(SUM(Table41648[[#This Row],[If Crossman]:[If Other]])=1,1,"")</f>
        <v>1</v>
      </c>
      <c r="J127" s="6">
        <f>IF(IF(Table41648[[#This Row],[Old or New?]]="New",1,0)+IF(Table41648[[#This Row],[If Crossman]]=1,1,0)=2,1,"")</f>
        <v>1</v>
      </c>
      <c r="K127" s="6" t="str">
        <f>IF(IF(Table41648[[#This Row],[Old or New?]]="New",1,0)+IF(Table41648[[#This Row],[If Other]]=1,1,0)=2,1,"")</f>
        <v/>
      </c>
      <c r="L127" s="6" t="str">
        <f>IF(IF(Table41648[[#This Row],[Old or New?]]="Old",1,0)+IF(Table41648[[#This Row],[If Crossman]]=1,1,0)=2,1,"")</f>
        <v/>
      </c>
      <c r="M127" s="6" t="str">
        <f>IF(IF(Table41648[[#This Row],[Old or New?]]="Old",1,0)+IF(Table41648[[#This Row],[If Other]]=1,1,0)=2,1,"")</f>
        <v/>
      </c>
    </row>
    <row r="128" spans="1:13">
      <c r="A128" s="2" t="s">
        <v>24</v>
      </c>
      <c r="B128" s="2" t="s">
        <v>28</v>
      </c>
      <c r="C128" s="1">
        <v>13</v>
      </c>
      <c r="D128" s="1" t="s">
        <v>16</v>
      </c>
      <c r="E128" s="1">
        <v>9</v>
      </c>
      <c r="F128" s="1" t="s">
        <v>17</v>
      </c>
      <c r="G128" s="6">
        <f>IF(Table41648[[#This Row],[Response]]="Crossman",1,"")</f>
        <v>1</v>
      </c>
      <c r="H128" s="6" t="str">
        <f>IF(Table41648[[#This Row],[Response]]="","",IF(Table41648[[#This Row],[Response]]="Crossman","",1))</f>
        <v/>
      </c>
      <c r="I128" s="6">
        <f>IF(SUM(Table41648[[#This Row],[If Crossman]:[If Other]])=1,1,"")</f>
        <v>1</v>
      </c>
      <c r="J128" s="6">
        <f>IF(IF(Table41648[[#This Row],[Old or New?]]="New",1,0)+IF(Table41648[[#This Row],[If Crossman]]=1,1,0)=2,1,"")</f>
        <v>1</v>
      </c>
      <c r="K128" s="6" t="str">
        <f>IF(IF(Table41648[[#This Row],[Old or New?]]="New",1,0)+IF(Table41648[[#This Row],[If Other]]=1,1,0)=2,1,"")</f>
        <v/>
      </c>
      <c r="L128" s="6" t="str">
        <f>IF(IF(Table41648[[#This Row],[Old or New?]]="Old",1,0)+IF(Table41648[[#This Row],[If Crossman]]=1,1,0)=2,1,"")</f>
        <v/>
      </c>
      <c r="M128" s="6" t="str">
        <f>IF(IF(Table41648[[#This Row],[Old or New?]]="Old",1,0)+IF(Table41648[[#This Row],[If Other]]=1,1,0)=2,1,"")</f>
        <v/>
      </c>
    </row>
    <row r="129" spans="1:13">
      <c r="A129" s="2" t="s">
        <v>24</v>
      </c>
      <c r="B129" s="2" t="s">
        <v>30</v>
      </c>
      <c r="C129" s="1">
        <v>1</v>
      </c>
      <c r="D129" s="2" t="s">
        <v>16</v>
      </c>
      <c r="E129" s="1">
        <v>9</v>
      </c>
      <c r="G129" s="6" t="str">
        <f>IF(Table41648[[#This Row],[Response]]="Crossman",1,"")</f>
        <v/>
      </c>
      <c r="H129" s="6" t="str">
        <f>IF(Table41648[[#This Row],[Response]]="","",IF(Table41648[[#This Row],[Response]]="Crossman","",1))</f>
        <v/>
      </c>
      <c r="I129" s="6" t="str">
        <f>IF(SUM(Table41648[[#This Row],[If Crossman]:[If Other]])=1,1,"")</f>
        <v/>
      </c>
      <c r="J129" s="6" t="str">
        <f>IF(IF(Table41648[[#This Row],[Old or New?]]="New",1,0)+IF(Table41648[[#This Row],[If Crossman]]=1,1,0)=2,1,"")</f>
        <v/>
      </c>
      <c r="K129" s="6" t="str">
        <f>IF(IF(Table41648[[#This Row],[Old or New?]]="New",1,0)+IF(Table41648[[#This Row],[If Other]]=1,1,0)=2,1,"")</f>
        <v/>
      </c>
      <c r="L129" s="6" t="str">
        <f>IF(IF(Table41648[[#This Row],[Old or New?]]="Old",1,0)+IF(Table41648[[#This Row],[If Crossman]]=1,1,0)=2,1,"")</f>
        <v/>
      </c>
      <c r="M129" s="6" t="str">
        <f>IF(IF(Table41648[[#This Row],[Old or New?]]="Old",1,0)+IF(Table41648[[#This Row],[If Other]]=1,1,0)=2,1,"")</f>
        <v/>
      </c>
    </row>
    <row r="130" spans="1:13">
      <c r="A130" s="2" t="s">
        <v>24</v>
      </c>
      <c r="B130" s="2" t="s">
        <v>30</v>
      </c>
      <c r="C130" s="1">
        <v>2</v>
      </c>
      <c r="D130" s="2" t="s">
        <v>16</v>
      </c>
      <c r="E130" s="1">
        <v>9</v>
      </c>
      <c r="F130" s="1" t="s">
        <v>17</v>
      </c>
      <c r="G130" s="6">
        <f>IF(Table41648[[#This Row],[Response]]="Crossman",1,"")</f>
        <v>1</v>
      </c>
      <c r="H130" s="6" t="str">
        <f>IF(Table41648[[#This Row],[Response]]="","",IF(Table41648[[#This Row],[Response]]="Crossman","",1))</f>
        <v/>
      </c>
      <c r="I130" s="6">
        <f>IF(SUM(Table41648[[#This Row],[If Crossman]:[If Other]])=1,1,"")</f>
        <v>1</v>
      </c>
      <c r="J130" s="6">
        <f>IF(IF(Table41648[[#This Row],[Old or New?]]="New",1,0)+IF(Table41648[[#This Row],[If Crossman]]=1,1,0)=2,1,"")</f>
        <v>1</v>
      </c>
      <c r="K130" s="6" t="str">
        <f>IF(IF(Table41648[[#This Row],[Old or New?]]="New",1,0)+IF(Table41648[[#This Row],[If Other]]=1,1,0)=2,1,"")</f>
        <v/>
      </c>
      <c r="L130" s="6" t="str">
        <f>IF(IF(Table41648[[#This Row],[Old or New?]]="Old",1,0)+IF(Table41648[[#This Row],[If Crossman]]=1,1,0)=2,1,"")</f>
        <v/>
      </c>
      <c r="M130" s="6" t="str">
        <f>IF(IF(Table41648[[#This Row],[Old or New?]]="Old",1,0)+IF(Table41648[[#This Row],[If Other]]=1,1,0)=2,1,"")</f>
        <v/>
      </c>
    </row>
    <row r="131" spans="1:13">
      <c r="A131" s="2" t="s">
        <v>24</v>
      </c>
      <c r="B131" s="2" t="s">
        <v>30</v>
      </c>
      <c r="C131" s="1">
        <v>3</v>
      </c>
      <c r="D131" s="2" t="s">
        <v>16</v>
      </c>
      <c r="E131" s="1">
        <v>9</v>
      </c>
      <c r="F131" s="1" t="s">
        <v>17</v>
      </c>
      <c r="G131" s="6">
        <f>IF(Table41648[[#This Row],[Response]]="Crossman",1,"")</f>
        <v>1</v>
      </c>
      <c r="H131" s="6" t="str">
        <f>IF(Table41648[[#This Row],[Response]]="","",IF(Table41648[[#This Row],[Response]]="Crossman","",1))</f>
        <v/>
      </c>
      <c r="I131" s="6">
        <f>IF(SUM(Table41648[[#This Row],[If Crossman]:[If Other]])=1,1,"")</f>
        <v>1</v>
      </c>
      <c r="J131" s="6">
        <f>IF(IF(Table41648[[#This Row],[Old or New?]]="New",1,0)+IF(Table41648[[#This Row],[If Crossman]]=1,1,0)=2,1,"")</f>
        <v>1</v>
      </c>
      <c r="K131" s="6" t="str">
        <f>IF(IF(Table41648[[#This Row],[Old or New?]]="New",1,0)+IF(Table41648[[#This Row],[If Other]]=1,1,0)=2,1,"")</f>
        <v/>
      </c>
      <c r="L131" s="6" t="str">
        <f>IF(IF(Table41648[[#This Row],[Old or New?]]="Old",1,0)+IF(Table41648[[#This Row],[If Crossman]]=1,1,0)=2,1,"")</f>
        <v/>
      </c>
      <c r="M131" s="6" t="str">
        <f>IF(IF(Table41648[[#This Row],[Old or New?]]="Old",1,0)+IF(Table41648[[#This Row],[If Other]]=1,1,0)=2,1,"")</f>
        <v/>
      </c>
    </row>
    <row r="132" spans="1:13">
      <c r="A132" s="2" t="s">
        <v>24</v>
      </c>
      <c r="B132" s="2" t="s">
        <v>30</v>
      </c>
      <c r="C132" s="1">
        <v>4</v>
      </c>
      <c r="D132" s="2" t="s">
        <v>16</v>
      </c>
      <c r="E132" s="1">
        <v>9</v>
      </c>
      <c r="F132" s="1" t="s">
        <v>17</v>
      </c>
      <c r="G132" s="6">
        <f>IF(Table41648[[#This Row],[Response]]="Crossman",1,"")</f>
        <v>1</v>
      </c>
      <c r="H132" s="6" t="str">
        <f>IF(Table41648[[#This Row],[Response]]="","",IF(Table41648[[#This Row],[Response]]="Crossman","",1))</f>
        <v/>
      </c>
      <c r="I132" s="6">
        <f>IF(SUM(Table41648[[#This Row],[If Crossman]:[If Other]])=1,1,"")</f>
        <v>1</v>
      </c>
      <c r="J132" s="6">
        <f>IF(IF(Table41648[[#This Row],[Old or New?]]="New",1,0)+IF(Table41648[[#This Row],[If Crossman]]=1,1,0)=2,1,"")</f>
        <v>1</v>
      </c>
      <c r="K132" s="6" t="str">
        <f>IF(IF(Table41648[[#This Row],[Old or New?]]="New",1,0)+IF(Table41648[[#This Row],[If Other]]=1,1,0)=2,1,"")</f>
        <v/>
      </c>
      <c r="L132" s="6" t="str">
        <f>IF(IF(Table41648[[#This Row],[Old or New?]]="Old",1,0)+IF(Table41648[[#This Row],[If Crossman]]=1,1,0)=2,1,"")</f>
        <v/>
      </c>
      <c r="M132" s="6" t="str">
        <f>IF(IF(Table41648[[#This Row],[Old or New?]]="Old",1,0)+IF(Table41648[[#This Row],[If Other]]=1,1,0)=2,1,"")</f>
        <v/>
      </c>
    </row>
    <row r="133" spans="1:13">
      <c r="A133" s="2" t="s">
        <v>24</v>
      </c>
      <c r="B133" s="2" t="s">
        <v>30</v>
      </c>
      <c r="C133" s="1">
        <v>5</v>
      </c>
      <c r="D133" s="2" t="s">
        <v>16</v>
      </c>
      <c r="E133" s="1">
        <v>9</v>
      </c>
      <c r="F133" s="1" t="s">
        <v>17</v>
      </c>
      <c r="G133" s="6">
        <f>IF(Table41648[[#This Row],[Response]]="Crossman",1,"")</f>
        <v>1</v>
      </c>
      <c r="H133" s="6" t="str">
        <f>IF(Table41648[[#This Row],[Response]]="","",IF(Table41648[[#This Row],[Response]]="Crossman","",1))</f>
        <v/>
      </c>
      <c r="I133" s="6">
        <f>IF(SUM(Table41648[[#This Row],[If Crossman]:[If Other]])=1,1,"")</f>
        <v>1</v>
      </c>
      <c r="J133" s="6">
        <f>IF(IF(Table41648[[#This Row],[Old or New?]]="New",1,0)+IF(Table41648[[#This Row],[If Crossman]]=1,1,0)=2,1,"")</f>
        <v>1</v>
      </c>
      <c r="K133" s="6" t="str">
        <f>IF(IF(Table41648[[#This Row],[Old or New?]]="New",1,0)+IF(Table41648[[#This Row],[If Other]]=1,1,0)=2,1,"")</f>
        <v/>
      </c>
      <c r="L133" s="6" t="str">
        <f>IF(IF(Table41648[[#This Row],[Old or New?]]="Old",1,0)+IF(Table41648[[#This Row],[If Crossman]]=1,1,0)=2,1,"")</f>
        <v/>
      </c>
      <c r="M133" s="6" t="str">
        <f>IF(IF(Table41648[[#This Row],[Old or New?]]="Old",1,0)+IF(Table41648[[#This Row],[If Other]]=1,1,0)=2,1,"")</f>
        <v/>
      </c>
    </row>
    <row r="134" spans="1:13">
      <c r="A134" s="2" t="s">
        <v>24</v>
      </c>
      <c r="B134" s="2" t="s">
        <v>30</v>
      </c>
      <c r="C134" s="1">
        <v>6</v>
      </c>
      <c r="D134" s="2" t="s">
        <v>16</v>
      </c>
      <c r="E134" s="1">
        <v>9</v>
      </c>
      <c r="F134" s="1" t="s">
        <v>17</v>
      </c>
      <c r="G134" s="6">
        <f>IF(Table41648[[#This Row],[Response]]="Crossman",1,"")</f>
        <v>1</v>
      </c>
      <c r="H134" s="6" t="str">
        <f>IF(Table41648[[#This Row],[Response]]="","",IF(Table41648[[#This Row],[Response]]="Crossman","",1))</f>
        <v/>
      </c>
      <c r="I134" s="6">
        <f>IF(SUM(Table41648[[#This Row],[If Crossman]:[If Other]])=1,1,"")</f>
        <v>1</v>
      </c>
      <c r="J134" s="6">
        <f>IF(IF(Table41648[[#This Row],[Old or New?]]="New",1,0)+IF(Table41648[[#This Row],[If Crossman]]=1,1,0)=2,1,"")</f>
        <v>1</v>
      </c>
      <c r="K134" s="6" t="str">
        <f>IF(IF(Table41648[[#This Row],[Old or New?]]="New",1,0)+IF(Table41648[[#This Row],[If Other]]=1,1,0)=2,1,"")</f>
        <v/>
      </c>
      <c r="L134" s="6" t="str">
        <f>IF(IF(Table41648[[#This Row],[Old or New?]]="Old",1,0)+IF(Table41648[[#This Row],[If Crossman]]=1,1,0)=2,1,"")</f>
        <v/>
      </c>
      <c r="M134" s="6" t="str">
        <f>IF(IF(Table41648[[#This Row],[Old or New?]]="Old",1,0)+IF(Table41648[[#This Row],[If Other]]=1,1,0)=2,1,"")</f>
        <v/>
      </c>
    </row>
    <row r="135" spans="1:13">
      <c r="A135" s="2" t="s">
        <v>24</v>
      </c>
      <c r="B135" s="2" t="s">
        <v>30</v>
      </c>
      <c r="C135" s="1">
        <v>7</v>
      </c>
      <c r="D135" s="2" t="s">
        <v>16</v>
      </c>
      <c r="E135" s="1">
        <v>9</v>
      </c>
      <c r="F135" s="1" t="s">
        <v>17</v>
      </c>
      <c r="G135" s="6">
        <f>IF(Table41648[[#This Row],[Response]]="Crossman",1,"")</f>
        <v>1</v>
      </c>
      <c r="H135" s="6" t="str">
        <f>IF(Table41648[[#This Row],[Response]]="","",IF(Table41648[[#This Row],[Response]]="Crossman","",1))</f>
        <v/>
      </c>
      <c r="I135" s="6">
        <f>IF(SUM(Table41648[[#This Row],[If Crossman]:[If Other]])=1,1,"")</f>
        <v>1</v>
      </c>
      <c r="J135" s="6">
        <f>IF(IF(Table41648[[#This Row],[Old or New?]]="New",1,0)+IF(Table41648[[#This Row],[If Crossman]]=1,1,0)=2,1,"")</f>
        <v>1</v>
      </c>
      <c r="K135" s="6" t="str">
        <f>IF(IF(Table41648[[#This Row],[Old or New?]]="New",1,0)+IF(Table41648[[#This Row],[If Other]]=1,1,0)=2,1,"")</f>
        <v/>
      </c>
      <c r="L135" s="6" t="str">
        <f>IF(IF(Table41648[[#This Row],[Old or New?]]="Old",1,0)+IF(Table41648[[#This Row],[If Crossman]]=1,1,0)=2,1,"")</f>
        <v/>
      </c>
      <c r="M135" s="6" t="str">
        <f>IF(IF(Table41648[[#This Row],[Old or New?]]="Old",1,0)+IF(Table41648[[#This Row],[If Other]]=1,1,0)=2,1,"")</f>
        <v/>
      </c>
    </row>
    <row r="136" spans="1:13">
      <c r="A136" s="2" t="s">
        <v>24</v>
      </c>
      <c r="B136" s="2" t="s">
        <v>30</v>
      </c>
      <c r="C136" s="1">
        <v>8</v>
      </c>
      <c r="D136" s="2" t="s">
        <v>16</v>
      </c>
      <c r="E136" s="1">
        <v>9</v>
      </c>
      <c r="F136" s="1" t="s">
        <v>17</v>
      </c>
      <c r="G136" s="6">
        <f>IF(Table41648[[#This Row],[Response]]="Crossman",1,"")</f>
        <v>1</v>
      </c>
      <c r="H136" s="6" t="str">
        <f>IF(Table41648[[#This Row],[Response]]="","",IF(Table41648[[#This Row],[Response]]="Crossman","",1))</f>
        <v/>
      </c>
      <c r="I136" s="6">
        <f>IF(SUM(Table41648[[#This Row],[If Crossman]:[If Other]])=1,1,"")</f>
        <v>1</v>
      </c>
      <c r="J136" s="6">
        <f>IF(IF(Table41648[[#This Row],[Old or New?]]="New",1,0)+IF(Table41648[[#This Row],[If Crossman]]=1,1,0)=2,1,"")</f>
        <v>1</v>
      </c>
      <c r="K136" s="6" t="str">
        <f>IF(IF(Table41648[[#This Row],[Old or New?]]="New",1,0)+IF(Table41648[[#This Row],[If Other]]=1,1,0)=2,1,"")</f>
        <v/>
      </c>
      <c r="L136" s="6" t="str">
        <f>IF(IF(Table41648[[#This Row],[Old or New?]]="Old",1,0)+IF(Table41648[[#This Row],[If Crossman]]=1,1,0)=2,1,"")</f>
        <v/>
      </c>
      <c r="M136" s="6" t="str">
        <f>IF(IF(Table41648[[#This Row],[Old or New?]]="Old",1,0)+IF(Table41648[[#This Row],[If Other]]=1,1,0)=2,1,"")</f>
        <v/>
      </c>
    </row>
    <row r="137" spans="1:13">
      <c r="A137" s="2" t="s">
        <v>24</v>
      </c>
      <c r="B137" s="2" t="s">
        <v>30</v>
      </c>
      <c r="C137" s="1">
        <v>9</v>
      </c>
      <c r="D137" s="2" t="s">
        <v>16</v>
      </c>
      <c r="E137" s="1">
        <v>9</v>
      </c>
      <c r="F137" s="1" t="s">
        <v>17</v>
      </c>
      <c r="G137" s="6">
        <f>IF(Table41648[[#This Row],[Response]]="Crossman",1,"")</f>
        <v>1</v>
      </c>
      <c r="H137" s="6" t="str">
        <f>IF(Table41648[[#This Row],[Response]]="","",IF(Table41648[[#This Row],[Response]]="Crossman","",1))</f>
        <v/>
      </c>
      <c r="I137" s="6">
        <f>IF(SUM(Table41648[[#This Row],[If Crossman]:[If Other]])=1,1,"")</f>
        <v>1</v>
      </c>
      <c r="J137" s="6">
        <f>IF(IF(Table41648[[#This Row],[Old or New?]]="New",1,0)+IF(Table41648[[#This Row],[If Crossman]]=1,1,0)=2,1,"")</f>
        <v>1</v>
      </c>
      <c r="K137" s="6" t="str">
        <f>IF(IF(Table41648[[#This Row],[Old or New?]]="New",1,0)+IF(Table41648[[#This Row],[If Other]]=1,1,0)=2,1,"")</f>
        <v/>
      </c>
      <c r="L137" s="6" t="str">
        <f>IF(IF(Table41648[[#This Row],[Old or New?]]="Old",1,0)+IF(Table41648[[#This Row],[If Crossman]]=1,1,0)=2,1,"")</f>
        <v/>
      </c>
      <c r="M137" s="6" t="str">
        <f>IF(IF(Table41648[[#This Row],[Old or New?]]="Old",1,0)+IF(Table41648[[#This Row],[If Other]]=1,1,0)=2,1,"")</f>
        <v/>
      </c>
    </row>
    <row r="138" spans="1:13">
      <c r="A138" s="2" t="s">
        <v>24</v>
      </c>
      <c r="B138" s="2" t="s">
        <v>30</v>
      </c>
      <c r="C138" s="1">
        <v>10</v>
      </c>
      <c r="D138" s="2" t="s">
        <v>16</v>
      </c>
      <c r="E138" s="1">
        <v>9</v>
      </c>
      <c r="F138" s="1" t="s">
        <v>17</v>
      </c>
      <c r="G138" s="6">
        <f>IF(Table41648[[#This Row],[Response]]="Crossman",1,"")</f>
        <v>1</v>
      </c>
      <c r="H138" s="6" t="str">
        <f>IF(Table41648[[#This Row],[Response]]="","",IF(Table41648[[#This Row],[Response]]="Crossman","",1))</f>
        <v/>
      </c>
      <c r="I138" s="6">
        <f>IF(SUM(Table41648[[#This Row],[If Crossman]:[If Other]])=1,1,"")</f>
        <v>1</v>
      </c>
      <c r="J138" s="6">
        <f>IF(IF(Table41648[[#This Row],[Old or New?]]="New",1,0)+IF(Table41648[[#This Row],[If Crossman]]=1,1,0)=2,1,"")</f>
        <v>1</v>
      </c>
      <c r="K138" s="6" t="str">
        <f>IF(IF(Table41648[[#This Row],[Old or New?]]="New",1,0)+IF(Table41648[[#This Row],[If Other]]=1,1,0)=2,1,"")</f>
        <v/>
      </c>
      <c r="L138" s="6" t="str">
        <f>IF(IF(Table41648[[#This Row],[Old or New?]]="Old",1,0)+IF(Table41648[[#This Row],[If Crossman]]=1,1,0)=2,1,"")</f>
        <v/>
      </c>
      <c r="M138" s="6" t="str">
        <f>IF(IF(Table41648[[#This Row],[Old or New?]]="Old",1,0)+IF(Table41648[[#This Row],[If Other]]=1,1,0)=2,1,"")</f>
        <v/>
      </c>
    </row>
    <row r="139" spans="1:13">
      <c r="A139" s="2" t="s">
        <v>24</v>
      </c>
      <c r="B139" s="2" t="s">
        <v>30</v>
      </c>
      <c r="C139" s="1">
        <v>11</v>
      </c>
      <c r="D139" s="2" t="s">
        <v>16</v>
      </c>
      <c r="E139" s="1">
        <v>9</v>
      </c>
      <c r="G139" s="6" t="str">
        <f>IF(Table41648[[#This Row],[Response]]="Crossman",1,"")</f>
        <v/>
      </c>
      <c r="H139" s="6" t="str">
        <f>IF(Table41648[[#This Row],[Response]]="","",IF(Table41648[[#This Row],[Response]]="Crossman","",1))</f>
        <v/>
      </c>
      <c r="I139" s="6" t="str">
        <f>IF(SUM(Table41648[[#This Row],[If Crossman]:[If Other]])=1,1,"")</f>
        <v/>
      </c>
      <c r="J139" s="6" t="str">
        <f>IF(IF(Table41648[[#This Row],[Old or New?]]="New",1,0)+IF(Table41648[[#This Row],[If Crossman]]=1,1,0)=2,1,"")</f>
        <v/>
      </c>
      <c r="K139" s="6" t="str">
        <f>IF(IF(Table41648[[#This Row],[Old or New?]]="New",1,0)+IF(Table41648[[#This Row],[If Other]]=1,1,0)=2,1,"")</f>
        <v/>
      </c>
      <c r="L139" s="6" t="str">
        <f>IF(IF(Table41648[[#This Row],[Old or New?]]="Old",1,0)+IF(Table41648[[#This Row],[If Crossman]]=1,1,0)=2,1,"")</f>
        <v/>
      </c>
      <c r="M139" s="6" t="str">
        <f>IF(IF(Table41648[[#This Row],[Old or New?]]="Old",1,0)+IF(Table41648[[#This Row],[If Other]]=1,1,0)=2,1,"")</f>
        <v/>
      </c>
    </row>
    <row r="140" spans="1:13">
      <c r="A140" s="2" t="s">
        <v>24</v>
      </c>
      <c r="B140" s="2" t="s">
        <v>30</v>
      </c>
      <c r="C140" s="1">
        <v>12</v>
      </c>
      <c r="D140" s="2" t="s">
        <v>16</v>
      </c>
      <c r="E140" s="1">
        <v>9</v>
      </c>
      <c r="F140" s="1" t="s">
        <v>17</v>
      </c>
      <c r="G140" s="6">
        <f>IF(Table41648[[#This Row],[Response]]="Crossman",1,"")</f>
        <v>1</v>
      </c>
      <c r="H140" s="6" t="str">
        <f>IF(Table41648[[#This Row],[Response]]="","",IF(Table41648[[#This Row],[Response]]="Crossman","",1))</f>
        <v/>
      </c>
      <c r="I140" s="6">
        <f>IF(SUM(Table41648[[#This Row],[If Crossman]:[If Other]])=1,1,"")</f>
        <v>1</v>
      </c>
      <c r="J140" s="6">
        <f>IF(IF(Table41648[[#This Row],[Old or New?]]="New",1,0)+IF(Table41648[[#This Row],[If Crossman]]=1,1,0)=2,1,"")</f>
        <v>1</v>
      </c>
      <c r="K140" s="6" t="str">
        <f>IF(IF(Table41648[[#This Row],[Old or New?]]="New",1,0)+IF(Table41648[[#This Row],[If Other]]=1,1,0)=2,1,"")</f>
        <v/>
      </c>
      <c r="L140" s="6" t="str">
        <f>IF(IF(Table41648[[#This Row],[Old or New?]]="Old",1,0)+IF(Table41648[[#This Row],[If Crossman]]=1,1,0)=2,1,"")</f>
        <v/>
      </c>
      <c r="M140" s="6" t="str">
        <f>IF(IF(Table41648[[#This Row],[Old or New?]]="Old",1,0)+IF(Table41648[[#This Row],[If Other]]=1,1,0)=2,1,"")</f>
        <v/>
      </c>
    </row>
    <row r="141" spans="1:13">
      <c r="A141" s="2" t="s">
        <v>24</v>
      </c>
      <c r="B141" s="2" t="s">
        <v>30</v>
      </c>
      <c r="C141" s="1">
        <v>13</v>
      </c>
      <c r="D141" s="2" t="s">
        <v>16</v>
      </c>
      <c r="E141" s="1">
        <v>9</v>
      </c>
      <c r="F141" s="1" t="s">
        <v>17</v>
      </c>
      <c r="G141" s="6">
        <f>IF(Table41648[[#This Row],[Response]]="Crossman",1,"")</f>
        <v>1</v>
      </c>
      <c r="H141" s="6" t="str">
        <f>IF(Table41648[[#This Row],[Response]]="","",IF(Table41648[[#This Row],[Response]]="Crossman","",1))</f>
        <v/>
      </c>
      <c r="I141" s="6">
        <f>IF(SUM(Table41648[[#This Row],[If Crossman]:[If Other]])=1,1,"")</f>
        <v>1</v>
      </c>
      <c r="J141" s="6">
        <f>IF(IF(Table41648[[#This Row],[Old or New?]]="New",1,0)+IF(Table41648[[#This Row],[If Crossman]]=1,1,0)=2,1,"")</f>
        <v>1</v>
      </c>
      <c r="K141" s="6" t="str">
        <f>IF(IF(Table41648[[#This Row],[Old or New?]]="New",1,0)+IF(Table41648[[#This Row],[If Other]]=1,1,0)=2,1,"")</f>
        <v/>
      </c>
      <c r="L141" s="6" t="str">
        <f>IF(IF(Table41648[[#This Row],[Old or New?]]="Old",1,0)+IF(Table41648[[#This Row],[If Crossman]]=1,1,0)=2,1,"")</f>
        <v/>
      </c>
      <c r="M141" s="6" t="str">
        <f>IF(IF(Table41648[[#This Row],[Old or New?]]="Old",1,0)+IF(Table41648[[#This Row],[If Other]]=1,1,0)=2,1,"")</f>
        <v/>
      </c>
    </row>
    <row r="142" spans="1:13">
      <c r="A142" s="2" t="s">
        <v>24</v>
      </c>
      <c r="B142" s="2" t="s">
        <v>30</v>
      </c>
      <c r="C142" s="1">
        <v>14</v>
      </c>
      <c r="D142" s="2" t="s">
        <v>16</v>
      </c>
      <c r="E142" s="1">
        <v>9</v>
      </c>
      <c r="F142" s="1" t="s">
        <v>17</v>
      </c>
      <c r="G142" s="6">
        <f>IF(Table41648[[#This Row],[Response]]="Crossman",1,"")</f>
        <v>1</v>
      </c>
      <c r="H142" s="6" t="str">
        <f>IF(Table41648[[#This Row],[Response]]="","",IF(Table41648[[#This Row],[Response]]="Crossman","",1))</f>
        <v/>
      </c>
      <c r="I142" s="6">
        <f>IF(SUM(Table41648[[#This Row],[If Crossman]:[If Other]])=1,1,"")</f>
        <v>1</v>
      </c>
      <c r="J142" s="6">
        <f>IF(IF(Table41648[[#This Row],[Old or New?]]="New",1,0)+IF(Table41648[[#This Row],[If Crossman]]=1,1,0)=2,1,"")</f>
        <v>1</v>
      </c>
      <c r="K142" s="6" t="str">
        <f>IF(IF(Table41648[[#This Row],[Old or New?]]="New",1,0)+IF(Table41648[[#This Row],[If Other]]=1,1,0)=2,1,"")</f>
        <v/>
      </c>
      <c r="L142" s="6" t="str">
        <f>IF(IF(Table41648[[#This Row],[Old or New?]]="Old",1,0)+IF(Table41648[[#This Row],[If Crossman]]=1,1,0)=2,1,"")</f>
        <v/>
      </c>
      <c r="M142" s="6" t="str">
        <f>IF(IF(Table41648[[#This Row],[Old or New?]]="Old",1,0)+IF(Table41648[[#This Row],[If Other]]=1,1,0)=2,1,"")</f>
        <v/>
      </c>
    </row>
    <row r="143" spans="1:13">
      <c r="A143" s="2" t="s">
        <v>24</v>
      </c>
      <c r="B143" s="2" t="s">
        <v>30</v>
      </c>
      <c r="C143" s="1">
        <v>15</v>
      </c>
      <c r="D143" s="2" t="s">
        <v>16</v>
      </c>
      <c r="E143" s="1">
        <v>9</v>
      </c>
      <c r="F143" s="1" t="s">
        <v>17</v>
      </c>
      <c r="G143" s="6">
        <f>IF(Table41648[[#This Row],[Response]]="Crossman",1,"")</f>
        <v>1</v>
      </c>
      <c r="H143" s="6" t="str">
        <f>IF(Table41648[[#This Row],[Response]]="","",IF(Table41648[[#This Row],[Response]]="Crossman","",1))</f>
        <v/>
      </c>
      <c r="I143" s="6">
        <f>IF(SUM(Table41648[[#This Row],[If Crossman]:[If Other]])=1,1,"")</f>
        <v>1</v>
      </c>
      <c r="J143" s="6">
        <f>IF(IF(Table41648[[#This Row],[Old or New?]]="New",1,0)+IF(Table41648[[#This Row],[If Crossman]]=1,1,0)=2,1,"")</f>
        <v>1</v>
      </c>
      <c r="K143" s="6" t="str">
        <f>IF(IF(Table41648[[#This Row],[Old or New?]]="New",1,0)+IF(Table41648[[#This Row],[If Other]]=1,1,0)=2,1,"")</f>
        <v/>
      </c>
      <c r="L143" s="6" t="str">
        <f>IF(IF(Table41648[[#This Row],[Old or New?]]="Old",1,0)+IF(Table41648[[#This Row],[If Crossman]]=1,1,0)=2,1,"")</f>
        <v/>
      </c>
      <c r="M143" s="6" t="str">
        <f>IF(IF(Table41648[[#This Row],[Old or New?]]="Old",1,0)+IF(Table41648[[#This Row],[If Other]]=1,1,0)=2,1,"")</f>
        <v/>
      </c>
    </row>
    <row r="144" spans="1:13">
      <c r="A144" s="2" t="s">
        <v>24</v>
      </c>
      <c r="B144" s="2" t="s">
        <v>30</v>
      </c>
      <c r="C144" s="1">
        <v>16</v>
      </c>
      <c r="D144" s="2" t="s">
        <v>16</v>
      </c>
      <c r="E144" s="1">
        <v>9</v>
      </c>
      <c r="F144" s="1" t="s">
        <v>17</v>
      </c>
      <c r="G144" s="6">
        <f>IF(Table41648[[#This Row],[Response]]="Crossman",1,"")</f>
        <v>1</v>
      </c>
      <c r="H144" s="6" t="str">
        <f>IF(Table41648[[#This Row],[Response]]="","",IF(Table41648[[#This Row],[Response]]="Crossman","",1))</f>
        <v/>
      </c>
      <c r="I144" s="6">
        <f>IF(SUM(Table41648[[#This Row],[If Crossman]:[If Other]])=1,1,"")</f>
        <v>1</v>
      </c>
      <c r="J144" s="6">
        <f>IF(IF(Table41648[[#This Row],[Old or New?]]="New",1,0)+IF(Table41648[[#This Row],[If Crossman]]=1,1,0)=2,1,"")</f>
        <v>1</v>
      </c>
      <c r="K144" s="6" t="str">
        <f>IF(IF(Table41648[[#This Row],[Old or New?]]="New",1,0)+IF(Table41648[[#This Row],[If Other]]=1,1,0)=2,1,"")</f>
        <v/>
      </c>
      <c r="L144" s="6" t="str">
        <f>IF(IF(Table41648[[#This Row],[Old or New?]]="Old",1,0)+IF(Table41648[[#This Row],[If Crossman]]=1,1,0)=2,1,"")</f>
        <v/>
      </c>
      <c r="M144" s="6" t="str">
        <f>IF(IF(Table41648[[#This Row],[Old or New?]]="Old",1,0)+IF(Table41648[[#This Row],[If Other]]=1,1,0)=2,1,"")</f>
        <v/>
      </c>
    </row>
    <row r="145" spans="1:13">
      <c r="A145" s="2" t="s">
        <v>24</v>
      </c>
      <c r="B145" s="2" t="s">
        <v>30</v>
      </c>
      <c r="C145" s="1">
        <v>17</v>
      </c>
      <c r="D145" s="2" t="s">
        <v>16</v>
      </c>
      <c r="E145" s="1">
        <v>9</v>
      </c>
      <c r="F145" s="1" t="s">
        <v>17</v>
      </c>
      <c r="G145" s="6">
        <f>IF(Table41648[[#This Row],[Response]]="Crossman",1,"")</f>
        <v>1</v>
      </c>
      <c r="H145" s="6" t="str">
        <f>IF(Table41648[[#This Row],[Response]]="","",IF(Table41648[[#This Row],[Response]]="Crossman","",1))</f>
        <v/>
      </c>
      <c r="I145" s="6">
        <f>IF(SUM(Table41648[[#This Row],[If Crossman]:[If Other]])=1,1,"")</f>
        <v>1</v>
      </c>
      <c r="J145" s="6">
        <f>IF(IF(Table41648[[#This Row],[Old or New?]]="New",1,0)+IF(Table41648[[#This Row],[If Crossman]]=1,1,0)=2,1,"")</f>
        <v>1</v>
      </c>
      <c r="K145" s="6" t="str">
        <f>IF(IF(Table41648[[#This Row],[Old or New?]]="New",1,0)+IF(Table41648[[#This Row],[If Other]]=1,1,0)=2,1,"")</f>
        <v/>
      </c>
      <c r="L145" s="6" t="str">
        <f>IF(IF(Table41648[[#This Row],[Old or New?]]="Old",1,0)+IF(Table41648[[#This Row],[If Crossman]]=1,1,0)=2,1,"")</f>
        <v/>
      </c>
      <c r="M145" s="6" t="str">
        <f>IF(IF(Table41648[[#This Row],[Old or New?]]="Old",1,0)+IF(Table41648[[#This Row],[If Other]]=1,1,0)=2,1,"")</f>
        <v/>
      </c>
    </row>
    <row r="146" spans="1:13">
      <c r="A146" s="2" t="s">
        <v>24</v>
      </c>
      <c r="B146" s="2" t="s">
        <v>30</v>
      </c>
      <c r="C146" s="1">
        <v>18</v>
      </c>
      <c r="D146" s="2" t="s">
        <v>16</v>
      </c>
      <c r="E146" s="1">
        <v>9</v>
      </c>
      <c r="F146" s="1" t="s">
        <v>17</v>
      </c>
      <c r="G146" s="6">
        <f>IF(Table41648[[#This Row],[Response]]="Crossman",1,"")</f>
        <v>1</v>
      </c>
      <c r="H146" s="6" t="str">
        <f>IF(Table41648[[#This Row],[Response]]="","",IF(Table41648[[#This Row],[Response]]="Crossman","",1))</f>
        <v/>
      </c>
      <c r="I146" s="6">
        <f>IF(SUM(Table41648[[#This Row],[If Crossman]:[If Other]])=1,1,"")</f>
        <v>1</v>
      </c>
      <c r="J146" s="6">
        <f>IF(IF(Table41648[[#This Row],[Old or New?]]="New",1,0)+IF(Table41648[[#This Row],[If Crossman]]=1,1,0)=2,1,"")</f>
        <v>1</v>
      </c>
      <c r="K146" s="6" t="str">
        <f>IF(IF(Table41648[[#This Row],[Old or New?]]="New",1,0)+IF(Table41648[[#This Row],[If Other]]=1,1,0)=2,1,"")</f>
        <v/>
      </c>
      <c r="L146" s="6" t="str">
        <f>IF(IF(Table41648[[#This Row],[Old or New?]]="Old",1,0)+IF(Table41648[[#This Row],[If Crossman]]=1,1,0)=2,1,"")</f>
        <v/>
      </c>
      <c r="M146" s="6" t="str">
        <f>IF(IF(Table41648[[#This Row],[Old or New?]]="Old",1,0)+IF(Table41648[[#This Row],[If Other]]=1,1,0)=2,1,"")</f>
        <v/>
      </c>
    </row>
    <row r="147" spans="1:13">
      <c r="A147" s="2" t="s">
        <v>24</v>
      </c>
      <c r="B147" s="2" t="s">
        <v>30</v>
      </c>
      <c r="C147" s="2">
        <v>19</v>
      </c>
      <c r="D147" s="2" t="s">
        <v>16</v>
      </c>
      <c r="E147" s="1">
        <v>9</v>
      </c>
      <c r="F147" s="1" t="s">
        <v>17</v>
      </c>
      <c r="G147" s="6">
        <f>IF(Table41648[[#This Row],[Response]]="Crossman",1,"")</f>
        <v>1</v>
      </c>
      <c r="H147" s="6" t="str">
        <f>IF(Table41648[[#This Row],[Response]]="","",IF(Table41648[[#This Row],[Response]]="Crossman","",1))</f>
        <v/>
      </c>
      <c r="I147" s="6">
        <f>IF(SUM(Table41648[[#This Row],[If Crossman]:[If Other]])=1,1,"")</f>
        <v>1</v>
      </c>
      <c r="J147" s="6">
        <f>IF(IF(Table41648[[#This Row],[Old or New?]]="New",1,0)+IF(Table41648[[#This Row],[If Crossman]]=1,1,0)=2,1,"")</f>
        <v>1</v>
      </c>
      <c r="K147" s="6" t="str">
        <f>IF(IF(Table41648[[#This Row],[Old or New?]]="New",1,0)+IF(Table41648[[#This Row],[If Other]]=1,1,0)=2,1,"")</f>
        <v/>
      </c>
      <c r="L147" s="6" t="str">
        <f>IF(IF(Table41648[[#This Row],[Old or New?]]="Old",1,0)+IF(Table41648[[#This Row],[If Crossman]]=1,1,0)=2,1,"")</f>
        <v/>
      </c>
      <c r="M147" s="6" t="str">
        <f>IF(IF(Table41648[[#This Row],[Old or New?]]="Old",1,0)+IF(Table41648[[#This Row],[If Other]]=1,1,0)=2,1,"")</f>
        <v/>
      </c>
    </row>
    <row r="148" spans="1:13">
      <c r="A148" s="2" t="s">
        <v>24</v>
      </c>
      <c r="B148" s="2" t="s">
        <v>31</v>
      </c>
      <c r="C148" s="1">
        <v>1</v>
      </c>
      <c r="D148" s="2" t="s">
        <v>16</v>
      </c>
      <c r="E148" s="1">
        <v>9</v>
      </c>
      <c r="F148" s="1" t="s">
        <v>17</v>
      </c>
      <c r="G148" s="6">
        <f>IF(Table41648[[#This Row],[Response]]="Crossman",1,"")</f>
        <v>1</v>
      </c>
      <c r="H148" s="6" t="str">
        <f>IF(Table41648[[#This Row],[Response]]="","",IF(Table41648[[#This Row],[Response]]="Crossman","",1))</f>
        <v/>
      </c>
      <c r="I148" s="6">
        <f>IF(SUM(Table41648[[#This Row],[If Crossman]:[If Other]])=1,1,"")</f>
        <v>1</v>
      </c>
      <c r="J148" s="6">
        <f>IF(IF(Table41648[[#This Row],[Old or New?]]="New",1,0)+IF(Table41648[[#This Row],[If Crossman]]=1,1,0)=2,1,"")</f>
        <v>1</v>
      </c>
      <c r="K148" s="6" t="str">
        <f>IF(IF(Table41648[[#This Row],[Old or New?]]="New",1,0)+IF(Table41648[[#This Row],[If Other]]=1,1,0)=2,1,"")</f>
        <v/>
      </c>
      <c r="L148" s="6" t="str">
        <f>IF(IF(Table41648[[#This Row],[Old or New?]]="Old",1,0)+IF(Table41648[[#This Row],[If Crossman]]=1,1,0)=2,1,"")</f>
        <v/>
      </c>
      <c r="M148" s="6" t="str">
        <f>IF(IF(Table41648[[#This Row],[Old or New?]]="Old",1,0)+IF(Table41648[[#This Row],[If Other]]=1,1,0)=2,1,"")</f>
        <v/>
      </c>
    </row>
    <row r="149" spans="1:13">
      <c r="A149" s="2" t="s">
        <v>24</v>
      </c>
      <c r="B149" s="2" t="s">
        <v>31</v>
      </c>
      <c r="C149" s="1">
        <v>2</v>
      </c>
      <c r="D149" s="2" t="s">
        <v>16</v>
      </c>
      <c r="E149" s="1">
        <v>9</v>
      </c>
      <c r="G149" s="6" t="str">
        <f>IF(Table41648[[#This Row],[Response]]="Crossman",1,"")</f>
        <v/>
      </c>
      <c r="H149" s="6" t="str">
        <f>IF(Table41648[[#This Row],[Response]]="","",IF(Table41648[[#This Row],[Response]]="Crossman","",1))</f>
        <v/>
      </c>
      <c r="I149" s="6" t="str">
        <f>IF(SUM(Table41648[[#This Row],[If Crossman]:[If Other]])=1,1,"")</f>
        <v/>
      </c>
      <c r="J149" s="6" t="str">
        <f>IF(IF(Table41648[[#This Row],[Old or New?]]="New",1,0)+IF(Table41648[[#This Row],[If Crossman]]=1,1,0)=2,1,"")</f>
        <v/>
      </c>
      <c r="K149" s="6" t="str">
        <f>IF(IF(Table41648[[#This Row],[Old or New?]]="New",1,0)+IF(Table41648[[#This Row],[If Other]]=1,1,0)=2,1,"")</f>
        <v/>
      </c>
      <c r="L149" s="6" t="str">
        <f>IF(IF(Table41648[[#This Row],[Old or New?]]="Old",1,0)+IF(Table41648[[#This Row],[If Crossman]]=1,1,0)=2,1,"")</f>
        <v/>
      </c>
      <c r="M149" s="6" t="str">
        <f>IF(IF(Table41648[[#This Row],[Old or New?]]="Old",1,0)+IF(Table41648[[#This Row],[If Other]]=1,1,0)=2,1,"")</f>
        <v/>
      </c>
    </row>
    <row r="150" spans="1:13">
      <c r="A150" s="2" t="s">
        <v>24</v>
      </c>
      <c r="B150" s="2" t="s">
        <v>31</v>
      </c>
      <c r="C150" s="1">
        <v>3</v>
      </c>
      <c r="D150" s="2" t="s">
        <v>16</v>
      </c>
      <c r="E150" s="1">
        <v>9</v>
      </c>
      <c r="F150" s="1" t="s">
        <v>17</v>
      </c>
      <c r="G150" s="6">
        <f>IF(Table41648[[#This Row],[Response]]="Crossman",1,"")</f>
        <v>1</v>
      </c>
      <c r="H150" s="6" t="str">
        <f>IF(Table41648[[#This Row],[Response]]="","",IF(Table41648[[#This Row],[Response]]="Crossman","",1))</f>
        <v/>
      </c>
      <c r="I150" s="6">
        <f>IF(SUM(Table41648[[#This Row],[If Crossman]:[If Other]])=1,1,"")</f>
        <v>1</v>
      </c>
      <c r="J150" s="6">
        <f>IF(IF(Table41648[[#This Row],[Old or New?]]="New",1,0)+IF(Table41648[[#This Row],[If Crossman]]=1,1,0)=2,1,"")</f>
        <v>1</v>
      </c>
      <c r="K150" s="6" t="str">
        <f>IF(IF(Table41648[[#This Row],[Old or New?]]="New",1,0)+IF(Table41648[[#This Row],[If Other]]=1,1,0)=2,1,"")</f>
        <v/>
      </c>
      <c r="L150" s="6" t="str">
        <f>IF(IF(Table41648[[#This Row],[Old or New?]]="Old",1,0)+IF(Table41648[[#This Row],[If Crossman]]=1,1,0)=2,1,"")</f>
        <v/>
      </c>
      <c r="M150" s="6" t="str">
        <f>IF(IF(Table41648[[#This Row],[Old or New?]]="Old",1,0)+IF(Table41648[[#This Row],[If Other]]=1,1,0)=2,1,"")</f>
        <v/>
      </c>
    </row>
    <row r="151" spans="1:13">
      <c r="A151" s="2" t="s">
        <v>24</v>
      </c>
      <c r="B151" s="2" t="s">
        <v>31</v>
      </c>
      <c r="C151" s="1">
        <v>4</v>
      </c>
      <c r="D151" s="2" t="s">
        <v>16</v>
      </c>
      <c r="E151" s="1">
        <v>9</v>
      </c>
      <c r="F151" s="1" t="s">
        <v>17</v>
      </c>
      <c r="G151" s="6">
        <f>IF(Table41648[[#This Row],[Response]]="Crossman",1,"")</f>
        <v>1</v>
      </c>
      <c r="H151" s="6" t="str">
        <f>IF(Table41648[[#This Row],[Response]]="","",IF(Table41648[[#This Row],[Response]]="Crossman","",1))</f>
        <v/>
      </c>
      <c r="I151" s="6">
        <f>IF(SUM(Table41648[[#This Row],[If Crossman]:[If Other]])=1,1,"")</f>
        <v>1</v>
      </c>
      <c r="J151" s="6">
        <f>IF(IF(Table41648[[#This Row],[Old or New?]]="New",1,0)+IF(Table41648[[#This Row],[If Crossman]]=1,1,0)=2,1,"")</f>
        <v>1</v>
      </c>
      <c r="K151" s="6" t="str">
        <f>IF(IF(Table41648[[#This Row],[Old or New?]]="New",1,0)+IF(Table41648[[#This Row],[If Other]]=1,1,0)=2,1,"")</f>
        <v/>
      </c>
      <c r="L151" s="6" t="str">
        <f>IF(IF(Table41648[[#This Row],[Old or New?]]="Old",1,0)+IF(Table41648[[#This Row],[If Crossman]]=1,1,0)=2,1,"")</f>
        <v/>
      </c>
      <c r="M151" s="6" t="str">
        <f>IF(IF(Table41648[[#This Row],[Old or New?]]="Old",1,0)+IF(Table41648[[#This Row],[If Other]]=1,1,0)=2,1,"")</f>
        <v/>
      </c>
    </row>
    <row r="152" spans="1:13">
      <c r="A152" s="2" t="s">
        <v>24</v>
      </c>
      <c r="B152" s="2" t="s">
        <v>31</v>
      </c>
      <c r="C152" s="1">
        <v>5</v>
      </c>
      <c r="D152" s="2" t="s">
        <v>16</v>
      </c>
      <c r="E152" s="1">
        <v>9</v>
      </c>
      <c r="G152" s="6" t="str">
        <f>IF(Table41648[[#This Row],[Response]]="Crossman",1,"")</f>
        <v/>
      </c>
      <c r="H152" s="6" t="str">
        <f>IF(Table41648[[#This Row],[Response]]="","",IF(Table41648[[#This Row],[Response]]="Crossman","",1))</f>
        <v/>
      </c>
      <c r="I152" s="6" t="str">
        <f>IF(SUM(Table41648[[#This Row],[If Crossman]:[If Other]])=1,1,"")</f>
        <v/>
      </c>
      <c r="J152" s="6" t="str">
        <f>IF(IF(Table41648[[#This Row],[Old or New?]]="New",1,0)+IF(Table41648[[#This Row],[If Crossman]]=1,1,0)=2,1,"")</f>
        <v/>
      </c>
      <c r="K152" s="6" t="str">
        <f>IF(IF(Table41648[[#This Row],[Old or New?]]="New",1,0)+IF(Table41648[[#This Row],[If Other]]=1,1,0)=2,1,"")</f>
        <v/>
      </c>
      <c r="L152" s="6" t="str">
        <f>IF(IF(Table41648[[#This Row],[Old or New?]]="Old",1,0)+IF(Table41648[[#This Row],[If Crossman]]=1,1,0)=2,1,"")</f>
        <v/>
      </c>
      <c r="M152" s="6" t="str">
        <f>IF(IF(Table41648[[#This Row],[Old or New?]]="Old",1,0)+IF(Table41648[[#This Row],[If Other]]=1,1,0)=2,1,"")</f>
        <v/>
      </c>
    </row>
    <row r="153" spans="1:13">
      <c r="A153" s="2" t="s">
        <v>24</v>
      </c>
      <c r="B153" s="2" t="s">
        <v>31</v>
      </c>
      <c r="C153" s="1">
        <v>6</v>
      </c>
      <c r="D153" s="2" t="s">
        <v>16</v>
      </c>
      <c r="E153" s="1">
        <v>9</v>
      </c>
      <c r="G153" s="6" t="str">
        <f>IF(Table41648[[#This Row],[Response]]="Crossman",1,"")</f>
        <v/>
      </c>
      <c r="H153" s="6" t="str">
        <f>IF(Table41648[[#This Row],[Response]]="","",IF(Table41648[[#This Row],[Response]]="Crossman","",1))</f>
        <v/>
      </c>
      <c r="I153" s="6" t="str">
        <f>IF(SUM(Table41648[[#This Row],[If Crossman]:[If Other]])=1,1,"")</f>
        <v/>
      </c>
      <c r="J153" s="6" t="str">
        <f>IF(IF(Table41648[[#This Row],[Old or New?]]="New",1,0)+IF(Table41648[[#This Row],[If Crossman]]=1,1,0)=2,1,"")</f>
        <v/>
      </c>
      <c r="K153" s="6" t="str">
        <f>IF(IF(Table41648[[#This Row],[Old or New?]]="New",1,0)+IF(Table41648[[#This Row],[If Other]]=1,1,0)=2,1,"")</f>
        <v/>
      </c>
      <c r="L153" s="6" t="str">
        <f>IF(IF(Table41648[[#This Row],[Old or New?]]="Old",1,0)+IF(Table41648[[#This Row],[If Crossman]]=1,1,0)=2,1,"")</f>
        <v/>
      </c>
      <c r="M153" s="6" t="str">
        <f>IF(IF(Table41648[[#This Row],[Old or New?]]="Old",1,0)+IF(Table41648[[#This Row],[If Other]]=1,1,0)=2,1,"")</f>
        <v/>
      </c>
    </row>
    <row r="154" spans="1:13">
      <c r="A154" s="2" t="s">
        <v>24</v>
      </c>
      <c r="B154" s="2" t="s">
        <v>31</v>
      </c>
      <c r="C154" s="1">
        <v>7</v>
      </c>
      <c r="D154" s="2" t="s">
        <v>16</v>
      </c>
      <c r="E154" s="1">
        <v>9</v>
      </c>
      <c r="F154" s="1" t="s">
        <v>17</v>
      </c>
      <c r="G154" s="6">
        <f>IF(Table41648[[#This Row],[Response]]="Crossman",1,"")</f>
        <v>1</v>
      </c>
      <c r="H154" s="6" t="str">
        <f>IF(Table41648[[#This Row],[Response]]="","",IF(Table41648[[#This Row],[Response]]="Crossman","",1))</f>
        <v/>
      </c>
      <c r="I154" s="6">
        <f>IF(SUM(Table41648[[#This Row],[If Crossman]:[If Other]])=1,1,"")</f>
        <v>1</v>
      </c>
      <c r="J154" s="6">
        <f>IF(IF(Table41648[[#This Row],[Old or New?]]="New",1,0)+IF(Table41648[[#This Row],[If Crossman]]=1,1,0)=2,1,"")</f>
        <v>1</v>
      </c>
      <c r="K154" s="6" t="str">
        <f>IF(IF(Table41648[[#This Row],[Old or New?]]="New",1,0)+IF(Table41648[[#This Row],[If Other]]=1,1,0)=2,1,"")</f>
        <v/>
      </c>
      <c r="L154" s="6" t="str">
        <f>IF(IF(Table41648[[#This Row],[Old or New?]]="Old",1,0)+IF(Table41648[[#This Row],[If Crossman]]=1,1,0)=2,1,"")</f>
        <v/>
      </c>
      <c r="M154" s="6" t="str">
        <f>IF(IF(Table41648[[#This Row],[Old or New?]]="Old",1,0)+IF(Table41648[[#This Row],[If Other]]=1,1,0)=2,1,"")</f>
        <v/>
      </c>
    </row>
    <row r="155" spans="1:13">
      <c r="A155" s="2" t="s">
        <v>24</v>
      </c>
      <c r="B155" s="2" t="s">
        <v>31</v>
      </c>
      <c r="C155" s="1">
        <v>8</v>
      </c>
      <c r="D155" s="2" t="s">
        <v>16</v>
      </c>
      <c r="E155" s="1">
        <v>9</v>
      </c>
      <c r="F155" s="1" t="s">
        <v>17</v>
      </c>
      <c r="G155" s="6">
        <f>IF(Table41648[[#This Row],[Response]]="Crossman",1,"")</f>
        <v>1</v>
      </c>
      <c r="H155" s="6" t="str">
        <f>IF(Table41648[[#This Row],[Response]]="","",IF(Table41648[[#This Row],[Response]]="Crossman","",1))</f>
        <v/>
      </c>
      <c r="I155" s="6">
        <f>IF(SUM(Table41648[[#This Row],[If Crossman]:[If Other]])=1,1,"")</f>
        <v>1</v>
      </c>
      <c r="J155" s="6">
        <f>IF(IF(Table41648[[#This Row],[Old or New?]]="New",1,0)+IF(Table41648[[#This Row],[If Crossman]]=1,1,0)=2,1,"")</f>
        <v>1</v>
      </c>
      <c r="K155" s="6" t="str">
        <f>IF(IF(Table41648[[#This Row],[Old or New?]]="New",1,0)+IF(Table41648[[#This Row],[If Other]]=1,1,0)=2,1,"")</f>
        <v/>
      </c>
      <c r="L155" s="6" t="str">
        <f>IF(IF(Table41648[[#This Row],[Old or New?]]="Old",1,0)+IF(Table41648[[#This Row],[If Crossman]]=1,1,0)=2,1,"")</f>
        <v/>
      </c>
      <c r="M155" s="6" t="str">
        <f>IF(IF(Table41648[[#This Row],[Old or New?]]="Old",1,0)+IF(Table41648[[#This Row],[If Other]]=1,1,0)=2,1,"")</f>
        <v/>
      </c>
    </row>
    <row r="156" spans="1:13">
      <c r="A156" s="2" t="s">
        <v>24</v>
      </c>
      <c r="B156" s="2" t="s">
        <v>31</v>
      </c>
      <c r="C156" s="1">
        <v>9</v>
      </c>
      <c r="D156" s="2" t="s">
        <v>16</v>
      </c>
      <c r="E156" s="1">
        <v>9</v>
      </c>
      <c r="F156" s="1" t="s">
        <v>17</v>
      </c>
      <c r="G156" s="6">
        <f>IF(Table41648[[#This Row],[Response]]="Crossman",1,"")</f>
        <v>1</v>
      </c>
      <c r="H156" s="6" t="str">
        <f>IF(Table41648[[#This Row],[Response]]="","",IF(Table41648[[#This Row],[Response]]="Crossman","",1))</f>
        <v/>
      </c>
      <c r="I156" s="6">
        <f>IF(SUM(Table41648[[#This Row],[If Crossman]:[If Other]])=1,1,"")</f>
        <v>1</v>
      </c>
      <c r="J156" s="6">
        <f>IF(IF(Table41648[[#This Row],[Old or New?]]="New",1,0)+IF(Table41648[[#This Row],[If Crossman]]=1,1,0)=2,1,"")</f>
        <v>1</v>
      </c>
      <c r="K156" s="6" t="str">
        <f>IF(IF(Table41648[[#This Row],[Old or New?]]="New",1,0)+IF(Table41648[[#This Row],[If Other]]=1,1,0)=2,1,"")</f>
        <v/>
      </c>
      <c r="L156" s="6" t="str">
        <f>IF(IF(Table41648[[#This Row],[Old or New?]]="Old",1,0)+IF(Table41648[[#This Row],[If Crossman]]=1,1,0)=2,1,"")</f>
        <v/>
      </c>
      <c r="M156" s="6" t="str">
        <f>IF(IF(Table41648[[#This Row],[Old or New?]]="Old",1,0)+IF(Table41648[[#This Row],[If Other]]=1,1,0)=2,1,"")</f>
        <v/>
      </c>
    </row>
    <row r="157" spans="1:13">
      <c r="A157" s="2" t="s">
        <v>24</v>
      </c>
      <c r="B157" s="2" t="s">
        <v>31</v>
      </c>
      <c r="C157" s="1">
        <v>10</v>
      </c>
      <c r="D157" s="2" t="s">
        <v>16</v>
      </c>
      <c r="E157" s="1">
        <v>9</v>
      </c>
      <c r="F157" s="1" t="s">
        <v>17</v>
      </c>
      <c r="G157" s="6">
        <f>IF(Table41648[[#This Row],[Response]]="Crossman",1,"")</f>
        <v>1</v>
      </c>
      <c r="H157" s="6" t="str">
        <f>IF(Table41648[[#This Row],[Response]]="","",IF(Table41648[[#This Row],[Response]]="Crossman","",1))</f>
        <v/>
      </c>
      <c r="I157" s="6">
        <f>IF(SUM(Table41648[[#This Row],[If Crossman]:[If Other]])=1,1,"")</f>
        <v>1</v>
      </c>
      <c r="J157" s="6">
        <f>IF(IF(Table41648[[#This Row],[Old or New?]]="New",1,0)+IF(Table41648[[#This Row],[If Crossman]]=1,1,0)=2,1,"")</f>
        <v>1</v>
      </c>
      <c r="K157" s="6" t="str">
        <f>IF(IF(Table41648[[#This Row],[Old or New?]]="New",1,0)+IF(Table41648[[#This Row],[If Other]]=1,1,0)=2,1,"")</f>
        <v/>
      </c>
      <c r="L157" s="6" t="str">
        <f>IF(IF(Table41648[[#This Row],[Old or New?]]="Old",1,0)+IF(Table41648[[#This Row],[If Crossman]]=1,1,0)=2,1,"")</f>
        <v/>
      </c>
      <c r="M157" s="6" t="str">
        <f>IF(IF(Table41648[[#This Row],[Old or New?]]="Old",1,0)+IF(Table41648[[#This Row],[If Other]]=1,1,0)=2,1,"")</f>
        <v/>
      </c>
    </row>
    <row r="158" spans="1:13">
      <c r="A158" s="2" t="s">
        <v>24</v>
      </c>
      <c r="B158" s="2" t="s">
        <v>31</v>
      </c>
      <c r="C158" s="1">
        <v>11</v>
      </c>
      <c r="D158" s="2" t="s">
        <v>16</v>
      </c>
      <c r="E158" s="1">
        <v>9</v>
      </c>
      <c r="F158" s="1" t="s">
        <v>17</v>
      </c>
      <c r="G158" s="6">
        <f>IF(Table41648[[#This Row],[Response]]="Crossman",1,"")</f>
        <v>1</v>
      </c>
      <c r="H158" s="6" t="str">
        <f>IF(Table41648[[#This Row],[Response]]="","",IF(Table41648[[#This Row],[Response]]="Crossman","",1))</f>
        <v/>
      </c>
      <c r="I158" s="6">
        <f>IF(SUM(Table41648[[#This Row],[If Crossman]:[If Other]])=1,1,"")</f>
        <v>1</v>
      </c>
      <c r="J158" s="6">
        <f>IF(IF(Table41648[[#This Row],[Old or New?]]="New",1,0)+IF(Table41648[[#This Row],[If Crossman]]=1,1,0)=2,1,"")</f>
        <v>1</v>
      </c>
      <c r="K158" s="6" t="str">
        <f>IF(IF(Table41648[[#This Row],[Old or New?]]="New",1,0)+IF(Table41648[[#This Row],[If Other]]=1,1,0)=2,1,"")</f>
        <v/>
      </c>
      <c r="L158" s="6" t="str">
        <f>IF(IF(Table41648[[#This Row],[Old or New?]]="Old",1,0)+IF(Table41648[[#This Row],[If Crossman]]=1,1,0)=2,1,"")</f>
        <v/>
      </c>
      <c r="M158" s="6" t="str">
        <f>IF(IF(Table41648[[#This Row],[Old or New?]]="Old",1,0)+IF(Table41648[[#This Row],[If Other]]=1,1,0)=2,1,"")</f>
        <v/>
      </c>
    </row>
    <row r="159" spans="1:13">
      <c r="A159" s="2" t="s">
        <v>24</v>
      </c>
      <c r="B159" s="2" t="s">
        <v>31</v>
      </c>
      <c r="C159" s="1">
        <v>12</v>
      </c>
      <c r="D159" s="2" t="s">
        <v>16</v>
      </c>
      <c r="E159" s="1">
        <v>9</v>
      </c>
      <c r="F159" s="1" t="s">
        <v>17</v>
      </c>
      <c r="G159" s="6">
        <f>IF(Table41648[[#This Row],[Response]]="Crossman",1,"")</f>
        <v>1</v>
      </c>
      <c r="H159" s="6" t="str">
        <f>IF(Table41648[[#This Row],[Response]]="","",IF(Table41648[[#This Row],[Response]]="Crossman","",1))</f>
        <v/>
      </c>
      <c r="I159" s="6">
        <f>IF(SUM(Table41648[[#This Row],[If Crossman]:[If Other]])=1,1,"")</f>
        <v>1</v>
      </c>
      <c r="J159" s="6">
        <f>IF(IF(Table41648[[#This Row],[Old or New?]]="New",1,0)+IF(Table41648[[#This Row],[If Crossman]]=1,1,0)=2,1,"")</f>
        <v>1</v>
      </c>
      <c r="K159" s="6" t="str">
        <f>IF(IF(Table41648[[#This Row],[Old or New?]]="New",1,0)+IF(Table41648[[#This Row],[If Other]]=1,1,0)=2,1,"")</f>
        <v/>
      </c>
      <c r="L159" s="6" t="str">
        <f>IF(IF(Table41648[[#This Row],[Old or New?]]="Old",1,0)+IF(Table41648[[#This Row],[If Crossman]]=1,1,0)=2,1,"")</f>
        <v/>
      </c>
      <c r="M159" s="6" t="str">
        <f>IF(IF(Table41648[[#This Row],[Old or New?]]="Old",1,0)+IF(Table41648[[#This Row],[If Other]]=1,1,0)=2,1,"")</f>
        <v/>
      </c>
    </row>
    <row r="160" spans="1:13">
      <c r="A160" s="2" t="s">
        <v>24</v>
      </c>
      <c r="B160" s="2" t="s">
        <v>31</v>
      </c>
      <c r="C160" s="1">
        <v>13</v>
      </c>
      <c r="D160" s="2" t="s">
        <v>16</v>
      </c>
      <c r="E160" s="1">
        <v>9</v>
      </c>
      <c r="F160" s="1" t="s">
        <v>32</v>
      </c>
      <c r="G160" s="6" t="str">
        <f>IF(Table41648[[#This Row],[Response]]="Crossman",1,"")</f>
        <v/>
      </c>
      <c r="H160" s="6">
        <f>IF(Table41648[[#This Row],[Response]]="","",IF(Table41648[[#This Row],[Response]]="Crossman","",1))</f>
        <v>1</v>
      </c>
      <c r="I160" s="6">
        <f>IF(SUM(Table41648[[#This Row],[If Crossman]:[If Other]])=1,1,"")</f>
        <v>1</v>
      </c>
      <c r="J160" s="6" t="str">
        <f>IF(IF(Table41648[[#This Row],[Old or New?]]="New",1,0)+IF(Table41648[[#This Row],[If Crossman]]=1,1,0)=2,1,"")</f>
        <v/>
      </c>
      <c r="K160" s="6">
        <f>IF(IF(Table41648[[#This Row],[Old or New?]]="New",1,0)+IF(Table41648[[#This Row],[If Other]]=1,1,0)=2,1,"")</f>
        <v>1</v>
      </c>
      <c r="L160" s="6" t="str">
        <f>IF(IF(Table41648[[#This Row],[Old or New?]]="Old",1,0)+IF(Table41648[[#This Row],[If Crossman]]=1,1,0)=2,1,"")</f>
        <v/>
      </c>
      <c r="M160" s="6" t="str">
        <f>IF(IF(Table41648[[#This Row],[Old or New?]]="Old",1,0)+IF(Table41648[[#This Row],[If Other]]=1,1,0)=2,1,"")</f>
        <v/>
      </c>
    </row>
    <row r="161" spans="1:13">
      <c r="A161" s="2" t="s">
        <v>24</v>
      </c>
      <c r="B161" s="2" t="s">
        <v>31</v>
      </c>
      <c r="C161" s="1">
        <v>14</v>
      </c>
      <c r="D161" s="2" t="s">
        <v>16</v>
      </c>
      <c r="E161" s="1">
        <v>9</v>
      </c>
      <c r="F161" s="1" t="s">
        <v>32</v>
      </c>
      <c r="G161" s="6" t="str">
        <f>IF(Table41648[[#This Row],[Response]]="Crossman",1,"")</f>
        <v/>
      </c>
      <c r="H161" s="6">
        <f>IF(Table41648[[#This Row],[Response]]="","",IF(Table41648[[#This Row],[Response]]="Crossman","",1))</f>
        <v>1</v>
      </c>
      <c r="I161" s="6">
        <f>IF(SUM(Table41648[[#This Row],[If Crossman]:[If Other]])=1,1,"")</f>
        <v>1</v>
      </c>
      <c r="J161" s="6" t="str">
        <f>IF(IF(Table41648[[#This Row],[Old or New?]]="New",1,0)+IF(Table41648[[#This Row],[If Crossman]]=1,1,0)=2,1,"")</f>
        <v/>
      </c>
      <c r="K161" s="6">
        <f>IF(IF(Table41648[[#This Row],[Old or New?]]="New",1,0)+IF(Table41648[[#This Row],[If Other]]=1,1,0)=2,1,"")</f>
        <v>1</v>
      </c>
      <c r="L161" s="6" t="str">
        <f>IF(IF(Table41648[[#This Row],[Old or New?]]="Old",1,0)+IF(Table41648[[#This Row],[If Crossman]]=1,1,0)=2,1,"")</f>
        <v/>
      </c>
      <c r="M161" s="6" t="str">
        <f>IF(IF(Table41648[[#This Row],[Old or New?]]="Old",1,0)+IF(Table41648[[#This Row],[If Other]]=1,1,0)=2,1,"")</f>
        <v/>
      </c>
    </row>
    <row r="162" spans="1:13">
      <c r="A162" s="2" t="s">
        <v>24</v>
      </c>
      <c r="B162" s="2" t="s">
        <v>31</v>
      </c>
      <c r="C162" s="1">
        <v>15</v>
      </c>
      <c r="D162" s="2" t="s">
        <v>16</v>
      </c>
      <c r="E162" s="1">
        <v>9</v>
      </c>
      <c r="F162" s="1" t="s">
        <v>17</v>
      </c>
      <c r="G162" s="6">
        <f>IF(Table41648[[#This Row],[Response]]="Crossman",1,"")</f>
        <v>1</v>
      </c>
      <c r="H162" s="6" t="str">
        <f>IF(Table41648[[#This Row],[Response]]="","",IF(Table41648[[#This Row],[Response]]="Crossman","",1))</f>
        <v/>
      </c>
      <c r="I162" s="6">
        <f>IF(SUM(Table41648[[#This Row],[If Crossman]:[If Other]])=1,1,"")</f>
        <v>1</v>
      </c>
      <c r="J162" s="6">
        <f>IF(IF(Table41648[[#This Row],[Old or New?]]="New",1,0)+IF(Table41648[[#This Row],[If Crossman]]=1,1,0)=2,1,"")</f>
        <v>1</v>
      </c>
      <c r="K162" s="6" t="str">
        <f>IF(IF(Table41648[[#This Row],[Old or New?]]="New",1,0)+IF(Table41648[[#This Row],[If Other]]=1,1,0)=2,1,"")</f>
        <v/>
      </c>
      <c r="L162" s="6" t="str">
        <f>IF(IF(Table41648[[#This Row],[Old or New?]]="Old",1,0)+IF(Table41648[[#This Row],[If Crossman]]=1,1,0)=2,1,"")</f>
        <v/>
      </c>
      <c r="M162" s="6" t="str">
        <f>IF(IF(Table41648[[#This Row],[Old or New?]]="Old",1,0)+IF(Table41648[[#This Row],[If Other]]=1,1,0)=2,1,"")</f>
        <v/>
      </c>
    </row>
    <row r="163" spans="1:13">
      <c r="A163" s="2"/>
      <c r="B163" s="2"/>
      <c r="C163" s="2"/>
      <c r="D163" s="2"/>
      <c r="E163" s="2"/>
      <c r="F163" s="2"/>
      <c r="G163" s="6">
        <f>SUM([If Crossman])</f>
        <v>121</v>
      </c>
      <c r="H163" s="6">
        <f>SUM([If Other])</f>
        <v>7</v>
      </c>
      <c r="I163" s="2">
        <f>SUM([Answered?])</f>
        <v>128</v>
      </c>
      <c r="J163" s="2">
        <f>SUM([New Crossman])</f>
        <v>75</v>
      </c>
      <c r="K163" s="2">
        <f>SUM([New Other])</f>
        <v>5</v>
      </c>
      <c r="L163" s="2">
        <f>SUM([Old Crossman])</f>
        <v>46</v>
      </c>
      <c r="M163" s="2">
        <f>SUM([Old Other])</f>
        <v>2</v>
      </c>
    </row>
    <row r="164" spans="1:13">
      <c r="A164" s="2"/>
      <c r="B164" s="2"/>
      <c r="C164" s="2"/>
      <c r="D164" s="2"/>
      <c r="E164" s="2"/>
      <c r="F164" s="2"/>
      <c r="G164" s="6"/>
      <c r="H164" s="6"/>
      <c r="I164" s="2"/>
      <c r="J164" s="2"/>
      <c r="K164" s="2"/>
      <c r="L164" s="2"/>
      <c r="M164" s="2"/>
    </row>
    <row r="165" spans="1:13">
      <c r="A165" s="1" t="s">
        <v>4</v>
      </c>
      <c r="B165" s="1" t="s">
        <v>36</v>
      </c>
      <c r="C165" s="1" t="s">
        <v>37</v>
      </c>
      <c r="D165" s="1" t="s">
        <v>17</v>
      </c>
      <c r="E165" s="1" t="s">
        <v>126</v>
      </c>
      <c r="F165" s="1" t="s">
        <v>127</v>
      </c>
      <c r="G165" s="1" t="s">
        <v>128</v>
      </c>
      <c r="H165" s="1" t="s">
        <v>129</v>
      </c>
      <c r="I165" s="1" t="s">
        <v>130</v>
      </c>
    </row>
    <row r="166" spans="1:13">
      <c r="A166" s="1" t="s">
        <v>24</v>
      </c>
      <c r="B166" s="1">
        <f>COUNTIF(Table41648[Old or New?],"New")</f>
        <v>96</v>
      </c>
      <c r="C166" s="1">
        <f>SUM(Table41648[[#Totals],[New Crossman]:[New Other]])</f>
        <v>80</v>
      </c>
      <c r="D166" s="1">
        <f>Table41648[[#Totals],[New Crossman]]</f>
        <v>75</v>
      </c>
      <c r="E166" s="1">
        <f>Table41648[[#Totals],[New Other]]</f>
        <v>5</v>
      </c>
      <c r="F166" s="1">
        <f>D166/C166*100</f>
        <v>93.75</v>
      </c>
      <c r="G166" s="1">
        <f>E166/C166*100</f>
        <v>6.25</v>
      </c>
      <c r="H166" s="5">
        <f>Table51749[[#This Row],[Crossman]]/Table51749[[#This Row],[Total Surveys]]*100</f>
        <v>78.125</v>
      </c>
      <c r="I166" s="5">
        <f>100-Table51749[[#This Row],[% CM incl Blanks]]</f>
        <v>21.875</v>
      </c>
    </row>
    <row r="167" spans="1:13">
      <c r="A167" s="1" t="s">
        <v>12</v>
      </c>
      <c r="B167" s="1">
        <f>COUNTIF(Table41648[Old or New?],"Old")</f>
        <v>65</v>
      </c>
      <c r="C167" s="1">
        <f>SUM(Table41648[[#Totals],[Old Crossman]:[Old Other]])</f>
        <v>48</v>
      </c>
      <c r="D167" s="1">
        <f>Table41648[[#Totals],[Old Crossman]]</f>
        <v>46</v>
      </c>
      <c r="E167" s="1">
        <f>Table41648[[#Totals],[Old Other]]</f>
        <v>2</v>
      </c>
      <c r="F167" s="1">
        <f>D167/C167*100</f>
        <v>95.833333333333343</v>
      </c>
      <c r="G167" s="1">
        <f>E167/C167*100</f>
        <v>4.1666666666666661</v>
      </c>
      <c r="H167" s="5">
        <f>Table51749[[#This Row],[Crossman]]/Table51749[[#This Row],[Total Surveys]]*100</f>
        <v>70.769230769230774</v>
      </c>
      <c r="I167" s="5">
        <f>100-Table51749[[#This Row],[% CM incl Blanks]]</f>
        <v>29.230769230769226</v>
      </c>
    </row>
    <row r="169" spans="1:13">
      <c r="A169" s="12" t="s">
        <v>131</v>
      </c>
      <c r="B169" s="12"/>
      <c r="C169" s="12"/>
      <c r="D169" s="12"/>
      <c r="E169" s="12" t="s">
        <v>133</v>
      </c>
      <c r="F169" s="12"/>
      <c r="G169" s="12"/>
      <c r="H169" s="12"/>
      <c r="I169" s="12"/>
      <c r="J169" s="12"/>
    </row>
    <row r="170" spans="1:13">
      <c r="A170" s="12" t="s">
        <v>132</v>
      </c>
      <c r="B170" s="12"/>
      <c r="C170" s="12"/>
      <c r="D170" s="12"/>
      <c r="E170" s="12" t="s">
        <v>134</v>
      </c>
      <c r="F170" s="12"/>
      <c r="G170" s="12"/>
      <c r="H170" s="12"/>
      <c r="I170" s="12"/>
      <c r="J170" s="12"/>
    </row>
    <row r="172" spans="1:13">
      <c r="A172" s="12"/>
      <c r="B172" s="12"/>
      <c r="C172" s="12"/>
      <c r="D172" s="12"/>
      <c r="E172" s="12"/>
      <c r="F172" s="12"/>
      <c r="G172" s="12"/>
    </row>
    <row r="173" spans="1:13">
      <c r="A173" s="12"/>
      <c r="B173" s="12"/>
      <c r="C173" s="12"/>
      <c r="D173" s="12"/>
      <c r="E173" s="12"/>
      <c r="F173" s="12"/>
      <c r="G173" s="12"/>
    </row>
  </sheetData>
  <conditionalFormatting sqref="F2:F162">
    <cfRule type="cellIs" dxfId="679" priority="1" operator="equal">
      <formula>"No"</formula>
    </cfRule>
    <cfRule type="cellIs" dxfId="678" priority="2" operator="equal">
      <formula>"Yes"</formula>
    </cfRule>
  </conditionalFormatting>
  <pageMargins left="0.7" right="0.7" top="0.75" bottom="0.75" header="0.3" footer="0.3"/>
  <pageSetup scale="42" fitToHeight="3" orientation="portrait" horizontalDpi="300" verticalDpi="300" r:id="rId1"/>
  <tableParts count="2">
    <tablePart r:id="rId2"/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73"/>
  <sheetViews>
    <sheetView workbookViewId="0">
      <pane ySplit="1" topLeftCell="A142" activePane="bottomLeft" state="frozen"/>
      <selection activeCell="E37" sqref="E37"/>
      <selection pane="bottomLeft" activeCell="E173" sqref="E173"/>
    </sheetView>
  </sheetViews>
  <sheetFormatPr defaultColWidth="16.7109375" defaultRowHeight="15"/>
  <cols>
    <col min="1" max="16384" width="16.7109375" style="1"/>
  </cols>
  <sheetData>
    <row r="1" spans="1:12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35</v>
      </c>
      <c r="H1" s="1" t="s">
        <v>67</v>
      </c>
      <c r="I1" s="1" t="s">
        <v>24</v>
      </c>
      <c r="J1" s="1" t="s">
        <v>12</v>
      </c>
      <c r="K1" s="1" t="s">
        <v>136</v>
      </c>
      <c r="L1" s="1" t="s">
        <v>137</v>
      </c>
    </row>
    <row r="2" spans="1:12">
      <c r="A2" s="1" t="s">
        <v>12</v>
      </c>
      <c r="B2" s="1" t="s">
        <v>10</v>
      </c>
      <c r="C2" s="1">
        <v>1</v>
      </c>
      <c r="D2" s="1" t="s">
        <v>16</v>
      </c>
      <c r="E2" s="1">
        <v>6</v>
      </c>
      <c r="F2" s="1">
        <v>4</v>
      </c>
      <c r="G2" s="5">
        <f>IF(IF(Table44281850[[#This Row],[Pre or Post]]="Post",1,0)+IF(ISNUMBER(Table44281850[[#This Row],[Response]])=TRUE,1,0)=2,1,"")</f>
        <v>1</v>
      </c>
      <c r="H2" s="5">
        <f>IF(IF(Table44281850[[#This Row],[Pre or Post]]="Post",1,0)+IF(ISNUMBER(Table44281850[[#This Row],[Response]])=TRUE,1,0)=2,Table44281850[[#This Row],[Response]],"")</f>
        <v>4</v>
      </c>
      <c r="I2" s="5" t="str">
        <f>IF(Table44281850[[#This Row],[Old or New?]]="New",Table44281850[[#This Row],[Post Total]],"")</f>
        <v/>
      </c>
      <c r="J2" s="5">
        <f>IF(Table44281850[[#This Row],[Old or New?]]="Old",Table44281850[[#This Row],[Post Total]],"")</f>
        <v>4</v>
      </c>
      <c r="K2" s="5" t="b">
        <f>ISNUMBER(Table44281850[[#This Row],[New]])</f>
        <v>0</v>
      </c>
      <c r="L2" s="5" t="b">
        <f>ISNUMBER(Table44281850[[#This Row],[Old]])</f>
        <v>1</v>
      </c>
    </row>
    <row r="3" spans="1:12">
      <c r="A3" s="1" t="s">
        <v>12</v>
      </c>
      <c r="B3" s="1" t="s">
        <v>10</v>
      </c>
      <c r="C3" s="1">
        <v>2</v>
      </c>
      <c r="D3" s="1" t="s">
        <v>16</v>
      </c>
      <c r="E3" s="1">
        <v>6</v>
      </c>
      <c r="F3" s="1">
        <v>3</v>
      </c>
      <c r="G3" s="5">
        <f>IF(IF(Table44281850[[#This Row],[Pre or Post]]="Post",1,0)+IF(ISNUMBER(Table44281850[[#This Row],[Response]])=TRUE,1,0)=2,1,"")</f>
        <v>1</v>
      </c>
      <c r="H3" s="5">
        <f>IF(IF(Table44281850[[#This Row],[Pre or Post]]="Post",1,0)+IF(ISNUMBER(Table44281850[[#This Row],[Response]])=TRUE,1,0)=2,Table44281850[[#This Row],[Response]],"")</f>
        <v>3</v>
      </c>
      <c r="I3" s="5" t="str">
        <f>IF(Table44281850[[#This Row],[Old or New?]]="New",Table44281850[[#This Row],[Post Total]],"")</f>
        <v/>
      </c>
      <c r="J3" s="5">
        <f>IF(Table44281850[[#This Row],[Old or New?]]="Old",Table44281850[[#This Row],[Post Total]],"")</f>
        <v>3</v>
      </c>
      <c r="K3" s="5" t="b">
        <f>ISNUMBER(Table44281850[[#This Row],[New]])</f>
        <v>0</v>
      </c>
      <c r="L3" s="5" t="b">
        <f>ISNUMBER(Table44281850[[#This Row],[Old]])</f>
        <v>1</v>
      </c>
    </row>
    <row r="4" spans="1:12">
      <c r="A4" s="1" t="s">
        <v>12</v>
      </c>
      <c r="B4" s="1" t="s">
        <v>10</v>
      </c>
      <c r="C4" s="1">
        <v>3</v>
      </c>
      <c r="D4" s="1" t="s">
        <v>16</v>
      </c>
      <c r="E4" s="1">
        <v>6</v>
      </c>
      <c r="F4" s="1">
        <v>4</v>
      </c>
      <c r="G4" s="5">
        <f>IF(IF(Table44281850[[#This Row],[Pre or Post]]="Post",1,0)+IF(ISNUMBER(Table44281850[[#This Row],[Response]])=TRUE,1,0)=2,1,"")</f>
        <v>1</v>
      </c>
      <c r="H4" s="5">
        <f>IF(IF(Table44281850[[#This Row],[Pre or Post]]="Post",1,0)+IF(ISNUMBER(Table44281850[[#This Row],[Response]])=TRUE,1,0)=2,Table44281850[[#This Row],[Response]],"")</f>
        <v>4</v>
      </c>
      <c r="I4" s="5" t="str">
        <f>IF(Table44281850[[#This Row],[Old or New?]]="New",Table44281850[[#This Row],[Post Total]],"")</f>
        <v/>
      </c>
      <c r="J4" s="5">
        <f>IF(Table44281850[[#This Row],[Old or New?]]="Old",Table44281850[[#This Row],[Post Total]],"")</f>
        <v>4</v>
      </c>
      <c r="K4" s="5" t="b">
        <f>ISNUMBER(Table44281850[[#This Row],[New]])</f>
        <v>0</v>
      </c>
      <c r="L4" s="5" t="b">
        <f>ISNUMBER(Table44281850[[#This Row],[Old]])</f>
        <v>1</v>
      </c>
    </row>
    <row r="5" spans="1:12">
      <c r="A5" s="1" t="s">
        <v>12</v>
      </c>
      <c r="B5" s="1" t="s">
        <v>10</v>
      </c>
      <c r="C5" s="1">
        <v>4</v>
      </c>
      <c r="D5" s="1" t="s">
        <v>16</v>
      </c>
      <c r="E5" s="1">
        <v>6</v>
      </c>
      <c r="F5" s="1">
        <v>5</v>
      </c>
      <c r="G5" s="5">
        <f>IF(IF(Table44281850[[#This Row],[Pre or Post]]="Post",1,0)+IF(ISNUMBER(Table44281850[[#This Row],[Response]])=TRUE,1,0)=2,1,"")</f>
        <v>1</v>
      </c>
      <c r="H5" s="5">
        <f>IF(IF(Table44281850[[#This Row],[Pre or Post]]="Post",1,0)+IF(ISNUMBER(Table44281850[[#This Row],[Response]])=TRUE,1,0)=2,Table44281850[[#This Row],[Response]],"")</f>
        <v>5</v>
      </c>
      <c r="I5" s="5" t="str">
        <f>IF(Table44281850[[#This Row],[Old or New?]]="New",Table44281850[[#This Row],[Post Total]],"")</f>
        <v/>
      </c>
      <c r="J5" s="5">
        <f>IF(Table44281850[[#This Row],[Old or New?]]="Old",Table44281850[[#This Row],[Post Total]],"")</f>
        <v>5</v>
      </c>
      <c r="K5" s="5" t="b">
        <f>ISNUMBER(Table44281850[[#This Row],[New]])</f>
        <v>0</v>
      </c>
      <c r="L5" s="5" t="b">
        <f>ISNUMBER(Table44281850[[#This Row],[Old]])</f>
        <v>1</v>
      </c>
    </row>
    <row r="6" spans="1:12">
      <c r="A6" s="1" t="s">
        <v>12</v>
      </c>
      <c r="B6" s="1" t="s">
        <v>10</v>
      </c>
      <c r="C6" s="1">
        <v>5</v>
      </c>
      <c r="D6" s="1" t="s">
        <v>16</v>
      </c>
      <c r="E6" s="1">
        <v>6</v>
      </c>
      <c r="F6" s="1">
        <v>4</v>
      </c>
      <c r="G6" s="5">
        <f>IF(IF(Table44281850[[#This Row],[Pre or Post]]="Post",1,0)+IF(ISNUMBER(Table44281850[[#This Row],[Response]])=TRUE,1,0)=2,1,"")</f>
        <v>1</v>
      </c>
      <c r="H6" s="5">
        <f>IF(IF(Table44281850[[#This Row],[Pre or Post]]="Post",1,0)+IF(ISNUMBER(Table44281850[[#This Row],[Response]])=TRUE,1,0)=2,Table44281850[[#This Row],[Response]],"")</f>
        <v>4</v>
      </c>
      <c r="I6" s="5" t="str">
        <f>IF(Table44281850[[#This Row],[Old or New?]]="New",Table44281850[[#This Row],[Post Total]],"")</f>
        <v/>
      </c>
      <c r="J6" s="5">
        <f>IF(Table44281850[[#This Row],[Old or New?]]="Old",Table44281850[[#This Row],[Post Total]],"")</f>
        <v>4</v>
      </c>
      <c r="K6" s="5" t="b">
        <f>ISNUMBER(Table44281850[[#This Row],[New]])</f>
        <v>0</v>
      </c>
      <c r="L6" s="5" t="b">
        <f>ISNUMBER(Table44281850[[#This Row],[Old]])</f>
        <v>1</v>
      </c>
    </row>
    <row r="7" spans="1:12">
      <c r="A7" s="1" t="s">
        <v>12</v>
      </c>
      <c r="B7" s="1" t="s">
        <v>10</v>
      </c>
      <c r="C7" s="1">
        <v>6</v>
      </c>
      <c r="D7" s="1" t="s">
        <v>16</v>
      </c>
      <c r="E7" s="1">
        <v>6</v>
      </c>
      <c r="F7" s="1">
        <v>5</v>
      </c>
      <c r="G7" s="5">
        <f>IF(IF(Table44281850[[#This Row],[Pre or Post]]="Post",1,0)+IF(ISNUMBER(Table44281850[[#This Row],[Response]])=TRUE,1,0)=2,1,"")</f>
        <v>1</v>
      </c>
      <c r="H7" s="5">
        <f>IF(IF(Table44281850[[#This Row],[Pre or Post]]="Post",1,0)+IF(ISNUMBER(Table44281850[[#This Row],[Response]])=TRUE,1,0)=2,Table44281850[[#This Row],[Response]],"")</f>
        <v>5</v>
      </c>
      <c r="I7" s="5" t="str">
        <f>IF(Table44281850[[#This Row],[Old or New?]]="New",Table44281850[[#This Row],[Post Total]],"")</f>
        <v/>
      </c>
      <c r="J7" s="5">
        <f>IF(Table44281850[[#This Row],[Old or New?]]="Old",Table44281850[[#This Row],[Post Total]],"")</f>
        <v>5</v>
      </c>
      <c r="K7" s="5" t="b">
        <f>ISNUMBER(Table44281850[[#This Row],[New]])</f>
        <v>0</v>
      </c>
      <c r="L7" s="5" t="b">
        <f>ISNUMBER(Table44281850[[#This Row],[Old]])</f>
        <v>1</v>
      </c>
    </row>
    <row r="8" spans="1:12">
      <c r="A8" s="1" t="s">
        <v>12</v>
      </c>
      <c r="B8" s="1" t="s">
        <v>10</v>
      </c>
      <c r="C8" s="1">
        <v>7</v>
      </c>
      <c r="D8" s="1" t="s">
        <v>16</v>
      </c>
      <c r="E8" s="1">
        <v>6</v>
      </c>
      <c r="F8" s="1">
        <v>5</v>
      </c>
      <c r="G8" s="5">
        <f>IF(IF(Table44281850[[#This Row],[Pre or Post]]="Post",1,0)+IF(ISNUMBER(Table44281850[[#This Row],[Response]])=TRUE,1,0)=2,1,"")</f>
        <v>1</v>
      </c>
      <c r="H8" s="5">
        <f>IF(IF(Table44281850[[#This Row],[Pre or Post]]="Post",1,0)+IF(ISNUMBER(Table44281850[[#This Row],[Response]])=TRUE,1,0)=2,Table44281850[[#This Row],[Response]],"")</f>
        <v>5</v>
      </c>
      <c r="I8" s="5" t="str">
        <f>IF(Table44281850[[#This Row],[Old or New?]]="New",Table44281850[[#This Row],[Post Total]],"")</f>
        <v/>
      </c>
      <c r="J8" s="5">
        <f>IF(Table44281850[[#This Row],[Old or New?]]="Old",Table44281850[[#This Row],[Post Total]],"")</f>
        <v>5</v>
      </c>
      <c r="K8" s="5" t="b">
        <f>ISNUMBER(Table44281850[[#This Row],[New]])</f>
        <v>0</v>
      </c>
      <c r="L8" s="5" t="b">
        <f>ISNUMBER(Table44281850[[#This Row],[Old]])</f>
        <v>1</v>
      </c>
    </row>
    <row r="9" spans="1:12">
      <c r="A9" s="1" t="s">
        <v>12</v>
      </c>
      <c r="B9" s="1" t="s">
        <v>10</v>
      </c>
      <c r="C9" s="1">
        <v>8</v>
      </c>
      <c r="D9" s="1" t="s">
        <v>16</v>
      </c>
      <c r="E9" s="1">
        <v>6</v>
      </c>
      <c r="F9" s="1">
        <v>5</v>
      </c>
      <c r="G9" s="5">
        <f>IF(IF(Table44281850[[#This Row],[Pre or Post]]="Post",1,0)+IF(ISNUMBER(Table44281850[[#This Row],[Response]])=TRUE,1,0)=2,1,"")</f>
        <v>1</v>
      </c>
      <c r="H9" s="5">
        <f>IF(IF(Table44281850[[#This Row],[Pre or Post]]="Post",1,0)+IF(ISNUMBER(Table44281850[[#This Row],[Response]])=TRUE,1,0)=2,Table44281850[[#This Row],[Response]],"")</f>
        <v>5</v>
      </c>
      <c r="I9" s="5" t="str">
        <f>IF(Table44281850[[#This Row],[Old or New?]]="New",Table44281850[[#This Row],[Post Total]],"")</f>
        <v/>
      </c>
      <c r="J9" s="5">
        <f>IF(Table44281850[[#This Row],[Old or New?]]="Old",Table44281850[[#This Row],[Post Total]],"")</f>
        <v>5</v>
      </c>
      <c r="K9" s="5" t="b">
        <f>ISNUMBER(Table44281850[[#This Row],[New]])</f>
        <v>0</v>
      </c>
      <c r="L9" s="5" t="b">
        <f>ISNUMBER(Table44281850[[#This Row],[Old]])</f>
        <v>1</v>
      </c>
    </row>
    <row r="10" spans="1:12">
      <c r="A10" s="1" t="s">
        <v>12</v>
      </c>
      <c r="B10" s="1" t="s">
        <v>10</v>
      </c>
      <c r="C10" s="1">
        <v>9</v>
      </c>
      <c r="D10" s="1" t="s">
        <v>16</v>
      </c>
      <c r="E10" s="1">
        <v>6</v>
      </c>
      <c r="F10" s="1">
        <v>5</v>
      </c>
      <c r="G10" s="5">
        <f>IF(IF(Table44281850[[#This Row],[Pre or Post]]="Post",1,0)+IF(ISNUMBER(Table44281850[[#This Row],[Response]])=TRUE,1,0)=2,1,"")</f>
        <v>1</v>
      </c>
      <c r="H10" s="5">
        <f>IF(IF(Table44281850[[#This Row],[Pre or Post]]="Post",1,0)+IF(ISNUMBER(Table44281850[[#This Row],[Response]])=TRUE,1,0)=2,Table44281850[[#This Row],[Response]],"")</f>
        <v>5</v>
      </c>
      <c r="I10" s="5" t="str">
        <f>IF(Table44281850[[#This Row],[Old or New?]]="New",Table44281850[[#This Row],[Post Total]],"")</f>
        <v/>
      </c>
      <c r="J10" s="5">
        <f>IF(Table44281850[[#This Row],[Old or New?]]="Old",Table44281850[[#This Row],[Post Total]],"")</f>
        <v>5</v>
      </c>
      <c r="K10" s="5" t="b">
        <f>ISNUMBER(Table44281850[[#This Row],[New]])</f>
        <v>0</v>
      </c>
      <c r="L10" s="5" t="b">
        <f>ISNUMBER(Table44281850[[#This Row],[Old]])</f>
        <v>1</v>
      </c>
    </row>
    <row r="11" spans="1:12">
      <c r="A11" s="1" t="s">
        <v>12</v>
      </c>
      <c r="B11" s="1" t="s">
        <v>10</v>
      </c>
      <c r="C11" s="1">
        <v>10</v>
      </c>
      <c r="D11" s="1" t="s">
        <v>16</v>
      </c>
      <c r="E11" s="1">
        <v>6</v>
      </c>
      <c r="F11" s="1">
        <v>5</v>
      </c>
      <c r="G11" s="5">
        <f>IF(IF(Table44281850[[#This Row],[Pre or Post]]="Post",1,0)+IF(ISNUMBER(Table44281850[[#This Row],[Response]])=TRUE,1,0)=2,1,"")</f>
        <v>1</v>
      </c>
      <c r="H11" s="5">
        <f>IF(IF(Table44281850[[#This Row],[Pre or Post]]="Post",1,0)+IF(ISNUMBER(Table44281850[[#This Row],[Response]])=TRUE,1,0)=2,Table44281850[[#This Row],[Response]],"")</f>
        <v>5</v>
      </c>
      <c r="I11" s="5" t="str">
        <f>IF(Table44281850[[#This Row],[Old or New?]]="New",Table44281850[[#This Row],[Post Total]],"")</f>
        <v/>
      </c>
      <c r="J11" s="5">
        <f>IF(Table44281850[[#This Row],[Old or New?]]="Old",Table44281850[[#This Row],[Post Total]],"")</f>
        <v>5</v>
      </c>
      <c r="K11" s="5" t="b">
        <f>ISNUMBER(Table44281850[[#This Row],[New]])</f>
        <v>0</v>
      </c>
      <c r="L11" s="5" t="b">
        <f>ISNUMBER(Table44281850[[#This Row],[Old]])</f>
        <v>1</v>
      </c>
    </row>
    <row r="12" spans="1:12">
      <c r="A12" s="1" t="s">
        <v>12</v>
      </c>
      <c r="B12" s="1" t="s">
        <v>10</v>
      </c>
      <c r="C12" s="1">
        <v>11</v>
      </c>
      <c r="D12" s="1" t="s">
        <v>16</v>
      </c>
      <c r="E12" s="1">
        <v>6</v>
      </c>
      <c r="F12" s="1">
        <v>4</v>
      </c>
      <c r="G12" s="5">
        <f>IF(IF(Table44281850[[#This Row],[Pre or Post]]="Post",1,0)+IF(ISNUMBER(Table44281850[[#This Row],[Response]])=TRUE,1,0)=2,1,"")</f>
        <v>1</v>
      </c>
      <c r="H12" s="5">
        <f>IF(IF(Table44281850[[#This Row],[Pre or Post]]="Post",1,0)+IF(ISNUMBER(Table44281850[[#This Row],[Response]])=TRUE,1,0)=2,Table44281850[[#This Row],[Response]],"")</f>
        <v>4</v>
      </c>
      <c r="I12" s="5" t="str">
        <f>IF(Table44281850[[#This Row],[Old or New?]]="New",Table44281850[[#This Row],[Post Total]],"")</f>
        <v/>
      </c>
      <c r="J12" s="5">
        <f>IF(Table44281850[[#This Row],[Old or New?]]="Old",Table44281850[[#This Row],[Post Total]],"")</f>
        <v>4</v>
      </c>
      <c r="K12" s="5" t="b">
        <f>ISNUMBER(Table44281850[[#This Row],[New]])</f>
        <v>0</v>
      </c>
      <c r="L12" s="5" t="b">
        <f>ISNUMBER(Table44281850[[#This Row],[Old]])</f>
        <v>1</v>
      </c>
    </row>
    <row r="13" spans="1:12">
      <c r="A13" s="1" t="s">
        <v>12</v>
      </c>
      <c r="B13" s="1" t="s">
        <v>10</v>
      </c>
      <c r="C13" s="1">
        <v>12</v>
      </c>
      <c r="D13" s="1" t="s">
        <v>16</v>
      </c>
      <c r="E13" s="1">
        <v>6</v>
      </c>
      <c r="F13" s="1">
        <v>4</v>
      </c>
      <c r="G13" s="5">
        <f>IF(IF(Table44281850[[#This Row],[Pre or Post]]="Post",1,0)+IF(ISNUMBER(Table44281850[[#This Row],[Response]])=TRUE,1,0)=2,1,"")</f>
        <v>1</v>
      </c>
      <c r="H13" s="5">
        <f>IF(IF(Table44281850[[#This Row],[Pre or Post]]="Post",1,0)+IF(ISNUMBER(Table44281850[[#This Row],[Response]])=TRUE,1,0)=2,Table44281850[[#This Row],[Response]],"")</f>
        <v>4</v>
      </c>
      <c r="I13" s="5" t="str">
        <f>IF(Table44281850[[#This Row],[Old or New?]]="New",Table44281850[[#This Row],[Post Total]],"")</f>
        <v/>
      </c>
      <c r="J13" s="5">
        <f>IF(Table44281850[[#This Row],[Old or New?]]="Old",Table44281850[[#This Row],[Post Total]],"")</f>
        <v>4</v>
      </c>
      <c r="K13" s="5" t="b">
        <f>ISNUMBER(Table44281850[[#This Row],[New]])</f>
        <v>0</v>
      </c>
      <c r="L13" s="5" t="b">
        <f>ISNUMBER(Table44281850[[#This Row],[Old]])</f>
        <v>1</v>
      </c>
    </row>
    <row r="14" spans="1:12">
      <c r="A14" s="1" t="s">
        <v>12</v>
      </c>
      <c r="B14" s="1" t="s">
        <v>10</v>
      </c>
      <c r="C14" s="1">
        <v>13</v>
      </c>
      <c r="D14" s="1" t="s">
        <v>16</v>
      </c>
      <c r="E14" s="1">
        <v>6</v>
      </c>
      <c r="F14" s="1">
        <v>4</v>
      </c>
      <c r="G14" s="5">
        <f>IF(IF(Table44281850[[#This Row],[Pre or Post]]="Post",1,0)+IF(ISNUMBER(Table44281850[[#This Row],[Response]])=TRUE,1,0)=2,1,"")</f>
        <v>1</v>
      </c>
      <c r="H14" s="5">
        <f>IF(IF(Table44281850[[#This Row],[Pre or Post]]="Post",1,0)+IF(ISNUMBER(Table44281850[[#This Row],[Response]])=TRUE,1,0)=2,Table44281850[[#This Row],[Response]],"")</f>
        <v>4</v>
      </c>
      <c r="I14" s="5" t="str">
        <f>IF(Table44281850[[#This Row],[Old or New?]]="New",Table44281850[[#This Row],[Post Total]],"")</f>
        <v/>
      </c>
      <c r="J14" s="5">
        <f>IF(Table44281850[[#This Row],[Old or New?]]="Old",Table44281850[[#This Row],[Post Total]],"")</f>
        <v>4</v>
      </c>
      <c r="K14" s="5" t="b">
        <f>ISNUMBER(Table44281850[[#This Row],[New]])</f>
        <v>0</v>
      </c>
      <c r="L14" s="5" t="b">
        <f>ISNUMBER(Table44281850[[#This Row],[Old]])</f>
        <v>1</v>
      </c>
    </row>
    <row r="15" spans="1:12">
      <c r="A15" s="1" t="s">
        <v>12</v>
      </c>
      <c r="B15" s="1" t="s">
        <v>10</v>
      </c>
      <c r="C15" s="1">
        <v>14</v>
      </c>
      <c r="D15" s="1" t="s">
        <v>16</v>
      </c>
      <c r="E15" s="1">
        <v>6</v>
      </c>
      <c r="F15" s="1">
        <v>4</v>
      </c>
      <c r="G15" s="5">
        <f>IF(IF(Table44281850[[#This Row],[Pre or Post]]="Post",1,0)+IF(ISNUMBER(Table44281850[[#This Row],[Response]])=TRUE,1,0)=2,1,"")</f>
        <v>1</v>
      </c>
      <c r="H15" s="5">
        <f>IF(IF(Table44281850[[#This Row],[Pre or Post]]="Post",1,0)+IF(ISNUMBER(Table44281850[[#This Row],[Response]])=TRUE,1,0)=2,Table44281850[[#This Row],[Response]],"")</f>
        <v>4</v>
      </c>
      <c r="I15" s="5" t="str">
        <f>IF(Table44281850[[#This Row],[Old or New?]]="New",Table44281850[[#This Row],[Post Total]],"")</f>
        <v/>
      </c>
      <c r="J15" s="5">
        <f>IF(Table44281850[[#This Row],[Old or New?]]="Old",Table44281850[[#This Row],[Post Total]],"")</f>
        <v>4</v>
      </c>
      <c r="K15" s="5" t="b">
        <f>ISNUMBER(Table44281850[[#This Row],[New]])</f>
        <v>0</v>
      </c>
      <c r="L15" s="5" t="b">
        <f>ISNUMBER(Table44281850[[#This Row],[Old]])</f>
        <v>1</v>
      </c>
    </row>
    <row r="16" spans="1:12">
      <c r="A16" s="1" t="s">
        <v>12</v>
      </c>
      <c r="B16" s="1" t="s">
        <v>10</v>
      </c>
      <c r="C16" s="1">
        <v>15</v>
      </c>
      <c r="D16" s="1" t="s">
        <v>16</v>
      </c>
      <c r="E16" s="1">
        <v>6</v>
      </c>
      <c r="F16" s="1">
        <v>1</v>
      </c>
      <c r="G16" s="5">
        <f>IF(IF(Table44281850[[#This Row],[Pre or Post]]="Post",1,0)+IF(ISNUMBER(Table44281850[[#This Row],[Response]])=TRUE,1,0)=2,1,"")</f>
        <v>1</v>
      </c>
      <c r="H16" s="5">
        <f>IF(IF(Table44281850[[#This Row],[Pre or Post]]="Post",1,0)+IF(ISNUMBER(Table44281850[[#This Row],[Response]])=TRUE,1,0)=2,Table44281850[[#This Row],[Response]],"")</f>
        <v>1</v>
      </c>
      <c r="I16" s="5" t="str">
        <f>IF(Table44281850[[#This Row],[Old or New?]]="New",Table44281850[[#This Row],[Post Total]],"")</f>
        <v/>
      </c>
      <c r="J16" s="5">
        <f>IF(Table44281850[[#This Row],[Old or New?]]="Old",Table44281850[[#This Row],[Post Total]],"")</f>
        <v>1</v>
      </c>
      <c r="K16" s="5" t="b">
        <f>ISNUMBER(Table44281850[[#This Row],[New]])</f>
        <v>0</v>
      </c>
      <c r="L16" s="5" t="b">
        <f>ISNUMBER(Table44281850[[#This Row],[Old]])</f>
        <v>1</v>
      </c>
    </row>
    <row r="17" spans="1:12">
      <c r="A17" s="1" t="s">
        <v>12</v>
      </c>
      <c r="B17" s="1" t="s">
        <v>10</v>
      </c>
      <c r="C17" s="1">
        <v>16</v>
      </c>
      <c r="D17" s="1" t="s">
        <v>16</v>
      </c>
      <c r="E17" s="1">
        <v>6</v>
      </c>
      <c r="F17" s="1">
        <v>4</v>
      </c>
      <c r="G17" s="5">
        <f>IF(IF(Table44281850[[#This Row],[Pre or Post]]="Post",1,0)+IF(ISNUMBER(Table44281850[[#This Row],[Response]])=TRUE,1,0)=2,1,"")</f>
        <v>1</v>
      </c>
      <c r="H17" s="5">
        <f>IF(IF(Table44281850[[#This Row],[Pre or Post]]="Post",1,0)+IF(ISNUMBER(Table44281850[[#This Row],[Response]])=TRUE,1,0)=2,Table44281850[[#This Row],[Response]],"")</f>
        <v>4</v>
      </c>
      <c r="I17" s="5" t="str">
        <f>IF(Table44281850[[#This Row],[Old or New?]]="New",Table44281850[[#This Row],[Post Total]],"")</f>
        <v/>
      </c>
      <c r="J17" s="5">
        <f>IF(Table44281850[[#This Row],[Old or New?]]="Old",Table44281850[[#This Row],[Post Total]],"")</f>
        <v>4</v>
      </c>
      <c r="K17" s="5" t="b">
        <f>ISNUMBER(Table44281850[[#This Row],[New]])</f>
        <v>0</v>
      </c>
      <c r="L17" s="5" t="b">
        <f>ISNUMBER(Table44281850[[#This Row],[Old]])</f>
        <v>1</v>
      </c>
    </row>
    <row r="18" spans="1:12">
      <c r="A18" s="1" t="s">
        <v>12</v>
      </c>
      <c r="B18" s="1" t="s">
        <v>10</v>
      </c>
      <c r="C18" s="1">
        <v>17</v>
      </c>
      <c r="D18" s="1" t="s">
        <v>16</v>
      </c>
      <c r="E18" s="1">
        <v>6</v>
      </c>
      <c r="F18" s="1">
        <v>4</v>
      </c>
      <c r="G18" s="5">
        <f>IF(IF(Table44281850[[#This Row],[Pre or Post]]="Post",1,0)+IF(ISNUMBER(Table44281850[[#This Row],[Response]])=TRUE,1,0)=2,1,"")</f>
        <v>1</v>
      </c>
      <c r="H18" s="5">
        <f>IF(IF(Table44281850[[#This Row],[Pre or Post]]="Post",1,0)+IF(ISNUMBER(Table44281850[[#This Row],[Response]])=TRUE,1,0)=2,Table44281850[[#This Row],[Response]],"")</f>
        <v>4</v>
      </c>
      <c r="I18" s="5" t="str">
        <f>IF(Table44281850[[#This Row],[Old or New?]]="New",Table44281850[[#This Row],[Post Total]],"")</f>
        <v/>
      </c>
      <c r="J18" s="5">
        <f>IF(Table44281850[[#This Row],[Old or New?]]="Old",Table44281850[[#This Row],[Post Total]],"")</f>
        <v>4</v>
      </c>
      <c r="K18" s="5" t="b">
        <f>ISNUMBER(Table44281850[[#This Row],[New]])</f>
        <v>0</v>
      </c>
      <c r="L18" s="5" t="b">
        <f>ISNUMBER(Table44281850[[#This Row],[Old]])</f>
        <v>1</v>
      </c>
    </row>
    <row r="19" spans="1:12">
      <c r="A19" s="1" t="s">
        <v>12</v>
      </c>
      <c r="B19" s="1" t="s">
        <v>10</v>
      </c>
      <c r="C19" s="1">
        <v>18</v>
      </c>
      <c r="D19" s="1" t="s">
        <v>16</v>
      </c>
      <c r="E19" s="1">
        <v>6</v>
      </c>
      <c r="F19" s="1">
        <v>5</v>
      </c>
      <c r="G19" s="5">
        <f>IF(IF(Table44281850[[#This Row],[Pre or Post]]="Post",1,0)+IF(ISNUMBER(Table44281850[[#This Row],[Response]])=TRUE,1,0)=2,1,"")</f>
        <v>1</v>
      </c>
      <c r="H19" s="5">
        <f>IF(IF(Table44281850[[#This Row],[Pre or Post]]="Post",1,0)+IF(ISNUMBER(Table44281850[[#This Row],[Response]])=TRUE,1,0)=2,Table44281850[[#This Row],[Response]],"")</f>
        <v>5</v>
      </c>
      <c r="I19" s="5" t="str">
        <f>IF(Table44281850[[#This Row],[Old or New?]]="New",Table44281850[[#This Row],[Post Total]],"")</f>
        <v/>
      </c>
      <c r="J19" s="5">
        <f>IF(Table44281850[[#This Row],[Old or New?]]="Old",Table44281850[[#This Row],[Post Total]],"")</f>
        <v>5</v>
      </c>
      <c r="K19" s="5" t="b">
        <f>ISNUMBER(Table44281850[[#This Row],[New]])</f>
        <v>0</v>
      </c>
      <c r="L19" s="5" t="b">
        <f>ISNUMBER(Table44281850[[#This Row],[Old]])</f>
        <v>1</v>
      </c>
    </row>
    <row r="20" spans="1:12">
      <c r="A20" s="2" t="s">
        <v>12</v>
      </c>
      <c r="B20" s="2" t="s">
        <v>21</v>
      </c>
      <c r="C20" s="1">
        <v>1</v>
      </c>
      <c r="D20" s="2" t="s">
        <v>16</v>
      </c>
      <c r="E20" s="1">
        <v>6</v>
      </c>
      <c r="F20" s="1">
        <v>1</v>
      </c>
      <c r="G20" s="5">
        <f>IF(IF(Table44281850[[#This Row],[Pre or Post]]="Post",1,0)+IF(ISNUMBER(Table44281850[[#This Row],[Response]])=TRUE,1,0)=2,1,"")</f>
        <v>1</v>
      </c>
      <c r="H20" s="5">
        <f>IF(IF(Table44281850[[#This Row],[Pre or Post]]="Post",1,0)+IF(ISNUMBER(Table44281850[[#This Row],[Response]])=TRUE,1,0)=2,Table44281850[[#This Row],[Response]],"")</f>
        <v>1</v>
      </c>
      <c r="I20" s="5" t="str">
        <f>IF(Table44281850[[#This Row],[Old or New?]]="New",Table44281850[[#This Row],[Post Total]],"")</f>
        <v/>
      </c>
      <c r="J20" s="5">
        <f>IF(Table44281850[[#This Row],[Old or New?]]="Old",Table44281850[[#This Row],[Post Total]],"")</f>
        <v>1</v>
      </c>
      <c r="K20" s="5" t="b">
        <f>ISNUMBER(Table44281850[[#This Row],[New]])</f>
        <v>0</v>
      </c>
      <c r="L20" s="5" t="b">
        <f>ISNUMBER(Table44281850[[#This Row],[Old]])</f>
        <v>1</v>
      </c>
    </row>
    <row r="21" spans="1:12">
      <c r="A21" s="2" t="s">
        <v>12</v>
      </c>
      <c r="B21" s="2" t="s">
        <v>21</v>
      </c>
      <c r="C21" s="1">
        <v>2</v>
      </c>
      <c r="D21" s="2" t="s">
        <v>16</v>
      </c>
      <c r="E21" s="1">
        <v>6</v>
      </c>
      <c r="F21" s="1">
        <v>3</v>
      </c>
      <c r="G21" s="5">
        <f>IF(IF(Table44281850[[#This Row],[Pre or Post]]="Post",1,0)+IF(ISNUMBER(Table44281850[[#This Row],[Response]])=TRUE,1,0)=2,1,"")</f>
        <v>1</v>
      </c>
      <c r="H21" s="5">
        <f>IF(IF(Table44281850[[#This Row],[Pre or Post]]="Post",1,0)+IF(ISNUMBER(Table44281850[[#This Row],[Response]])=TRUE,1,0)=2,Table44281850[[#This Row],[Response]],"")</f>
        <v>3</v>
      </c>
      <c r="I21" s="5" t="str">
        <f>IF(Table44281850[[#This Row],[Old or New?]]="New",Table44281850[[#This Row],[Post Total]],"")</f>
        <v/>
      </c>
      <c r="J21" s="5">
        <f>IF(Table44281850[[#This Row],[Old or New?]]="Old",Table44281850[[#This Row],[Post Total]],"")</f>
        <v>3</v>
      </c>
      <c r="K21" s="5" t="b">
        <f>ISNUMBER(Table44281850[[#This Row],[New]])</f>
        <v>0</v>
      </c>
      <c r="L21" s="5" t="b">
        <f>ISNUMBER(Table44281850[[#This Row],[Old]])</f>
        <v>1</v>
      </c>
    </row>
    <row r="22" spans="1:12">
      <c r="A22" s="2" t="s">
        <v>12</v>
      </c>
      <c r="B22" s="2" t="s">
        <v>21</v>
      </c>
      <c r="C22" s="1">
        <v>3</v>
      </c>
      <c r="D22" s="2" t="s">
        <v>16</v>
      </c>
      <c r="E22" s="1">
        <v>6</v>
      </c>
      <c r="F22" s="1">
        <v>3</v>
      </c>
      <c r="G22" s="5">
        <f>IF(IF(Table44281850[[#This Row],[Pre or Post]]="Post",1,0)+IF(ISNUMBER(Table44281850[[#This Row],[Response]])=TRUE,1,0)=2,1,"")</f>
        <v>1</v>
      </c>
      <c r="H22" s="5">
        <f>IF(IF(Table44281850[[#This Row],[Pre or Post]]="Post",1,0)+IF(ISNUMBER(Table44281850[[#This Row],[Response]])=TRUE,1,0)=2,Table44281850[[#This Row],[Response]],"")</f>
        <v>3</v>
      </c>
      <c r="I22" s="5" t="str">
        <f>IF(Table44281850[[#This Row],[Old or New?]]="New",Table44281850[[#This Row],[Post Total]],"")</f>
        <v/>
      </c>
      <c r="J22" s="5">
        <f>IF(Table44281850[[#This Row],[Old or New?]]="Old",Table44281850[[#This Row],[Post Total]],"")</f>
        <v>3</v>
      </c>
      <c r="K22" s="5" t="b">
        <f>ISNUMBER(Table44281850[[#This Row],[New]])</f>
        <v>0</v>
      </c>
      <c r="L22" s="5" t="b">
        <f>ISNUMBER(Table44281850[[#This Row],[Old]])</f>
        <v>1</v>
      </c>
    </row>
    <row r="23" spans="1:12">
      <c r="A23" s="2" t="s">
        <v>12</v>
      </c>
      <c r="B23" s="2" t="s">
        <v>21</v>
      </c>
      <c r="C23" s="1">
        <v>4</v>
      </c>
      <c r="D23" s="2" t="s">
        <v>16</v>
      </c>
      <c r="E23" s="1">
        <v>6</v>
      </c>
      <c r="F23" s="1">
        <v>3</v>
      </c>
      <c r="G23" s="5">
        <f>IF(IF(Table44281850[[#This Row],[Pre or Post]]="Post",1,0)+IF(ISNUMBER(Table44281850[[#This Row],[Response]])=TRUE,1,0)=2,1,"")</f>
        <v>1</v>
      </c>
      <c r="H23" s="5">
        <f>IF(IF(Table44281850[[#This Row],[Pre or Post]]="Post",1,0)+IF(ISNUMBER(Table44281850[[#This Row],[Response]])=TRUE,1,0)=2,Table44281850[[#This Row],[Response]],"")</f>
        <v>3</v>
      </c>
      <c r="I23" s="5" t="str">
        <f>IF(Table44281850[[#This Row],[Old or New?]]="New",Table44281850[[#This Row],[Post Total]],"")</f>
        <v/>
      </c>
      <c r="J23" s="5">
        <f>IF(Table44281850[[#This Row],[Old or New?]]="Old",Table44281850[[#This Row],[Post Total]],"")</f>
        <v>3</v>
      </c>
      <c r="K23" s="5" t="b">
        <f>ISNUMBER(Table44281850[[#This Row],[New]])</f>
        <v>0</v>
      </c>
      <c r="L23" s="5" t="b">
        <f>ISNUMBER(Table44281850[[#This Row],[Old]])</f>
        <v>1</v>
      </c>
    </row>
    <row r="24" spans="1:12">
      <c r="A24" s="2" t="s">
        <v>12</v>
      </c>
      <c r="B24" s="2" t="s">
        <v>21</v>
      </c>
      <c r="C24" s="1">
        <v>5</v>
      </c>
      <c r="D24" s="2" t="s">
        <v>16</v>
      </c>
      <c r="E24" s="1">
        <v>6</v>
      </c>
      <c r="F24" s="1">
        <v>4</v>
      </c>
      <c r="G24" s="5">
        <f>IF(IF(Table44281850[[#This Row],[Pre or Post]]="Post",1,0)+IF(ISNUMBER(Table44281850[[#This Row],[Response]])=TRUE,1,0)=2,1,"")</f>
        <v>1</v>
      </c>
      <c r="H24" s="5">
        <f>IF(IF(Table44281850[[#This Row],[Pre or Post]]="Post",1,0)+IF(ISNUMBER(Table44281850[[#This Row],[Response]])=TRUE,1,0)=2,Table44281850[[#This Row],[Response]],"")</f>
        <v>4</v>
      </c>
      <c r="I24" s="5" t="str">
        <f>IF(Table44281850[[#This Row],[Old or New?]]="New",Table44281850[[#This Row],[Post Total]],"")</f>
        <v/>
      </c>
      <c r="J24" s="5">
        <f>IF(Table44281850[[#This Row],[Old or New?]]="Old",Table44281850[[#This Row],[Post Total]],"")</f>
        <v>4</v>
      </c>
      <c r="K24" s="5" t="b">
        <f>ISNUMBER(Table44281850[[#This Row],[New]])</f>
        <v>0</v>
      </c>
      <c r="L24" s="5" t="b">
        <f>ISNUMBER(Table44281850[[#This Row],[Old]])</f>
        <v>1</v>
      </c>
    </row>
    <row r="25" spans="1:12">
      <c r="A25" s="2" t="s">
        <v>12</v>
      </c>
      <c r="B25" s="2" t="s">
        <v>21</v>
      </c>
      <c r="C25" s="1">
        <v>6</v>
      </c>
      <c r="D25" s="2" t="s">
        <v>16</v>
      </c>
      <c r="E25" s="1">
        <v>6</v>
      </c>
      <c r="F25" s="1">
        <v>4</v>
      </c>
      <c r="G25" s="5">
        <f>IF(IF(Table44281850[[#This Row],[Pre or Post]]="Post",1,0)+IF(ISNUMBER(Table44281850[[#This Row],[Response]])=TRUE,1,0)=2,1,"")</f>
        <v>1</v>
      </c>
      <c r="H25" s="5">
        <f>IF(IF(Table44281850[[#This Row],[Pre or Post]]="Post",1,0)+IF(ISNUMBER(Table44281850[[#This Row],[Response]])=TRUE,1,0)=2,Table44281850[[#This Row],[Response]],"")</f>
        <v>4</v>
      </c>
      <c r="I25" s="5" t="str">
        <f>IF(Table44281850[[#This Row],[Old or New?]]="New",Table44281850[[#This Row],[Post Total]],"")</f>
        <v/>
      </c>
      <c r="J25" s="5">
        <f>IF(Table44281850[[#This Row],[Old or New?]]="Old",Table44281850[[#This Row],[Post Total]],"")</f>
        <v>4</v>
      </c>
      <c r="K25" s="5" t="b">
        <f>ISNUMBER(Table44281850[[#This Row],[New]])</f>
        <v>0</v>
      </c>
      <c r="L25" s="5" t="b">
        <f>ISNUMBER(Table44281850[[#This Row],[Old]])</f>
        <v>1</v>
      </c>
    </row>
    <row r="26" spans="1:12">
      <c r="A26" s="2" t="s">
        <v>12</v>
      </c>
      <c r="B26" s="2" t="s">
        <v>21</v>
      </c>
      <c r="C26" s="1">
        <v>7</v>
      </c>
      <c r="D26" s="2" t="s">
        <v>16</v>
      </c>
      <c r="E26" s="1">
        <v>6</v>
      </c>
      <c r="F26" s="1">
        <v>5</v>
      </c>
      <c r="G26" s="5">
        <f>IF(IF(Table44281850[[#This Row],[Pre or Post]]="Post",1,0)+IF(ISNUMBER(Table44281850[[#This Row],[Response]])=TRUE,1,0)=2,1,"")</f>
        <v>1</v>
      </c>
      <c r="H26" s="5">
        <f>IF(IF(Table44281850[[#This Row],[Pre or Post]]="Post",1,0)+IF(ISNUMBER(Table44281850[[#This Row],[Response]])=TRUE,1,0)=2,Table44281850[[#This Row],[Response]],"")</f>
        <v>5</v>
      </c>
      <c r="I26" s="5" t="str">
        <f>IF(Table44281850[[#This Row],[Old or New?]]="New",Table44281850[[#This Row],[Post Total]],"")</f>
        <v/>
      </c>
      <c r="J26" s="5">
        <f>IF(Table44281850[[#This Row],[Old or New?]]="Old",Table44281850[[#This Row],[Post Total]],"")</f>
        <v>5</v>
      </c>
      <c r="K26" s="5" t="b">
        <f>ISNUMBER(Table44281850[[#This Row],[New]])</f>
        <v>0</v>
      </c>
      <c r="L26" s="5" t="b">
        <f>ISNUMBER(Table44281850[[#This Row],[Old]])</f>
        <v>1</v>
      </c>
    </row>
    <row r="27" spans="1:12">
      <c r="A27" s="2" t="s">
        <v>12</v>
      </c>
      <c r="B27" s="2" t="s">
        <v>21</v>
      </c>
      <c r="C27" s="1">
        <v>8</v>
      </c>
      <c r="D27" s="2" t="s">
        <v>16</v>
      </c>
      <c r="E27" s="1">
        <v>6</v>
      </c>
      <c r="F27" s="1">
        <v>5</v>
      </c>
      <c r="G27" s="5">
        <f>IF(IF(Table44281850[[#This Row],[Pre or Post]]="Post",1,0)+IF(ISNUMBER(Table44281850[[#This Row],[Response]])=TRUE,1,0)=2,1,"")</f>
        <v>1</v>
      </c>
      <c r="H27" s="5">
        <f>IF(IF(Table44281850[[#This Row],[Pre or Post]]="Post",1,0)+IF(ISNUMBER(Table44281850[[#This Row],[Response]])=TRUE,1,0)=2,Table44281850[[#This Row],[Response]],"")</f>
        <v>5</v>
      </c>
      <c r="I27" s="5" t="str">
        <f>IF(Table44281850[[#This Row],[Old or New?]]="New",Table44281850[[#This Row],[Post Total]],"")</f>
        <v/>
      </c>
      <c r="J27" s="5">
        <f>IF(Table44281850[[#This Row],[Old or New?]]="Old",Table44281850[[#This Row],[Post Total]],"")</f>
        <v>5</v>
      </c>
      <c r="K27" s="5" t="b">
        <f>ISNUMBER(Table44281850[[#This Row],[New]])</f>
        <v>0</v>
      </c>
      <c r="L27" s="5" t="b">
        <f>ISNUMBER(Table44281850[[#This Row],[Old]])</f>
        <v>1</v>
      </c>
    </row>
    <row r="28" spans="1:12">
      <c r="A28" s="2" t="s">
        <v>12</v>
      </c>
      <c r="B28" s="2" t="s">
        <v>21</v>
      </c>
      <c r="C28" s="1">
        <v>9</v>
      </c>
      <c r="D28" s="2" t="s">
        <v>16</v>
      </c>
      <c r="E28" s="1">
        <v>6</v>
      </c>
      <c r="F28" s="1">
        <v>5</v>
      </c>
      <c r="G28" s="5">
        <f>IF(IF(Table44281850[[#This Row],[Pre or Post]]="Post",1,0)+IF(ISNUMBER(Table44281850[[#This Row],[Response]])=TRUE,1,0)=2,1,"")</f>
        <v>1</v>
      </c>
      <c r="H28" s="5">
        <f>IF(IF(Table44281850[[#This Row],[Pre or Post]]="Post",1,0)+IF(ISNUMBER(Table44281850[[#This Row],[Response]])=TRUE,1,0)=2,Table44281850[[#This Row],[Response]],"")</f>
        <v>5</v>
      </c>
      <c r="I28" s="5" t="str">
        <f>IF(Table44281850[[#This Row],[Old or New?]]="New",Table44281850[[#This Row],[Post Total]],"")</f>
        <v/>
      </c>
      <c r="J28" s="5">
        <f>IF(Table44281850[[#This Row],[Old or New?]]="Old",Table44281850[[#This Row],[Post Total]],"")</f>
        <v>5</v>
      </c>
      <c r="K28" s="5" t="b">
        <f>ISNUMBER(Table44281850[[#This Row],[New]])</f>
        <v>0</v>
      </c>
      <c r="L28" s="5" t="b">
        <f>ISNUMBER(Table44281850[[#This Row],[Old]])</f>
        <v>1</v>
      </c>
    </row>
    <row r="29" spans="1:12">
      <c r="A29" s="2" t="s">
        <v>12</v>
      </c>
      <c r="B29" s="2" t="s">
        <v>21</v>
      </c>
      <c r="C29" s="1">
        <v>10</v>
      </c>
      <c r="D29" s="2" t="s">
        <v>16</v>
      </c>
      <c r="E29" s="1">
        <v>6</v>
      </c>
      <c r="F29" s="1">
        <v>4</v>
      </c>
      <c r="G29" s="5">
        <f>IF(IF(Table44281850[[#This Row],[Pre or Post]]="Post",1,0)+IF(ISNUMBER(Table44281850[[#This Row],[Response]])=TRUE,1,0)=2,1,"")</f>
        <v>1</v>
      </c>
      <c r="H29" s="5">
        <f>IF(IF(Table44281850[[#This Row],[Pre or Post]]="Post",1,0)+IF(ISNUMBER(Table44281850[[#This Row],[Response]])=TRUE,1,0)=2,Table44281850[[#This Row],[Response]],"")</f>
        <v>4</v>
      </c>
      <c r="I29" s="5" t="str">
        <f>IF(Table44281850[[#This Row],[Old or New?]]="New",Table44281850[[#This Row],[Post Total]],"")</f>
        <v/>
      </c>
      <c r="J29" s="5">
        <f>IF(Table44281850[[#This Row],[Old or New?]]="Old",Table44281850[[#This Row],[Post Total]],"")</f>
        <v>4</v>
      </c>
      <c r="K29" s="5" t="b">
        <f>ISNUMBER(Table44281850[[#This Row],[New]])</f>
        <v>0</v>
      </c>
      <c r="L29" s="5" t="b">
        <f>ISNUMBER(Table44281850[[#This Row],[Old]])</f>
        <v>1</v>
      </c>
    </row>
    <row r="30" spans="1:12">
      <c r="A30" s="2" t="s">
        <v>12</v>
      </c>
      <c r="B30" s="2" t="s">
        <v>21</v>
      </c>
      <c r="C30" s="1">
        <v>11</v>
      </c>
      <c r="D30" s="2" t="s">
        <v>16</v>
      </c>
      <c r="E30" s="1">
        <v>6</v>
      </c>
      <c r="F30" s="1">
        <v>5</v>
      </c>
      <c r="G30" s="5">
        <f>IF(IF(Table44281850[[#This Row],[Pre or Post]]="Post",1,0)+IF(ISNUMBER(Table44281850[[#This Row],[Response]])=TRUE,1,0)=2,1,"")</f>
        <v>1</v>
      </c>
      <c r="H30" s="5">
        <f>IF(IF(Table44281850[[#This Row],[Pre or Post]]="Post",1,0)+IF(ISNUMBER(Table44281850[[#This Row],[Response]])=TRUE,1,0)=2,Table44281850[[#This Row],[Response]],"")</f>
        <v>5</v>
      </c>
      <c r="I30" s="5" t="str">
        <f>IF(Table44281850[[#This Row],[Old or New?]]="New",Table44281850[[#This Row],[Post Total]],"")</f>
        <v/>
      </c>
      <c r="J30" s="5">
        <f>IF(Table44281850[[#This Row],[Old or New?]]="Old",Table44281850[[#This Row],[Post Total]],"")</f>
        <v>5</v>
      </c>
      <c r="K30" s="5" t="b">
        <f>ISNUMBER(Table44281850[[#This Row],[New]])</f>
        <v>0</v>
      </c>
      <c r="L30" s="5" t="b">
        <f>ISNUMBER(Table44281850[[#This Row],[Old]])</f>
        <v>1</v>
      </c>
    </row>
    <row r="31" spans="1:12">
      <c r="A31" s="2" t="s">
        <v>12</v>
      </c>
      <c r="B31" s="2" t="s">
        <v>21</v>
      </c>
      <c r="C31" s="1">
        <v>12</v>
      </c>
      <c r="D31" s="2" t="s">
        <v>16</v>
      </c>
      <c r="E31" s="1">
        <v>6</v>
      </c>
      <c r="F31" s="1">
        <v>1</v>
      </c>
      <c r="G31" s="5">
        <f>IF(IF(Table44281850[[#This Row],[Pre or Post]]="Post",1,0)+IF(ISNUMBER(Table44281850[[#This Row],[Response]])=TRUE,1,0)=2,1,"")</f>
        <v>1</v>
      </c>
      <c r="H31" s="5">
        <f>IF(IF(Table44281850[[#This Row],[Pre or Post]]="Post",1,0)+IF(ISNUMBER(Table44281850[[#This Row],[Response]])=TRUE,1,0)=2,Table44281850[[#This Row],[Response]],"")</f>
        <v>1</v>
      </c>
      <c r="I31" s="5" t="str">
        <f>IF(Table44281850[[#This Row],[Old or New?]]="New",Table44281850[[#This Row],[Post Total]],"")</f>
        <v/>
      </c>
      <c r="J31" s="5">
        <f>IF(Table44281850[[#This Row],[Old or New?]]="Old",Table44281850[[#This Row],[Post Total]],"")</f>
        <v>1</v>
      </c>
      <c r="K31" s="5" t="b">
        <f>ISNUMBER(Table44281850[[#This Row],[New]])</f>
        <v>0</v>
      </c>
      <c r="L31" s="5" t="b">
        <f>ISNUMBER(Table44281850[[#This Row],[Old]])</f>
        <v>1</v>
      </c>
    </row>
    <row r="32" spans="1:12">
      <c r="A32" s="2" t="s">
        <v>12</v>
      </c>
      <c r="B32" s="2" t="s">
        <v>21</v>
      </c>
      <c r="C32" s="1">
        <v>13</v>
      </c>
      <c r="D32" s="2" t="s">
        <v>16</v>
      </c>
      <c r="E32" s="1">
        <v>6</v>
      </c>
      <c r="F32" s="1">
        <v>5</v>
      </c>
      <c r="G32" s="5">
        <f>IF(IF(Table44281850[[#This Row],[Pre or Post]]="Post",1,0)+IF(ISNUMBER(Table44281850[[#This Row],[Response]])=TRUE,1,0)=2,1,"")</f>
        <v>1</v>
      </c>
      <c r="H32" s="5">
        <f>IF(IF(Table44281850[[#This Row],[Pre or Post]]="Post",1,0)+IF(ISNUMBER(Table44281850[[#This Row],[Response]])=TRUE,1,0)=2,Table44281850[[#This Row],[Response]],"")</f>
        <v>5</v>
      </c>
      <c r="I32" s="5" t="str">
        <f>IF(Table44281850[[#This Row],[Old or New?]]="New",Table44281850[[#This Row],[Post Total]],"")</f>
        <v/>
      </c>
      <c r="J32" s="5">
        <f>IF(Table44281850[[#This Row],[Old or New?]]="Old",Table44281850[[#This Row],[Post Total]],"")</f>
        <v>5</v>
      </c>
      <c r="K32" s="5" t="b">
        <f>ISNUMBER(Table44281850[[#This Row],[New]])</f>
        <v>0</v>
      </c>
      <c r="L32" s="5" t="b">
        <f>ISNUMBER(Table44281850[[#This Row],[Old]])</f>
        <v>1</v>
      </c>
    </row>
    <row r="33" spans="1:12">
      <c r="A33" s="2" t="s">
        <v>12</v>
      </c>
      <c r="B33" s="2" t="s">
        <v>21</v>
      </c>
      <c r="C33" s="1">
        <v>14</v>
      </c>
      <c r="D33" s="2" t="s">
        <v>16</v>
      </c>
      <c r="E33" s="1">
        <v>6</v>
      </c>
      <c r="F33" s="1">
        <v>4</v>
      </c>
      <c r="G33" s="5">
        <f>IF(IF(Table44281850[[#This Row],[Pre or Post]]="Post",1,0)+IF(ISNUMBER(Table44281850[[#This Row],[Response]])=TRUE,1,0)=2,1,"")</f>
        <v>1</v>
      </c>
      <c r="H33" s="5">
        <f>IF(IF(Table44281850[[#This Row],[Pre or Post]]="Post",1,0)+IF(ISNUMBER(Table44281850[[#This Row],[Response]])=TRUE,1,0)=2,Table44281850[[#This Row],[Response]],"")</f>
        <v>4</v>
      </c>
      <c r="I33" s="5" t="str">
        <f>IF(Table44281850[[#This Row],[Old or New?]]="New",Table44281850[[#This Row],[Post Total]],"")</f>
        <v/>
      </c>
      <c r="J33" s="5">
        <f>IF(Table44281850[[#This Row],[Old or New?]]="Old",Table44281850[[#This Row],[Post Total]],"")</f>
        <v>4</v>
      </c>
      <c r="K33" s="5" t="b">
        <f>ISNUMBER(Table44281850[[#This Row],[New]])</f>
        <v>0</v>
      </c>
      <c r="L33" s="5" t="b">
        <f>ISNUMBER(Table44281850[[#This Row],[Old]])</f>
        <v>1</v>
      </c>
    </row>
    <row r="34" spans="1:12">
      <c r="A34" s="2" t="s">
        <v>12</v>
      </c>
      <c r="B34" s="2" t="s">
        <v>21</v>
      </c>
      <c r="C34" s="1">
        <v>15</v>
      </c>
      <c r="D34" s="2" t="s">
        <v>16</v>
      </c>
      <c r="E34" s="1">
        <v>6</v>
      </c>
      <c r="F34" s="1">
        <v>2</v>
      </c>
      <c r="G34" s="5">
        <f>IF(IF(Table44281850[[#This Row],[Pre or Post]]="Post",1,0)+IF(ISNUMBER(Table44281850[[#This Row],[Response]])=TRUE,1,0)=2,1,"")</f>
        <v>1</v>
      </c>
      <c r="H34" s="5">
        <f>IF(IF(Table44281850[[#This Row],[Pre or Post]]="Post",1,0)+IF(ISNUMBER(Table44281850[[#This Row],[Response]])=TRUE,1,0)=2,Table44281850[[#This Row],[Response]],"")</f>
        <v>2</v>
      </c>
      <c r="I34" s="5" t="str">
        <f>IF(Table44281850[[#This Row],[Old or New?]]="New",Table44281850[[#This Row],[Post Total]],"")</f>
        <v/>
      </c>
      <c r="J34" s="5">
        <f>IF(Table44281850[[#This Row],[Old or New?]]="Old",Table44281850[[#This Row],[Post Total]],"")</f>
        <v>2</v>
      </c>
      <c r="K34" s="5" t="b">
        <f>ISNUMBER(Table44281850[[#This Row],[New]])</f>
        <v>0</v>
      </c>
      <c r="L34" s="5" t="b">
        <f>ISNUMBER(Table44281850[[#This Row],[Old]])</f>
        <v>1</v>
      </c>
    </row>
    <row r="35" spans="1:12">
      <c r="A35" s="2" t="s">
        <v>12</v>
      </c>
      <c r="B35" s="2" t="s">
        <v>21</v>
      </c>
      <c r="C35" s="1">
        <v>16</v>
      </c>
      <c r="D35" s="2" t="s">
        <v>16</v>
      </c>
      <c r="E35" s="1">
        <v>6</v>
      </c>
      <c r="F35" s="1">
        <v>5</v>
      </c>
      <c r="G35" s="5">
        <f>IF(IF(Table44281850[[#This Row],[Pre or Post]]="Post",1,0)+IF(ISNUMBER(Table44281850[[#This Row],[Response]])=TRUE,1,0)=2,1,"")</f>
        <v>1</v>
      </c>
      <c r="H35" s="5">
        <f>IF(IF(Table44281850[[#This Row],[Pre or Post]]="Post",1,0)+IF(ISNUMBER(Table44281850[[#This Row],[Response]])=TRUE,1,0)=2,Table44281850[[#This Row],[Response]],"")</f>
        <v>5</v>
      </c>
      <c r="I35" s="5" t="str">
        <f>IF(Table44281850[[#This Row],[Old or New?]]="New",Table44281850[[#This Row],[Post Total]],"")</f>
        <v/>
      </c>
      <c r="J35" s="5">
        <f>IF(Table44281850[[#This Row],[Old or New?]]="Old",Table44281850[[#This Row],[Post Total]],"")</f>
        <v>5</v>
      </c>
      <c r="K35" s="5" t="b">
        <f>ISNUMBER(Table44281850[[#This Row],[New]])</f>
        <v>0</v>
      </c>
      <c r="L35" s="5" t="b">
        <f>ISNUMBER(Table44281850[[#This Row],[Old]])</f>
        <v>1</v>
      </c>
    </row>
    <row r="36" spans="1:12">
      <c r="A36" s="2" t="s">
        <v>12</v>
      </c>
      <c r="B36" s="2" t="s">
        <v>21</v>
      </c>
      <c r="C36" s="1">
        <v>17</v>
      </c>
      <c r="D36" s="2" t="s">
        <v>16</v>
      </c>
      <c r="E36" s="1">
        <v>6</v>
      </c>
      <c r="F36" s="1">
        <v>3</v>
      </c>
      <c r="G36" s="5">
        <f>IF(IF(Table44281850[[#This Row],[Pre or Post]]="Post",1,0)+IF(ISNUMBER(Table44281850[[#This Row],[Response]])=TRUE,1,0)=2,1,"")</f>
        <v>1</v>
      </c>
      <c r="H36" s="5">
        <f>IF(IF(Table44281850[[#This Row],[Pre or Post]]="Post",1,0)+IF(ISNUMBER(Table44281850[[#This Row],[Response]])=TRUE,1,0)=2,Table44281850[[#This Row],[Response]],"")</f>
        <v>3</v>
      </c>
      <c r="I36" s="5" t="str">
        <f>IF(Table44281850[[#This Row],[Old or New?]]="New",Table44281850[[#This Row],[Post Total]],"")</f>
        <v/>
      </c>
      <c r="J36" s="5">
        <f>IF(Table44281850[[#This Row],[Old or New?]]="Old",Table44281850[[#This Row],[Post Total]],"")</f>
        <v>3</v>
      </c>
      <c r="K36" s="5" t="b">
        <f>ISNUMBER(Table44281850[[#This Row],[New]])</f>
        <v>0</v>
      </c>
      <c r="L36" s="5" t="b">
        <f>ISNUMBER(Table44281850[[#This Row],[Old]])</f>
        <v>1</v>
      </c>
    </row>
    <row r="37" spans="1:12">
      <c r="A37" s="2" t="s">
        <v>12</v>
      </c>
      <c r="B37" s="2" t="s">
        <v>21</v>
      </c>
      <c r="C37" s="1">
        <v>18</v>
      </c>
      <c r="D37" s="2" t="s">
        <v>16</v>
      </c>
      <c r="E37" s="1">
        <v>6</v>
      </c>
      <c r="F37" s="1">
        <v>5</v>
      </c>
      <c r="G37" s="5">
        <f>IF(IF(Table44281850[[#This Row],[Pre or Post]]="Post",1,0)+IF(ISNUMBER(Table44281850[[#This Row],[Response]])=TRUE,1,0)=2,1,"")</f>
        <v>1</v>
      </c>
      <c r="H37" s="5">
        <f>IF(IF(Table44281850[[#This Row],[Pre or Post]]="Post",1,0)+IF(ISNUMBER(Table44281850[[#This Row],[Response]])=TRUE,1,0)=2,Table44281850[[#This Row],[Response]],"")</f>
        <v>5</v>
      </c>
      <c r="I37" s="5" t="str">
        <f>IF(Table44281850[[#This Row],[Old or New?]]="New",Table44281850[[#This Row],[Post Total]],"")</f>
        <v/>
      </c>
      <c r="J37" s="5">
        <f>IF(Table44281850[[#This Row],[Old or New?]]="Old",Table44281850[[#This Row],[Post Total]],"")</f>
        <v>5</v>
      </c>
      <c r="K37" s="5" t="b">
        <f>ISNUMBER(Table44281850[[#This Row],[New]])</f>
        <v>0</v>
      </c>
      <c r="L37" s="5" t="b">
        <f>ISNUMBER(Table44281850[[#This Row],[Old]])</f>
        <v>1</v>
      </c>
    </row>
    <row r="38" spans="1:12">
      <c r="A38" s="2" t="s">
        <v>12</v>
      </c>
      <c r="B38" s="2" t="s">
        <v>21</v>
      </c>
      <c r="C38" s="1">
        <v>19</v>
      </c>
      <c r="D38" s="2" t="s">
        <v>16</v>
      </c>
      <c r="E38" s="1">
        <v>6</v>
      </c>
      <c r="F38" s="1">
        <v>4</v>
      </c>
      <c r="G38" s="5">
        <f>IF(IF(Table44281850[[#This Row],[Pre or Post]]="Post",1,0)+IF(ISNUMBER(Table44281850[[#This Row],[Response]])=TRUE,1,0)=2,1,"")</f>
        <v>1</v>
      </c>
      <c r="H38" s="5">
        <f>IF(IF(Table44281850[[#This Row],[Pre or Post]]="Post",1,0)+IF(ISNUMBER(Table44281850[[#This Row],[Response]])=TRUE,1,0)=2,Table44281850[[#This Row],[Response]],"")</f>
        <v>4</v>
      </c>
      <c r="I38" s="5" t="str">
        <f>IF(Table44281850[[#This Row],[Old or New?]]="New",Table44281850[[#This Row],[Post Total]],"")</f>
        <v/>
      </c>
      <c r="J38" s="5">
        <f>IF(Table44281850[[#This Row],[Old or New?]]="Old",Table44281850[[#This Row],[Post Total]],"")</f>
        <v>4</v>
      </c>
      <c r="K38" s="5" t="b">
        <f>ISNUMBER(Table44281850[[#This Row],[New]])</f>
        <v>0</v>
      </c>
      <c r="L38" s="5" t="b">
        <f>ISNUMBER(Table44281850[[#This Row],[Old]])</f>
        <v>1</v>
      </c>
    </row>
    <row r="39" spans="1:12">
      <c r="A39" s="2" t="s">
        <v>12</v>
      </c>
      <c r="B39" s="2" t="s">
        <v>21</v>
      </c>
      <c r="C39" s="1">
        <v>20</v>
      </c>
      <c r="D39" s="2" t="s">
        <v>16</v>
      </c>
      <c r="E39" s="1">
        <v>6</v>
      </c>
      <c r="F39" s="1">
        <v>4</v>
      </c>
      <c r="G39" s="5">
        <f>IF(IF(Table44281850[[#This Row],[Pre or Post]]="Post",1,0)+IF(ISNUMBER(Table44281850[[#This Row],[Response]])=TRUE,1,0)=2,1,"")</f>
        <v>1</v>
      </c>
      <c r="H39" s="5">
        <f>IF(IF(Table44281850[[#This Row],[Pre or Post]]="Post",1,0)+IF(ISNUMBER(Table44281850[[#This Row],[Response]])=TRUE,1,0)=2,Table44281850[[#This Row],[Response]],"")</f>
        <v>4</v>
      </c>
      <c r="I39" s="5" t="str">
        <f>IF(Table44281850[[#This Row],[Old or New?]]="New",Table44281850[[#This Row],[Post Total]],"")</f>
        <v/>
      </c>
      <c r="J39" s="5">
        <f>IF(Table44281850[[#This Row],[Old or New?]]="Old",Table44281850[[#This Row],[Post Total]],"")</f>
        <v>4</v>
      </c>
      <c r="K39" s="5" t="b">
        <f>ISNUMBER(Table44281850[[#This Row],[New]])</f>
        <v>0</v>
      </c>
      <c r="L39" s="5" t="b">
        <f>ISNUMBER(Table44281850[[#This Row],[Old]])</f>
        <v>1</v>
      </c>
    </row>
    <row r="40" spans="1:12">
      <c r="A40" s="2" t="s">
        <v>12</v>
      </c>
      <c r="B40" s="2" t="s">
        <v>21</v>
      </c>
      <c r="C40" s="1">
        <v>21</v>
      </c>
      <c r="D40" s="2" t="s">
        <v>16</v>
      </c>
      <c r="E40" s="1">
        <v>6</v>
      </c>
      <c r="F40" s="1">
        <v>2</v>
      </c>
      <c r="G40" s="5">
        <f>IF(IF(Table44281850[[#This Row],[Pre or Post]]="Post",1,0)+IF(ISNUMBER(Table44281850[[#This Row],[Response]])=TRUE,1,0)=2,1,"")</f>
        <v>1</v>
      </c>
      <c r="H40" s="5">
        <f>IF(IF(Table44281850[[#This Row],[Pre or Post]]="Post",1,0)+IF(ISNUMBER(Table44281850[[#This Row],[Response]])=TRUE,1,0)=2,Table44281850[[#This Row],[Response]],"")</f>
        <v>2</v>
      </c>
      <c r="I40" s="5" t="str">
        <f>IF(Table44281850[[#This Row],[Old or New?]]="New",Table44281850[[#This Row],[Post Total]],"")</f>
        <v/>
      </c>
      <c r="J40" s="5">
        <f>IF(Table44281850[[#This Row],[Old or New?]]="Old",Table44281850[[#This Row],[Post Total]],"")</f>
        <v>2</v>
      </c>
      <c r="K40" s="5" t="b">
        <f>ISNUMBER(Table44281850[[#This Row],[New]])</f>
        <v>0</v>
      </c>
      <c r="L40" s="5" t="b">
        <f>ISNUMBER(Table44281850[[#This Row],[Old]])</f>
        <v>1</v>
      </c>
    </row>
    <row r="41" spans="1:12">
      <c r="A41" s="2" t="s">
        <v>12</v>
      </c>
      <c r="B41" s="2" t="s">
        <v>21</v>
      </c>
      <c r="C41" s="1">
        <v>22</v>
      </c>
      <c r="D41" s="2" t="s">
        <v>16</v>
      </c>
      <c r="E41" s="1">
        <v>6</v>
      </c>
      <c r="F41" s="1">
        <v>5</v>
      </c>
      <c r="G41" s="5">
        <f>IF(IF(Table44281850[[#This Row],[Pre or Post]]="Post",1,0)+IF(ISNUMBER(Table44281850[[#This Row],[Response]])=TRUE,1,0)=2,1,"")</f>
        <v>1</v>
      </c>
      <c r="H41" s="5">
        <f>IF(IF(Table44281850[[#This Row],[Pre or Post]]="Post",1,0)+IF(ISNUMBER(Table44281850[[#This Row],[Response]])=TRUE,1,0)=2,Table44281850[[#This Row],[Response]],"")</f>
        <v>5</v>
      </c>
      <c r="I41" s="5" t="str">
        <f>IF(Table44281850[[#This Row],[Old or New?]]="New",Table44281850[[#This Row],[Post Total]],"")</f>
        <v/>
      </c>
      <c r="J41" s="5">
        <f>IF(Table44281850[[#This Row],[Old or New?]]="Old",Table44281850[[#This Row],[Post Total]],"")</f>
        <v>5</v>
      </c>
      <c r="K41" s="5" t="b">
        <f>ISNUMBER(Table44281850[[#This Row],[New]])</f>
        <v>0</v>
      </c>
      <c r="L41" s="5" t="b">
        <f>ISNUMBER(Table44281850[[#This Row],[Old]])</f>
        <v>1</v>
      </c>
    </row>
    <row r="42" spans="1:12">
      <c r="A42" s="2" t="s">
        <v>12</v>
      </c>
      <c r="B42" s="2" t="s">
        <v>21</v>
      </c>
      <c r="C42" s="1">
        <v>23</v>
      </c>
      <c r="D42" s="2" t="s">
        <v>16</v>
      </c>
      <c r="E42" s="1">
        <v>6</v>
      </c>
      <c r="F42" s="1">
        <v>2</v>
      </c>
      <c r="G42" s="5">
        <f>IF(IF(Table44281850[[#This Row],[Pre or Post]]="Post",1,0)+IF(ISNUMBER(Table44281850[[#This Row],[Response]])=TRUE,1,0)=2,1,"")</f>
        <v>1</v>
      </c>
      <c r="H42" s="5">
        <f>IF(IF(Table44281850[[#This Row],[Pre or Post]]="Post",1,0)+IF(ISNUMBER(Table44281850[[#This Row],[Response]])=TRUE,1,0)=2,Table44281850[[#This Row],[Response]],"")</f>
        <v>2</v>
      </c>
      <c r="I42" s="5" t="str">
        <f>IF(Table44281850[[#This Row],[Old or New?]]="New",Table44281850[[#This Row],[Post Total]],"")</f>
        <v/>
      </c>
      <c r="J42" s="5">
        <f>IF(Table44281850[[#This Row],[Old or New?]]="Old",Table44281850[[#This Row],[Post Total]],"")</f>
        <v>2</v>
      </c>
      <c r="K42" s="5" t="b">
        <f>ISNUMBER(Table44281850[[#This Row],[New]])</f>
        <v>0</v>
      </c>
      <c r="L42" s="5" t="b">
        <f>ISNUMBER(Table44281850[[#This Row],[Old]])</f>
        <v>1</v>
      </c>
    </row>
    <row r="43" spans="1:12">
      <c r="A43" s="2" t="s">
        <v>12</v>
      </c>
      <c r="B43" s="2" t="s">
        <v>5</v>
      </c>
      <c r="C43" s="1">
        <v>1</v>
      </c>
      <c r="D43" s="2" t="s">
        <v>16</v>
      </c>
      <c r="E43" s="1">
        <v>6</v>
      </c>
      <c r="G43" s="5" t="str">
        <f>IF(IF(Table44281850[[#This Row],[Pre or Post]]="Post",1,0)+IF(ISNUMBER(Table44281850[[#This Row],[Response]])=TRUE,1,0)=2,1,"")</f>
        <v/>
      </c>
      <c r="H43" s="5" t="str">
        <f>IF(IF(Table44281850[[#This Row],[Pre or Post]]="Post",1,0)+IF(ISNUMBER(Table44281850[[#This Row],[Response]])=TRUE,1,0)=2,Table44281850[[#This Row],[Response]],"")</f>
        <v/>
      </c>
      <c r="I43" s="5" t="str">
        <f>IF(Table44281850[[#This Row],[Old or New?]]="New",Table44281850[[#This Row],[Post Total]],"")</f>
        <v/>
      </c>
      <c r="J43" s="5" t="str">
        <f>IF(Table44281850[[#This Row],[Old or New?]]="Old",Table44281850[[#This Row],[Post Total]],"")</f>
        <v/>
      </c>
      <c r="K43" s="5" t="b">
        <f>ISNUMBER(Table44281850[[#This Row],[New]])</f>
        <v>0</v>
      </c>
      <c r="L43" s="5" t="b">
        <f>ISNUMBER(Table44281850[[#This Row],[Old]])</f>
        <v>0</v>
      </c>
    </row>
    <row r="44" spans="1:12">
      <c r="A44" s="2" t="s">
        <v>12</v>
      </c>
      <c r="B44" s="2" t="s">
        <v>5</v>
      </c>
      <c r="C44" s="1">
        <v>2</v>
      </c>
      <c r="D44" s="2" t="s">
        <v>16</v>
      </c>
      <c r="E44" s="1">
        <v>6</v>
      </c>
      <c r="F44" s="1">
        <v>3</v>
      </c>
      <c r="G44" s="5">
        <f>IF(IF(Table44281850[[#This Row],[Pre or Post]]="Post",1,0)+IF(ISNUMBER(Table44281850[[#This Row],[Response]])=TRUE,1,0)=2,1,"")</f>
        <v>1</v>
      </c>
      <c r="H44" s="5">
        <f>IF(IF(Table44281850[[#This Row],[Pre or Post]]="Post",1,0)+IF(ISNUMBER(Table44281850[[#This Row],[Response]])=TRUE,1,0)=2,Table44281850[[#This Row],[Response]],"")</f>
        <v>3</v>
      </c>
      <c r="I44" s="5" t="str">
        <f>IF(Table44281850[[#This Row],[Old or New?]]="New",Table44281850[[#This Row],[Post Total]],"")</f>
        <v/>
      </c>
      <c r="J44" s="5">
        <f>IF(Table44281850[[#This Row],[Old or New?]]="Old",Table44281850[[#This Row],[Post Total]],"")</f>
        <v>3</v>
      </c>
      <c r="K44" s="5" t="b">
        <f>ISNUMBER(Table44281850[[#This Row],[New]])</f>
        <v>0</v>
      </c>
      <c r="L44" s="5" t="b">
        <f>ISNUMBER(Table44281850[[#This Row],[Old]])</f>
        <v>1</v>
      </c>
    </row>
    <row r="45" spans="1:12">
      <c r="A45" s="2" t="s">
        <v>12</v>
      </c>
      <c r="B45" s="2" t="s">
        <v>5</v>
      </c>
      <c r="C45" s="1">
        <v>3</v>
      </c>
      <c r="D45" s="2" t="s">
        <v>16</v>
      </c>
      <c r="E45" s="1">
        <v>6</v>
      </c>
      <c r="F45" s="1">
        <v>3</v>
      </c>
      <c r="G45" s="5">
        <f>IF(IF(Table44281850[[#This Row],[Pre or Post]]="Post",1,0)+IF(ISNUMBER(Table44281850[[#This Row],[Response]])=TRUE,1,0)=2,1,"")</f>
        <v>1</v>
      </c>
      <c r="H45" s="5">
        <f>IF(IF(Table44281850[[#This Row],[Pre or Post]]="Post",1,0)+IF(ISNUMBER(Table44281850[[#This Row],[Response]])=TRUE,1,0)=2,Table44281850[[#This Row],[Response]],"")</f>
        <v>3</v>
      </c>
      <c r="I45" s="5" t="str">
        <f>IF(Table44281850[[#This Row],[Old or New?]]="New",Table44281850[[#This Row],[Post Total]],"")</f>
        <v/>
      </c>
      <c r="J45" s="5">
        <f>IF(Table44281850[[#This Row],[Old or New?]]="Old",Table44281850[[#This Row],[Post Total]],"")</f>
        <v>3</v>
      </c>
      <c r="K45" s="5" t="b">
        <f>ISNUMBER(Table44281850[[#This Row],[New]])</f>
        <v>0</v>
      </c>
      <c r="L45" s="5" t="b">
        <f>ISNUMBER(Table44281850[[#This Row],[Old]])</f>
        <v>1</v>
      </c>
    </row>
    <row r="46" spans="1:12">
      <c r="A46" s="2" t="s">
        <v>12</v>
      </c>
      <c r="B46" s="2" t="s">
        <v>5</v>
      </c>
      <c r="C46" s="1">
        <v>4</v>
      </c>
      <c r="D46" s="2" t="s">
        <v>16</v>
      </c>
      <c r="E46" s="1">
        <v>6</v>
      </c>
      <c r="F46" s="1">
        <v>4</v>
      </c>
      <c r="G46" s="5">
        <f>IF(IF(Table44281850[[#This Row],[Pre or Post]]="Post",1,0)+IF(ISNUMBER(Table44281850[[#This Row],[Response]])=TRUE,1,0)=2,1,"")</f>
        <v>1</v>
      </c>
      <c r="H46" s="5">
        <f>IF(IF(Table44281850[[#This Row],[Pre or Post]]="Post",1,0)+IF(ISNUMBER(Table44281850[[#This Row],[Response]])=TRUE,1,0)=2,Table44281850[[#This Row],[Response]],"")</f>
        <v>4</v>
      </c>
      <c r="I46" s="5" t="str">
        <f>IF(Table44281850[[#This Row],[Old or New?]]="New",Table44281850[[#This Row],[Post Total]],"")</f>
        <v/>
      </c>
      <c r="J46" s="5">
        <f>IF(Table44281850[[#This Row],[Old or New?]]="Old",Table44281850[[#This Row],[Post Total]],"")</f>
        <v>4</v>
      </c>
      <c r="K46" s="5" t="b">
        <f>ISNUMBER(Table44281850[[#This Row],[New]])</f>
        <v>0</v>
      </c>
      <c r="L46" s="5" t="b">
        <f>ISNUMBER(Table44281850[[#This Row],[Old]])</f>
        <v>1</v>
      </c>
    </row>
    <row r="47" spans="1:12">
      <c r="A47" s="2" t="s">
        <v>12</v>
      </c>
      <c r="B47" s="2" t="s">
        <v>5</v>
      </c>
      <c r="C47" s="1">
        <v>5</v>
      </c>
      <c r="D47" s="2" t="s">
        <v>16</v>
      </c>
      <c r="E47" s="1">
        <v>6</v>
      </c>
      <c r="F47" s="1">
        <v>4</v>
      </c>
      <c r="G47" s="5">
        <f>IF(IF(Table44281850[[#This Row],[Pre or Post]]="Post",1,0)+IF(ISNUMBER(Table44281850[[#This Row],[Response]])=TRUE,1,0)=2,1,"")</f>
        <v>1</v>
      </c>
      <c r="H47" s="5">
        <f>IF(IF(Table44281850[[#This Row],[Pre or Post]]="Post",1,0)+IF(ISNUMBER(Table44281850[[#This Row],[Response]])=TRUE,1,0)=2,Table44281850[[#This Row],[Response]],"")</f>
        <v>4</v>
      </c>
      <c r="I47" s="5" t="str">
        <f>IF(Table44281850[[#This Row],[Old or New?]]="New",Table44281850[[#This Row],[Post Total]],"")</f>
        <v/>
      </c>
      <c r="J47" s="5">
        <f>IF(Table44281850[[#This Row],[Old or New?]]="Old",Table44281850[[#This Row],[Post Total]],"")</f>
        <v>4</v>
      </c>
      <c r="K47" s="5" t="b">
        <f>ISNUMBER(Table44281850[[#This Row],[New]])</f>
        <v>0</v>
      </c>
      <c r="L47" s="5" t="b">
        <f>ISNUMBER(Table44281850[[#This Row],[Old]])</f>
        <v>1</v>
      </c>
    </row>
    <row r="48" spans="1:12">
      <c r="A48" s="2" t="s">
        <v>12</v>
      </c>
      <c r="B48" s="2" t="s">
        <v>5</v>
      </c>
      <c r="C48" s="1">
        <v>6</v>
      </c>
      <c r="D48" s="2" t="s">
        <v>16</v>
      </c>
      <c r="E48" s="1">
        <v>6</v>
      </c>
      <c r="F48" s="1">
        <v>5</v>
      </c>
      <c r="G48" s="5">
        <f>IF(IF(Table44281850[[#This Row],[Pre or Post]]="Post",1,0)+IF(ISNUMBER(Table44281850[[#This Row],[Response]])=TRUE,1,0)=2,1,"")</f>
        <v>1</v>
      </c>
      <c r="H48" s="5">
        <f>IF(IF(Table44281850[[#This Row],[Pre or Post]]="Post",1,0)+IF(ISNUMBER(Table44281850[[#This Row],[Response]])=TRUE,1,0)=2,Table44281850[[#This Row],[Response]],"")</f>
        <v>5</v>
      </c>
      <c r="I48" s="5" t="str">
        <f>IF(Table44281850[[#This Row],[Old or New?]]="New",Table44281850[[#This Row],[Post Total]],"")</f>
        <v/>
      </c>
      <c r="J48" s="5">
        <f>IF(Table44281850[[#This Row],[Old or New?]]="Old",Table44281850[[#This Row],[Post Total]],"")</f>
        <v>5</v>
      </c>
      <c r="K48" s="5" t="b">
        <f>ISNUMBER(Table44281850[[#This Row],[New]])</f>
        <v>0</v>
      </c>
      <c r="L48" s="5" t="b">
        <f>ISNUMBER(Table44281850[[#This Row],[Old]])</f>
        <v>1</v>
      </c>
    </row>
    <row r="49" spans="1:12">
      <c r="A49" s="2" t="s">
        <v>12</v>
      </c>
      <c r="B49" s="2" t="s">
        <v>5</v>
      </c>
      <c r="C49" s="1">
        <v>7</v>
      </c>
      <c r="D49" s="2" t="s">
        <v>16</v>
      </c>
      <c r="E49" s="1">
        <v>6</v>
      </c>
      <c r="F49" s="1">
        <v>4</v>
      </c>
      <c r="G49" s="5">
        <f>IF(IF(Table44281850[[#This Row],[Pre or Post]]="Post",1,0)+IF(ISNUMBER(Table44281850[[#This Row],[Response]])=TRUE,1,0)=2,1,"")</f>
        <v>1</v>
      </c>
      <c r="H49" s="5">
        <f>IF(IF(Table44281850[[#This Row],[Pre or Post]]="Post",1,0)+IF(ISNUMBER(Table44281850[[#This Row],[Response]])=TRUE,1,0)=2,Table44281850[[#This Row],[Response]],"")</f>
        <v>4</v>
      </c>
      <c r="I49" s="5" t="str">
        <f>IF(Table44281850[[#This Row],[Old or New?]]="New",Table44281850[[#This Row],[Post Total]],"")</f>
        <v/>
      </c>
      <c r="J49" s="5">
        <f>IF(Table44281850[[#This Row],[Old or New?]]="Old",Table44281850[[#This Row],[Post Total]],"")</f>
        <v>4</v>
      </c>
      <c r="K49" s="5" t="b">
        <f>ISNUMBER(Table44281850[[#This Row],[New]])</f>
        <v>0</v>
      </c>
      <c r="L49" s="5" t="b">
        <f>ISNUMBER(Table44281850[[#This Row],[Old]])</f>
        <v>1</v>
      </c>
    </row>
    <row r="50" spans="1:12">
      <c r="A50" s="2" t="s">
        <v>12</v>
      </c>
      <c r="B50" s="2" t="s">
        <v>5</v>
      </c>
      <c r="C50" s="1">
        <v>8</v>
      </c>
      <c r="D50" s="2" t="s">
        <v>16</v>
      </c>
      <c r="E50" s="1">
        <v>6</v>
      </c>
      <c r="F50" s="1">
        <v>4</v>
      </c>
      <c r="G50" s="5">
        <f>IF(IF(Table44281850[[#This Row],[Pre or Post]]="Post",1,0)+IF(ISNUMBER(Table44281850[[#This Row],[Response]])=TRUE,1,0)=2,1,"")</f>
        <v>1</v>
      </c>
      <c r="H50" s="5">
        <f>IF(IF(Table44281850[[#This Row],[Pre or Post]]="Post",1,0)+IF(ISNUMBER(Table44281850[[#This Row],[Response]])=TRUE,1,0)=2,Table44281850[[#This Row],[Response]],"")</f>
        <v>4</v>
      </c>
      <c r="I50" s="5" t="str">
        <f>IF(Table44281850[[#This Row],[Old or New?]]="New",Table44281850[[#This Row],[Post Total]],"")</f>
        <v/>
      </c>
      <c r="J50" s="5">
        <f>IF(Table44281850[[#This Row],[Old or New?]]="Old",Table44281850[[#This Row],[Post Total]],"")</f>
        <v>4</v>
      </c>
      <c r="K50" s="5" t="b">
        <f>ISNUMBER(Table44281850[[#This Row],[New]])</f>
        <v>0</v>
      </c>
      <c r="L50" s="5" t="b">
        <f>ISNUMBER(Table44281850[[#This Row],[Old]])</f>
        <v>1</v>
      </c>
    </row>
    <row r="51" spans="1:12">
      <c r="A51" s="2" t="s">
        <v>12</v>
      </c>
      <c r="B51" s="2" t="s">
        <v>5</v>
      </c>
      <c r="C51" s="1">
        <v>9</v>
      </c>
      <c r="D51" s="2" t="s">
        <v>16</v>
      </c>
      <c r="E51" s="1">
        <v>6</v>
      </c>
      <c r="F51" s="1">
        <v>4</v>
      </c>
      <c r="G51" s="5">
        <f>IF(IF(Table44281850[[#This Row],[Pre or Post]]="Post",1,0)+IF(ISNUMBER(Table44281850[[#This Row],[Response]])=TRUE,1,0)=2,1,"")</f>
        <v>1</v>
      </c>
      <c r="H51" s="5">
        <f>IF(IF(Table44281850[[#This Row],[Pre or Post]]="Post",1,0)+IF(ISNUMBER(Table44281850[[#This Row],[Response]])=TRUE,1,0)=2,Table44281850[[#This Row],[Response]],"")</f>
        <v>4</v>
      </c>
      <c r="I51" s="5" t="str">
        <f>IF(Table44281850[[#This Row],[Old or New?]]="New",Table44281850[[#This Row],[Post Total]],"")</f>
        <v/>
      </c>
      <c r="J51" s="5">
        <f>IF(Table44281850[[#This Row],[Old or New?]]="Old",Table44281850[[#This Row],[Post Total]],"")</f>
        <v>4</v>
      </c>
      <c r="K51" s="5" t="b">
        <f>ISNUMBER(Table44281850[[#This Row],[New]])</f>
        <v>0</v>
      </c>
      <c r="L51" s="5" t="b">
        <f>ISNUMBER(Table44281850[[#This Row],[Old]])</f>
        <v>1</v>
      </c>
    </row>
    <row r="52" spans="1:12">
      <c r="A52" s="2" t="s">
        <v>12</v>
      </c>
      <c r="B52" s="2" t="s">
        <v>5</v>
      </c>
      <c r="C52" s="1">
        <v>10</v>
      </c>
      <c r="D52" s="2" t="s">
        <v>16</v>
      </c>
      <c r="E52" s="1">
        <v>6</v>
      </c>
      <c r="F52" s="1">
        <v>5</v>
      </c>
      <c r="G52" s="5">
        <f>IF(IF(Table44281850[[#This Row],[Pre or Post]]="Post",1,0)+IF(ISNUMBER(Table44281850[[#This Row],[Response]])=TRUE,1,0)=2,1,"")</f>
        <v>1</v>
      </c>
      <c r="H52" s="5">
        <f>IF(IF(Table44281850[[#This Row],[Pre or Post]]="Post",1,0)+IF(ISNUMBER(Table44281850[[#This Row],[Response]])=TRUE,1,0)=2,Table44281850[[#This Row],[Response]],"")</f>
        <v>5</v>
      </c>
      <c r="I52" s="5" t="str">
        <f>IF(Table44281850[[#This Row],[Old or New?]]="New",Table44281850[[#This Row],[Post Total]],"")</f>
        <v/>
      </c>
      <c r="J52" s="5">
        <f>IF(Table44281850[[#This Row],[Old or New?]]="Old",Table44281850[[#This Row],[Post Total]],"")</f>
        <v>5</v>
      </c>
      <c r="K52" s="5" t="b">
        <f>ISNUMBER(Table44281850[[#This Row],[New]])</f>
        <v>0</v>
      </c>
      <c r="L52" s="5" t="b">
        <f>ISNUMBER(Table44281850[[#This Row],[Old]])</f>
        <v>1</v>
      </c>
    </row>
    <row r="53" spans="1:12">
      <c r="A53" s="2" t="s">
        <v>12</v>
      </c>
      <c r="B53" s="2" t="s">
        <v>5</v>
      </c>
      <c r="C53" s="1">
        <v>11</v>
      </c>
      <c r="D53" s="2" t="s">
        <v>16</v>
      </c>
      <c r="E53" s="1">
        <v>6</v>
      </c>
      <c r="F53" s="1">
        <v>5</v>
      </c>
      <c r="G53" s="5">
        <f>IF(IF(Table44281850[[#This Row],[Pre or Post]]="Post",1,0)+IF(ISNUMBER(Table44281850[[#This Row],[Response]])=TRUE,1,0)=2,1,"")</f>
        <v>1</v>
      </c>
      <c r="H53" s="5">
        <f>IF(IF(Table44281850[[#This Row],[Pre or Post]]="Post",1,0)+IF(ISNUMBER(Table44281850[[#This Row],[Response]])=TRUE,1,0)=2,Table44281850[[#This Row],[Response]],"")</f>
        <v>5</v>
      </c>
      <c r="I53" s="5" t="str">
        <f>IF(Table44281850[[#This Row],[Old or New?]]="New",Table44281850[[#This Row],[Post Total]],"")</f>
        <v/>
      </c>
      <c r="J53" s="5">
        <f>IF(Table44281850[[#This Row],[Old or New?]]="Old",Table44281850[[#This Row],[Post Total]],"")</f>
        <v>5</v>
      </c>
      <c r="K53" s="5" t="b">
        <f>ISNUMBER(Table44281850[[#This Row],[New]])</f>
        <v>0</v>
      </c>
      <c r="L53" s="5" t="b">
        <f>ISNUMBER(Table44281850[[#This Row],[Old]])</f>
        <v>1</v>
      </c>
    </row>
    <row r="54" spans="1:12">
      <c r="A54" s="2" t="s">
        <v>12</v>
      </c>
      <c r="B54" s="2" t="s">
        <v>5</v>
      </c>
      <c r="C54" s="1">
        <v>12</v>
      </c>
      <c r="D54" s="2" t="s">
        <v>16</v>
      </c>
      <c r="E54" s="1">
        <v>6</v>
      </c>
      <c r="G54" s="5" t="str">
        <f>IF(IF(Table44281850[[#This Row],[Pre or Post]]="Post",1,0)+IF(ISNUMBER(Table44281850[[#This Row],[Response]])=TRUE,1,0)=2,1,"")</f>
        <v/>
      </c>
      <c r="H54" s="5" t="str">
        <f>IF(IF(Table44281850[[#This Row],[Pre or Post]]="Post",1,0)+IF(ISNUMBER(Table44281850[[#This Row],[Response]])=TRUE,1,0)=2,Table44281850[[#This Row],[Response]],"")</f>
        <v/>
      </c>
      <c r="I54" s="5" t="str">
        <f>IF(Table44281850[[#This Row],[Old or New?]]="New",Table44281850[[#This Row],[Post Total]],"")</f>
        <v/>
      </c>
      <c r="J54" s="5" t="str">
        <f>IF(Table44281850[[#This Row],[Old or New?]]="Old",Table44281850[[#This Row],[Post Total]],"")</f>
        <v/>
      </c>
      <c r="K54" s="5" t="b">
        <f>ISNUMBER(Table44281850[[#This Row],[New]])</f>
        <v>0</v>
      </c>
      <c r="L54" s="5" t="b">
        <f>ISNUMBER(Table44281850[[#This Row],[Old]])</f>
        <v>0</v>
      </c>
    </row>
    <row r="55" spans="1:12">
      <c r="A55" s="2" t="s">
        <v>12</v>
      </c>
      <c r="B55" s="2" t="s">
        <v>5</v>
      </c>
      <c r="C55" s="1">
        <v>13</v>
      </c>
      <c r="D55" s="2" t="s">
        <v>16</v>
      </c>
      <c r="E55" s="1">
        <v>6</v>
      </c>
      <c r="G55" s="5" t="str">
        <f>IF(IF(Table44281850[[#This Row],[Pre or Post]]="Post",1,0)+IF(ISNUMBER(Table44281850[[#This Row],[Response]])=TRUE,1,0)=2,1,"")</f>
        <v/>
      </c>
      <c r="H55" s="5" t="str">
        <f>IF(IF(Table44281850[[#This Row],[Pre or Post]]="Post",1,0)+IF(ISNUMBER(Table44281850[[#This Row],[Response]])=TRUE,1,0)=2,Table44281850[[#This Row],[Response]],"")</f>
        <v/>
      </c>
      <c r="I55" s="5" t="str">
        <f>IF(Table44281850[[#This Row],[Old or New?]]="New",Table44281850[[#This Row],[Post Total]],"")</f>
        <v/>
      </c>
      <c r="J55" s="5" t="str">
        <f>IF(Table44281850[[#This Row],[Old or New?]]="Old",Table44281850[[#This Row],[Post Total]],"")</f>
        <v/>
      </c>
      <c r="K55" s="5" t="b">
        <f>ISNUMBER(Table44281850[[#This Row],[New]])</f>
        <v>0</v>
      </c>
      <c r="L55" s="5" t="b">
        <f>ISNUMBER(Table44281850[[#This Row],[Old]])</f>
        <v>0</v>
      </c>
    </row>
    <row r="56" spans="1:12">
      <c r="A56" s="2" t="s">
        <v>12</v>
      </c>
      <c r="B56" s="2" t="s">
        <v>5</v>
      </c>
      <c r="C56" s="1">
        <v>14</v>
      </c>
      <c r="D56" s="2" t="s">
        <v>16</v>
      </c>
      <c r="E56" s="1">
        <v>6</v>
      </c>
      <c r="F56" s="1">
        <v>3</v>
      </c>
      <c r="G56" s="5">
        <f>IF(IF(Table44281850[[#This Row],[Pre or Post]]="Post",1,0)+IF(ISNUMBER(Table44281850[[#This Row],[Response]])=TRUE,1,0)=2,1,"")</f>
        <v>1</v>
      </c>
      <c r="H56" s="5">
        <f>IF(IF(Table44281850[[#This Row],[Pre or Post]]="Post",1,0)+IF(ISNUMBER(Table44281850[[#This Row],[Response]])=TRUE,1,0)=2,Table44281850[[#This Row],[Response]],"")</f>
        <v>3</v>
      </c>
      <c r="I56" s="5" t="str">
        <f>IF(Table44281850[[#This Row],[Old or New?]]="New",Table44281850[[#This Row],[Post Total]],"")</f>
        <v/>
      </c>
      <c r="J56" s="5">
        <f>IF(Table44281850[[#This Row],[Old or New?]]="Old",Table44281850[[#This Row],[Post Total]],"")</f>
        <v>3</v>
      </c>
      <c r="K56" s="5" t="b">
        <f>ISNUMBER(Table44281850[[#This Row],[New]])</f>
        <v>0</v>
      </c>
      <c r="L56" s="5" t="b">
        <f>ISNUMBER(Table44281850[[#This Row],[Old]])</f>
        <v>1</v>
      </c>
    </row>
    <row r="57" spans="1:12">
      <c r="A57" s="2" t="s">
        <v>12</v>
      </c>
      <c r="B57" s="2" t="s">
        <v>5</v>
      </c>
      <c r="C57" s="1">
        <v>15</v>
      </c>
      <c r="D57" s="2" t="s">
        <v>16</v>
      </c>
      <c r="E57" s="1">
        <v>6</v>
      </c>
      <c r="F57" s="1">
        <v>3.5</v>
      </c>
      <c r="G57" s="5">
        <f>IF(IF(Table44281850[[#This Row],[Pre or Post]]="Post",1,0)+IF(ISNUMBER(Table44281850[[#This Row],[Response]])=TRUE,1,0)=2,1,"")</f>
        <v>1</v>
      </c>
      <c r="H57" s="5">
        <f>IF(IF(Table44281850[[#This Row],[Pre or Post]]="Post",1,0)+IF(ISNUMBER(Table44281850[[#This Row],[Response]])=TRUE,1,0)=2,Table44281850[[#This Row],[Response]],"")</f>
        <v>3.5</v>
      </c>
      <c r="I57" s="5" t="str">
        <f>IF(Table44281850[[#This Row],[Old or New?]]="New",Table44281850[[#This Row],[Post Total]],"")</f>
        <v/>
      </c>
      <c r="J57" s="5">
        <f>IF(Table44281850[[#This Row],[Old or New?]]="Old",Table44281850[[#This Row],[Post Total]],"")</f>
        <v>3.5</v>
      </c>
      <c r="K57" s="5" t="b">
        <f>ISNUMBER(Table44281850[[#This Row],[New]])</f>
        <v>0</v>
      </c>
      <c r="L57" s="5" t="b">
        <f>ISNUMBER(Table44281850[[#This Row],[Old]])</f>
        <v>1</v>
      </c>
    </row>
    <row r="58" spans="1:12">
      <c r="A58" s="2" t="s">
        <v>12</v>
      </c>
      <c r="B58" s="2" t="s">
        <v>5</v>
      </c>
      <c r="C58" s="1">
        <v>16</v>
      </c>
      <c r="D58" s="2" t="s">
        <v>16</v>
      </c>
      <c r="E58" s="1">
        <v>6</v>
      </c>
      <c r="F58" s="1">
        <v>3</v>
      </c>
      <c r="G58" s="5">
        <f>IF(IF(Table44281850[[#This Row],[Pre or Post]]="Post",1,0)+IF(ISNUMBER(Table44281850[[#This Row],[Response]])=TRUE,1,0)=2,1,"")</f>
        <v>1</v>
      </c>
      <c r="H58" s="5">
        <f>IF(IF(Table44281850[[#This Row],[Pre or Post]]="Post",1,0)+IF(ISNUMBER(Table44281850[[#This Row],[Response]])=TRUE,1,0)=2,Table44281850[[#This Row],[Response]],"")</f>
        <v>3</v>
      </c>
      <c r="I58" s="5" t="str">
        <f>IF(Table44281850[[#This Row],[Old or New?]]="New",Table44281850[[#This Row],[Post Total]],"")</f>
        <v/>
      </c>
      <c r="J58" s="5">
        <f>IF(Table44281850[[#This Row],[Old or New?]]="Old",Table44281850[[#This Row],[Post Total]],"")</f>
        <v>3</v>
      </c>
      <c r="K58" s="5" t="b">
        <f>ISNUMBER(Table44281850[[#This Row],[New]])</f>
        <v>0</v>
      </c>
      <c r="L58" s="5" t="b">
        <f>ISNUMBER(Table44281850[[#This Row],[Old]])</f>
        <v>1</v>
      </c>
    </row>
    <row r="59" spans="1:12">
      <c r="A59" s="2" t="s">
        <v>12</v>
      </c>
      <c r="B59" s="2" t="s">
        <v>5</v>
      </c>
      <c r="C59" s="1">
        <v>17</v>
      </c>
      <c r="D59" s="2" t="s">
        <v>16</v>
      </c>
      <c r="E59" s="1">
        <v>6</v>
      </c>
      <c r="G59" s="5" t="str">
        <f>IF(IF(Table44281850[[#This Row],[Pre or Post]]="Post",1,0)+IF(ISNUMBER(Table44281850[[#This Row],[Response]])=TRUE,1,0)=2,1,"")</f>
        <v/>
      </c>
      <c r="H59" s="5" t="str">
        <f>IF(IF(Table44281850[[#This Row],[Pre or Post]]="Post",1,0)+IF(ISNUMBER(Table44281850[[#This Row],[Response]])=TRUE,1,0)=2,Table44281850[[#This Row],[Response]],"")</f>
        <v/>
      </c>
      <c r="I59" s="5" t="str">
        <f>IF(Table44281850[[#This Row],[Old or New?]]="New",Table44281850[[#This Row],[Post Total]],"")</f>
        <v/>
      </c>
      <c r="J59" s="5" t="str">
        <f>IF(Table44281850[[#This Row],[Old or New?]]="Old",Table44281850[[#This Row],[Post Total]],"")</f>
        <v/>
      </c>
      <c r="K59" s="5" t="b">
        <f>ISNUMBER(Table44281850[[#This Row],[New]])</f>
        <v>0</v>
      </c>
      <c r="L59" s="5" t="b">
        <f>ISNUMBER(Table44281850[[#This Row],[Old]])</f>
        <v>0</v>
      </c>
    </row>
    <row r="60" spans="1:12">
      <c r="A60" s="2" t="s">
        <v>12</v>
      </c>
      <c r="B60" s="2" t="s">
        <v>5</v>
      </c>
      <c r="C60" s="1">
        <v>18</v>
      </c>
      <c r="D60" s="2" t="s">
        <v>16</v>
      </c>
      <c r="E60" s="1">
        <v>6</v>
      </c>
      <c r="F60" s="1">
        <v>4</v>
      </c>
      <c r="G60" s="5">
        <f>IF(IF(Table44281850[[#This Row],[Pre or Post]]="Post",1,0)+IF(ISNUMBER(Table44281850[[#This Row],[Response]])=TRUE,1,0)=2,1,"")</f>
        <v>1</v>
      </c>
      <c r="H60" s="5">
        <f>IF(IF(Table44281850[[#This Row],[Pre or Post]]="Post",1,0)+IF(ISNUMBER(Table44281850[[#This Row],[Response]])=TRUE,1,0)=2,Table44281850[[#This Row],[Response]],"")</f>
        <v>4</v>
      </c>
      <c r="I60" s="5" t="str">
        <f>IF(Table44281850[[#This Row],[Old or New?]]="New",Table44281850[[#This Row],[Post Total]],"")</f>
        <v/>
      </c>
      <c r="J60" s="5">
        <f>IF(Table44281850[[#This Row],[Old or New?]]="Old",Table44281850[[#This Row],[Post Total]],"")</f>
        <v>4</v>
      </c>
      <c r="K60" s="5" t="b">
        <f>ISNUMBER(Table44281850[[#This Row],[New]])</f>
        <v>0</v>
      </c>
      <c r="L60" s="5" t="b">
        <f>ISNUMBER(Table44281850[[#This Row],[Old]])</f>
        <v>1</v>
      </c>
    </row>
    <row r="61" spans="1:12">
      <c r="A61" s="2" t="s">
        <v>12</v>
      </c>
      <c r="B61" s="2" t="s">
        <v>5</v>
      </c>
      <c r="C61" s="2">
        <v>19</v>
      </c>
      <c r="D61" s="2" t="s">
        <v>16</v>
      </c>
      <c r="E61" s="1">
        <v>6</v>
      </c>
      <c r="F61" s="2">
        <v>2</v>
      </c>
      <c r="G61" s="5">
        <f>IF(IF(Table44281850[[#This Row],[Pre or Post]]="Post",1,0)+IF(ISNUMBER(Table44281850[[#This Row],[Response]])=TRUE,1,0)=2,1,"")</f>
        <v>1</v>
      </c>
      <c r="H61" s="5">
        <f>IF(IF(Table44281850[[#This Row],[Pre or Post]]="Post",1,0)+IF(ISNUMBER(Table44281850[[#This Row],[Response]])=TRUE,1,0)=2,Table44281850[[#This Row],[Response]],"")</f>
        <v>2</v>
      </c>
      <c r="I61" s="5" t="str">
        <f>IF(Table44281850[[#This Row],[Old or New?]]="New",Table44281850[[#This Row],[Post Total]],"")</f>
        <v/>
      </c>
      <c r="J61" s="5">
        <f>IF(Table44281850[[#This Row],[Old or New?]]="Old",Table44281850[[#This Row],[Post Total]],"")</f>
        <v>2</v>
      </c>
      <c r="K61" s="5" t="b">
        <f>ISNUMBER(Table44281850[[#This Row],[New]])</f>
        <v>0</v>
      </c>
      <c r="L61" s="5" t="b">
        <f>ISNUMBER(Table44281850[[#This Row],[Old]])</f>
        <v>1</v>
      </c>
    </row>
    <row r="62" spans="1:12">
      <c r="A62" s="2" t="s">
        <v>12</v>
      </c>
      <c r="B62" s="2" t="s">
        <v>5</v>
      </c>
      <c r="C62" s="2">
        <v>20</v>
      </c>
      <c r="D62" s="2" t="s">
        <v>16</v>
      </c>
      <c r="E62" s="1">
        <v>6</v>
      </c>
      <c r="F62" s="2">
        <v>4</v>
      </c>
      <c r="G62" s="5">
        <f>IF(IF(Table44281850[[#This Row],[Pre or Post]]="Post",1,0)+IF(ISNUMBER(Table44281850[[#This Row],[Response]])=TRUE,1,0)=2,1,"")</f>
        <v>1</v>
      </c>
      <c r="H62" s="5">
        <f>IF(IF(Table44281850[[#This Row],[Pre or Post]]="Post",1,0)+IF(ISNUMBER(Table44281850[[#This Row],[Response]])=TRUE,1,0)=2,Table44281850[[#This Row],[Response]],"")</f>
        <v>4</v>
      </c>
      <c r="I62" s="5" t="str">
        <f>IF(Table44281850[[#This Row],[Old or New?]]="New",Table44281850[[#This Row],[Post Total]],"")</f>
        <v/>
      </c>
      <c r="J62" s="5">
        <f>IF(Table44281850[[#This Row],[Old or New?]]="Old",Table44281850[[#This Row],[Post Total]],"")</f>
        <v>4</v>
      </c>
      <c r="K62" s="5" t="b">
        <f>ISNUMBER(Table44281850[[#This Row],[New]])</f>
        <v>0</v>
      </c>
      <c r="L62" s="5" t="b">
        <f>ISNUMBER(Table44281850[[#This Row],[Old]])</f>
        <v>1</v>
      </c>
    </row>
    <row r="63" spans="1:12">
      <c r="A63" s="2" t="s">
        <v>12</v>
      </c>
      <c r="B63" s="2" t="s">
        <v>5</v>
      </c>
      <c r="C63" s="2">
        <v>21</v>
      </c>
      <c r="D63" s="2" t="s">
        <v>16</v>
      </c>
      <c r="E63" s="1">
        <v>6</v>
      </c>
      <c r="F63" s="2">
        <v>5</v>
      </c>
      <c r="G63" s="5">
        <f>IF(IF(Table44281850[[#This Row],[Pre or Post]]="Post",1,0)+IF(ISNUMBER(Table44281850[[#This Row],[Response]])=TRUE,1,0)=2,1,"")</f>
        <v>1</v>
      </c>
      <c r="H63" s="5">
        <f>IF(IF(Table44281850[[#This Row],[Pre or Post]]="Post",1,0)+IF(ISNUMBER(Table44281850[[#This Row],[Response]])=TRUE,1,0)=2,Table44281850[[#This Row],[Response]],"")</f>
        <v>5</v>
      </c>
      <c r="I63" s="5" t="str">
        <f>IF(Table44281850[[#This Row],[Old or New?]]="New",Table44281850[[#This Row],[Post Total]],"")</f>
        <v/>
      </c>
      <c r="J63" s="5">
        <f>IF(Table44281850[[#This Row],[Old or New?]]="Old",Table44281850[[#This Row],[Post Total]],"")</f>
        <v>5</v>
      </c>
      <c r="K63" s="5" t="b">
        <f>ISNUMBER(Table44281850[[#This Row],[New]])</f>
        <v>0</v>
      </c>
      <c r="L63" s="5" t="b">
        <f>ISNUMBER(Table44281850[[#This Row],[Old]])</f>
        <v>1</v>
      </c>
    </row>
    <row r="64" spans="1:12">
      <c r="A64" s="2" t="s">
        <v>12</v>
      </c>
      <c r="B64" s="2" t="s">
        <v>5</v>
      </c>
      <c r="C64" s="2">
        <v>22</v>
      </c>
      <c r="D64" s="2" t="s">
        <v>16</v>
      </c>
      <c r="E64" s="1">
        <v>6</v>
      </c>
      <c r="F64" s="2">
        <v>5</v>
      </c>
      <c r="G64" s="5">
        <f>IF(IF(Table44281850[[#This Row],[Pre or Post]]="Post",1,0)+IF(ISNUMBER(Table44281850[[#This Row],[Response]])=TRUE,1,0)=2,1,"")</f>
        <v>1</v>
      </c>
      <c r="H64" s="5">
        <f>IF(IF(Table44281850[[#This Row],[Pre or Post]]="Post",1,0)+IF(ISNUMBER(Table44281850[[#This Row],[Response]])=TRUE,1,0)=2,Table44281850[[#This Row],[Response]],"")</f>
        <v>5</v>
      </c>
      <c r="I64" s="5" t="str">
        <f>IF(Table44281850[[#This Row],[Old or New?]]="New",Table44281850[[#This Row],[Post Total]],"")</f>
        <v/>
      </c>
      <c r="J64" s="5">
        <f>IF(Table44281850[[#This Row],[Old or New?]]="Old",Table44281850[[#This Row],[Post Total]],"")</f>
        <v>5</v>
      </c>
      <c r="K64" s="5" t="b">
        <f>ISNUMBER(Table44281850[[#This Row],[New]])</f>
        <v>0</v>
      </c>
      <c r="L64" s="5" t="b">
        <f>ISNUMBER(Table44281850[[#This Row],[Old]])</f>
        <v>1</v>
      </c>
    </row>
    <row r="65" spans="1:12">
      <c r="A65" s="2" t="s">
        <v>12</v>
      </c>
      <c r="B65" s="2" t="s">
        <v>5</v>
      </c>
      <c r="C65" s="2">
        <v>23</v>
      </c>
      <c r="D65" s="2" t="s">
        <v>16</v>
      </c>
      <c r="E65" s="1">
        <v>6</v>
      </c>
      <c r="F65" s="2">
        <v>5</v>
      </c>
      <c r="G65" s="5">
        <f>IF(IF(Table44281850[[#This Row],[Pre or Post]]="Post",1,0)+IF(ISNUMBER(Table44281850[[#This Row],[Response]])=TRUE,1,0)=2,1,"")</f>
        <v>1</v>
      </c>
      <c r="H65" s="5">
        <f>IF(IF(Table44281850[[#This Row],[Pre or Post]]="Post",1,0)+IF(ISNUMBER(Table44281850[[#This Row],[Response]])=TRUE,1,0)=2,Table44281850[[#This Row],[Response]],"")</f>
        <v>5</v>
      </c>
      <c r="I65" s="5" t="str">
        <f>IF(Table44281850[[#This Row],[Old or New?]]="New",Table44281850[[#This Row],[Post Total]],"")</f>
        <v/>
      </c>
      <c r="J65" s="5">
        <f>IF(Table44281850[[#This Row],[Old or New?]]="Old",Table44281850[[#This Row],[Post Total]],"")</f>
        <v>5</v>
      </c>
      <c r="K65" s="5" t="b">
        <f>ISNUMBER(Table44281850[[#This Row],[New]])</f>
        <v>0</v>
      </c>
      <c r="L65" s="5" t="b">
        <f>ISNUMBER(Table44281850[[#This Row],[Old]])</f>
        <v>1</v>
      </c>
    </row>
    <row r="66" spans="1:12">
      <c r="A66" s="2" t="s">
        <v>12</v>
      </c>
      <c r="B66" s="2" t="s">
        <v>5</v>
      </c>
      <c r="C66" s="2">
        <v>24</v>
      </c>
      <c r="D66" s="2" t="s">
        <v>16</v>
      </c>
      <c r="E66" s="1">
        <v>6</v>
      </c>
      <c r="F66" s="2">
        <v>4</v>
      </c>
      <c r="G66" s="5">
        <f>IF(IF(Table44281850[[#This Row],[Pre or Post]]="Post",1,0)+IF(ISNUMBER(Table44281850[[#This Row],[Response]])=TRUE,1,0)=2,1,"")</f>
        <v>1</v>
      </c>
      <c r="H66" s="5">
        <f>IF(IF(Table44281850[[#This Row],[Pre or Post]]="Post",1,0)+IF(ISNUMBER(Table44281850[[#This Row],[Response]])=TRUE,1,0)=2,Table44281850[[#This Row],[Response]],"")</f>
        <v>4</v>
      </c>
      <c r="I66" s="5" t="str">
        <f>IF(Table44281850[[#This Row],[Old or New?]]="New",Table44281850[[#This Row],[Post Total]],"")</f>
        <v/>
      </c>
      <c r="J66" s="5">
        <f>IF(Table44281850[[#This Row],[Old or New?]]="Old",Table44281850[[#This Row],[Post Total]],"")</f>
        <v>4</v>
      </c>
      <c r="K66" s="5" t="b">
        <f>ISNUMBER(Table44281850[[#This Row],[New]])</f>
        <v>0</v>
      </c>
      <c r="L66" s="5" t="b">
        <f>ISNUMBER(Table44281850[[#This Row],[Old]])</f>
        <v>1</v>
      </c>
    </row>
    <row r="67" spans="1:12">
      <c r="A67" s="1" t="s">
        <v>24</v>
      </c>
      <c r="B67" s="1" t="s">
        <v>23</v>
      </c>
      <c r="C67" s="1">
        <v>1</v>
      </c>
      <c r="D67" s="1" t="s">
        <v>16</v>
      </c>
      <c r="E67" s="1">
        <v>6</v>
      </c>
      <c r="F67" s="1">
        <v>3</v>
      </c>
      <c r="G67" s="5">
        <f>IF(IF(Table44281850[[#This Row],[Pre or Post]]="Post",1,0)+IF(ISNUMBER(Table44281850[[#This Row],[Response]])=TRUE,1,0)=2,1,"")</f>
        <v>1</v>
      </c>
      <c r="H67" s="5">
        <f>IF(IF(Table44281850[[#This Row],[Pre or Post]]="Post",1,0)+IF(ISNUMBER(Table44281850[[#This Row],[Response]])=TRUE,1,0)=2,Table44281850[[#This Row],[Response]],"")</f>
        <v>3</v>
      </c>
      <c r="I67" s="5">
        <f>IF(Table44281850[[#This Row],[Old or New?]]="New",Table44281850[[#This Row],[Post Total]],"")</f>
        <v>3</v>
      </c>
      <c r="J67" s="5" t="str">
        <f>IF(Table44281850[[#This Row],[Old or New?]]="Old",Table44281850[[#This Row],[Post Total]],"")</f>
        <v/>
      </c>
      <c r="K67" s="5" t="b">
        <f>ISNUMBER(Table44281850[[#This Row],[New]])</f>
        <v>1</v>
      </c>
      <c r="L67" s="5" t="b">
        <f>ISNUMBER(Table44281850[[#This Row],[Old]])</f>
        <v>0</v>
      </c>
    </row>
    <row r="68" spans="1:12">
      <c r="A68" s="1" t="s">
        <v>24</v>
      </c>
      <c r="B68" s="1" t="s">
        <v>23</v>
      </c>
      <c r="C68" s="1">
        <v>2</v>
      </c>
      <c r="D68" s="1" t="s">
        <v>16</v>
      </c>
      <c r="E68" s="1">
        <v>6</v>
      </c>
      <c r="F68" s="1">
        <v>5</v>
      </c>
      <c r="G68" s="5">
        <f>IF(IF(Table44281850[[#This Row],[Pre or Post]]="Post",1,0)+IF(ISNUMBER(Table44281850[[#This Row],[Response]])=TRUE,1,0)=2,1,"")</f>
        <v>1</v>
      </c>
      <c r="H68" s="5">
        <f>IF(IF(Table44281850[[#This Row],[Pre or Post]]="Post",1,0)+IF(ISNUMBER(Table44281850[[#This Row],[Response]])=TRUE,1,0)=2,Table44281850[[#This Row],[Response]],"")</f>
        <v>5</v>
      </c>
      <c r="I68" s="5">
        <f>IF(Table44281850[[#This Row],[Old or New?]]="New",Table44281850[[#This Row],[Post Total]],"")</f>
        <v>5</v>
      </c>
      <c r="J68" s="5" t="str">
        <f>IF(Table44281850[[#This Row],[Old or New?]]="Old",Table44281850[[#This Row],[Post Total]],"")</f>
        <v/>
      </c>
      <c r="K68" s="5" t="b">
        <f>ISNUMBER(Table44281850[[#This Row],[New]])</f>
        <v>1</v>
      </c>
      <c r="L68" s="5" t="b">
        <f>ISNUMBER(Table44281850[[#This Row],[Old]])</f>
        <v>0</v>
      </c>
    </row>
    <row r="69" spans="1:12">
      <c r="A69" s="1" t="s">
        <v>24</v>
      </c>
      <c r="B69" s="1" t="s">
        <v>23</v>
      </c>
      <c r="C69" s="1">
        <v>3</v>
      </c>
      <c r="D69" s="1" t="s">
        <v>16</v>
      </c>
      <c r="E69" s="1">
        <v>6</v>
      </c>
      <c r="F69" s="1">
        <v>5</v>
      </c>
      <c r="G69" s="5">
        <f>IF(IF(Table44281850[[#This Row],[Pre or Post]]="Post",1,0)+IF(ISNUMBER(Table44281850[[#This Row],[Response]])=TRUE,1,0)=2,1,"")</f>
        <v>1</v>
      </c>
      <c r="H69" s="5">
        <f>IF(IF(Table44281850[[#This Row],[Pre or Post]]="Post",1,0)+IF(ISNUMBER(Table44281850[[#This Row],[Response]])=TRUE,1,0)=2,Table44281850[[#This Row],[Response]],"")</f>
        <v>5</v>
      </c>
      <c r="I69" s="5">
        <f>IF(Table44281850[[#This Row],[Old or New?]]="New",Table44281850[[#This Row],[Post Total]],"")</f>
        <v>5</v>
      </c>
      <c r="J69" s="5" t="str">
        <f>IF(Table44281850[[#This Row],[Old or New?]]="Old",Table44281850[[#This Row],[Post Total]],"")</f>
        <v/>
      </c>
      <c r="K69" s="5" t="b">
        <f>ISNUMBER(Table44281850[[#This Row],[New]])</f>
        <v>1</v>
      </c>
      <c r="L69" s="5" t="b">
        <f>ISNUMBER(Table44281850[[#This Row],[Old]])</f>
        <v>0</v>
      </c>
    </row>
    <row r="70" spans="1:12">
      <c r="A70" s="1" t="s">
        <v>24</v>
      </c>
      <c r="B70" s="1" t="s">
        <v>23</v>
      </c>
      <c r="C70" s="1">
        <v>4</v>
      </c>
      <c r="D70" s="1" t="s">
        <v>16</v>
      </c>
      <c r="E70" s="1">
        <v>6</v>
      </c>
      <c r="F70" s="1">
        <v>5</v>
      </c>
      <c r="G70" s="5">
        <f>IF(IF(Table44281850[[#This Row],[Pre or Post]]="Post",1,0)+IF(ISNUMBER(Table44281850[[#This Row],[Response]])=TRUE,1,0)=2,1,"")</f>
        <v>1</v>
      </c>
      <c r="H70" s="5">
        <f>IF(IF(Table44281850[[#This Row],[Pre or Post]]="Post",1,0)+IF(ISNUMBER(Table44281850[[#This Row],[Response]])=TRUE,1,0)=2,Table44281850[[#This Row],[Response]],"")</f>
        <v>5</v>
      </c>
      <c r="I70" s="5">
        <f>IF(Table44281850[[#This Row],[Old or New?]]="New",Table44281850[[#This Row],[Post Total]],"")</f>
        <v>5</v>
      </c>
      <c r="J70" s="5" t="str">
        <f>IF(Table44281850[[#This Row],[Old or New?]]="Old",Table44281850[[#This Row],[Post Total]],"")</f>
        <v/>
      </c>
      <c r="K70" s="5" t="b">
        <f>ISNUMBER(Table44281850[[#This Row],[New]])</f>
        <v>1</v>
      </c>
      <c r="L70" s="5" t="b">
        <f>ISNUMBER(Table44281850[[#This Row],[Old]])</f>
        <v>0</v>
      </c>
    </row>
    <row r="71" spans="1:12">
      <c r="A71" s="1" t="s">
        <v>24</v>
      </c>
      <c r="B71" s="1" t="s">
        <v>23</v>
      </c>
      <c r="C71" s="1">
        <v>5</v>
      </c>
      <c r="D71" s="1" t="s">
        <v>16</v>
      </c>
      <c r="E71" s="1">
        <v>6</v>
      </c>
      <c r="F71" s="1">
        <v>4</v>
      </c>
      <c r="G71" s="5">
        <f>IF(IF(Table44281850[[#This Row],[Pre or Post]]="Post",1,0)+IF(ISNUMBER(Table44281850[[#This Row],[Response]])=TRUE,1,0)=2,1,"")</f>
        <v>1</v>
      </c>
      <c r="H71" s="5">
        <f>IF(IF(Table44281850[[#This Row],[Pre or Post]]="Post",1,0)+IF(ISNUMBER(Table44281850[[#This Row],[Response]])=TRUE,1,0)=2,Table44281850[[#This Row],[Response]],"")</f>
        <v>4</v>
      </c>
      <c r="I71" s="5">
        <f>IF(Table44281850[[#This Row],[Old or New?]]="New",Table44281850[[#This Row],[Post Total]],"")</f>
        <v>4</v>
      </c>
      <c r="J71" s="5" t="str">
        <f>IF(Table44281850[[#This Row],[Old or New?]]="Old",Table44281850[[#This Row],[Post Total]],"")</f>
        <v/>
      </c>
      <c r="K71" s="5" t="b">
        <f>ISNUMBER(Table44281850[[#This Row],[New]])</f>
        <v>1</v>
      </c>
      <c r="L71" s="5" t="b">
        <f>ISNUMBER(Table44281850[[#This Row],[Old]])</f>
        <v>0</v>
      </c>
    </row>
    <row r="72" spans="1:12">
      <c r="A72" s="1" t="s">
        <v>24</v>
      </c>
      <c r="B72" s="1" t="s">
        <v>23</v>
      </c>
      <c r="C72" s="1">
        <v>6</v>
      </c>
      <c r="D72" s="1" t="s">
        <v>16</v>
      </c>
      <c r="E72" s="1">
        <v>6</v>
      </c>
      <c r="F72" s="1">
        <v>4</v>
      </c>
      <c r="G72" s="5">
        <f>IF(IF(Table44281850[[#This Row],[Pre or Post]]="Post",1,0)+IF(ISNUMBER(Table44281850[[#This Row],[Response]])=TRUE,1,0)=2,1,"")</f>
        <v>1</v>
      </c>
      <c r="H72" s="5">
        <f>IF(IF(Table44281850[[#This Row],[Pre or Post]]="Post",1,0)+IF(ISNUMBER(Table44281850[[#This Row],[Response]])=TRUE,1,0)=2,Table44281850[[#This Row],[Response]],"")</f>
        <v>4</v>
      </c>
      <c r="I72" s="5">
        <f>IF(Table44281850[[#This Row],[Old or New?]]="New",Table44281850[[#This Row],[Post Total]],"")</f>
        <v>4</v>
      </c>
      <c r="J72" s="5" t="str">
        <f>IF(Table44281850[[#This Row],[Old or New?]]="Old",Table44281850[[#This Row],[Post Total]],"")</f>
        <v/>
      </c>
      <c r="K72" s="5" t="b">
        <f>ISNUMBER(Table44281850[[#This Row],[New]])</f>
        <v>1</v>
      </c>
      <c r="L72" s="5" t="b">
        <f>ISNUMBER(Table44281850[[#This Row],[Old]])</f>
        <v>0</v>
      </c>
    </row>
    <row r="73" spans="1:12">
      <c r="A73" s="1" t="s">
        <v>24</v>
      </c>
      <c r="B73" s="1" t="s">
        <v>23</v>
      </c>
      <c r="C73" s="1">
        <v>7</v>
      </c>
      <c r="D73" s="1" t="s">
        <v>16</v>
      </c>
      <c r="E73" s="1">
        <v>6</v>
      </c>
      <c r="F73" s="1">
        <v>4</v>
      </c>
      <c r="G73" s="5">
        <f>IF(IF(Table44281850[[#This Row],[Pre or Post]]="Post",1,0)+IF(ISNUMBER(Table44281850[[#This Row],[Response]])=TRUE,1,0)=2,1,"")</f>
        <v>1</v>
      </c>
      <c r="H73" s="5">
        <f>IF(IF(Table44281850[[#This Row],[Pre or Post]]="Post",1,0)+IF(ISNUMBER(Table44281850[[#This Row],[Response]])=TRUE,1,0)=2,Table44281850[[#This Row],[Response]],"")</f>
        <v>4</v>
      </c>
      <c r="I73" s="5">
        <f>IF(Table44281850[[#This Row],[Old or New?]]="New",Table44281850[[#This Row],[Post Total]],"")</f>
        <v>4</v>
      </c>
      <c r="J73" s="5" t="str">
        <f>IF(Table44281850[[#This Row],[Old or New?]]="Old",Table44281850[[#This Row],[Post Total]],"")</f>
        <v/>
      </c>
      <c r="K73" s="5" t="b">
        <f>ISNUMBER(Table44281850[[#This Row],[New]])</f>
        <v>1</v>
      </c>
      <c r="L73" s="5" t="b">
        <f>ISNUMBER(Table44281850[[#This Row],[Old]])</f>
        <v>0</v>
      </c>
    </row>
    <row r="74" spans="1:12">
      <c r="A74" s="1" t="s">
        <v>24</v>
      </c>
      <c r="B74" s="1" t="s">
        <v>23</v>
      </c>
      <c r="C74" s="1">
        <v>8</v>
      </c>
      <c r="D74" s="1" t="s">
        <v>16</v>
      </c>
      <c r="E74" s="1">
        <v>6</v>
      </c>
      <c r="F74" s="1">
        <v>3</v>
      </c>
      <c r="G74" s="5">
        <f>IF(IF(Table44281850[[#This Row],[Pre or Post]]="Post",1,0)+IF(ISNUMBER(Table44281850[[#This Row],[Response]])=TRUE,1,0)=2,1,"")</f>
        <v>1</v>
      </c>
      <c r="H74" s="5">
        <f>IF(IF(Table44281850[[#This Row],[Pre or Post]]="Post",1,0)+IF(ISNUMBER(Table44281850[[#This Row],[Response]])=TRUE,1,0)=2,Table44281850[[#This Row],[Response]],"")</f>
        <v>3</v>
      </c>
      <c r="I74" s="5">
        <f>IF(Table44281850[[#This Row],[Old or New?]]="New",Table44281850[[#This Row],[Post Total]],"")</f>
        <v>3</v>
      </c>
      <c r="J74" s="5" t="str">
        <f>IF(Table44281850[[#This Row],[Old or New?]]="Old",Table44281850[[#This Row],[Post Total]],"")</f>
        <v/>
      </c>
      <c r="K74" s="5" t="b">
        <f>ISNUMBER(Table44281850[[#This Row],[New]])</f>
        <v>1</v>
      </c>
      <c r="L74" s="5" t="b">
        <f>ISNUMBER(Table44281850[[#This Row],[Old]])</f>
        <v>0</v>
      </c>
    </row>
    <row r="75" spans="1:12">
      <c r="A75" s="1" t="s">
        <v>24</v>
      </c>
      <c r="B75" s="1" t="s">
        <v>23</v>
      </c>
      <c r="C75" s="1">
        <v>9</v>
      </c>
      <c r="D75" s="1" t="s">
        <v>16</v>
      </c>
      <c r="E75" s="1">
        <v>6</v>
      </c>
      <c r="F75" s="1">
        <v>3</v>
      </c>
      <c r="G75" s="5">
        <f>IF(IF(Table44281850[[#This Row],[Pre or Post]]="Post",1,0)+IF(ISNUMBER(Table44281850[[#This Row],[Response]])=TRUE,1,0)=2,1,"")</f>
        <v>1</v>
      </c>
      <c r="H75" s="5">
        <f>IF(IF(Table44281850[[#This Row],[Pre or Post]]="Post",1,0)+IF(ISNUMBER(Table44281850[[#This Row],[Response]])=TRUE,1,0)=2,Table44281850[[#This Row],[Response]],"")</f>
        <v>3</v>
      </c>
      <c r="I75" s="5">
        <f>IF(Table44281850[[#This Row],[Old or New?]]="New",Table44281850[[#This Row],[Post Total]],"")</f>
        <v>3</v>
      </c>
      <c r="J75" s="5" t="str">
        <f>IF(Table44281850[[#This Row],[Old or New?]]="Old",Table44281850[[#This Row],[Post Total]],"")</f>
        <v/>
      </c>
      <c r="K75" s="5" t="b">
        <f>ISNUMBER(Table44281850[[#This Row],[New]])</f>
        <v>1</v>
      </c>
      <c r="L75" s="5" t="b">
        <f>ISNUMBER(Table44281850[[#This Row],[Old]])</f>
        <v>0</v>
      </c>
    </row>
    <row r="76" spans="1:12">
      <c r="A76" s="1" t="s">
        <v>24</v>
      </c>
      <c r="B76" s="1" t="s">
        <v>23</v>
      </c>
      <c r="C76" s="1">
        <v>10</v>
      </c>
      <c r="D76" s="1" t="s">
        <v>16</v>
      </c>
      <c r="E76" s="1">
        <v>6</v>
      </c>
      <c r="F76" s="1">
        <v>5</v>
      </c>
      <c r="G76" s="5">
        <f>IF(IF(Table44281850[[#This Row],[Pre or Post]]="Post",1,0)+IF(ISNUMBER(Table44281850[[#This Row],[Response]])=TRUE,1,0)=2,1,"")</f>
        <v>1</v>
      </c>
      <c r="H76" s="5">
        <f>IF(IF(Table44281850[[#This Row],[Pre or Post]]="Post",1,0)+IF(ISNUMBER(Table44281850[[#This Row],[Response]])=TRUE,1,0)=2,Table44281850[[#This Row],[Response]],"")</f>
        <v>5</v>
      </c>
      <c r="I76" s="5">
        <f>IF(Table44281850[[#This Row],[Old or New?]]="New",Table44281850[[#This Row],[Post Total]],"")</f>
        <v>5</v>
      </c>
      <c r="J76" s="5" t="str">
        <f>IF(Table44281850[[#This Row],[Old or New?]]="Old",Table44281850[[#This Row],[Post Total]],"")</f>
        <v/>
      </c>
      <c r="K76" s="5" t="b">
        <f>ISNUMBER(Table44281850[[#This Row],[New]])</f>
        <v>1</v>
      </c>
      <c r="L76" s="5" t="b">
        <f>ISNUMBER(Table44281850[[#This Row],[Old]])</f>
        <v>0</v>
      </c>
    </row>
    <row r="77" spans="1:12">
      <c r="A77" s="1" t="s">
        <v>24</v>
      </c>
      <c r="B77" s="1" t="s">
        <v>23</v>
      </c>
      <c r="C77" s="1">
        <v>11</v>
      </c>
      <c r="D77" s="1" t="s">
        <v>16</v>
      </c>
      <c r="E77" s="1">
        <v>6</v>
      </c>
      <c r="F77" s="1">
        <v>5</v>
      </c>
      <c r="G77" s="5">
        <f>IF(IF(Table44281850[[#This Row],[Pre or Post]]="Post",1,0)+IF(ISNUMBER(Table44281850[[#This Row],[Response]])=TRUE,1,0)=2,1,"")</f>
        <v>1</v>
      </c>
      <c r="H77" s="5">
        <f>IF(IF(Table44281850[[#This Row],[Pre or Post]]="Post",1,0)+IF(ISNUMBER(Table44281850[[#This Row],[Response]])=TRUE,1,0)=2,Table44281850[[#This Row],[Response]],"")</f>
        <v>5</v>
      </c>
      <c r="I77" s="5">
        <f>IF(Table44281850[[#This Row],[Old or New?]]="New",Table44281850[[#This Row],[Post Total]],"")</f>
        <v>5</v>
      </c>
      <c r="J77" s="5" t="str">
        <f>IF(Table44281850[[#This Row],[Old or New?]]="Old",Table44281850[[#This Row],[Post Total]],"")</f>
        <v/>
      </c>
      <c r="K77" s="5" t="b">
        <f>ISNUMBER(Table44281850[[#This Row],[New]])</f>
        <v>1</v>
      </c>
      <c r="L77" s="5" t="b">
        <f>ISNUMBER(Table44281850[[#This Row],[Old]])</f>
        <v>0</v>
      </c>
    </row>
    <row r="78" spans="1:12">
      <c r="A78" s="1" t="s">
        <v>24</v>
      </c>
      <c r="B78" s="1" t="s">
        <v>23</v>
      </c>
      <c r="C78" s="1">
        <v>12</v>
      </c>
      <c r="D78" s="1" t="s">
        <v>16</v>
      </c>
      <c r="E78" s="1">
        <v>6</v>
      </c>
      <c r="F78" s="1">
        <v>5</v>
      </c>
      <c r="G78" s="5">
        <f>IF(IF(Table44281850[[#This Row],[Pre or Post]]="Post",1,0)+IF(ISNUMBER(Table44281850[[#This Row],[Response]])=TRUE,1,0)=2,1,"")</f>
        <v>1</v>
      </c>
      <c r="H78" s="5">
        <f>IF(IF(Table44281850[[#This Row],[Pre or Post]]="Post",1,0)+IF(ISNUMBER(Table44281850[[#This Row],[Response]])=TRUE,1,0)=2,Table44281850[[#This Row],[Response]],"")</f>
        <v>5</v>
      </c>
      <c r="I78" s="5">
        <f>IF(Table44281850[[#This Row],[Old or New?]]="New",Table44281850[[#This Row],[Post Total]],"")</f>
        <v>5</v>
      </c>
      <c r="J78" s="5" t="str">
        <f>IF(Table44281850[[#This Row],[Old or New?]]="Old",Table44281850[[#This Row],[Post Total]],"")</f>
        <v/>
      </c>
      <c r="K78" s="5" t="b">
        <f>ISNUMBER(Table44281850[[#This Row],[New]])</f>
        <v>1</v>
      </c>
      <c r="L78" s="5" t="b">
        <f>ISNUMBER(Table44281850[[#This Row],[Old]])</f>
        <v>0</v>
      </c>
    </row>
    <row r="79" spans="1:12">
      <c r="A79" s="1" t="s">
        <v>24</v>
      </c>
      <c r="B79" s="1" t="s">
        <v>23</v>
      </c>
      <c r="C79" s="1">
        <v>13</v>
      </c>
      <c r="D79" s="1" t="s">
        <v>16</v>
      </c>
      <c r="E79" s="1">
        <v>6</v>
      </c>
      <c r="F79" s="1">
        <v>5</v>
      </c>
      <c r="G79" s="5">
        <f>IF(IF(Table44281850[[#This Row],[Pre or Post]]="Post",1,0)+IF(ISNUMBER(Table44281850[[#This Row],[Response]])=TRUE,1,0)=2,1,"")</f>
        <v>1</v>
      </c>
      <c r="H79" s="5">
        <f>IF(IF(Table44281850[[#This Row],[Pre or Post]]="Post",1,0)+IF(ISNUMBER(Table44281850[[#This Row],[Response]])=TRUE,1,0)=2,Table44281850[[#This Row],[Response]],"")</f>
        <v>5</v>
      </c>
      <c r="I79" s="5">
        <f>IF(Table44281850[[#This Row],[Old or New?]]="New",Table44281850[[#This Row],[Post Total]],"")</f>
        <v>5</v>
      </c>
      <c r="J79" s="5" t="str">
        <f>IF(Table44281850[[#This Row],[Old or New?]]="Old",Table44281850[[#This Row],[Post Total]],"")</f>
        <v/>
      </c>
      <c r="K79" s="5" t="b">
        <f>ISNUMBER(Table44281850[[#This Row],[New]])</f>
        <v>1</v>
      </c>
      <c r="L79" s="5" t="b">
        <f>ISNUMBER(Table44281850[[#This Row],[Old]])</f>
        <v>0</v>
      </c>
    </row>
    <row r="80" spans="1:12">
      <c r="A80" s="1" t="s">
        <v>24</v>
      </c>
      <c r="B80" s="1" t="s">
        <v>23</v>
      </c>
      <c r="C80" s="1">
        <v>14</v>
      </c>
      <c r="D80" s="1" t="s">
        <v>16</v>
      </c>
      <c r="E80" s="1">
        <v>6</v>
      </c>
      <c r="F80" s="1">
        <v>4</v>
      </c>
      <c r="G80" s="5">
        <f>IF(IF(Table44281850[[#This Row],[Pre or Post]]="Post",1,0)+IF(ISNUMBER(Table44281850[[#This Row],[Response]])=TRUE,1,0)=2,1,"")</f>
        <v>1</v>
      </c>
      <c r="H80" s="5">
        <f>IF(IF(Table44281850[[#This Row],[Pre or Post]]="Post",1,0)+IF(ISNUMBER(Table44281850[[#This Row],[Response]])=TRUE,1,0)=2,Table44281850[[#This Row],[Response]],"")</f>
        <v>4</v>
      </c>
      <c r="I80" s="5">
        <f>IF(Table44281850[[#This Row],[Old or New?]]="New",Table44281850[[#This Row],[Post Total]],"")</f>
        <v>4</v>
      </c>
      <c r="J80" s="5" t="str">
        <f>IF(Table44281850[[#This Row],[Old or New?]]="Old",Table44281850[[#This Row],[Post Total]],"")</f>
        <v/>
      </c>
      <c r="K80" s="5" t="b">
        <f>ISNUMBER(Table44281850[[#This Row],[New]])</f>
        <v>1</v>
      </c>
      <c r="L80" s="5" t="b">
        <f>ISNUMBER(Table44281850[[#This Row],[Old]])</f>
        <v>0</v>
      </c>
    </row>
    <row r="81" spans="1:12">
      <c r="A81" s="1" t="s">
        <v>24</v>
      </c>
      <c r="B81" s="1" t="s">
        <v>23</v>
      </c>
      <c r="C81" s="1">
        <v>15</v>
      </c>
      <c r="D81" s="1" t="s">
        <v>16</v>
      </c>
      <c r="E81" s="1">
        <v>6</v>
      </c>
      <c r="F81" s="1">
        <v>5</v>
      </c>
      <c r="G81" s="5">
        <f>IF(IF(Table44281850[[#This Row],[Pre or Post]]="Post",1,0)+IF(ISNUMBER(Table44281850[[#This Row],[Response]])=TRUE,1,0)=2,1,"")</f>
        <v>1</v>
      </c>
      <c r="H81" s="5">
        <f>IF(IF(Table44281850[[#This Row],[Pre or Post]]="Post",1,0)+IF(ISNUMBER(Table44281850[[#This Row],[Response]])=TRUE,1,0)=2,Table44281850[[#This Row],[Response]],"")</f>
        <v>5</v>
      </c>
      <c r="I81" s="5">
        <f>IF(Table44281850[[#This Row],[Old or New?]]="New",Table44281850[[#This Row],[Post Total]],"")</f>
        <v>5</v>
      </c>
      <c r="J81" s="5" t="str">
        <f>IF(Table44281850[[#This Row],[Old or New?]]="Old",Table44281850[[#This Row],[Post Total]],"")</f>
        <v/>
      </c>
      <c r="K81" s="5" t="b">
        <f>ISNUMBER(Table44281850[[#This Row],[New]])</f>
        <v>1</v>
      </c>
      <c r="L81" s="5" t="b">
        <f>ISNUMBER(Table44281850[[#This Row],[Old]])</f>
        <v>0</v>
      </c>
    </row>
    <row r="82" spans="1:12">
      <c r="A82" s="1" t="s">
        <v>24</v>
      </c>
      <c r="B82" s="1" t="s">
        <v>23</v>
      </c>
      <c r="C82" s="1">
        <v>16</v>
      </c>
      <c r="D82" s="1" t="s">
        <v>16</v>
      </c>
      <c r="E82" s="1">
        <v>6</v>
      </c>
      <c r="F82" s="1">
        <v>3</v>
      </c>
      <c r="G82" s="5">
        <f>IF(IF(Table44281850[[#This Row],[Pre or Post]]="Post",1,0)+IF(ISNUMBER(Table44281850[[#This Row],[Response]])=TRUE,1,0)=2,1,"")</f>
        <v>1</v>
      </c>
      <c r="H82" s="5">
        <f>IF(IF(Table44281850[[#This Row],[Pre or Post]]="Post",1,0)+IF(ISNUMBER(Table44281850[[#This Row],[Response]])=TRUE,1,0)=2,Table44281850[[#This Row],[Response]],"")</f>
        <v>3</v>
      </c>
      <c r="I82" s="5">
        <f>IF(Table44281850[[#This Row],[Old or New?]]="New",Table44281850[[#This Row],[Post Total]],"")</f>
        <v>3</v>
      </c>
      <c r="J82" s="5" t="str">
        <f>IF(Table44281850[[#This Row],[Old or New?]]="Old",Table44281850[[#This Row],[Post Total]],"")</f>
        <v/>
      </c>
      <c r="K82" s="5" t="b">
        <f>ISNUMBER(Table44281850[[#This Row],[New]])</f>
        <v>1</v>
      </c>
      <c r="L82" s="5" t="b">
        <f>ISNUMBER(Table44281850[[#This Row],[Old]])</f>
        <v>0</v>
      </c>
    </row>
    <row r="83" spans="1:12">
      <c r="A83" s="1" t="s">
        <v>24</v>
      </c>
      <c r="B83" s="1" t="s">
        <v>25</v>
      </c>
      <c r="C83" s="1">
        <v>1</v>
      </c>
      <c r="D83" s="1" t="s">
        <v>16</v>
      </c>
      <c r="E83" s="1">
        <v>6</v>
      </c>
      <c r="F83" s="1">
        <v>4</v>
      </c>
      <c r="G83" s="5">
        <f>IF(IF(Table44281850[[#This Row],[Pre or Post]]="Post",1,0)+IF(ISNUMBER(Table44281850[[#This Row],[Response]])=TRUE,1,0)=2,1,"")</f>
        <v>1</v>
      </c>
      <c r="H83" s="5">
        <f>IF(IF(Table44281850[[#This Row],[Pre or Post]]="Post",1,0)+IF(ISNUMBER(Table44281850[[#This Row],[Response]])=TRUE,1,0)=2,Table44281850[[#This Row],[Response]],"")</f>
        <v>4</v>
      </c>
      <c r="I83" s="5">
        <f>IF(Table44281850[[#This Row],[Old or New?]]="New",Table44281850[[#This Row],[Post Total]],"")</f>
        <v>4</v>
      </c>
      <c r="J83" s="5" t="str">
        <f>IF(Table44281850[[#This Row],[Old or New?]]="Old",Table44281850[[#This Row],[Post Total]],"")</f>
        <v/>
      </c>
      <c r="K83" s="5" t="b">
        <f>ISNUMBER(Table44281850[[#This Row],[New]])</f>
        <v>1</v>
      </c>
      <c r="L83" s="5" t="b">
        <f>ISNUMBER(Table44281850[[#This Row],[Old]])</f>
        <v>0</v>
      </c>
    </row>
    <row r="84" spans="1:12">
      <c r="A84" s="1" t="s">
        <v>24</v>
      </c>
      <c r="B84" s="1" t="s">
        <v>25</v>
      </c>
      <c r="C84" s="1">
        <v>2</v>
      </c>
      <c r="D84" s="1" t="s">
        <v>16</v>
      </c>
      <c r="E84" s="1">
        <v>6</v>
      </c>
      <c r="F84" s="1">
        <v>3</v>
      </c>
      <c r="G84" s="5">
        <f>IF(IF(Table44281850[[#This Row],[Pre or Post]]="Post",1,0)+IF(ISNUMBER(Table44281850[[#This Row],[Response]])=TRUE,1,0)=2,1,"")</f>
        <v>1</v>
      </c>
      <c r="H84" s="5">
        <f>IF(IF(Table44281850[[#This Row],[Pre or Post]]="Post",1,0)+IF(ISNUMBER(Table44281850[[#This Row],[Response]])=TRUE,1,0)=2,Table44281850[[#This Row],[Response]],"")</f>
        <v>3</v>
      </c>
      <c r="I84" s="5">
        <f>IF(Table44281850[[#This Row],[Old or New?]]="New",Table44281850[[#This Row],[Post Total]],"")</f>
        <v>3</v>
      </c>
      <c r="J84" s="5" t="str">
        <f>IF(Table44281850[[#This Row],[Old or New?]]="Old",Table44281850[[#This Row],[Post Total]],"")</f>
        <v/>
      </c>
      <c r="K84" s="5" t="b">
        <f>ISNUMBER(Table44281850[[#This Row],[New]])</f>
        <v>1</v>
      </c>
      <c r="L84" s="5" t="b">
        <f>ISNUMBER(Table44281850[[#This Row],[Old]])</f>
        <v>0</v>
      </c>
    </row>
    <row r="85" spans="1:12">
      <c r="A85" s="1" t="s">
        <v>24</v>
      </c>
      <c r="B85" s="1" t="s">
        <v>25</v>
      </c>
      <c r="C85" s="1">
        <v>3</v>
      </c>
      <c r="D85" s="1" t="s">
        <v>16</v>
      </c>
      <c r="E85" s="1">
        <v>6</v>
      </c>
      <c r="F85" s="1">
        <v>4</v>
      </c>
      <c r="G85" s="5">
        <f>IF(IF(Table44281850[[#This Row],[Pre or Post]]="Post",1,0)+IF(ISNUMBER(Table44281850[[#This Row],[Response]])=TRUE,1,0)=2,1,"")</f>
        <v>1</v>
      </c>
      <c r="H85" s="5">
        <f>IF(IF(Table44281850[[#This Row],[Pre or Post]]="Post",1,0)+IF(ISNUMBER(Table44281850[[#This Row],[Response]])=TRUE,1,0)=2,Table44281850[[#This Row],[Response]],"")</f>
        <v>4</v>
      </c>
      <c r="I85" s="5">
        <f>IF(Table44281850[[#This Row],[Old or New?]]="New",Table44281850[[#This Row],[Post Total]],"")</f>
        <v>4</v>
      </c>
      <c r="J85" s="5" t="str">
        <f>IF(Table44281850[[#This Row],[Old or New?]]="Old",Table44281850[[#This Row],[Post Total]],"")</f>
        <v/>
      </c>
      <c r="K85" s="5" t="b">
        <f>ISNUMBER(Table44281850[[#This Row],[New]])</f>
        <v>1</v>
      </c>
      <c r="L85" s="5" t="b">
        <f>ISNUMBER(Table44281850[[#This Row],[Old]])</f>
        <v>0</v>
      </c>
    </row>
    <row r="86" spans="1:12">
      <c r="A86" s="1" t="s">
        <v>24</v>
      </c>
      <c r="B86" s="1" t="s">
        <v>25</v>
      </c>
      <c r="C86" s="1">
        <v>4</v>
      </c>
      <c r="D86" s="1" t="s">
        <v>16</v>
      </c>
      <c r="E86" s="1">
        <v>6</v>
      </c>
      <c r="F86" s="1">
        <v>2</v>
      </c>
      <c r="G86" s="5">
        <f>IF(IF(Table44281850[[#This Row],[Pre or Post]]="Post",1,0)+IF(ISNUMBER(Table44281850[[#This Row],[Response]])=TRUE,1,0)=2,1,"")</f>
        <v>1</v>
      </c>
      <c r="H86" s="5">
        <f>IF(IF(Table44281850[[#This Row],[Pre or Post]]="Post",1,0)+IF(ISNUMBER(Table44281850[[#This Row],[Response]])=TRUE,1,0)=2,Table44281850[[#This Row],[Response]],"")</f>
        <v>2</v>
      </c>
      <c r="I86" s="5">
        <f>IF(Table44281850[[#This Row],[Old or New?]]="New",Table44281850[[#This Row],[Post Total]],"")</f>
        <v>2</v>
      </c>
      <c r="J86" s="5" t="str">
        <f>IF(Table44281850[[#This Row],[Old or New?]]="Old",Table44281850[[#This Row],[Post Total]],"")</f>
        <v/>
      </c>
      <c r="K86" s="5" t="b">
        <f>ISNUMBER(Table44281850[[#This Row],[New]])</f>
        <v>1</v>
      </c>
      <c r="L86" s="5" t="b">
        <f>ISNUMBER(Table44281850[[#This Row],[Old]])</f>
        <v>0</v>
      </c>
    </row>
    <row r="87" spans="1:12">
      <c r="A87" s="1" t="s">
        <v>24</v>
      </c>
      <c r="B87" s="1" t="s">
        <v>25</v>
      </c>
      <c r="C87" s="1">
        <v>5</v>
      </c>
      <c r="D87" s="1" t="s">
        <v>16</v>
      </c>
      <c r="E87" s="1">
        <v>6</v>
      </c>
      <c r="F87" s="1">
        <v>4</v>
      </c>
      <c r="G87" s="5">
        <f>IF(IF(Table44281850[[#This Row],[Pre or Post]]="Post",1,0)+IF(ISNUMBER(Table44281850[[#This Row],[Response]])=TRUE,1,0)=2,1,"")</f>
        <v>1</v>
      </c>
      <c r="H87" s="5">
        <f>IF(IF(Table44281850[[#This Row],[Pre or Post]]="Post",1,0)+IF(ISNUMBER(Table44281850[[#This Row],[Response]])=TRUE,1,0)=2,Table44281850[[#This Row],[Response]],"")</f>
        <v>4</v>
      </c>
      <c r="I87" s="5">
        <f>IF(Table44281850[[#This Row],[Old or New?]]="New",Table44281850[[#This Row],[Post Total]],"")</f>
        <v>4</v>
      </c>
      <c r="J87" s="5" t="str">
        <f>IF(Table44281850[[#This Row],[Old or New?]]="Old",Table44281850[[#This Row],[Post Total]],"")</f>
        <v/>
      </c>
      <c r="K87" s="5" t="b">
        <f>ISNUMBER(Table44281850[[#This Row],[New]])</f>
        <v>1</v>
      </c>
      <c r="L87" s="5" t="b">
        <f>ISNUMBER(Table44281850[[#This Row],[Old]])</f>
        <v>0</v>
      </c>
    </row>
    <row r="88" spans="1:12">
      <c r="A88" s="1" t="s">
        <v>24</v>
      </c>
      <c r="B88" s="1" t="s">
        <v>25</v>
      </c>
      <c r="C88" s="1">
        <v>6</v>
      </c>
      <c r="D88" s="1" t="s">
        <v>16</v>
      </c>
      <c r="E88" s="1">
        <v>6</v>
      </c>
      <c r="F88" s="1">
        <v>4</v>
      </c>
      <c r="G88" s="5">
        <f>IF(IF(Table44281850[[#This Row],[Pre or Post]]="Post",1,0)+IF(ISNUMBER(Table44281850[[#This Row],[Response]])=TRUE,1,0)=2,1,"")</f>
        <v>1</v>
      </c>
      <c r="H88" s="5">
        <f>IF(IF(Table44281850[[#This Row],[Pre or Post]]="Post",1,0)+IF(ISNUMBER(Table44281850[[#This Row],[Response]])=TRUE,1,0)=2,Table44281850[[#This Row],[Response]],"")</f>
        <v>4</v>
      </c>
      <c r="I88" s="5">
        <f>IF(Table44281850[[#This Row],[Old or New?]]="New",Table44281850[[#This Row],[Post Total]],"")</f>
        <v>4</v>
      </c>
      <c r="J88" s="5" t="str">
        <f>IF(Table44281850[[#This Row],[Old or New?]]="Old",Table44281850[[#This Row],[Post Total]],"")</f>
        <v/>
      </c>
      <c r="K88" s="5" t="b">
        <f>ISNUMBER(Table44281850[[#This Row],[New]])</f>
        <v>1</v>
      </c>
      <c r="L88" s="5" t="b">
        <f>ISNUMBER(Table44281850[[#This Row],[Old]])</f>
        <v>0</v>
      </c>
    </row>
    <row r="89" spans="1:12">
      <c r="A89" s="1" t="s">
        <v>24</v>
      </c>
      <c r="B89" s="1" t="s">
        <v>25</v>
      </c>
      <c r="C89" s="1">
        <v>7</v>
      </c>
      <c r="D89" s="1" t="s">
        <v>16</v>
      </c>
      <c r="E89" s="1">
        <v>6</v>
      </c>
      <c r="F89" s="1">
        <v>3</v>
      </c>
      <c r="G89" s="5">
        <f>IF(IF(Table44281850[[#This Row],[Pre or Post]]="Post",1,0)+IF(ISNUMBER(Table44281850[[#This Row],[Response]])=TRUE,1,0)=2,1,"")</f>
        <v>1</v>
      </c>
      <c r="H89" s="5">
        <f>IF(IF(Table44281850[[#This Row],[Pre or Post]]="Post",1,0)+IF(ISNUMBER(Table44281850[[#This Row],[Response]])=TRUE,1,0)=2,Table44281850[[#This Row],[Response]],"")</f>
        <v>3</v>
      </c>
      <c r="I89" s="5">
        <f>IF(Table44281850[[#This Row],[Old or New?]]="New",Table44281850[[#This Row],[Post Total]],"")</f>
        <v>3</v>
      </c>
      <c r="J89" s="5" t="str">
        <f>IF(Table44281850[[#This Row],[Old or New?]]="Old",Table44281850[[#This Row],[Post Total]],"")</f>
        <v/>
      </c>
      <c r="K89" s="5" t="b">
        <f>ISNUMBER(Table44281850[[#This Row],[New]])</f>
        <v>1</v>
      </c>
      <c r="L89" s="5" t="b">
        <f>ISNUMBER(Table44281850[[#This Row],[Old]])</f>
        <v>0</v>
      </c>
    </row>
    <row r="90" spans="1:12">
      <c r="A90" s="1" t="s">
        <v>24</v>
      </c>
      <c r="B90" s="1" t="s">
        <v>25</v>
      </c>
      <c r="C90" s="1">
        <v>8</v>
      </c>
      <c r="D90" s="1" t="s">
        <v>16</v>
      </c>
      <c r="E90" s="1">
        <v>6</v>
      </c>
      <c r="F90" s="1">
        <v>4</v>
      </c>
      <c r="G90" s="5">
        <f>IF(IF(Table44281850[[#This Row],[Pre or Post]]="Post",1,0)+IF(ISNUMBER(Table44281850[[#This Row],[Response]])=TRUE,1,0)=2,1,"")</f>
        <v>1</v>
      </c>
      <c r="H90" s="5">
        <f>IF(IF(Table44281850[[#This Row],[Pre or Post]]="Post",1,0)+IF(ISNUMBER(Table44281850[[#This Row],[Response]])=TRUE,1,0)=2,Table44281850[[#This Row],[Response]],"")</f>
        <v>4</v>
      </c>
      <c r="I90" s="5">
        <f>IF(Table44281850[[#This Row],[Old or New?]]="New",Table44281850[[#This Row],[Post Total]],"")</f>
        <v>4</v>
      </c>
      <c r="J90" s="5" t="str">
        <f>IF(Table44281850[[#This Row],[Old or New?]]="Old",Table44281850[[#This Row],[Post Total]],"")</f>
        <v/>
      </c>
      <c r="K90" s="5" t="b">
        <f>ISNUMBER(Table44281850[[#This Row],[New]])</f>
        <v>1</v>
      </c>
      <c r="L90" s="5" t="b">
        <f>ISNUMBER(Table44281850[[#This Row],[Old]])</f>
        <v>0</v>
      </c>
    </row>
    <row r="91" spans="1:12">
      <c r="A91" s="1" t="s">
        <v>24</v>
      </c>
      <c r="B91" s="1" t="s">
        <v>25</v>
      </c>
      <c r="C91" s="1">
        <v>9</v>
      </c>
      <c r="D91" s="1" t="s">
        <v>16</v>
      </c>
      <c r="E91" s="1">
        <v>6</v>
      </c>
      <c r="F91" s="1">
        <v>5</v>
      </c>
      <c r="G91" s="5">
        <f>IF(IF(Table44281850[[#This Row],[Pre or Post]]="Post",1,0)+IF(ISNUMBER(Table44281850[[#This Row],[Response]])=TRUE,1,0)=2,1,"")</f>
        <v>1</v>
      </c>
      <c r="H91" s="5">
        <f>IF(IF(Table44281850[[#This Row],[Pre or Post]]="Post",1,0)+IF(ISNUMBER(Table44281850[[#This Row],[Response]])=TRUE,1,0)=2,Table44281850[[#This Row],[Response]],"")</f>
        <v>5</v>
      </c>
      <c r="I91" s="5">
        <f>IF(Table44281850[[#This Row],[Old or New?]]="New",Table44281850[[#This Row],[Post Total]],"")</f>
        <v>5</v>
      </c>
      <c r="J91" s="5" t="str">
        <f>IF(Table44281850[[#This Row],[Old or New?]]="Old",Table44281850[[#This Row],[Post Total]],"")</f>
        <v/>
      </c>
      <c r="K91" s="5" t="b">
        <f>ISNUMBER(Table44281850[[#This Row],[New]])</f>
        <v>1</v>
      </c>
      <c r="L91" s="5" t="b">
        <f>ISNUMBER(Table44281850[[#This Row],[Old]])</f>
        <v>0</v>
      </c>
    </row>
    <row r="92" spans="1:12">
      <c r="A92" s="1" t="s">
        <v>24</v>
      </c>
      <c r="B92" s="1" t="s">
        <v>25</v>
      </c>
      <c r="C92" s="1">
        <v>10</v>
      </c>
      <c r="D92" s="1" t="s">
        <v>16</v>
      </c>
      <c r="E92" s="1">
        <v>6</v>
      </c>
      <c r="G92" s="5" t="str">
        <f>IF(IF(Table44281850[[#This Row],[Pre or Post]]="Post",1,0)+IF(ISNUMBER(Table44281850[[#This Row],[Response]])=TRUE,1,0)=2,1,"")</f>
        <v/>
      </c>
      <c r="H92" s="5" t="str">
        <f>IF(IF(Table44281850[[#This Row],[Pre or Post]]="Post",1,0)+IF(ISNUMBER(Table44281850[[#This Row],[Response]])=TRUE,1,0)=2,Table44281850[[#This Row],[Response]],"")</f>
        <v/>
      </c>
      <c r="I92" s="5" t="str">
        <f>IF(Table44281850[[#This Row],[Old or New?]]="New",Table44281850[[#This Row],[Post Total]],"")</f>
        <v/>
      </c>
      <c r="J92" s="5" t="str">
        <f>IF(Table44281850[[#This Row],[Old or New?]]="Old",Table44281850[[#This Row],[Post Total]],"")</f>
        <v/>
      </c>
      <c r="K92" s="5" t="b">
        <f>ISNUMBER(Table44281850[[#This Row],[New]])</f>
        <v>0</v>
      </c>
      <c r="L92" s="5" t="b">
        <f>ISNUMBER(Table44281850[[#This Row],[Old]])</f>
        <v>0</v>
      </c>
    </row>
    <row r="93" spans="1:12">
      <c r="A93" s="1" t="s">
        <v>24</v>
      </c>
      <c r="B93" s="1" t="s">
        <v>25</v>
      </c>
      <c r="C93" s="1">
        <v>11</v>
      </c>
      <c r="D93" s="1" t="s">
        <v>16</v>
      </c>
      <c r="E93" s="1">
        <v>6</v>
      </c>
      <c r="F93" s="1">
        <v>3</v>
      </c>
      <c r="G93" s="5">
        <f>IF(IF(Table44281850[[#This Row],[Pre or Post]]="Post",1,0)+IF(ISNUMBER(Table44281850[[#This Row],[Response]])=TRUE,1,0)=2,1,"")</f>
        <v>1</v>
      </c>
      <c r="H93" s="5">
        <f>IF(IF(Table44281850[[#This Row],[Pre or Post]]="Post",1,0)+IF(ISNUMBER(Table44281850[[#This Row],[Response]])=TRUE,1,0)=2,Table44281850[[#This Row],[Response]],"")</f>
        <v>3</v>
      </c>
      <c r="I93" s="5">
        <f>IF(Table44281850[[#This Row],[Old or New?]]="New",Table44281850[[#This Row],[Post Total]],"")</f>
        <v>3</v>
      </c>
      <c r="J93" s="5" t="str">
        <f>IF(Table44281850[[#This Row],[Old or New?]]="Old",Table44281850[[#This Row],[Post Total]],"")</f>
        <v/>
      </c>
      <c r="K93" s="5" t="b">
        <f>ISNUMBER(Table44281850[[#This Row],[New]])</f>
        <v>1</v>
      </c>
      <c r="L93" s="5" t="b">
        <f>ISNUMBER(Table44281850[[#This Row],[Old]])</f>
        <v>0</v>
      </c>
    </row>
    <row r="94" spans="1:12">
      <c r="A94" s="1" t="s">
        <v>24</v>
      </c>
      <c r="B94" s="1" t="s">
        <v>25</v>
      </c>
      <c r="C94" s="1">
        <v>12</v>
      </c>
      <c r="D94" s="1" t="s">
        <v>16</v>
      </c>
      <c r="E94" s="1">
        <v>6</v>
      </c>
      <c r="F94" s="1">
        <v>3</v>
      </c>
      <c r="G94" s="5">
        <f>IF(IF(Table44281850[[#This Row],[Pre or Post]]="Post",1,0)+IF(ISNUMBER(Table44281850[[#This Row],[Response]])=TRUE,1,0)=2,1,"")</f>
        <v>1</v>
      </c>
      <c r="H94" s="5">
        <f>IF(IF(Table44281850[[#This Row],[Pre or Post]]="Post",1,0)+IF(ISNUMBER(Table44281850[[#This Row],[Response]])=TRUE,1,0)=2,Table44281850[[#This Row],[Response]],"")</f>
        <v>3</v>
      </c>
      <c r="I94" s="5">
        <f>IF(Table44281850[[#This Row],[Old or New?]]="New",Table44281850[[#This Row],[Post Total]],"")</f>
        <v>3</v>
      </c>
      <c r="J94" s="5" t="str">
        <f>IF(Table44281850[[#This Row],[Old or New?]]="Old",Table44281850[[#This Row],[Post Total]],"")</f>
        <v/>
      </c>
      <c r="K94" s="5" t="b">
        <f>ISNUMBER(Table44281850[[#This Row],[New]])</f>
        <v>1</v>
      </c>
      <c r="L94" s="5" t="b">
        <f>ISNUMBER(Table44281850[[#This Row],[Old]])</f>
        <v>0</v>
      </c>
    </row>
    <row r="95" spans="1:12">
      <c r="A95" s="1" t="s">
        <v>24</v>
      </c>
      <c r="B95" s="1" t="s">
        <v>25</v>
      </c>
      <c r="C95" s="1">
        <v>13</v>
      </c>
      <c r="D95" s="1" t="s">
        <v>16</v>
      </c>
      <c r="E95" s="1">
        <v>6</v>
      </c>
      <c r="F95" s="1">
        <v>3</v>
      </c>
      <c r="G95" s="5">
        <f>IF(IF(Table44281850[[#This Row],[Pre or Post]]="Post",1,0)+IF(ISNUMBER(Table44281850[[#This Row],[Response]])=TRUE,1,0)=2,1,"")</f>
        <v>1</v>
      </c>
      <c r="H95" s="5">
        <f>IF(IF(Table44281850[[#This Row],[Pre or Post]]="Post",1,0)+IF(ISNUMBER(Table44281850[[#This Row],[Response]])=TRUE,1,0)=2,Table44281850[[#This Row],[Response]],"")</f>
        <v>3</v>
      </c>
      <c r="I95" s="5">
        <f>IF(Table44281850[[#This Row],[Old or New?]]="New",Table44281850[[#This Row],[Post Total]],"")</f>
        <v>3</v>
      </c>
      <c r="J95" s="5" t="str">
        <f>IF(Table44281850[[#This Row],[Old or New?]]="Old",Table44281850[[#This Row],[Post Total]],"")</f>
        <v/>
      </c>
      <c r="K95" s="5" t="b">
        <f>ISNUMBER(Table44281850[[#This Row],[New]])</f>
        <v>1</v>
      </c>
      <c r="L95" s="5" t="b">
        <f>ISNUMBER(Table44281850[[#This Row],[Old]])</f>
        <v>0</v>
      </c>
    </row>
    <row r="96" spans="1:12">
      <c r="A96" s="1" t="s">
        <v>24</v>
      </c>
      <c r="B96" s="1" t="s">
        <v>25</v>
      </c>
      <c r="C96" s="1">
        <v>14</v>
      </c>
      <c r="D96" s="1" t="s">
        <v>16</v>
      </c>
      <c r="E96" s="1">
        <v>6</v>
      </c>
      <c r="F96" s="1">
        <v>4</v>
      </c>
      <c r="G96" s="5">
        <f>IF(IF(Table44281850[[#This Row],[Pre or Post]]="Post",1,0)+IF(ISNUMBER(Table44281850[[#This Row],[Response]])=TRUE,1,0)=2,1,"")</f>
        <v>1</v>
      </c>
      <c r="H96" s="5">
        <f>IF(IF(Table44281850[[#This Row],[Pre or Post]]="Post",1,0)+IF(ISNUMBER(Table44281850[[#This Row],[Response]])=TRUE,1,0)=2,Table44281850[[#This Row],[Response]],"")</f>
        <v>4</v>
      </c>
      <c r="I96" s="5">
        <f>IF(Table44281850[[#This Row],[Old or New?]]="New",Table44281850[[#This Row],[Post Total]],"")</f>
        <v>4</v>
      </c>
      <c r="J96" s="5" t="str">
        <f>IF(Table44281850[[#This Row],[Old or New?]]="Old",Table44281850[[#This Row],[Post Total]],"")</f>
        <v/>
      </c>
      <c r="K96" s="5" t="b">
        <f>ISNUMBER(Table44281850[[#This Row],[New]])</f>
        <v>1</v>
      </c>
      <c r="L96" s="5" t="b">
        <f>ISNUMBER(Table44281850[[#This Row],[Old]])</f>
        <v>0</v>
      </c>
    </row>
    <row r="97" spans="1:12">
      <c r="A97" s="1" t="s">
        <v>24</v>
      </c>
      <c r="B97" s="1" t="s">
        <v>25</v>
      </c>
      <c r="C97" s="1">
        <v>18</v>
      </c>
      <c r="D97" s="1" t="s">
        <v>16</v>
      </c>
      <c r="E97" s="1">
        <v>6</v>
      </c>
      <c r="F97" s="1">
        <v>2</v>
      </c>
      <c r="G97" s="5">
        <f>IF(IF(Table44281850[[#This Row],[Pre or Post]]="Post",1,0)+IF(ISNUMBER(Table44281850[[#This Row],[Response]])=TRUE,1,0)=2,1,"")</f>
        <v>1</v>
      </c>
      <c r="H97" s="5">
        <f>IF(IF(Table44281850[[#This Row],[Pre or Post]]="Post",1,0)+IF(ISNUMBER(Table44281850[[#This Row],[Response]])=TRUE,1,0)=2,Table44281850[[#This Row],[Response]],"")</f>
        <v>2</v>
      </c>
      <c r="I97" s="5">
        <f>IF(Table44281850[[#This Row],[Old or New?]]="New",Table44281850[[#This Row],[Post Total]],"")</f>
        <v>2</v>
      </c>
      <c r="J97" s="5" t="str">
        <f>IF(Table44281850[[#This Row],[Old or New?]]="Old",Table44281850[[#This Row],[Post Total]],"")</f>
        <v/>
      </c>
      <c r="K97" s="5" t="b">
        <f>ISNUMBER(Table44281850[[#This Row],[New]])</f>
        <v>1</v>
      </c>
      <c r="L97" s="5" t="b">
        <f>ISNUMBER(Table44281850[[#This Row],[Old]])</f>
        <v>0</v>
      </c>
    </row>
    <row r="98" spans="1:12">
      <c r="A98" s="1" t="s">
        <v>24</v>
      </c>
      <c r="B98" s="1" t="s">
        <v>25</v>
      </c>
      <c r="C98" s="1">
        <v>19</v>
      </c>
      <c r="D98" s="1" t="s">
        <v>16</v>
      </c>
      <c r="E98" s="1">
        <v>6</v>
      </c>
      <c r="F98" s="1">
        <v>5</v>
      </c>
      <c r="G98" s="5">
        <f>IF(IF(Table44281850[[#This Row],[Pre or Post]]="Post",1,0)+IF(ISNUMBER(Table44281850[[#This Row],[Response]])=TRUE,1,0)=2,1,"")</f>
        <v>1</v>
      </c>
      <c r="H98" s="5">
        <f>IF(IF(Table44281850[[#This Row],[Pre or Post]]="Post",1,0)+IF(ISNUMBER(Table44281850[[#This Row],[Response]])=TRUE,1,0)=2,Table44281850[[#This Row],[Response]],"")</f>
        <v>5</v>
      </c>
      <c r="I98" s="5">
        <f>IF(Table44281850[[#This Row],[Old or New?]]="New",Table44281850[[#This Row],[Post Total]],"")</f>
        <v>5</v>
      </c>
      <c r="J98" s="5" t="str">
        <f>IF(Table44281850[[#This Row],[Old or New?]]="Old",Table44281850[[#This Row],[Post Total]],"")</f>
        <v/>
      </c>
      <c r="K98" s="5" t="b">
        <f>ISNUMBER(Table44281850[[#This Row],[New]])</f>
        <v>1</v>
      </c>
      <c r="L98" s="5" t="b">
        <f>ISNUMBER(Table44281850[[#This Row],[Old]])</f>
        <v>0</v>
      </c>
    </row>
    <row r="99" spans="1:12">
      <c r="A99" s="1" t="s">
        <v>24</v>
      </c>
      <c r="B99" s="1" t="s">
        <v>25</v>
      </c>
      <c r="C99" s="1">
        <v>20</v>
      </c>
      <c r="D99" s="1" t="s">
        <v>16</v>
      </c>
      <c r="E99" s="1">
        <v>6</v>
      </c>
      <c r="F99" s="1">
        <v>3</v>
      </c>
      <c r="G99" s="5">
        <f>IF(IF(Table44281850[[#This Row],[Pre or Post]]="Post",1,0)+IF(ISNUMBER(Table44281850[[#This Row],[Response]])=TRUE,1,0)=2,1,"")</f>
        <v>1</v>
      </c>
      <c r="H99" s="5">
        <f>IF(IF(Table44281850[[#This Row],[Pre or Post]]="Post",1,0)+IF(ISNUMBER(Table44281850[[#This Row],[Response]])=TRUE,1,0)=2,Table44281850[[#This Row],[Response]],"")</f>
        <v>3</v>
      </c>
      <c r="I99" s="5">
        <f>IF(Table44281850[[#This Row],[Old or New?]]="New",Table44281850[[#This Row],[Post Total]],"")</f>
        <v>3</v>
      </c>
      <c r="J99" s="5" t="str">
        <f>IF(Table44281850[[#This Row],[Old or New?]]="Old",Table44281850[[#This Row],[Post Total]],"")</f>
        <v/>
      </c>
      <c r="K99" s="5" t="b">
        <f>ISNUMBER(Table44281850[[#This Row],[New]])</f>
        <v>1</v>
      </c>
      <c r="L99" s="5" t="b">
        <f>ISNUMBER(Table44281850[[#This Row],[Old]])</f>
        <v>0</v>
      </c>
    </row>
    <row r="100" spans="1:12">
      <c r="A100" s="1" t="s">
        <v>24</v>
      </c>
      <c r="B100" s="1" t="s">
        <v>25</v>
      </c>
      <c r="C100" s="1">
        <v>21</v>
      </c>
      <c r="D100" s="1" t="s">
        <v>16</v>
      </c>
      <c r="E100" s="1">
        <v>6</v>
      </c>
      <c r="F100" s="1">
        <v>1</v>
      </c>
      <c r="G100" s="5">
        <f>IF(IF(Table44281850[[#This Row],[Pre or Post]]="Post",1,0)+IF(ISNUMBER(Table44281850[[#This Row],[Response]])=TRUE,1,0)=2,1,"")</f>
        <v>1</v>
      </c>
      <c r="H100" s="5">
        <f>IF(IF(Table44281850[[#This Row],[Pre or Post]]="Post",1,0)+IF(ISNUMBER(Table44281850[[#This Row],[Response]])=TRUE,1,0)=2,Table44281850[[#This Row],[Response]],"")</f>
        <v>1</v>
      </c>
      <c r="I100" s="5">
        <f>IF(Table44281850[[#This Row],[Old or New?]]="New",Table44281850[[#This Row],[Post Total]],"")</f>
        <v>1</v>
      </c>
      <c r="J100" s="5" t="str">
        <f>IF(Table44281850[[#This Row],[Old or New?]]="Old",Table44281850[[#This Row],[Post Total]],"")</f>
        <v/>
      </c>
      <c r="K100" s="5" t="b">
        <f>ISNUMBER(Table44281850[[#This Row],[New]])</f>
        <v>1</v>
      </c>
      <c r="L100" s="5" t="b">
        <f>ISNUMBER(Table44281850[[#This Row],[Old]])</f>
        <v>0</v>
      </c>
    </row>
    <row r="101" spans="1:12">
      <c r="A101" s="2" t="s">
        <v>24</v>
      </c>
      <c r="B101" s="2" t="s">
        <v>26</v>
      </c>
      <c r="C101" s="1">
        <v>1</v>
      </c>
      <c r="D101" s="1" t="s">
        <v>16</v>
      </c>
      <c r="E101" s="1">
        <v>6</v>
      </c>
      <c r="F101" s="1">
        <v>3</v>
      </c>
      <c r="G101" s="5">
        <f>IF(IF(Table44281850[[#This Row],[Pre or Post]]="Post",1,0)+IF(ISNUMBER(Table44281850[[#This Row],[Response]])=TRUE,1,0)=2,1,"")</f>
        <v>1</v>
      </c>
      <c r="H101" s="5">
        <f>IF(IF(Table44281850[[#This Row],[Pre or Post]]="Post",1,0)+IF(ISNUMBER(Table44281850[[#This Row],[Response]])=TRUE,1,0)=2,Table44281850[[#This Row],[Response]],"")</f>
        <v>3</v>
      </c>
      <c r="I101" s="5">
        <f>IF(Table44281850[[#This Row],[Old or New?]]="New",Table44281850[[#This Row],[Post Total]],"")</f>
        <v>3</v>
      </c>
      <c r="J101" s="5" t="str">
        <f>IF(Table44281850[[#This Row],[Old or New?]]="Old",Table44281850[[#This Row],[Post Total]],"")</f>
        <v/>
      </c>
      <c r="K101" s="5" t="b">
        <f>ISNUMBER(Table44281850[[#This Row],[New]])</f>
        <v>1</v>
      </c>
      <c r="L101" s="5" t="b">
        <f>ISNUMBER(Table44281850[[#This Row],[Old]])</f>
        <v>0</v>
      </c>
    </row>
    <row r="102" spans="1:12">
      <c r="A102" s="2" t="s">
        <v>24</v>
      </c>
      <c r="B102" s="2" t="s">
        <v>26</v>
      </c>
      <c r="C102" s="1">
        <v>2</v>
      </c>
      <c r="D102" s="1" t="s">
        <v>16</v>
      </c>
      <c r="E102" s="1">
        <v>6</v>
      </c>
      <c r="F102" s="1">
        <v>1</v>
      </c>
      <c r="G102" s="5">
        <f>IF(IF(Table44281850[[#This Row],[Pre or Post]]="Post",1,0)+IF(ISNUMBER(Table44281850[[#This Row],[Response]])=TRUE,1,0)=2,1,"")</f>
        <v>1</v>
      </c>
      <c r="H102" s="5">
        <f>IF(IF(Table44281850[[#This Row],[Pre or Post]]="Post",1,0)+IF(ISNUMBER(Table44281850[[#This Row],[Response]])=TRUE,1,0)=2,Table44281850[[#This Row],[Response]],"")</f>
        <v>1</v>
      </c>
      <c r="I102" s="5">
        <f>IF(Table44281850[[#This Row],[Old or New?]]="New",Table44281850[[#This Row],[Post Total]],"")</f>
        <v>1</v>
      </c>
      <c r="J102" s="5" t="str">
        <f>IF(Table44281850[[#This Row],[Old or New?]]="Old",Table44281850[[#This Row],[Post Total]],"")</f>
        <v/>
      </c>
      <c r="K102" s="5" t="b">
        <f>ISNUMBER(Table44281850[[#This Row],[New]])</f>
        <v>1</v>
      </c>
      <c r="L102" s="5" t="b">
        <f>ISNUMBER(Table44281850[[#This Row],[Old]])</f>
        <v>0</v>
      </c>
    </row>
    <row r="103" spans="1:12">
      <c r="A103" s="2" t="s">
        <v>24</v>
      </c>
      <c r="B103" s="2" t="s">
        <v>26</v>
      </c>
      <c r="C103" s="1">
        <v>3</v>
      </c>
      <c r="D103" s="1" t="s">
        <v>16</v>
      </c>
      <c r="E103" s="1">
        <v>6</v>
      </c>
      <c r="F103" s="1">
        <v>4</v>
      </c>
      <c r="G103" s="5">
        <f>IF(IF(Table44281850[[#This Row],[Pre or Post]]="Post",1,0)+IF(ISNUMBER(Table44281850[[#This Row],[Response]])=TRUE,1,0)=2,1,"")</f>
        <v>1</v>
      </c>
      <c r="H103" s="5">
        <f>IF(IF(Table44281850[[#This Row],[Pre or Post]]="Post",1,0)+IF(ISNUMBER(Table44281850[[#This Row],[Response]])=TRUE,1,0)=2,Table44281850[[#This Row],[Response]],"")</f>
        <v>4</v>
      </c>
      <c r="I103" s="5">
        <f>IF(Table44281850[[#This Row],[Old or New?]]="New",Table44281850[[#This Row],[Post Total]],"")</f>
        <v>4</v>
      </c>
      <c r="J103" s="5" t="str">
        <f>IF(Table44281850[[#This Row],[Old or New?]]="Old",Table44281850[[#This Row],[Post Total]],"")</f>
        <v/>
      </c>
      <c r="K103" s="5" t="b">
        <f>ISNUMBER(Table44281850[[#This Row],[New]])</f>
        <v>1</v>
      </c>
      <c r="L103" s="5" t="b">
        <f>ISNUMBER(Table44281850[[#This Row],[Old]])</f>
        <v>0</v>
      </c>
    </row>
    <row r="104" spans="1:12">
      <c r="A104" s="2" t="s">
        <v>24</v>
      </c>
      <c r="B104" s="2" t="s">
        <v>26</v>
      </c>
      <c r="C104" s="1">
        <v>4</v>
      </c>
      <c r="D104" s="1" t="s">
        <v>16</v>
      </c>
      <c r="E104" s="1">
        <v>6</v>
      </c>
      <c r="F104" s="1">
        <v>1</v>
      </c>
      <c r="G104" s="5">
        <f>IF(IF(Table44281850[[#This Row],[Pre or Post]]="Post",1,0)+IF(ISNUMBER(Table44281850[[#This Row],[Response]])=TRUE,1,0)=2,1,"")</f>
        <v>1</v>
      </c>
      <c r="H104" s="5">
        <f>IF(IF(Table44281850[[#This Row],[Pre or Post]]="Post",1,0)+IF(ISNUMBER(Table44281850[[#This Row],[Response]])=TRUE,1,0)=2,Table44281850[[#This Row],[Response]],"")</f>
        <v>1</v>
      </c>
      <c r="I104" s="5">
        <f>IF(Table44281850[[#This Row],[Old or New?]]="New",Table44281850[[#This Row],[Post Total]],"")</f>
        <v>1</v>
      </c>
      <c r="J104" s="5" t="str">
        <f>IF(Table44281850[[#This Row],[Old or New?]]="Old",Table44281850[[#This Row],[Post Total]],"")</f>
        <v/>
      </c>
      <c r="K104" s="5" t="b">
        <f>ISNUMBER(Table44281850[[#This Row],[New]])</f>
        <v>1</v>
      </c>
      <c r="L104" s="5" t="b">
        <f>ISNUMBER(Table44281850[[#This Row],[Old]])</f>
        <v>0</v>
      </c>
    </row>
    <row r="105" spans="1:12">
      <c r="A105" s="2" t="s">
        <v>24</v>
      </c>
      <c r="B105" s="2" t="s">
        <v>26</v>
      </c>
      <c r="C105" s="1">
        <v>5</v>
      </c>
      <c r="D105" s="1" t="s">
        <v>16</v>
      </c>
      <c r="E105" s="1">
        <v>6</v>
      </c>
      <c r="F105" s="1">
        <v>2</v>
      </c>
      <c r="G105" s="5">
        <f>IF(IF(Table44281850[[#This Row],[Pre or Post]]="Post",1,0)+IF(ISNUMBER(Table44281850[[#This Row],[Response]])=TRUE,1,0)=2,1,"")</f>
        <v>1</v>
      </c>
      <c r="H105" s="5">
        <f>IF(IF(Table44281850[[#This Row],[Pre or Post]]="Post",1,0)+IF(ISNUMBER(Table44281850[[#This Row],[Response]])=TRUE,1,0)=2,Table44281850[[#This Row],[Response]],"")</f>
        <v>2</v>
      </c>
      <c r="I105" s="5">
        <f>IF(Table44281850[[#This Row],[Old or New?]]="New",Table44281850[[#This Row],[Post Total]],"")</f>
        <v>2</v>
      </c>
      <c r="J105" s="5" t="str">
        <f>IF(Table44281850[[#This Row],[Old or New?]]="Old",Table44281850[[#This Row],[Post Total]],"")</f>
        <v/>
      </c>
      <c r="K105" s="5" t="b">
        <f>ISNUMBER(Table44281850[[#This Row],[New]])</f>
        <v>1</v>
      </c>
      <c r="L105" s="5" t="b">
        <f>ISNUMBER(Table44281850[[#This Row],[Old]])</f>
        <v>0</v>
      </c>
    </row>
    <row r="106" spans="1:12">
      <c r="A106" s="2" t="s">
        <v>24</v>
      </c>
      <c r="B106" s="2" t="s">
        <v>26</v>
      </c>
      <c r="C106" s="1">
        <v>6</v>
      </c>
      <c r="D106" s="1" t="s">
        <v>16</v>
      </c>
      <c r="E106" s="1">
        <v>6</v>
      </c>
      <c r="F106" s="1">
        <v>5</v>
      </c>
      <c r="G106" s="5">
        <f>IF(IF(Table44281850[[#This Row],[Pre or Post]]="Post",1,0)+IF(ISNUMBER(Table44281850[[#This Row],[Response]])=TRUE,1,0)=2,1,"")</f>
        <v>1</v>
      </c>
      <c r="H106" s="5">
        <f>IF(IF(Table44281850[[#This Row],[Pre or Post]]="Post",1,0)+IF(ISNUMBER(Table44281850[[#This Row],[Response]])=TRUE,1,0)=2,Table44281850[[#This Row],[Response]],"")</f>
        <v>5</v>
      </c>
      <c r="I106" s="5">
        <f>IF(Table44281850[[#This Row],[Old or New?]]="New",Table44281850[[#This Row],[Post Total]],"")</f>
        <v>5</v>
      </c>
      <c r="J106" s="5" t="str">
        <f>IF(Table44281850[[#This Row],[Old or New?]]="Old",Table44281850[[#This Row],[Post Total]],"")</f>
        <v/>
      </c>
      <c r="K106" s="5" t="b">
        <f>ISNUMBER(Table44281850[[#This Row],[New]])</f>
        <v>1</v>
      </c>
      <c r="L106" s="5" t="b">
        <f>ISNUMBER(Table44281850[[#This Row],[Old]])</f>
        <v>0</v>
      </c>
    </row>
    <row r="107" spans="1:12">
      <c r="A107" s="2" t="s">
        <v>24</v>
      </c>
      <c r="B107" s="2" t="s">
        <v>26</v>
      </c>
      <c r="C107" s="1">
        <v>7</v>
      </c>
      <c r="D107" s="1" t="s">
        <v>16</v>
      </c>
      <c r="E107" s="1">
        <v>6</v>
      </c>
      <c r="F107" s="1">
        <v>4</v>
      </c>
      <c r="G107" s="5">
        <f>IF(IF(Table44281850[[#This Row],[Pre or Post]]="Post",1,0)+IF(ISNUMBER(Table44281850[[#This Row],[Response]])=TRUE,1,0)=2,1,"")</f>
        <v>1</v>
      </c>
      <c r="H107" s="5">
        <f>IF(IF(Table44281850[[#This Row],[Pre or Post]]="Post",1,0)+IF(ISNUMBER(Table44281850[[#This Row],[Response]])=TRUE,1,0)=2,Table44281850[[#This Row],[Response]],"")</f>
        <v>4</v>
      </c>
      <c r="I107" s="5">
        <f>IF(Table44281850[[#This Row],[Old or New?]]="New",Table44281850[[#This Row],[Post Total]],"")</f>
        <v>4</v>
      </c>
      <c r="J107" s="5" t="str">
        <f>IF(Table44281850[[#This Row],[Old or New?]]="Old",Table44281850[[#This Row],[Post Total]],"")</f>
        <v/>
      </c>
      <c r="K107" s="5" t="b">
        <f>ISNUMBER(Table44281850[[#This Row],[New]])</f>
        <v>1</v>
      </c>
      <c r="L107" s="5" t="b">
        <f>ISNUMBER(Table44281850[[#This Row],[Old]])</f>
        <v>0</v>
      </c>
    </row>
    <row r="108" spans="1:12">
      <c r="A108" s="2" t="s">
        <v>24</v>
      </c>
      <c r="B108" s="2" t="s">
        <v>26</v>
      </c>
      <c r="C108" s="1">
        <v>8</v>
      </c>
      <c r="D108" s="1" t="s">
        <v>16</v>
      </c>
      <c r="E108" s="1">
        <v>6</v>
      </c>
      <c r="F108" s="1">
        <v>1</v>
      </c>
      <c r="G108" s="5">
        <f>IF(IF(Table44281850[[#This Row],[Pre or Post]]="Post",1,0)+IF(ISNUMBER(Table44281850[[#This Row],[Response]])=TRUE,1,0)=2,1,"")</f>
        <v>1</v>
      </c>
      <c r="H108" s="5">
        <f>IF(IF(Table44281850[[#This Row],[Pre or Post]]="Post",1,0)+IF(ISNUMBER(Table44281850[[#This Row],[Response]])=TRUE,1,0)=2,Table44281850[[#This Row],[Response]],"")</f>
        <v>1</v>
      </c>
      <c r="I108" s="5">
        <f>IF(Table44281850[[#This Row],[Old or New?]]="New",Table44281850[[#This Row],[Post Total]],"")</f>
        <v>1</v>
      </c>
      <c r="J108" s="5" t="str">
        <f>IF(Table44281850[[#This Row],[Old or New?]]="Old",Table44281850[[#This Row],[Post Total]],"")</f>
        <v/>
      </c>
      <c r="K108" s="5" t="b">
        <f>ISNUMBER(Table44281850[[#This Row],[New]])</f>
        <v>1</v>
      </c>
      <c r="L108" s="5" t="b">
        <f>ISNUMBER(Table44281850[[#This Row],[Old]])</f>
        <v>0</v>
      </c>
    </row>
    <row r="109" spans="1:12" s="16" customFormat="1">
      <c r="A109" s="2" t="s">
        <v>24</v>
      </c>
      <c r="B109" s="2" t="s">
        <v>26</v>
      </c>
      <c r="C109" s="1">
        <v>9</v>
      </c>
      <c r="D109" s="1" t="s">
        <v>16</v>
      </c>
      <c r="E109" s="1">
        <v>6</v>
      </c>
      <c r="F109" s="1">
        <v>3</v>
      </c>
      <c r="G109" s="5">
        <f>IF(IF(Table44281850[[#This Row],[Pre or Post]]="Post",1,0)+IF(ISNUMBER(Table44281850[[#This Row],[Response]])=TRUE,1,0)=2,1,"")</f>
        <v>1</v>
      </c>
      <c r="H109" s="5">
        <f>IF(IF(Table44281850[[#This Row],[Pre or Post]]="Post",1,0)+IF(ISNUMBER(Table44281850[[#This Row],[Response]])=TRUE,1,0)=2,Table44281850[[#This Row],[Response]],"")</f>
        <v>3</v>
      </c>
      <c r="I109" s="5">
        <f>IF(Table44281850[[#This Row],[Old or New?]]="New",Table44281850[[#This Row],[Post Total]],"")</f>
        <v>3</v>
      </c>
      <c r="J109" s="5" t="str">
        <f>IF(Table44281850[[#This Row],[Old or New?]]="Old",Table44281850[[#This Row],[Post Total]],"")</f>
        <v/>
      </c>
      <c r="K109" s="5" t="b">
        <f>ISNUMBER(Table44281850[[#This Row],[New]])</f>
        <v>1</v>
      </c>
      <c r="L109" s="5" t="b">
        <f>ISNUMBER(Table44281850[[#This Row],[Old]])</f>
        <v>0</v>
      </c>
    </row>
    <row r="110" spans="1:12">
      <c r="A110" s="2" t="s">
        <v>24</v>
      </c>
      <c r="B110" s="2" t="s">
        <v>26</v>
      </c>
      <c r="C110" s="1">
        <v>10</v>
      </c>
      <c r="D110" s="1" t="s">
        <v>16</v>
      </c>
      <c r="E110" s="1">
        <v>6</v>
      </c>
      <c r="F110" s="1">
        <v>4</v>
      </c>
      <c r="G110" s="5">
        <f>IF(IF(Table44281850[[#This Row],[Pre or Post]]="Post",1,0)+IF(ISNUMBER(Table44281850[[#This Row],[Response]])=TRUE,1,0)=2,1,"")</f>
        <v>1</v>
      </c>
      <c r="H110" s="5">
        <f>IF(IF(Table44281850[[#This Row],[Pre or Post]]="Post",1,0)+IF(ISNUMBER(Table44281850[[#This Row],[Response]])=TRUE,1,0)=2,Table44281850[[#This Row],[Response]],"")</f>
        <v>4</v>
      </c>
      <c r="I110" s="5">
        <f>IF(Table44281850[[#This Row],[Old or New?]]="New",Table44281850[[#This Row],[Post Total]],"")</f>
        <v>4</v>
      </c>
      <c r="J110" s="5" t="str">
        <f>IF(Table44281850[[#This Row],[Old or New?]]="Old",Table44281850[[#This Row],[Post Total]],"")</f>
        <v/>
      </c>
      <c r="K110" s="5" t="b">
        <f>ISNUMBER(Table44281850[[#This Row],[New]])</f>
        <v>1</v>
      </c>
      <c r="L110" s="5" t="b">
        <f>ISNUMBER(Table44281850[[#This Row],[Old]])</f>
        <v>0</v>
      </c>
    </row>
    <row r="111" spans="1:12">
      <c r="A111" s="2" t="s">
        <v>24</v>
      </c>
      <c r="B111" s="2" t="s">
        <v>26</v>
      </c>
      <c r="C111" s="1">
        <v>11</v>
      </c>
      <c r="D111" s="1" t="s">
        <v>16</v>
      </c>
      <c r="E111" s="1">
        <v>6</v>
      </c>
      <c r="F111" s="1">
        <v>4</v>
      </c>
      <c r="G111" s="5">
        <f>IF(IF(Table44281850[[#This Row],[Pre or Post]]="Post",1,0)+IF(ISNUMBER(Table44281850[[#This Row],[Response]])=TRUE,1,0)=2,1,"")</f>
        <v>1</v>
      </c>
      <c r="H111" s="5">
        <f>IF(IF(Table44281850[[#This Row],[Pre or Post]]="Post",1,0)+IF(ISNUMBER(Table44281850[[#This Row],[Response]])=TRUE,1,0)=2,Table44281850[[#This Row],[Response]],"")</f>
        <v>4</v>
      </c>
      <c r="I111" s="5">
        <f>IF(Table44281850[[#This Row],[Old or New?]]="New",Table44281850[[#This Row],[Post Total]],"")</f>
        <v>4</v>
      </c>
      <c r="J111" s="5" t="str">
        <f>IF(Table44281850[[#This Row],[Old or New?]]="Old",Table44281850[[#This Row],[Post Total]],"")</f>
        <v/>
      </c>
      <c r="K111" s="5" t="b">
        <f>ISNUMBER(Table44281850[[#This Row],[New]])</f>
        <v>1</v>
      </c>
      <c r="L111" s="5" t="b">
        <f>ISNUMBER(Table44281850[[#This Row],[Old]])</f>
        <v>0</v>
      </c>
    </row>
    <row r="112" spans="1:12">
      <c r="A112" s="2" t="s">
        <v>24</v>
      </c>
      <c r="B112" s="2" t="s">
        <v>26</v>
      </c>
      <c r="C112" s="1">
        <v>12</v>
      </c>
      <c r="D112" s="1" t="s">
        <v>16</v>
      </c>
      <c r="E112" s="1">
        <v>6</v>
      </c>
      <c r="F112" s="1">
        <v>4</v>
      </c>
      <c r="G112" s="5">
        <f>IF(IF(Table44281850[[#This Row],[Pre or Post]]="Post",1,0)+IF(ISNUMBER(Table44281850[[#This Row],[Response]])=TRUE,1,0)=2,1,"")</f>
        <v>1</v>
      </c>
      <c r="H112" s="5">
        <f>IF(IF(Table44281850[[#This Row],[Pre or Post]]="Post",1,0)+IF(ISNUMBER(Table44281850[[#This Row],[Response]])=TRUE,1,0)=2,Table44281850[[#This Row],[Response]],"")</f>
        <v>4</v>
      </c>
      <c r="I112" s="5">
        <f>IF(Table44281850[[#This Row],[Old or New?]]="New",Table44281850[[#This Row],[Post Total]],"")</f>
        <v>4</v>
      </c>
      <c r="J112" s="5" t="str">
        <f>IF(Table44281850[[#This Row],[Old or New?]]="Old",Table44281850[[#This Row],[Post Total]],"")</f>
        <v/>
      </c>
      <c r="K112" s="5" t="b">
        <f>ISNUMBER(Table44281850[[#This Row],[New]])</f>
        <v>1</v>
      </c>
      <c r="L112" s="5" t="b">
        <f>ISNUMBER(Table44281850[[#This Row],[Old]])</f>
        <v>0</v>
      </c>
    </row>
    <row r="113" spans="1:12">
      <c r="A113" s="2" t="s">
        <v>24</v>
      </c>
      <c r="B113" s="2" t="s">
        <v>26</v>
      </c>
      <c r="C113" s="1">
        <v>13</v>
      </c>
      <c r="D113" s="1" t="s">
        <v>16</v>
      </c>
      <c r="E113" s="1">
        <v>6</v>
      </c>
      <c r="F113" s="1">
        <v>3</v>
      </c>
      <c r="G113" s="5">
        <f>IF(IF(Table44281850[[#This Row],[Pre or Post]]="Post",1,0)+IF(ISNUMBER(Table44281850[[#This Row],[Response]])=TRUE,1,0)=2,1,"")</f>
        <v>1</v>
      </c>
      <c r="H113" s="5">
        <f>IF(IF(Table44281850[[#This Row],[Pre or Post]]="Post",1,0)+IF(ISNUMBER(Table44281850[[#This Row],[Response]])=TRUE,1,0)=2,Table44281850[[#This Row],[Response]],"")</f>
        <v>3</v>
      </c>
      <c r="I113" s="5">
        <f>IF(Table44281850[[#This Row],[Old or New?]]="New",Table44281850[[#This Row],[Post Total]],"")</f>
        <v>3</v>
      </c>
      <c r="J113" s="5" t="str">
        <f>IF(Table44281850[[#This Row],[Old or New?]]="Old",Table44281850[[#This Row],[Post Total]],"")</f>
        <v/>
      </c>
      <c r="K113" s="5" t="b">
        <f>ISNUMBER(Table44281850[[#This Row],[New]])</f>
        <v>1</v>
      </c>
      <c r="L113" s="5" t="b">
        <f>ISNUMBER(Table44281850[[#This Row],[Old]])</f>
        <v>0</v>
      </c>
    </row>
    <row r="114" spans="1:12">
      <c r="A114" s="2" t="s">
        <v>24</v>
      </c>
      <c r="B114" s="2" t="s">
        <v>26</v>
      </c>
      <c r="C114" s="1">
        <v>14</v>
      </c>
      <c r="D114" s="1" t="s">
        <v>16</v>
      </c>
      <c r="E114" s="1">
        <v>6</v>
      </c>
      <c r="F114" s="1">
        <v>3</v>
      </c>
      <c r="G114" s="5">
        <f>IF(IF(Table44281850[[#This Row],[Pre or Post]]="Post",1,0)+IF(ISNUMBER(Table44281850[[#This Row],[Response]])=TRUE,1,0)=2,1,"")</f>
        <v>1</v>
      </c>
      <c r="H114" s="5">
        <f>IF(IF(Table44281850[[#This Row],[Pre or Post]]="Post",1,0)+IF(ISNUMBER(Table44281850[[#This Row],[Response]])=TRUE,1,0)=2,Table44281850[[#This Row],[Response]],"")</f>
        <v>3</v>
      </c>
      <c r="I114" s="5">
        <f>IF(Table44281850[[#This Row],[Old or New?]]="New",Table44281850[[#This Row],[Post Total]],"")</f>
        <v>3</v>
      </c>
      <c r="J114" s="5" t="str">
        <f>IF(Table44281850[[#This Row],[Old or New?]]="Old",Table44281850[[#This Row],[Post Total]],"")</f>
        <v/>
      </c>
      <c r="K114" s="5" t="b">
        <f>ISNUMBER(Table44281850[[#This Row],[New]])</f>
        <v>1</v>
      </c>
      <c r="L114" s="5" t="b">
        <f>ISNUMBER(Table44281850[[#This Row],[Old]])</f>
        <v>0</v>
      </c>
    </row>
    <row r="115" spans="1:12">
      <c r="A115" s="2" t="s">
        <v>24</v>
      </c>
      <c r="B115" s="2" t="s">
        <v>26</v>
      </c>
      <c r="C115" s="1">
        <v>15</v>
      </c>
      <c r="D115" s="1" t="s">
        <v>16</v>
      </c>
      <c r="E115" s="1">
        <v>6</v>
      </c>
      <c r="F115" s="1">
        <v>3</v>
      </c>
      <c r="G115" s="5">
        <f>IF(IF(Table44281850[[#This Row],[Pre or Post]]="Post",1,0)+IF(ISNUMBER(Table44281850[[#This Row],[Response]])=TRUE,1,0)=2,1,"")</f>
        <v>1</v>
      </c>
      <c r="H115" s="5">
        <f>IF(IF(Table44281850[[#This Row],[Pre or Post]]="Post",1,0)+IF(ISNUMBER(Table44281850[[#This Row],[Response]])=TRUE,1,0)=2,Table44281850[[#This Row],[Response]],"")</f>
        <v>3</v>
      </c>
      <c r="I115" s="5">
        <f>IF(Table44281850[[#This Row],[Old or New?]]="New",Table44281850[[#This Row],[Post Total]],"")</f>
        <v>3</v>
      </c>
      <c r="J115" s="5" t="str">
        <f>IF(Table44281850[[#This Row],[Old or New?]]="Old",Table44281850[[#This Row],[Post Total]],"")</f>
        <v/>
      </c>
      <c r="K115" s="5" t="b">
        <f>ISNUMBER(Table44281850[[#This Row],[New]])</f>
        <v>1</v>
      </c>
      <c r="L115" s="5" t="b">
        <f>ISNUMBER(Table44281850[[#This Row],[Old]])</f>
        <v>0</v>
      </c>
    </row>
    <row r="116" spans="1:12">
      <c r="A116" s="2" t="s">
        <v>24</v>
      </c>
      <c r="B116" s="2" t="s">
        <v>28</v>
      </c>
      <c r="C116" s="1">
        <v>1</v>
      </c>
      <c r="D116" s="1" t="s">
        <v>16</v>
      </c>
      <c r="E116" s="1">
        <v>6</v>
      </c>
      <c r="F116" s="2">
        <v>5</v>
      </c>
      <c r="G116" s="5">
        <f>IF(IF(Table44281850[[#This Row],[Pre or Post]]="Post",1,0)+IF(ISNUMBER(Table44281850[[#This Row],[Response]])=TRUE,1,0)=2,1,"")</f>
        <v>1</v>
      </c>
      <c r="H116" s="5">
        <f>IF(IF(Table44281850[[#This Row],[Pre or Post]]="Post",1,0)+IF(ISNUMBER(Table44281850[[#This Row],[Response]])=TRUE,1,0)=2,Table44281850[[#This Row],[Response]],"")</f>
        <v>5</v>
      </c>
      <c r="I116" s="5">
        <f>IF(Table44281850[[#This Row],[Old or New?]]="New",Table44281850[[#This Row],[Post Total]],"")</f>
        <v>5</v>
      </c>
      <c r="J116" s="5" t="str">
        <f>IF(Table44281850[[#This Row],[Old or New?]]="Old",Table44281850[[#This Row],[Post Total]],"")</f>
        <v/>
      </c>
      <c r="K116" s="5" t="b">
        <f>ISNUMBER(Table44281850[[#This Row],[New]])</f>
        <v>1</v>
      </c>
      <c r="L116" s="5" t="b">
        <f>ISNUMBER(Table44281850[[#This Row],[Old]])</f>
        <v>0</v>
      </c>
    </row>
    <row r="117" spans="1:12">
      <c r="A117" s="2" t="s">
        <v>24</v>
      </c>
      <c r="B117" s="2" t="s">
        <v>28</v>
      </c>
      <c r="C117" s="1">
        <v>2</v>
      </c>
      <c r="D117" s="1" t="s">
        <v>16</v>
      </c>
      <c r="E117" s="1">
        <v>6</v>
      </c>
      <c r="F117" s="2">
        <v>3</v>
      </c>
      <c r="G117" s="5">
        <f>IF(IF(Table44281850[[#This Row],[Pre or Post]]="Post",1,0)+IF(ISNUMBER(Table44281850[[#This Row],[Response]])=TRUE,1,0)=2,1,"")</f>
        <v>1</v>
      </c>
      <c r="H117" s="5">
        <f>IF(IF(Table44281850[[#This Row],[Pre or Post]]="Post",1,0)+IF(ISNUMBER(Table44281850[[#This Row],[Response]])=TRUE,1,0)=2,Table44281850[[#This Row],[Response]],"")</f>
        <v>3</v>
      </c>
      <c r="I117" s="5">
        <f>IF(Table44281850[[#This Row],[Old or New?]]="New",Table44281850[[#This Row],[Post Total]],"")</f>
        <v>3</v>
      </c>
      <c r="J117" s="5" t="str">
        <f>IF(Table44281850[[#This Row],[Old or New?]]="Old",Table44281850[[#This Row],[Post Total]],"")</f>
        <v/>
      </c>
      <c r="K117" s="5" t="b">
        <f>ISNUMBER(Table44281850[[#This Row],[New]])</f>
        <v>1</v>
      </c>
      <c r="L117" s="5" t="b">
        <f>ISNUMBER(Table44281850[[#This Row],[Old]])</f>
        <v>0</v>
      </c>
    </row>
    <row r="118" spans="1:12">
      <c r="A118" s="2" t="s">
        <v>24</v>
      </c>
      <c r="B118" s="2" t="s">
        <v>28</v>
      </c>
      <c r="C118" s="1">
        <v>3</v>
      </c>
      <c r="D118" s="1" t="s">
        <v>16</v>
      </c>
      <c r="E118" s="1">
        <v>6</v>
      </c>
      <c r="F118" s="2">
        <v>2</v>
      </c>
      <c r="G118" s="5">
        <f>IF(IF(Table44281850[[#This Row],[Pre or Post]]="Post",1,0)+IF(ISNUMBER(Table44281850[[#This Row],[Response]])=TRUE,1,0)=2,1,"")</f>
        <v>1</v>
      </c>
      <c r="H118" s="5">
        <f>IF(IF(Table44281850[[#This Row],[Pre or Post]]="Post",1,0)+IF(ISNUMBER(Table44281850[[#This Row],[Response]])=TRUE,1,0)=2,Table44281850[[#This Row],[Response]],"")</f>
        <v>2</v>
      </c>
      <c r="I118" s="5">
        <f>IF(Table44281850[[#This Row],[Old or New?]]="New",Table44281850[[#This Row],[Post Total]],"")</f>
        <v>2</v>
      </c>
      <c r="J118" s="5" t="str">
        <f>IF(Table44281850[[#This Row],[Old or New?]]="Old",Table44281850[[#This Row],[Post Total]],"")</f>
        <v/>
      </c>
      <c r="K118" s="5" t="b">
        <f>ISNUMBER(Table44281850[[#This Row],[New]])</f>
        <v>1</v>
      </c>
      <c r="L118" s="5" t="b">
        <f>ISNUMBER(Table44281850[[#This Row],[Old]])</f>
        <v>0</v>
      </c>
    </row>
    <row r="119" spans="1:12">
      <c r="A119" s="2" t="s">
        <v>24</v>
      </c>
      <c r="B119" s="2" t="s">
        <v>28</v>
      </c>
      <c r="C119" s="1">
        <v>4</v>
      </c>
      <c r="D119" s="1" t="s">
        <v>16</v>
      </c>
      <c r="E119" s="1">
        <v>6</v>
      </c>
      <c r="F119" s="2">
        <v>5</v>
      </c>
      <c r="G119" s="5">
        <f>IF(IF(Table44281850[[#This Row],[Pre or Post]]="Post",1,0)+IF(ISNUMBER(Table44281850[[#This Row],[Response]])=TRUE,1,0)=2,1,"")</f>
        <v>1</v>
      </c>
      <c r="H119" s="5">
        <f>IF(IF(Table44281850[[#This Row],[Pre or Post]]="Post",1,0)+IF(ISNUMBER(Table44281850[[#This Row],[Response]])=TRUE,1,0)=2,Table44281850[[#This Row],[Response]],"")</f>
        <v>5</v>
      </c>
      <c r="I119" s="5">
        <f>IF(Table44281850[[#This Row],[Old or New?]]="New",Table44281850[[#This Row],[Post Total]],"")</f>
        <v>5</v>
      </c>
      <c r="J119" s="5" t="str">
        <f>IF(Table44281850[[#This Row],[Old or New?]]="Old",Table44281850[[#This Row],[Post Total]],"")</f>
        <v/>
      </c>
      <c r="K119" s="5" t="b">
        <f>ISNUMBER(Table44281850[[#This Row],[New]])</f>
        <v>1</v>
      </c>
      <c r="L119" s="5" t="b">
        <f>ISNUMBER(Table44281850[[#This Row],[Old]])</f>
        <v>0</v>
      </c>
    </row>
    <row r="120" spans="1:12">
      <c r="A120" s="2" t="s">
        <v>24</v>
      </c>
      <c r="B120" s="2" t="s">
        <v>28</v>
      </c>
      <c r="C120" s="1">
        <v>5</v>
      </c>
      <c r="D120" s="1" t="s">
        <v>16</v>
      </c>
      <c r="E120" s="1">
        <v>6</v>
      </c>
      <c r="F120" s="2">
        <v>3</v>
      </c>
      <c r="G120" s="5">
        <f>IF(IF(Table44281850[[#This Row],[Pre or Post]]="Post",1,0)+IF(ISNUMBER(Table44281850[[#This Row],[Response]])=TRUE,1,0)=2,1,"")</f>
        <v>1</v>
      </c>
      <c r="H120" s="5">
        <f>IF(IF(Table44281850[[#This Row],[Pre or Post]]="Post",1,0)+IF(ISNUMBER(Table44281850[[#This Row],[Response]])=TRUE,1,0)=2,Table44281850[[#This Row],[Response]],"")</f>
        <v>3</v>
      </c>
      <c r="I120" s="5">
        <f>IF(Table44281850[[#This Row],[Old or New?]]="New",Table44281850[[#This Row],[Post Total]],"")</f>
        <v>3</v>
      </c>
      <c r="J120" s="5" t="str">
        <f>IF(Table44281850[[#This Row],[Old or New?]]="Old",Table44281850[[#This Row],[Post Total]],"")</f>
        <v/>
      </c>
      <c r="K120" s="5" t="b">
        <f>ISNUMBER(Table44281850[[#This Row],[New]])</f>
        <v>1</v>
      </c>
      <c r="L120" s="5" t="b">
        <f>ISNUMBER(Table44281850[[#This Row],[Old]])</f>
        <v>0</v>
      </c>
    </row>
    <row r="121" spans="1:12">
      <c r="A121" s="2" t="s">
        <v>24</v>
      </c>
      <c r="B121" s="2" t="s">
        <v>28</v>
      </c>
      <c r="C121" s="1">
        <v>6</v>
      </c>
      <c r="D121" s="1" t="s">
        <v>16</v>
      </c>
      <c r="E121" s="1">
        <v>6</v>
      </c>
      <c r="F121" s="2">
        <v>4</v>
      </c>
      <c r="G121" s="5">
        <f>IF(IF(Table44281850[[#This Row],[Pre or Post]]="Post",1,0)+IF(ISNUMBER(Table44281850[[#This Row],[Response]])=TRUE,1,0)=2,1,"")</f>
        <v>1</v>
      </c>
      <c r="H121" s="5">
        <f>IF(IF(Table44281850[[#This Row],[Pre or Post]]="Post",1,0)+IF(ISNUMBER(Table44281850[[#This Row],[Response]])=TRUE,1,0)=2,Table44281850[[#This Row],[Response]],"")</f>
        <v>4</v>
      </c>
      <c r="I121" s="5">
        <f>IF(Table44281850[[#This Row],[Old or New?]]="New",Table44281850[[#This Row],[Post Total]],"")</f>
        <v>4</v>
      </c>
      <c r="J121" s="5" t="str">
        <f>IF(Table44281850[[#This Row],[Old or New?]]="Old",Table44281850[[#This Row],[Post Total]],"")</f>
        <v/>
      </c>
      <c r="K121" s="5" t="b">
        <f>ISNUMBER(Table44281850[[#This Row],[New]])</f>
        <v>1</v>
      </c>
      <c r="L121" s="5" t="b">
        <f>ISNUMBER(Table44281850[[#This Row],[Old]])</f>
        <v>0</v>
      </c>
    </row>
    <row r="122" spans="1:12">
      <c r="A122" s="2" t="s">
        <v>24</v>
      </c>
      <c r="B122" s="2" t="s">
        <v>28</v>
      </c>
      <c r="C122" s="1">
        <v>7</v>
      </c>
      <c r="D122" s="1" t="s">
        <v>16</v>
      </c>
      <c r="E122" s="1">
        <v>6</v>
      </c>
      <c r="F122" s="2">
        <v>4</v>
      </c>
      <c r="G122" s="5">
        <f>IF(IF(Table44281850[[#This Row],[Pre or Post]]="Post",1,0)+IF(ISNUMBER(Table44281850[[#This Row],[Response]])=TRUE,1,0)=2,1,"")</f>
        <v>1</v>
      </c>
      <c r="H122" s="5">
        <f>IF(IF(Table44281850[[#This Row],[Pre or Post]]="Post",1,0)+IF(ISNUMBER(Table44281850[[#This Row],[Response]])=TRUE,1,0)=2,Table44281850[[#This Row],[Response]],"")</f>
        <v>4</v>
      </c>
      <c r="I122" s="5">
        <f>IF(Table44281850[[#This Row],[Old or New?]]="New",Table44281850[[#This Row],[Post Total]],"")</f>
        <v>4</v>
      </c>
      <c r="J122" s="5" t="str">
        <f>IF(Table44281850[[#This Row],[Old or New?]]="Old",Table44281850[[#This Row],[Post Total]],"")</f>
        <v/>
      </c>
      <c r="K122" s="5" t="b">
        <f>ISNUMBER(Table44281850[[#This Row],[New]])</f>
        <v>1</v>
      </c>
      <c r="L122" s="5" t="b">
        <f>ISNUMBER(Table44281850[[#This Row],[Old]])</f>
        <v>0</v>
      </c>
    </row>
    <row r="123" spans="1:12">
      <c r="A123" s="2" t="s">
        <v>24</v>
      </c>
      <c r="B123" s="2" t="s">
        <v>28</v>
      </c>
      <c r="C123" s="1">
        <v>8</v>
      </c>
      <c r="D123" s="1" t="s">
        <v>16</v>
      </c>
      <c r="E123" s="1">
        <v>6</v>
      </c>
      <c r="F123" s="1">
        <v>4</v>
      </c>
      <c r="G123" s="5">
        <f>IF(IF(Table44281850[[#This Row],[Pre or Post]]="Post",1,0)+IF(ISNUMBER(Table44281850[[#This Row],[Response]])=TRUE,1,0)=2,1,"")</f>
        <v>1</v>
      </c>
      <c r="H123" s="5">
        <f>IF(IF(Table44281850[[#This Row],[Pre or Post]]="Post",1,0)+IF(ISNUMBER(Table44281850[[#This Row],[Response]])=TRUE,1,0)=2,Table44281850[[#This Row],[Response]],"")</f>
        <v>4</v>
      </c>
      <c r="I123" s="5">
        <f>IF(Table44281850[[#This Row],[Old or New?]]="New",Table44281850[[#This Row],[Post Total]],"")</f>
        <v>4</v>
      </c>
      <c r="J123" s="5" t="str">
        <f>IF(Table44281850[[#This Row],[Old or New?]]="Old",Table44281850[[#This Row],[Post Total]],"")</f>
        <v/>
      </c>
      <c r="K123" s="5" t="b">
        <f>ISNUMBER(Table44281850[[#This Row],[New]])</f>
        <v>1</v>
      </c>
      <c r="L123" s="5" t="b">
        <f>ISNUMBER(Table44281850[[#This Row],[Old]])</f>
        <v>0</v>
      </c>
    </row>
    <row r="124" spans="1:12">
      <c r="A124" s="2" t="s">
        <v>24</v>
      </c>
      <c r="B124" s="2" t="s">
        <v>28</v>
      </c>
      <c r="C124" s="1">
        <v>9</v>
      </c>
      <c r="D124" s="1" t="s">
        <v>16</v>
      </c>
      <c r="E124" s="1">
        <v>6</v>
      </c>
      <c r="F124" s="1">
        <v>2</v>
      </c>
      <c r="G124" s="5">
        <f>IF(IF(Table44281850[[#This Row],[Pre or Post]]="Post",1,0)+IF(ISNUMBER(Table44281850[[#This Row],[Response]])=TRUE,1,0)=2,1,"")</f>
        <v>1</v>
      </c>
      <c r="H124" s="5">
        <f>IF(IF(Table44281850[[#This Row],[Pre or Post]]="Post",1,0)+IF(ISNUMBER(Table44281850[[#This Row],[Response]])=TRUE,1,0)=2,Table44281850[[#This Row],[Response]],"")</f>
        <v>2</v>
      </c>
      <c r="I124" s="5">
        <f>IF(Table44281850[[#This Row],[Old or New?]]="New",Table44281850[[#This Row],[Post Total]],"")</f>
        <v>2</v>
      </c>
      <c r="J124" s="5" t="str">
        <f>IF(Table44281850[[#This Row],[Old or New?]]="Old",Table44281850[[#This Row],[Post Total]],"")</f>
        <v/>
      </c>
      <c r="K124" s="5" t="b">
        <f>ISNUMBER(Table44281850[[#This Row],[New]])</f>
        <v>1</v>
      </c>
      <c r="L124" s="5" t="b">
        <f>ISNUMBER(Table44281850[[#This Row],[Old]])</f>
        <v>0</v>
      </c>
    </row>
    <row r="125" spans="1:12">
      <c r="A125" s="2" t="s">
        <v>24</v>
      </c>
      <c r="B125" s="2" t="s">
        <v>28</v>
      </c>
      <c r="C125" s="1">
        <v>10</v>
      </c>
      <c r="D125" s="1" t="s">
        <v>16</v>
      </c>
      <c r="E125" s="1">
        <v>6</v>
      </c>
      <c r="F125" s="1">
        <v>4</v>
      </c>
      <c r="G125" s="5">
        <f>IF(IF(Table44281850[[#This Row],[Pre or Post]]="Post",1,0)+IF(ISNUMBER(Table44281850[[#This Row],[Response]])=TRUE,1,0)=2,1,"")</f>
        <v>1</v>
      </c>
      <c r="H125" s="5">
        <f>IF(IF(Table44281850[[#This Row],[Pre or Post]]="Post",1,0)+IF(ISNUMBER(Table44281850[[#This Row],[Response]])=TRUE,1,0)=2,Table44281850[[#This Row],[Response]],"")</f>
        <v>4</v>
      </c>
      <c r="I125" s="5">
        <f>IF(Table44281850[[#This Row],[Old or New?]]="New",Table44281850[[#This Row],[Post Total]],"")</f>
        <v>4</v>
      </c>
      <c r="J125" s="5" t="str">
        <f>IF(Table44281850[[#This Row],[Old or New?]]="Old",Table44281850[[#This Row],[Post Total]],"")</f>
        <v/>
      </c>
      <c r="K125" s="5" t="b">
        <f>ISNUMBER(Table44281850[[#This Row],[New]])</f>
        <v>1</v>
      </c>
      <c r="L125" s="5" t="b">
        <f>ISNUMBER(Table44281850[[#This Row],[Old]])</f>
        <v>0</v>
      </c>
    </row>
    <row r="126" spans="1:12">
      <c r="A126" s="2" t="s">
        <v>24</v>
      </c>
      <c r="B126" s="2" t="s">
        <v>28</v>
      </c>
      <c r="C126" s="1">
        <v>11</v>
      </c>
      <c r="D126" s="1" t="s">
        <v>16</v>
      </c>
      <c r="E126" s="1">
        <v>6</v>
      </c>
      <c r="F126" s="1">
        <v>2</v>
      </c>
      <c r="G126" s="5">
        <f>IF(IF(Table44281850[[#This Row],[Pre or Post]]="Post",1,0)+IF(ISNUMBER(Table44281850[[#This Row],[Response]])=TRUE,1,0)=2,1,"")</f>
        <v>1</v>
      </c>
      <c r="H126" s="5">
        <f>IF(IF(Table44281850[[#This Row],[Pre or Post]]="Post",1,0)+IF(ISNUMBER(Table44281850[[#This Row],[Response]])=TRUE,1,0)=2,Table44281850[[#This Row],[Response]],"")</f>
        <v>2</v>
      </c>
      <c r="I126" s="5">
        <f>IF(Table44281850[[#This Row],[Old or New?]]="New",Table44281850[[#This Row],[Post Total]],"")</f>
        <v>2</v>
      </c>
      <c r="J126" s="5" t="str">
        <f>IF(Table44281850[[#This Row],[Old or New?]]="Old",Table44281850[[#This Row],[Post Total]],"")</f>
        <v/>
      </c>
      <c r="K126" s="5" t="b">
        <f>ISNUMBER(Table44281850[[#This Row],[New]])</f>
        <v>1</v>
      </c>
      <c r="L126" s="5" t="b">
        <f>ISNUMBER(Table44281850[[#This Row],[Old]])</f>
        <v>0</v>
      </c>
    </row>
    <row r="127" spans="1:12">
      <c r="A127" s="2" t="s">
        <v>24</v>
      </c>
      <c r="B127" s="2" t="s">
        <v>28</v>
      </c>
      <c r="C127" s="1">
        <v>12</v>
      </c>
      <c r="D127" s="1" t="s">
        <v>16</v>
      </c>
      <c r="E127" s="1">
        <v>6</v>
      </c>
      <c r="F127" s="1">
        <v>2</v>
      </c>
      <c r="G127" s="5">
        <f>IF(IF(Table44281850[[#This Row],[Pre or Post]]="Post",1,0)+IF(ISNUMBER(Table44281850[[#This Row],[Response]])=TRUE,1,0)=2,1,"")</f>
        <v>1</v>
      </c>
      <c r="H127" s="5">
        <f>IF(IF(Table44281850[[#This Row],[Pre or Post]]="Post",1,0)+IF(ISNUMBER(Table44281850[[#This Row],[Response]])=TRUE,1,0)=2,Table44281850[[#This Row],[Response]],"")</f>
        <v>2</v>
      </c>
      <c r="I127" s="5">
        <f>IF(Table44281850[[#This Row],[Old or New?]]="New",Table44281850[[#This Row],[Post Total]],"")</f>
        <v>2</v>
      </c>
      <c r="J127" s="5" t="str">
        <f>IF(Table44281850[[#This Row],[Old or New?]]="Old",Table44281850[[#This Row],[Post Total]],"")</f>
        <v/>
      </c>
      <c r="K127" s="5" t="b">
        <f>ISNUMBER(Table44281850[[#This Row],[New]])</f>
        <v>1</v>
      </c>
      <c r="L127" s="5" t="b">
        <f>ISNUMBER(Table44281850[[#This Row],[Old]])</f>
        <v>0</v>
      </c>
    </row>
    <row r="128" spans="1:12">
      <c r="A128" s="2" t="s">
        <v>24</v>
      </c>
      <c r="B128" s="2" t="s">
        <v>28</v>
      </c>
      <c r="C128" s="1">
        <v>13</v>
      </c>
      <c r="D128" s="1" t="s">
        <v>16</v>
      </c>
      <c r="E128" s="1">
        <v>6</v>
      </c>
      <c r="F128" s="1">
        <v>3</v>
      </c>
      <c r="G128" s="5">
        <f>IF(IF(Table44281850[[#This Row],[Pre or Post]]="Post",1,0)+IF(ISNUMBER(Table44281850[[#This Row],[Response]])=TRUE,1,0)=2,1,"")</f>
        <v>1</v>
      </c>
      <c r="H128" s="5">
        <f>IF(IF(Table44281850[[#This Row],[Pre or Post]]="Post",1,0)+IF(ISNUMBER(Table44281850[[#This Row],[Response]])=TRUE,1,0)=2,Table44281850[[#This Row],[Response]],"")</f>
        <v>3</v>
      </c>
      <c r="I128" s="5">
        <f>IF(Table44281850[[#This Row],[Old or New?]]="New",Table44281850[[#This Row],[Post Total]],"")</f>
        <v>3</v>
      </c>
      <c r="J128" s="5" t="str">
        <f>IF(Table44281850[[#This Row],[Old or New?]]="Old",Table44281850[[#This Row],[Post Total]],"")</f>
        <v/>
      </c>
      <c r="K128" s="5" t="b">
        <f>ISNUMBER(Table44281850[[#This Row],[New]])</f>
        <v>1</v>
      </c>
      <c r="L128" s="5" t="b">
        <f>ISNUMBER(Table44281850[[#This Row],[Old]])</f>
        <v>0</v>
      </c>
    </row>
    <row r="129" spans="1:12">
      <c r="A129" s="2" t="s">
        <v>24</v>
      </c>
      <c r="B129" s="2" t="s">
        <v>30</v>
      </c>
      <c r="C129" s="1">
        <v>1</v>
      </c>
      <c r="D129" s="2" t="s">
        <v>16</v>
      </c>
      <c r="E129" s="1">
        <v>6</v>
      </c>
      <c r="F129" s="1">
        <v>5</v>
      </c>
      <c r="G129" s="5">
        <f>IF(IF(Table44281850[[#This Row],[Pre or Post]]="Post",1,0)+IF(ISNUMBER(Table44281850[[#This Row],[Response]])=TRUE,1,0)=2,1,"")</f>
        <v>1</v>
      </c>
      <c r="H129" s="5">
        <f>IF(IF(Table44281850[[#This Row],[Pre or Post]]="Post",1,0)+IF(ISNUMBER(Table44281850[[#This Row],[Response]])=TRUE,1,0)=2,Table44281850[[#This Row],[Response]],"")</f>
        <v>5</v>
      </c>
      <c r="I129" s="5">
        <f>IF(Table44281850[[#This Row],[Old or New?]]="New",Table44281850[[#This Row],[Post Total]],"")</f>
        <v>5</v>
      </c>
      <c r="J129" s="5" t="str">
        <f>IF(Table44281850[[#This Row],[Old or New?]]="Old",Table44281850[[#This Row],[Post Total]],"")</f>
        <v/>
      </c>
      <c r="K129" s="5" t="b">
        <f>ISNUMBER(Table44281850[[#This Row],[New]])</f>
        <v>1</v>
      </c>
      <c r="L129" s="5" t="b">
        <f>ISNUMBER(Table44281850[[#This Row],[Old]])</f>
        <v>0</v>
      </c>
    </row>
    <row r="130" spans="1:12">
      <c r="A130" s="2" t="s">
        <v>24</v>
      </c>
      <c r="B130" s="2" t="s">
        <v>30</v>
      </c>
      <c r="C130" s="1">
        <v>2</v>
      </c>
      <c r="D130" s="2" t="s">
        <v>16</v>
      </c>
      <c r="E130" s="1">
        <v>6</v>
      </c>
      <c r="F130" s="1">
        <v>5</v>
      </c>
      <c r="G130" s="5">
        <f>IF(IF(Table44281850[[#This Row],[Pre or Post]]="Post",1,0)+IF(ISNUMBER(Table44281850[[#This Row],[Response]])=TRUE,1,0)=2,1,"")</f>
        <v>1</v>
      </c>
      <c r="H130" s="5">
        <f>IF(IF(Table44281850[[#This Row],[Pre or Post]]="Post",1,0)+IF(ISNUMBER(Table44281850[[#This Row],[Response]])=TRUE,1,0)=2,Table44281850[[#This Row],[Response]],"")</f>
        <v>5</v>
      </c>
      <c r="I130" s="5">
        <f>IF(Table44281850[[#This Row],[Old or New?]]="New",Table44281850[[#This Row],[Post Total]],"")</f>
        <v>5</v>
      </c>
      <c r="J130" s="5" t="str">
        <f>IF(Table44281850[[#This Row],[Old or New?]]="Old",Table44281850[[#This Row],[Post Total]],"")</f>
        <v/>
      </c>
      <c r="K130" s="5" t="b">
        <f>ISNUMBER(Table44281850[[#This Row],[New]])</f>
        <v>1</v>
      </c>
      <c r="L130" s="5" t="b">
        <f>ISNUMBER(Table44281850[[#This Row],[Old]])</f>
        <v>0</v>
      </c>
    </row>
    <row r="131" spans="1:12">
      <c r="A131" s="2" t="s">
        <v>24</v>
      </c>
      <c r="B131" s="2" t="s">
        <v>30</v>
      </c>
      <c r="C131" s="1">
        <v>3</v>
      </c>
      <c r="D131" s="2" t="s">
        <v>16</v>
      </c>
      <c r="E131" s="1">
        <v>6</v>
      </c>
      <c r="F131" s="1">
        <v>4</v>
      </c>
      <c r="G131" s="5">
        <f>IF(IF(Table44281850[[#This Row],[Pre or Post]]="Post",1,0)+IF(ISNUMBER(Table44281850[[#This Row],[Response]])=TRUE,1,0)=2,1,"")</f>
        <v>1</v>
      </c>
      <c r="H131" s="5">
        <f>IF(IF(Table44281850[[#This Row],[Pre or Post]]="Post",1,0)+IF(ISNUMBER(Table44281850[[#This Row],[Response]])=TRUE,1,0)=2,Table44281850[[#This Row],[Response]],"")</f>
        <v>4</v>
      </c>
      <c r="I131" s="5">
        <f>IF(Table44281850[[#This Row],[Old or New?]]="New",Table44281850[[#This Row],[Post Total]],"")</f>
        <v>4</v>
      </c>
      <c r="J131" s="5" t="str">
        <f>IF(Table44281850[[#This Row],[Old or New?]]="Old",Table44281850[[#This Row],[Post Total]],"")</f>
        <v/>
      </c>
      <c r="K131" s="5" t="b">
        <f>ISNUMBER(Table44281850[[#This Row],[New]])</f>
        <v>1</v>
      </c>
      <c r="L131" s="5" t="b">
        <f>ISNUMBER(Table44281850[[#This Row],[Old]])</f>
        <v>0</v>
      </c>
    </row>
    <row r="132" spans="1:12">
      <c r="A132" s="2" t="s">
        <v>24</v>
      </c>
      <c r="B132" s="2" t="s">
        <v>30</v>
      </c>
      <c r="C132" s="1">
        <v>4</v>
      </c>
      <c r="D132" s="2" t="s">
        <v>16</v>
      </c>
      <c r="E132" s="1">
        <v>6</v>
      </c>
      <c r="F132" s="1">
        <v>5</v>
      </c>
      <c r="G132" s="5">
        <f>IF(IF(Table44281850[[#This Row],[Pre or Post]]="Post",1,0)+IF(ISNUMBER(Table44281850[[#This Row],[Response]])=TRUE,1,0)=2,1,"")</f>
        <v>1</v>
      </c>
      <c r="H132" s="5">
        <f>IF(IF(Table44281850[[#This Row],[Pre or Post]]="Post",1,0)+IF(ISNUMBER(Table44281850[[#This Row],[Response]])=TRUE,1,0)=2,Table44281850[[#This Row],[Response]],"")</f>
        <v>5</v>
      </c>
      <c r="I132" s="5">
        <f>IF(Table44281850[[#This Row],[Old or New?]]="New",Table44281850[[#This Row],[Post Total]],"")</f>
        <v>5</v>
      </c>
      <c r="J132" s="5" t="str">
        <f>IF(Table44281850[[#This Row],[Old or New?]]="Old",Table44281850[[#This Row],[Post Total]],"")</f>
        <v/>
      </c>
      <c r="K132" s="5" t="b">
        <f>ISNUMBER(Table44281850[[#This Row],[New]])</f>
        <v>1</v>
      </c>
      <c r="L132" s="5" t="b">
        <f>ISNUMBER(Table44281850[[#This Row],[Old]])</f>
        <v>0</v>
      </c>
    </row>
    <row r="133" spans="1:12">
      <c r="A133" s="2" t="s">
        <v>24</v>
      </c>
      <c r="B133" s="2" t="s">
        <v>30</v>
      </c>
      <c r="C133" s="1">
        <v>5</v>
      </c>
      <c r="D133" s="2" t="s">
        <v>16</v>
      </c>
      <c r="E133" s="1">
        <v>6</v>
      </c>
      <c r="F133" s="1">
        <v>5</v>
      </c>
      <c r="G133" s="5">
        <f>IF(IF(Table44281850[[#This Row],[Pre or Post]]="Post",1,0)+IF(ISNUMBER(Table44281850[[#This Row],[Response]])=TRUE,1,0)=2,1,"")</f>
        <v>1</v>
      </c>
      <c r="H133" s="5">
        <f>IF(IF(Table44281850[[#This Row],[Pre or Post]]="Post",1,0)+IF(ISNUMBER(Table44281850[[#This Row],[Response]])=TRUE,1,0)=2,Table44281850[[#This Row],[Response]],"")</f>
        <v>5</v>
      </c>
      <c r="I133" s="5">
        <f>IF(Table44281850[[#This Row],[Old or New?]]="New",Table44281850[[#This Row],[Post Total]],"")</f>
        <v>5</v>
      </c>
      <c r="J133" s="5" t="str">
        <f>IF(Table44281850[[#This Row],[Old or New?]]="Old",Table44281850[[#This Row],[Post Total]],"")</f>
        <v/>
      </c>
      <c r="K133" s="5" t="b">
        <f>ISNUMBER(Table44281850[[#This Row],[New]])</f>
        <v>1</v>
      </c>
      <c r="L133" s="5" t="b">
        <f>ISNUMBER(Table44281850[[#This Row],[Old]])</f>
        <v>0</v>
      </c>
    </row>
    <row r="134" spans="1:12">
      <c r="A134" s="2" t="s">
        <v>24</v>
      </c>
      <c r="B134" s="2" t="s">
        <v>30</v>
      </c>
      <c r="C134" s="1">
        <v>6</v>
      </c>
      <c r="D134" s="2" t="s">
        <v>16</v>
      </c>
      <c r="E134" s="1">
        <v>6</v>
      </c>
      <c r="F134" s="1">
        <v>5</v>
      </c>
      <c r="G134" s="5">
        <f>IF(IF(Table44281850[[#This Row],[Pre or Post]]="Post",1,0)+IF(ISNUMBER(Table44281850[[#This Row],[Response]])=TRUE,1,0)=2,1,"")</f>
        <v>1</v>
      </c>
      <c r="H134" s="5">
        <f>IF(IF(Table44281850[[#This Row],[Pre or Post]]="Post",1,0)+IF(ISNUMBER(Table44281850[[#This Row],[Response]])=TRUE,1,0)=2,Table44281850[[#This Row],[Response]],"")</f>
        <v>5</v>
      </c>
      <c r="I134" s="5">
        <f>IF(Table44281850[[#This Row],[Old or New?]]="New",Table44281850[[#This Row],[Post Total]],"")</f>
        <v>5</v>
      </c>
      <c r="J134" s="5" t="str">
        <f>IF(Table44281850[[#This Row],[Old or New?]]="Old",Table44281850[[#This Row],[Post Total]],"")</f>
        <v/>
      </c>
      <c r="K134" s="5" t="b">
        <f>ISNUMBER(Table44281850[[#This Row],[New]])</f>
        <v>1</v>
      </c>
      <c r="L134" s="5" t="b">
        <f>ISNUMBER(Table44281850[[#This Row],[Old]])</f>
        <v>0</v>
      </c>
    </row>
    <row r="135" spans="1:12">
      <c r="A135" s="2" t="s">
        <v>24</v>
      </c>
      <c r="B135" s="2" t="s">
        <v>30</v>
      </c>
      <c r="C135" s="1">
        <v>7</v>
      </c>
      <c r="D135" s="2" t="s">
        <v>16</v>
      </c>
      <c r="E135" s="1">
        <v>6</v>
      </c>
      <c r="F135" s="1">
        <v>5</v>
      </c>
      <c r="G135" s="5">
        <f>IF(IF(Table44281850[[#This Row],[Pre or Post]]="Post",1,0)+IF(ISNUMBER(Table44281850[[#This Row],[Response]])=TRUE,1,0)=2,1,"")</f>
        <v>1</v>
      </c>
      <c r="H135" s="5">
        <f>IF(IF(Table44281850[[#This Row],[Pre or Post]]="Post",1,0)+IF(ISNUMBER(Table44281850[[#This Row],[Response]])=TRUE,1,0)=2,Table44281850[[#This Row],[Response]],"")</f>
        <v>5</v>
      </c>
      <c r="I135" s="5">
        <f>IF(Table44281850[[#This Row],[Old or New?]]="New",Table44281850[[#This Row],[Post Total]],"")</f>
        <v>5</v>
      </c>
      <c r="J135" s="5" t="str">
        <f>IF(Table44281850[[#This Row],[Old or New?]]="Old",Table44281850[[#This Row],[Post Total]],"")</f>
        <v/>
      </c>
      <c r="K135" s="5" t="b">
        <f>ISNUMBER(Table44281850[[#This Row],[New]])</f>
        <v>1</v>
      </c>
      <c r="L135" s="5" t="b">
        <f>ISNUMBER(Table44281850[[#This Row],[Old]])</f>
        <v>0</v>
      </c>
    </row>
    <row r="136" spans="1:12">
      <c r="A136" s="2" t="s">
        <v>24</v>
      </c>
      <c r="B136" s="2" t="s">
        <v>30</v>
      </c>
      <c r="C136" s="1">
        <v>8</v>
      </c>
      <c r="D136" s="2" t="s">
        <v>16</v>
      </c>
      <c r="E136" s="1">
        <v>6</v>
      </c>
      <c r="F136" s="1">
        <v>4</v>
      </c>
      <c r="G136" s="5">
        <f>IF(IF(Table44281850[[#This Row],[Pre or Post]]="Post",1,0)+IF(ISNUMBER(Table44281850[[#This Row],[Response]])=TRUE,1,0)=2,1,"")</f>
        <v>1</v>
      </c>
      <c r="H136" s="5">
        <f>IF(IF(Table44281850[[#This Row],[Pre or Post]]="Post",1,0)+IF(ISNUMBER(Table44281850[[#This Row],[Response]])=TRUE,1,0)=2,Table44281850[[#This Row],[Response]],"")</f>
        <v>4</v>
      </c>
      <c r="I136" s="5">
        <f>IF(Table44281850[[#This Row],[Old or New?]]="New",Table44281850[[#This Row],[Post Total]],"")</f>
        <v>4</v>
      </c>
      <c r="J136" s="5" t="str">
        <f>IF(Table44281850[[#This Row],[Old or New?]]="Old",Table44281850[[#This Row],[Post Total]],"")</f>
        <v/>
      </c>
      <c r="K136" s="5" t="b">
        <f>ISNUMBER(Table44281850[[#This Row],[New]])</f>
        <v>1</v>
      </c>
      <c r="L136" s="5" t="b">
        <f>ISNUMBER(Table44281850[[#This Row],[Old]])</f>
        <v>0</v>
      </c>
    </row>
    <row r="137" spans="1:12">
      <c r="A137" s="2" t="s">
        <v>24</v>
      </c>
      <c r="B137" s="2" t="s">
        <v>30</v>
      </c>
      <c r="C137" s="1">
        <v>9</v>
      </c>
      <c r="D137" s="2" t="s">
        <v>16</v>
      </c>
      <c r="E137" s="1">
        <v>6</v>
      </c>
      <c r="F137" s="1">
        <v>5</v>
      </c>
      <c r="G137" s="5">
        <f>IF(IF(Table44281850[[#This Row],[Pre or Post]]="Post",1,0)+IF(ISNUMBER(Table44281850[[#This Row],[Response]])=TRUE,1,0)=2,1,"")</f>
        <v>1</v>
      </c>
      <c r="H137" s="5">
        <f>IF(IF(Table44281850[[#This Row],[Pre or Post]]="Post",1,0)+IF(ISNUMBER(Table44281850[[#This Row],[Response]])=TRUE,1,0)=2,Table44281850[[#This Row],[Response]],"")</f>
        <v>5</v>
      </c>
      <c r="I137" s="5">
        <f>IF(Table44281850[[#This Row],[Old or New?]]="New",Table44281850[[#This Row],[Post Total]],"")</f>
        <v>5</v>
      </c>
      <c r="J137" s="5" t="str">
        <f>IF(Table44281850[[#This Row],[Old or New?]]="Old",Table44281850[[#This Row],[Post Total]],"")</f>
        <v/>
      </c>
      <c r="K137" s="5" t="b">
        <f>ISNUMBER(Table44281850[[#This Row],[New]])</f>
        <v>1</v>
      </c>
      <c r="L137" s="5" t="b">
        <f>ISNUMBER(Table44281850[[#This Row],[Old]])</f>
        <v>0</v>
      </c>
    </row>
    <row r="138" spans="1:12">
      <c r="A138" s="2" t="s">
        <v>24</v>
      </c>
      <c r="B138" s="2" t="s">
        <v>30</v>
      </c>
      <c r="C138" s="1">
        <v>10</v>
      </c>
      <c r="D138" s="2" t="s">
        <v>16</v>
      </c>
      <c r="E138" s="1">
        <v>6</v>
      </c>
      <c r="F138" s="1">
        <v>5</v>
      </c>
      <c r="G138" s="5">
        <f>IF(IF(Table44281850[[#This Row],[Pre or Post]]="Post",1,0)+IF(ISNUMBER(Table44281850[[#This Row],[Response]])=TRUE,1,0)=2,1,"")</f>
        <v>1</v>
      </c>
      <c r="H138" s="5">
        <f>IF(IF(Table44281850[[#This Row],[Pre or Post]]="Post",1,0)+IF(ISNUMBER(Table44281850[[#This Row],[Response]])=TRUE,1,0)=2,Table44281850[[#This Row],[Response]],"")</f>
        <v>5</v>
      </c>
      <c r="I138" s="5">
        <f>IF(Table44281850[[#This Row],[Old or New?]]="New",Table44281850[[#This Row],[Post Total]],"")</f>
        <v>5</v>
      </c>
      <c r="J138" s="5" t="str">
        <f>IF(Table44281850[[#This Row],[Old or New?]]="Old",Table44281850[[#This Row],[Post Total]],"")</f>
        <v/>
      </c>
      <c r="K138" s="5" t="b">
        <f>ISNUMBER(Table44281850[[#This Row],[New]])</f>
        <v>1</v>
      </c>
      <c r="L138" s="5" t="b">
        <f>ISNUMBER(Table44281850[[#This Row],[Old]])</f>
        <v>0</v>
      </c>
    </row>
    <row r="139" spans="1:12">
      <c r="A139" s="2" t="s">
        <v>24</v>
      </c>
      <c r="B139" s="2" t="s">
        <v>30</v>
      </c>
      <c r="C139" s="1">
        <v>11</v>
      </c>
      <c r="D139" s="2" t="s">
        <v>16</v>
      </c>
      <c r="E139" s="1">
        <v>6</v>
      </c>
      <c r="F139" s="1">
        <v>3</v>
      </c>
      <c r="G139" s="5">
        <f>IF(IF(Table44281850[[#This Row],[Pre or Post]]="Post",1,0)+IF(ISNUMBER(Table44281850[[#This Row],[Response]])=TRUE,1,0)=2,1,"")</f>
        <v>1</v>
      </c>
      <c r="H139" s="5">
        <f>IF(IF(Table44281850[[#This Row],[Pre or Post]]="Post",1,0)+IF(ISNUMBER(Table44281850[[#This Row],[Response]])=TRUE,1,0)=2,Table44281850[[#This Row],[Response]],"")</f>
        <v>3</v>
      </c>
      <c r="I139" s="5">
        <f>IF(Table44281850[[#This Row],[Old or New?]]="New",Table44281850[[#This Row],[Post Total]],"")</f>
        <v>3</v>
      </c>
      <c r="J139" s="5" t="str">
        <f>IF(Table44281850[[#This Row],[Old or New?]]="Old",Table44281850[[#This Row],[Post Total]],"")</f>
        <v/>
      </c>
      <c r="K139" s="5" t="b">
        <f>ISNUMBER(Table44281850[[#This Row],[New]])</f>
        <v>1</v>
      </c>
      <c r="L139" s="5" t="b">
        <f>ISNUMBER(Table44281850[[#This Row],[Old]])</f>
        <v>0</v>
      </c>
    </row>
    <row r="140" spans="1:12">
      <c r="A140" s="2" t="s">
        <v>24</v>
      </c>
      <c r="B140" s="2" t="s">
        <v>30</v>
      </c>
      <c r="C140" s="1">
        <v>12</v>
      </c>
      <c r="D140" s="2" t="s">
        <v>16</v>
      </c>
      <c r="E140" s="1">
        <v>6</v>
      </c>
      <c r="F140" s="1">
        <v>5</v>
      </c>
      <c r="G140" s="5">
        <f>IF(IF(Table44281850[[#This Row],[Pre or Post]]="Post",1,0)+IF(ISNUMBER(Table44281850[[#This Row],[Response]])=TRUE,1,0)=2,1,"")</f>
        <v>1</v>
      </c>
      <c r="H140" s="5">
        <f>IF(IF(Table44281850[[#This Row],[Pre or Post]]="Post",1,0)+IF(ISNUMBER(Table44281850[[#This Row],[Response]])=TRUE,1,0)=2,Table44281850[[#This Row],[Response]],"")</f>
        <v>5</v>
      </c>
      <c r="I140" s="5">
        <f>IF(Table44281850[[#This Row],[Old or New?]]="New",Table44281850[[#This Row],[Post Total]],"")</f>
        <v>5</v>
      </c>
      <c r="J140" s="5" t="str">
        <f>IF(Table44281850[[#This Row],[Old or New?]]="Old",Table44281850[[#This Row],[Post Total]],"")</f>
        <v/>
      </c>
      <c r="K140" s="5" t="b">
        <f>ISNUMBER(Table44281850[[#This Row],[New]])</f>
        <v>1</v>
      </c>
      <c r="L140" s="5" t="b">
        <f>ISNUMBER(Table44281850[[#This Row],[Old]])</f>
        <v>0</v>
      </c>
    </row>
    <row r="141" spans="1:12">
      <c r="A141" s="2" t="s">
        <v>24</v>
      </c>
      <c r="B141" s="2" t="s">
        <v>30</v>
      </c>
      <c r="C141" s="1">
        <v>13</v>
      </c>
      <c r="D141" s="2" t="s">
        <v>16</v>
      </c>
      <c r="E141" s="1">
        <v>6</v>
      </c>
      <c r="F141" s="1">
        <v>3</v>
      </c>
      <c r="G141" s="5">
        <f>IF(IF(Table44281850[[#This Row],[Pre or Post]]="Post",1,0)+IF(ISNUMBER(Table44281850[[#This Row],[Response]])=TRUE,1,0)=2,1,"")</f>
        <v>1</v>
      </c>
      <c r="H141" s="5">
        <f>IF(IF(Table44281850[[#This Row],[Pre or Post]]="Post",1,0)+IF(ISNUMBER(Table44281850[[#This Row],[Response]])=TRUE,1,0)=2,Table44281850[[#This Row],[Response]],"")</f>
        <v>3</v>
      </c>
      <c r="I141" s="5">
        <f>IF(Table44281850[[#This Row],[Old or New?]]="New",Table44281850[[#This Row],[Post Total]],"")</f>
        <v>3</v>
      </c>
      <c r="J141" s="5" t="str">
        <f>IF(Table44281850[[#This Row],[Old or New?]]="Old",Table44281850[[#This Row],[Post Total]],"")</f>
        <v/>
      </c>
      <c r="K141" s="5" t="b">
        <f>ISNUMBER(Table44281850[[#This Row],[New]])</f>
        <v>1</v>
      </c>
      <c r="L141" s="5" t="b">
        <f>ISNUMBER(Table44281850[[#This Row],[Old]])</f>
        <v>0</v>
      </c>
    </row>
    <row r="142" spans="1:12">
      <c r="A142" s="2" t="s">
        <v>24</v>
      </c>
      <c r="B142" s="2" t="s">
        <v>30</v>
      </c>
      <c r="C142" s="1">
        <v>14</v>
      </c>
      <c r="D142" s="2" t="s">
        <v>16</v>
      </c>
      <c r="E142" s="1">
        <v>6</v>
      </c>
      <c r="F142" s="1">
        <v>4</v>
      </c>
      <c r="G142" s="5">
        <f>IF(IF(Table44281850[[#This Row],[Pre or Post]]="Post",1,0)+IF(ISNUMBER(Table44281850[[#This Row],[Response]])=TRUE,1,0)=2,1,"")</f>
        <v>1</v>
      </c>
      <c r="H142" s="5">
        <f>IF(IF(Table44281850[[#This Row],[Pre or Post]]="Post",1,0)+IF(ISNUMBER(Table44281850[[#This Row],[Response]])=TRUE,1,0)=2,Table44281850[[#This Row],[Response]],"")</f>
        <v>4</v>
      </c>
      <c r="I142" s="5">
        <f>IF(Table44281850[[#This Row],[Old or New?]]="New",Table44281850[[#This Row],[Post Total]],"")</f>
        <v>4</v>
      </c>
      <c r="J142" s="5" t="str">
        <f>IF(Table44281850[[#This Row],[Old or New?]]="Old",Table44281850[[#This Row],[Post Total]],"")</f>
        <v/>
      </c>
      <c r="K142" s="5" t="b">
        <f>ISNUMBER(Table44281850[[#This Row],[New]])</f>
        <v>1</v>
      </c>
      <c r="L142" s="5" t="b">
        <f>ISNUMBER(Table44281850[[#This Row],[Old]])</f>
        <v>0</v>
      </c>
    </row>
    <row r="143" spans="1:12">
      <c r="A143" s="2" t="s">
        <v>24</v>
      </c>
      <c r="B143" s="2" t="s">
        <v>30</v>
      </c>
      <c r="C143" s="1">
        <v>15</v>
      </c>
      <c r="D143" s="2" t="s">
        <v>16</v>
      </c>
      <c r="E143" s="1">
        <v>6</v>
      </c>
      <c r="F143" s="1">
        <v>3</v>
      </c>
      <c r="G143" s="5">
        <f>IF(IF(Table44281850[[#This Row],[Pre or Post]]="Post",1,0)+IF(ISNUMBER(Table44281850[[#This Row],[Response]])=TRUE,1,0)=2,1,"")</f>
        <v>1</v>
      </c>
      <c r="H143" s="5">
        <f>IF(IF(Table44281850[[#This Row],[Pre or Post]]="Post",1,0)+IF(ISNUMBER(Table44281850[[#This Row],[Response]])=TRUE,1,0)=2,Table44281850[[#This Row],[Response]],"")</f>
        <v>3</v>
      </c>
      <c r="I143" s="5">
        <f>IF(Table44281850[[#This Row],[Old or New?]]="New",Table44281850[[#This Row],[Post Total]],"")</f>
        <v>3</v>
      </c>
      <c r="J143" s="5" t="str">
        <f>IF(Table44281850[[#This Row],[Old or New?]]="Old",Table44281850[[#This Row],[Post Total]],"")</f>
        <v/>
      </c>
      <c r="K143" s="5" t="b">
        <f>ISNUMBER(Table44281850[[#This Row],[New]])</f>
        <v>1</v>
      </c>
      <c r="L143" s="5" t="b">
        <f>ISNUMBER(Table44281850[[#This Row],[Old]])</f>
        <v>0</v>
      </c>
    </row>
    <row r="144" spans="1:12">
      <c r="A144" s="2" t="s">
        <v>24</v>
      </c>
      <c r="B144" s="2" t="s">
        <v>30</v>
      </c>
      <c r="C144" s="1">
        <v>16</v>
      </c>
      <c r="D144" s="2" t="s">
        <v>16</v>
      </c>
      <c r="E144" s="1">
        <v>6</v>
      </c>
      <c r="F144" s="1">
        <v>5</v>
      </c>
      <c r="G144" s="5">
        <f>IF(IF(Table44281850[[#This Row],[Pre or Post]]="Post",1,0)+IF(ISNUMBER(Table44281850[[#This Row],[Response]])=TRUE,1,0)=2,1,"")</f>
        <v>1</v>
      </c>
      <c r="H144" s="5">
        <f>IF(IF(Table44281850[[#This Row],[Pre or Post]]="Post",1,0)+IF(ISNUMBER(Table44281850[[#This Row],[Response]])=TRUE,1,0)=2,Table44281850[[#This Row],[Response]],"")</f>
        <v>5</v>
      </c>
      <c r="I144" s="5">
        <f>IF(Table44281850[[#This Row],[Old or New?]]="New",Table44281850[[#This Row],[Post Total]],"")</f>
        <v>5</v>
      </c>
      <c r="J144" s="5" t="str">
        <f>IF(Table44281850[[#This Row],[Old or New?]]="Old",Table44281850[[#This Row],[Post Total]],"")</f>
        <v/>
      </c>
      <c r="K144" s="5" t="b">
        <f>ISNUMBER(Table44281850[[#This Row],[New]])</f>
        <v>1</v>
      </c>
      <c r="L144" s="5" t="b">
        <f>ISNUMBER(Table44281850[[#This Row],[Old]])</f>
        <v>0</v>
      </c>
    </row>
    <row r="145" spans="1:12">
      <c r="A145" s="2" t="s">
        <v>24</v>
      </c>
      <c r="B145" s="2" t="s">
        <v>30</v>
      </c>
      <c r="C145" s="1">
        <v>17</v>
      </c>
      <c r="D145" s="2" t="s">
        <v>16</v>
      </c>
      <c r="E145" s="1">
        <v>6</v>
      </c>
      <c r="F145" s="1">
        <v>4</v>
      </c>
      <c r="G145" s="5">
        <f>IF(IF(Table44281850[[#This Row],[Pre or Post]]="Post",1,0)+IF(ISNUMBER(Table44281850[[#This Row],[Response]])=TRUE,1,0)=2,1,"")</f>
        <v>1</v>
      </c>
      <c r="H145" s="5">
        <f>IF(IF(Table44281850[[#This Row],[Pre or Post]]="Post",1,0)+IF(ISNUMBER(Table44281850[[#This Row],[Response]])=TRUE,1,0)=2,Table44281850[[#This Row],[Response]],"")</f>
        <v>4</v>
      </c>
      <c r="I145" s="5">
        <f>IF(Table44281850[[#This Row],[Old or New?]]="New",Table44281850[[#This Row],[Post Total]],"")</f>
        <v>4</v>
      </c>
      <c r="J145" s="5" t="str">
        <f>IF(Table44281850[[#This Row],[Old or New?]]="Old",Table44281850[[#This Row],[Post Total]],"")</f>
        <v/>
      </c>
      <c r="K145" s="5" t="b">
        <f>ISNUMBER(Table44281850[[#This Row],[New]])</f>
        <v>1</v>
      </c>
      <c r="L145" s="5" t="b">
        <f>ISNUMBER(Table44281850[[#This Row],[Old]])</f>
        <v>0</v>
      </c>
    </row>
    <row r="146" spans="1:12">
      <c r="A146" s="2" t="s">
        <v>24</v>
      </c>
      <c r="B146" s="2" t="s">
        <v>30</v>
      </c>
      <c r="C146" s="1">
        <v>18</v>
      </c>
      <c r="D146" s="2" t="s">
        <v>16</v>
      </c>
      <c r="E146" s="1">
        <v>6</v>
      </c>
      <c r="F146" s="1">
        <v>3</v>
      </c>
      <c r="G146" s="5">
        <f>IF(IF(Table44281850[[#This Row],[Pre or Post]]="Post",1,0)+IF(ISNUMBER(Table44281850[[#This Row],[Response]])=TRUE,1,0)=2,1,"")</f>
        <v>1</v>
      </c>
      <c r="H146" s="5">
        <f>IF(IF(Table44281850[[#This Row],[Pre or Post]]="Post",1,0)+IF(ISNUMBER(Table44281850[[#This Row],[Response]])=TRUE,1,0)=2,Table44281850[[#This Row],[Response]],"")</f>
        <v>3</v>
      </c>
      <c r="I146" s="5">
        <f>IF(Table44281850[[#This Row],[Old or New?]]="New",Table44281850[[#This Row],[Post Total]],"")</f>
        <v>3</v>
      </c>
      <c r="J146" s="5" t="str">
        <f>IF(Table44281850[[#This Row],[Old or New?]]="Old",Table44281850[[#This Row],[Post Total]],"")</f>
        <v/>
      </c>
      <c r="K146" s="5" t="b">
        <f>ISNUMBER(Table44281850[[#This Row],[New]])</f>
        <v>1</v>
      </c>
      <c r="L146" s="5" t="b">
        <f>ISNUMBER(Table44281850[[#This Row],[Old]])</f>
        <v>0</v>
      </c>
    </row>
    <row r="147" spans="1:12">
      <c r="A147" s="2" t="s">
        <v>24</v>
      </c>
      <c r="B147" s="2" t="s">
        <v>30</v>
      </c>
      <c r="C147" s="2">
        <v>19</v>
      </c>
      <c r="D147" s="2" t="s">
        <v>16</v>
      </c>
      <c r="E147" s="1">
        <v>6</v>
      </c>
      <c r="F147" s="1">
        <v>3</v>
      </c>
      <c r="G147" s="5">
        <f>IF(IF(Table44281850[[#This Row],[Pre or Post]]="Post",1,0)+IF(ISNUMBER(Table44281850[[#This Row],[Response]])=TRUE,1,0)=2,1,"")</f>
        <v>1</v>
      </c>
      <c r="H147" s="5">
        <f>IF(IF(Table44281850[[#This Row],[Pre or Post]]="Post",1,0)+IF(ISNUMBER(Table44281850[[#This Row],[Response]])=TRUE,1,0)=2,Table44281850[[#This Row],[Response]],"")</f>
        <v>3</v>
      </c>
      <c r="I147" s="5">
        <f>IF(Table44281850[[#This Row],[Old or New?]]="New",Table44281850[[#This Row],[Post Total]],"")</f>
        <v>3</v>
      </c>
      <c r="J147" s="5" t="str">
        <f>IF(Table44281850[[#This Row],[Old or New?]]="Old",Table44281850[[#This Row],[Post Total]],"")</f>
        <v/>
      </c>
      <c r="K147" s="5" t="b">
        <f>ISNUMBER(Table44281850[[#This Row],[New]])</f>
        <v>1</v>
      </c>
      <c r="L147" s="5" t="b">
        <f>ISNUMBER(Table44281850[[#This Row],[Old]])</f>
        <v>0</v>
      </c>
    </row>
    <row r="148" spans="1:12">
      <c r="A148" s="2" t="s">
        <v>24</v>
      </c>
      <c r="B148" s="2" t="s">
        <v>31</v>
      </c>
      <c r="C148" s="1">
        <v>1</v>
      </c>
      <c r="D148" s="2" t="s">
        <v>16</v>
      </c>
      <c r="E148" s="1">
        <v>6</v>
      </c>
      <c r="F148" s="1">
        <v>5</v>
      </c>
      <c r="G148" s="5">
        <f>IF(IF(Table44281850[[#This Row],[Pre or Post]]="Post",1,0)+IF(ISNUMBER(Table44281850[[#This Row],[Response]])=TRUE,1,0)=2,1,"")</f>
        <v>1</v>
      </c>
      <c r="H148" s="5">
        <f>IF(IF(Table44281850[[#This Row],[Pre or Post]]="Post",1,0)+IF(ISNUMBER(Table44281850[[#This Row],[Response]])=TRUE,1,0)=2,Table44281850[[#This Row],[Response]],"")</f>
        <v>5</v>
      </c>
      <c r="I148" s="5">
        <f>IF(Table44281850[[#This Row],[Old or New?]]="New",Table44281850[[#This Row],[Post Total]],"")</f>
        <v>5</v>
      </c>
      <c r="J148" s="5" t="str">
        <f>IF(Table44281850[[#This Row],[Old or New?]]="Old",Table44281850[[#This Row],[Post Total]],"")</f>
        <v/>
      </c>
      <c r="K148" s="5" t="b">
        <f>ISNUMBER(Table44281850[[#This Row],[New]])</f>
        <v>1</v>
      </c>
      <c r="L148" s="5" t="b">
        <f>ISNUMBER(Table44281850[[#This Row],[Old]])</f>
        <v>0</v>
      </c>
    </row>
    <row r="149" spans="1:12">
      <c r="A149" s="2" t="s">
        <v>24</v>
      </c>
      <c r="B149" s="2" t="s">
        <v>31</v>
      </c>
      <c r="C149" s="1">
        <v>2</v>
      </c>
      <c r="D149" s="2" t="s">
        <v>16</v>
      </c>
      <c r="E149" s="1">
        <v>6</v>
      </c>
      <c r="F149" s="1">
        <v>5</v>
      </c>
      <c r="G149" s="5">
        <f>IF(IF(Table44281850[[#This Row],[Pre or Post]]="Post",1,0)+IF(ISNUMBER(Table44281850[[#This Row],[Response]])=TRUE,1,0)=2,1,"")</f>
        <v>1</v>
      </c>
      <c r="H149" s="5">
        <f>IF(IF(Table44281850[[#This Row],[Pre or Post]]="Post",1,0)+IF(ISNUMBER(Table44281850[[#This Row],[Response]])=TRUE,1,0)=2,Table44281850[[#This Row],[Response]],"")</f>
        <v>5</v>
      </c>
      <c r="I149" s="5">
        <f>IF(Table44281850[[#This Row],[Old or New?]]="New",Table44281850[[#This Row],[Post Total]],"")</f>
        <v>5</v>
      </c>
      <c r="J149" s="5" t="str">
        <f>IF(Table44281850[[#This Row],[Old or New?]]="Old",Table44281850[[#This Row],[Post Total]],"")</f>
        <v/>
      </c>
      <c r="K149" s="5" t="b">
        <f>ISNUMBER(Table44281850[[#This Row],[New]])</f>
        <v>1</v>
      </c>
      <c r="L149" s="5" t="b">
        <f>ISNUMBER(Table44281850[[#This Row],[Old]])</f>
        <v>0</v>
      </c>
    </row>
    <row r="150" spans="1:12">
      <c r="A150" s="2" t="s">
        <v>24</v>
      </c>
      <c r="B150" s="2" t="s">
        <v>31</v>
      </c>
      <c r="C150" s="1">
        <v>3</v>
      </c>
      <c r="D150" s="2" t="s">
        <v>16</v>
      </c>
      <c r="E150" s="1">
        <v>6</v>
      </c>
      <c r="F150" s="1">
        <v>4</v>
      </c>
      <c r="G150" s="5">
        <f>IF(IF(Table44281850[[#This Row],[Pre or Post]]="Post",1,0)+IF(ISNUMBER(Table44281850[[#This Row],[Response]])=TRUE,1,0)=2,1,"")</f>
        <v>1</v>
      </c>
      <c r="H150" s="5">
        <f>IF(IF(Table44281850[[#This Row],[Pre or Post]]="Post",1,0)+IF(ISNUMBER(Table44281850[[#This Row],[Response]])=TRUE,1,0)=2,Table44281850[[#This Row],[Response]],"")</f>
        <v>4</v>
      </c>
      <c r="I150" s="5">
        <f>IF(Table44281850[[#This Row],[Old or New?]]="New",Table44281850[[#This Row],[Post Total]],"")</f>
        <v>4</v>
      </c>
      <c r="J150" s="5" t="str">
        <f>IF(Table44281850[[#This Row],[Old or New?]]="Old",Table44281850[[#This Row],[Post Total]],"")</f>
        <v/>
      </c>
      <c r="K150" s="5" t="b">
        <f>ISNUMBER(Table44281850[[#This Row],[New]])</f>
        <v>1</v>
      </c>
      <c r="L150" s="5" t="b">
        <f>ISNUMBER(Table44281850[[#This Row],[Old]])</f>
        <v>0</v>
      </c>
    </row>
    <row r="151" spans="1:12">
      <c r="A151" s="2" t="s">
        <v>24</v>
      </c>
      <c r="B151" s="2" t="s">
        <v>31</v>
      </c>
      <c r="C151" s="1">
        <v>4</v>
      </c>
      <c r="D151" s="2" t="s">
        <v>16</v>
      </c>
      <c r="E151" s="1">
        <v>6</v>
      </c>
      <c r="F151" s="1">
        <v>5</v>
      </c>
      <c r="G151" s="5">
        <f>IF(IF(Table44281850[[#This Row],[Pre or Post]]="Post",1,0)+IF(ISNUMBER(Table44281850[[#This Row],[Response]])=TRUE,1,0)=2,1,"")</f>
        <v>1</v>
      </c>
      <c r="H151" s="5">
        <f>IF(IF(Table44281850[[#This Row],[Pre or Post]]="Post",1,0)+IF(ISNUMBER(Table44281850[[#This Row],[Response]])=TRUE,1,0)=2,Table44281850[[#This Row],[Response]],"")</f>
        <v>5</v>
      </c>
      <c r="I151" s="5">
        <f>IF(Table44281850[[#This Row],[Old or New?]]="New",Table44281850[[#This Row],[Post Total]],"")</f>
        <v>5</v>
      </c>
      <c r="J151" s="5" t="str">
        <f>IF(Table44281850[[#This Row],[Old or New?]]="Old",Table44281850[[#This Row],[Post Total]],"")</f>
        <v/>
      </c>
      <c r="K151" s="5" t="b">
        <f>ISNUMBER(Table44281850[[#This Row],[New]])</f>
        <v>1</v>
      </c>
      <c r="L151" s="5" t="b">
        <f>ISNUMBER(Table44281850[[#This Row],[Old]])</f>
        <v>0</v>
      </c>
    </row>
    <row r="152" spans="1:12">
      <c r="A152" s="2" t="s">
        <v>24</v>
      </c>
      <c r="B152" s="2" t="s">
        <v>31</v>
      </c>
      <c r="C152" s="1">
        <v>5</v>
      </c>
      <c r="D152" s="2" t="s">
        <v>16</v>
      </c>
      <c r="E152" s="1">
        <v>6</v>
      </c>
      <c r="F152" s="1">
        <v>3</v>
      </c>
      <c r="G152" s="5">
        <f>IF(IF(Table44281850[[#This Row],[Pre or Post]]="Post",1,0)+IF(ISNUMBER(Table44281850[[#This Row],[Response]])=TRUE,1,0)=2,1,"")</f>
        <v>1</v>
      </c>
      <c r="H152" s="5">
        <f>IF(IF(Table44281850[[#This Row],[Pre or Post]]="Post",1,0)+IF(ISNUMBER(Table44281850[[#This Row],[Response]])=TRUE,1,0)=2,Table44281850[[#This Row],[Response]],"")</f>
        <v>3</v>
      </c>
      <c r="I152" s="5">
        <f>IF(Table44281850[[#This Row],[Old or New?]]="New",Table44281850[[#This Row],[Post Total]],"")</f>
        <v>3</v>
      </c>
      <c r="J152" s="5" t="str">
        <f>IF(Table44281850[[#This Row],[Old or New?]]="Old",Table44281850[[#This Row],[Post Total]],"")</f>
        <v/>
      </c>
      <c r="K152" s="5" t="b">
        <f>ISNUMBER(Table44281850[[#This Row],[New]])</f>
        <v>1</v>
      </c>
      <c r="L152" s="5" t="b">
        <f>ISNUMBER(Table44281850[[#This Row],[Old]])</f>
        <v>0</v>
      </c>
    </row>
    <row r="153" spans="1:12">
      <c r="A153" s="2" t="s">
        <v>24</v>
      </c>
      <c r="B153" s="2" t="s">
        <v>31</v>
      </c>
      <c r="C153" s="1">
        <v>6</v>
      </c>
      <c r="D153" s="2" t="s">
        <v>16</v>
      </c>
      <c r="E153" s="1">
        <v>6</v>
      </c>
      <c r="F153" s="1">
        <v>4</v>
      </c>
      <c r="G153" s="5">
        <f>IF(IF(Table44281850[[#This Row],[Pre or Post]]="Post",1,0)+IF(ISNUMBER(Table44281850[[#This Row],[Response]])=TRUE,1,0)=2,1,"")</f>
        <v>1</v>
      </c>
      <c r="H153" s="5">
        <f>IF(IF(Table44281850[[#This Row],[Pre or Post]]="Post",1,0)+IF(ISNUMBER(Table44281850[[#This Row],[Response]])=TRUE,1,0)=2,Table44281850[[#This Row],[Response]],"")</f>
        <v>4</v>
      </c>
      <c r="I153" s="5">
        <f>IF(Table44281850[[#This Row],[Old or New?]]="New",Table44281850[[#This Row],[Post Total]],"")</f>
        <v>4</v>
      </c>
      <c r="J153" s="5" t="str">
        <f>IF(Table44281850[[#This Row],[Old or New?]]="Old",Table44281850[[#This Row],[Post Total]],"")</f>
        <v/>
      </c>
      <c r="K153" s="5" t="b">
        <f>ISNUMBER(Table44281850[[#This Row],[New]])</f>
        <v>1</v>
      </c>
      <c r="L153" s="5" t="b">
        <f>ISNUMBER(Table44281850[[#This Row],[Old]])</f>
        <v>0</v>
      </c>
    </row>
    <row r="154" spans="1:12">
      <c r="A154" s="2" t="s">
        <v>24</v>
      </c>
      <c r="B154" s="2" t="s">
        <v>31</v>
      </c>
      <c r="C154" s="1">
        <v>7</v>
      </c>
      <c r="D154" s="2" t="s">
        <v>16</v>
      </c>
      <c r="E154" s="1">
        <v>6</v>
      </c>
      <c r="F154" s="1">
        <v>5</v>
      </c>
      <c r="G154" s="5">
        <f>IF(IF(Table44281850[[#This Row],[Pre or Post]]="Post",1,0)+IF(ISNUMBER(Table44281850[[#This Row],[Response]])=TRUE,1,0)=2,1,"")</f>
        <v>1</v>
      </c>
      <c r="H154" s="5">
        <f>IF(IF(Table44281850[[#This Row],[Pre or Post]]="Post",1,0)+IF(ISNUMBER(Table44281850[[#This Row],[Response]])=TRUE,1,0)=2,Table44281850[[#This Row],[Response]],"")</f>
        <v>5</v>
      </c>
      <c r="I154" s="5">
        <f>IF(Table44281850[[#This Row],[Old or New?]]="New",Table44281850[[#This Row],[Post Total]],"")</f>
        <v>5</v>
      </c>
      <c r="J154" s="5" t="str">
        <f>IF(Table44281850[[#This Row],[Old or New?]]="Old",Table44281850[[#This Row],[Post Total]],"")</f>
        <v/>
      </c>
      <c r="K154" s="5" t="b">
        <f>ISNUMBER(Table44281850[[#This Row],[New]])</f>
        <v>1</v>
      </c>
      <c r="L154" s="5" t="b">
        <f>ISNUMBER(Table44281850[[#This Row],[Old]])</f>
        <v>0</v>
      </c>
    </row>
    <row r="155" spans="1:12">
      <c r="A155" s="2" t="s">
        <v>24</v>
      </c>
      <c r="B155" s="2" t="s">
        <v>31</v>
      </c>
      <c r="C155" s="1">
        <v>8</v>
      </c>
      <c r="D155" s="2" t="s">
        <v>16</v>
      </c>
      <c r="E155" s="1">
        <v>6</v>
      </c>
      <c r="F155" s="1">
        <v>4</v>
      </c>
      <c r="G155" s="5">
        <f>IF(IF(Table44281850[[#This Row],[Pre or Post]]="Post",1,0)+IF(ISNUMBER(Table44281850[[#This Row],[Response]])=TRUE,1,0)=2,1,"")</f>
        <v>1</v>
      </c>
      <c r="H155" s="5">
        <f>IF(IF(Table44281850[[#This Row],[Pre or Post]]="Post",1,0)+IF(ISNUMBER(Table44281850[[#This Row],[Response]])=TRUE,1,0)=2,Table44281850[[#This Row],[Response]],"")</f>
        <v>4</v>
      </c>
      <c r="I155" s="5">
        <f>IF(Table44281850[[#This Row],[Old or New?]]="New",Table44281850[[#This Row],[Post Total]],"")</f>
        <v>4</v>
      </c>
      <c r="J155" s="5" t="str">
        <f>IF(Table44281850[[#This Row],[Old or New?]]="Old",Table44281850[[#This Row],[Post Total]],"")</f>
        <v/>
      </c>
      <c r="K155" s="5" t="b">
        <f>ISNUMBER(Table44281850[[#This Row],[New]])</f>
        <v>1</v>
      </c>
      <c r="L155" s="5" t="b">
        <f>ISNUMBER(Table44281850[[#This Row],[Old]])</f>
        <v>0</v>
      </c>
    </row>
    <row r="156" spans="1:12">
      <c r="A156" s="2" t="s">
        <v>24</v>
      </c>
      <c r="B156" s="2" t="s">
        <v>31</v>
      </c>
      <c r="C156" s="1">
        <v>9</v>
      </c>
      <c r="D156" s="2" t="s">
        <v>16</v>
      </c>
      <c r="E156" s="1">
        <v>6</v>
      </c>
      <c r="F156" s="1">
        <v>5</v>
      </c>
      <c r="G156" s="5">
        <f>IF(IF(Table44281850[[#This Row],[Pre or Post]]="Post",1,0)+IF(ISNUMBER(Table44281850[[#This Row],[Response]])=TRUE,1,0)=2,1,"")</f>
        <v>1</v>
      </c>
      <c r="H156" s="5">
        <f>IF(IF(Table44281850[[#This Row],[Pre or Post]]="Post",1,0)+IF(ISNUMBER(Table44281850[[#This Row],[Response]])=TRUE,1,0)=2,Table44281850[[#This Row],[Response]],"")</f>
        <v>5</v>
      </c>
      <c r="I156" s="5">
        <f>IF(Table44281850[[#This Row],[Old or New?]]="New",Table44281850[[#This Row],[Post Total]],"")</f>
        <v>5</v>
      </c>
      <c r="J156" s="5" t="str">
        <f>IF(Table44281850[[#This Row],[Old or New?]]="Old",Table44281850[[#This Row],[Post Total]],"")</f>
        <v/>
      </c>
      <c r="K156" s="5" t="b">
        <f>ISNUMBER(Table44281850[[#This Row],[New]])</f>
        <v>1</v>
      </c>
      <c r="L156" s="5" t="b">
        <f>ISNUMBER(Table44281850[[#This Row],[Old]])</f>
        <v>0</v>
      </c>
    </row>
    <row r="157" spans="1:12">
      <c r="A157" s="2" t="s">
        <v>24</v>
      </c>
      <c r="B157" s="2" t="s">
        <v>31</v>
      </c>
      <c r="C157" s="1">
        <v>10</v>
      </c>
      <c r="D157" s="2" t="s">
        <v>16</v>
      </c>
      <c r="E157" s="1">
        <v>6</v>
      </c>
      <c r="F157" s="1">
        <v>5</v>
      </c>
      <c r="G157" s="5">
        <f>IF(IF(Table44281850[[#This Row],[Pre or Post]]="Post",1,0)+IF(ISNUMBER(Table44281850[[#This Row],[Response]])=TRUE,1,0)=2,1,"")</f>
        <v>1</v>
      </c>
      <c r="H157" s="5">
        <f>IF(IF(Table44281850[[#This Row],[Pre or Post]]="Post",1,0)+IF(ISNUMBER(Table44281850[[#This Row],[Response]])=TRUE,1,0)=2,Table44281850[[#This Row],[Response]],"")</f>
        <v>5</v>
      </c>
      <c r="I157" s="5">
        <f>IF(Table44281850[[#This Row],[Old or New?]]="New",Table44281850[[#This Row],[Post Total]],"")</f>
        <v>5</v>
      </c>
      <c r="J157" s="5" t="str">
        <f>IF(Table44281850[[#This Row],[Old or New?]]="Old",Table44281850[[#This Row],[Post Total]],"")</f>
        <v/>
      </c>
      <c r="K157" s="5" t="b">
        <f>ISNUMBER(Table44281850[[#This Row],[New]])</f>
        <v>1</v>
      </c>
      <c r="L157" s="5" t="b">
        <f>ISNUMBER(Table44281850[[#This Row],[Old]])</f>
        <v>0</v>
      </c>
    </row>
    <row r="158" spans="1:12">
      <c r="A158" s="2" t="s">
        <v>24</v>
      </c>
      <c r="B158" s="2" t="s">
        <v>31</v>
      </c>
      <c r="C158" s="1">
        <v>11</v>
      </c>
      <c r="D158" s="2" t="s">
        <v>16</v>
      </c>
      <c r="E158" s="1">
        <v>6</v>
      </c>
      <c r="F158" s="1">
        <v>4</v>
      </c>
      <c r="G158" s="5">
        <f>IF(IF(Table44281850[[#This Row],[Pre or Post]]="Post",1,0)+IF(ISNUMBER(Table44281850[[#This Row],[Response]])=TRUE,1,0)=2,1,"")</f>
        <v>1</v>
      </c>
      <c r="H158" s="5">
        <f>IF(IF(Table44281850[[#This Row],[Pre or Post]]="Post",1,0)+IF(ISNUMBER(Table44281850[[#This Row],[Response]])=TRUE,1,0)=2,Table44281850[[#This Row],[Response]],"")</f>
        <v>4</v>
      </c>
      <c r="I158" s="5">
        <f>IF(Table44281850[[#This Row],[Old or New?]]="New",Table44281850[[#This Row],[Post Total]],"")</f>
        <v>4</v>
      </c>
      <c r="J158" s="5" t="str">
        <f>IF(Table44281850[[#This Row],[Old or New?]]="Old",Table44281850[[#This Row],[Post Total]],"")</f>
        <v/>
      </c>
      <c r="K158" s="5" t="b">
        <f>ISNUMBER(Table44281850[[#This Row],[New]])</f>
        <v>1</v>
      </c>
      <c r="L158" s="5" t="b">
        <f>ISNUMBER(Table44281850[[#This Row],[Old]])</f>
        <v>0</v>
      </c>
    </row>
    <row r="159" spans="1:12">
      <c r="A159" s="2" t="s">
        <v>24</v>
      </c>
      <c r="B159" s="2" t="s">
        <v>31</v>
      </c>
      <c r="C159" s="1">
        <v>12</v>
      </c>
      <c r="D159" s="2" t="s">
        <v>16</v>
      </c>
      <c r="E159" s="1">
        <v>6</v>
      </c>
      <c r="F159" s="1">
        <v>4</v>
      </c>
      <c r="G159" s="5">
        <f>IF(IF(Table44281850[[#This Row],[Pre or Post]]="Post",1,0)+IF(ISNUMBER(Table44281850[[#This Row],[Response]])=TRUE,1,0)=2,1,"")</f>
        <v>1</v>
      </c>
      <c r="H159" s="5">
        <f>IF(IF(Table44281850[[#This Row],[Pre or Post]]="Post",1,0)+IF(ISNUMBER(Table44281850[[#This Row],[Response]])=TRUE,1,0)=2,Table44281850[[#This Row],[Response]],"")</f>
        <v>4</v>
      </c>
      <c r="I159" s="5">
        <f>IF(Table44281850[[#This Row],[Old or New?]]="New",Table44281850[[#This Row],[Post Total]],"")</f>
        <v>4</v>
      </c>
      <c r="J159" s="5" t="str">
        <f>IF(Table44281850[[#This Row],[Old or New?]]="Old",Table44281850[[#This Row],[Post Total]],"")</f>
        <v/>
      </c>
      <c r="K159" s="5" t="b">
        <f>ISNUMBER(Table44281850[[#This Row],[New]])</f>
        <v>1</v>
      </c>
      <c r="L159" s="5" t="b">
        <f>ISNUMBER(Table44281850[[#This Row],[Old]])</f>
        <v>0</v>
      </c>
    </row>
    <row r="160" spans="1:12">
      <c r="A160" s="2" t="s">
        <v>24</v>
      </c>
      <c r="B160" s="2" t="s">
        <v>31</v>
      </c>
      <c r="C160" s="1">
        <v>13</v>
      </c>
      <c r="D160" s="2" t="s">
        <v>16</v>
      </c>
      <c r="E160" s="1">
        <v>6</v>
      </c>
      <c r="F160" s="1">
        <v>2</v>
      </c>
      <c r="G160" s="5">
        <f>IF(IF(Table44281850[[#This Row],[Pre or Post]]="Post",1,0)+IF(ISNUMBER(Table44281850[[#This Row],[Response]])=TRUE,1,0)=2,1,"")</f>
        <v>1</v>
      </c>
      <c r="H160" s="5">
        <f>IF(IF(Table44281850[[#This Row],[Pre or Post]]="Post",1,0)+IF(ISNUMBER(Table44281850[[#This Row],[Response]])=TRUE,1,0)=2,Table44281850[[#This Row],[Response]],"")</f>
        <v>2</v>
      </c>
      <c r="I160" s="5">
        <f>IF(Table44281850[[#This Row],[Old or New?]]="New",Table44281850[[#This Row],[Post Total]],"")</f>
        <v>2</v>
      </c>
      <c r="J160" s="5" t="str">
        <f>IF(Table44281850[[#This Row],[Old or New?]]="Old",Table44281850[[#This Row],[Post Total]],"")</f>
        <v/>
      </c>
      <c r="K160" s="5" t="b">
        <f>ISNUMBER(Table44281850[[#This Row],[New]])</f>
        <v>1</v>
      </c>
      <c r="L160" s="5" t="b">
        <f>ISNUMBER(Table44281850[[#This Row],[Old]])</f>
        <v>0</v>
      </c>
    </row>
    <row r="161" spans="1:14">
      <c r="A161" s="2" t="s">
        <v>24</v>
      </c>
      <c r="B161" s="2" t="s">
        <v>31</v>
      </c>
      <c r="C161" s="1">
        <v>14</v>
      </c>
      <c r="D161" s="2" t="s">
        <v>16</v>
      </c>
      <c r="E161" s="1">
        <v>6</v>
      </c>
      <c r="F161" s="1">
        <v>3</v>
      </c>
      <c r="G161" s="5">
        <f>IF(IF(Table44281850[[#This Row],[Pre or Post]]="Post",1,0)+IF(ISNUMBER(Table44281850[[#This Row],[Response]])=TRUE,1,0)=2,1,"")</f>
        <v>1</v>
      </c>
      <c r="H161" s="5">
        <f>IF(IF(Table44281850[[#This Row],[Pre or Post]]="Post",1,0)+IF(ISNUMBER(Table44281850[[#This Row],[Response]])=TRUE,1,0)=2,Table44281850[[#This Row],[Response]],"")</f>
        <v>3</v>
      </c>
      <c r="I161" s="5">
        <f>IF(Table44281850[[#This Row],[Old or New?]]="New",Table44281850[[#This Row],[Post Total]],"")</f>
        <v>3</v>
      </c>
      <c r="J161" s="5" t="str">
        <f>IF(Table44281850[[#This Row],[Old or New?]]="Old",Table44281850[[#This Row],[Post Total]],"")</f>
        <v/>
      </c>
      <c r="K161" s="5" t="b">
        <f>ISNUMBER(Table44281850[[#This Row],[New]])</f>
        <v>1</v>
      </c>
      <c r="L161" s="5" t="b">
        <f>ISNUMBER(Table44281850[[#This Row],[Old]])</f>
        <v>0</v>
      </c>
    </row>
    <row r="162" spans="1:14">
      <c r="A162" s="2" t="s">
        <v>24</v>
      </c>
      <c r="B162" s="2" t="s">
        <v>31</v>
      </c>
      <c r="C162" s="1">
        <v>15</v>
      </c>
      <c r="D162" s="2" t="s">
        <v>16</v>
      </c>
      <c r="E162" s="1">
        <v>6</v>
      </c>
      <c r="F162" s="1">
        <v>5</v>
      </c>
      <c r="G162" s="5">
        <f>IF(IF(Table44281850[[#This Row],[Pre or Post]]="Post",1,0)+IF(ISNUMBER(Table44281850[[#This Row],[Response]])=TRUE,1,0)=2,1,"")</f>
        <v>1</v>
      </c>
      <c r="H162" s="5">
        <f>IF(IF(Table44281850[[#This Row],[Pre or Post]]="Post",1,0)+IF(ISNUMBER(Table44281850[[#This Row],[Response]])=TRUE,1,0)=2,Table44281850[[#This Row],[Response]],"")</f>
        <v>5</v>
      </c>
      <c r="I162" s="5">
        <f>IF(Table44281850[[#This Row],[Old or New?]]="New",Table44281850[[#This Row],[Post Total]],"")</f>
        <v>5</v>
      </c>
      <c r="J162" s="5" t="str">
        <f>IF(Table44281850[[#This Row],[Old or New?]]="Old",Table44281850[[#This Row],[Post Total]],"")</f>
        <v/>
      </c>
      <c r="K162" s="5" t="b">
        <f>ISNUMBER(Table44281850[[#This Row],[New]])</f>
        <v>1</v>
      </c>
      <c r="L162" s="5" t="b">
        <f>ISNUMBER(Table44281850[[#This Row],[Old]])</f>
        <v>0</v>
      </c>
    </row>
    <row r="163" spans="1:14">
      <c r="A163" s="2"/>
      <c r="B163" s="2"/>
      <c r="C163" s="2"/>
      <c r="D163" s="2"/>
      <c r="E163" s="2"/>
      <c r="F163" s="2">
        <f>SUM([Response])</f>
        <v>595.5</v>
      </c>
      <c r="G163" s="6">
        <f>SUM([Answered?])</f>
        <v>156</v>
      </c>
      <c r="H163" s="2">
        <f>SUM([Post Total])</f>
        <v>595.5</v>
      </c>
      <c r="I163" s="2">
        <f>SUM([New])</f>
        <v>357</v>
      </c>
      <c r="J163" s="2">
        <f>SUM([Old])</f>
        <v>238.5</v>
      </c>
      <c r="K163" s="2">
        <f>COUNTIF([Count New],"TRUE")</f>
        <v>95</v>
      </c>
      <c r="L163" s="2">
        <f>COUNTIF([Count Old],"TRUE")</f>
        <v>61</v>
      </c>
    </row>
    <row r="164" spans="1:14">
      <c r="A164" s="2"/>
      <c r="B164" s="2"/>
      <c r="C164" s="2"/>
      <c r="D164" s="2"/>
      <c r="E164" s="2"/>
      <c r="F164" s="2"/>
      <c r="G164" s="6"/>
      <c r="H164" s="2"/>
      <c r="I164" s="2"/>
      <c r="J164" s="2"/>
    </row>
    <row r="165" spans="1:14" ht="30">
      <c r="A165" s="16" t="s">
        <v>4</v>
      </c>
      <c r="B165" s="16" t="s">
        <v>36</v>
      </c>
      <c r="C165" s="16" t="s">
        <v>37</v>
      </c>
      <c r="D165" s="16" t="s">
        <v>68</v>
      </c>
      <c r="E165" s="16" t="s">
        <v>69</v>
      </c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>
      <c r="A166" s="1" t="s">
        <v>16</v>
      </c>
      <c r="B166" s="1">
        <f>COUNTIF(Table44281850[Pre or Post],"Post")</f>
        <v>161</v>
      </c>
      <c r="C166" s="1">
        <f>Table44281850[[#Totals],[Answered?]]</f>
        <v>156</v>
      </c>
      <c r="D166" s="1">
        <f>Table44281850[[#Totals],[Post Total]]/Table512291951[[#This Row],[Total Answers]]</f>
        <v>3.8173076923076925</v>
      </c>
      <c r="E166" s="1">
        <f>STDEV(Table44281850[Post Total])</f>
        <v>1.1101969288570706</v>
      </c>
    </row>
    <row r="168" spans="1:14" ht="30">
      <c r="A168" s="16" t="s">
        <v>135</v>
      </c>
      <c r="B168" s="16" t="s">
        <v>36</v>
      </c>
      <c r="C168" s="16" t="s">
        <v>37</v>
      </c>
      <c r="D168" s="16" t="s">
        <v>68</v>
      </c>
      <c r="E168" s="16" t="s">
        <v>69</v>
      </c>
    </row>
    <row r="169" spans="1:14">
      <c r="A169" s="1" t="s">
        <v>24</v>
      </c>
      <c r="B169" s="1">
        <f>COUNTIF(Table44281850[Old or New?],"New")</f>
        <v>96</v>
      </c>
      <c r="C169" s="1">
        <f>Table44281850[[#Totals],[Count New]]</f>
        <v>95</v>
      </c>
      <c r="D169" s="1">
        <f>Table44281850[[#Totals],[New]]/[Total Answers]</f>
        <v>3.7578947368421054</v>
      </c>
      <c r="E169" s="1">
        <f>STDEV(Table44281850[New])</f>
        <v>1.1177084219336308</v>
      </c>
    </row>
    <row r="170" spans="1:14">
      <c r="A170" s="2" t="s">
        <v>12</v>
      </c>
      <c r="B170" s="2">
        <f>COUNTIF(Table44281850[Old or New?],"Old")</f>
        <v>65</v>
      </c>
      <c r="C170" s="2">
        <f>Table44281850[[#Totals],[Count Old]]</f>
        <v>61</v>
      </c>
      <c r="D170" s="2">
        <f>Table44281850[[#Totals],[Old]]/Table51229195153[[#This Row],[Total Answers]]</f>
        <v>3.9098360655737703</v>
      </c>
      <c r="E170" s="2">
        <f>STDEV(Table44281850[Old])</f>
        <v>1.101166793002281</v>
      </c>
    </row>
    <row r="172" spans="1:14">
      <c r="A172" s="1" t="s">
        <v>138</v>
      </c>
    </row>
    <row r="173" spans="1:14">
      <c r="A173" s="1" t="s">
        <v>139</v>
      </c>
    </row>
  </sheetData>
  <conditionalFormatting sqref="F2:F162">
    <cfRule type="cellIs" dxfId="637" priority="1" operator="equal">
      <formula>"No"</formula>
    </cfRule>
    <cfRule type="cellIs" dxfId="636" priority="2" operator="equal">
      <formula>"Yes"</formula>
    </cfRule>
  </conditionalFormatting>
  <pageMargins left="0.7" right="0.7" top="0.75" bottom="0.75" header="0.3" footer="0.3"/>
  <pageSetup scale="27" orientation="portrait" horizontalDpi="300" verticalDpi="300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P173"/>
  <sheetViews>
    <sheetView topLeftCell="E1" workbookViewId="0">
      <pane ySplit="1" topLeftCell="A134" activePane="bottomLeft" state="frozen"/>
      <selection activeCell="E37" sqref="E37"/>
      <selection pane="bottomLeft" activeCell="A165" sqref="A165:H175"/>
    </sheetView>
  </sheetViews>
  <sheetFormatPr defaultColWidth="16.7109375" defaultRowHeight="15"/>
  <cols>
    <col min="1" max="16384" width="16.7109375" style="1"/>
  </cols>
  <sheetData>
    <row r="1" spans="1:16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140</v>
      </c>
      <c r="H1" s="1" t="s">
        <v>141</v>
      </c>
      <c r="I1" s="1" t="s">
        <v>142</v>
      </c>
      <c r="J1" s="1" t="s">
        <v>35</v>
      </c>
      <c r="K1" s="1" t="s">
        <v>143</v>
      </c>
      <c r="L1" s="1" t="s">
        <v>144</v>
      </c>
      <c r="M1" s="1" t="s">
        <v>145</v>
      </c>
      <c r="N1" s="1" t="s">
        <v>146</v>
      </c>
      <c r="O1" s="1" t="s">
        <v>147</v>
      </c>
      <c r="P1" s="1" t="s">
        <v>148</v>
      </c>
    </row>
    <row r="2" spans="1:16">
      <c r="A2" s="1" t="s">
        <v>24</v>
      </c>
      <c r="B2" s="1" t="s">
        <v>23</v>
      </c>
      <c r="C2" s="1">
        <v>1</v>
      </c>
      <c r="D2" s="1" t="s">
        <v>16</v>
      </c>
      <c r="E2" s="1">
        <v>10</v>
      </c>
      <c r="F2" s="1" t="s">
        <v>18</v>
      </c>
      <c r="G2" s="5">
        <f>IF(Table4164854[[#This Row],[Response]]="Sight",1,"")</f>
        <v>1</v>
      </c>
      <c r="H2" s="5" t="str">
        <f>IF(Table4164854[[#This Row],[Response]]="Touch",1,"")</f>
        <v/>
      </c>
      <c r="I2" s="5" t="str">
        <f>IF(Table4164854[[#This Row],[Response]]="Both",1,"")</f>
        <v/>
      </c>
      <c r="J2" s="5">
        <f>IF(SUM(Table4164854[[#This Row],[If Sight]:[If Both]])=1,1,"")</f>
        <v>1</v>
      </c>
      <c r="K2" s="5">
        <f>IF(Table4164854[[#This Row],[Old or New?]]="New",IF(SUM(G2,I2)=1,1,""),"")</f>
        <v>1</v>
      </c>
      <c r="L2" s="5" t="str">
        <f>IF(Table4164854[[#This Row],[Old or New?]]="New",IF(SUM(H2,I2)=1,1,""),"")</f>
        <v/>
      </c>
      <c r="M2" s="5" t="str">
        <f>IF(Table4164854[[#This Row],[Old or New?]]="Old",IF(SUM(G2,I2)=1,1,""),"")</f>
        <v/>
      </c>
      <c r="N2" s="5" t="str">
        <f>IF(Table4164854[[#This Row],[Old or New?]]="Old",IF(SUM(H2,I2)=1,1,""),"")</f>
        <v/>
      </c>
      <c r="O2" s="5">
        <f>IF(IF(Table4164854[[#This Row],[Old or New?]]="New",1,0)+IF(SUM(Table4164854[[#This Row],[If Sight]:[If Both]])=1,1,0)=2,1,"")</f>
        <v>1</v>
      </c>
      <c r="P2" s="5" t="str">
        <f>IF(IF(Table4164854[[#This Row],[Old or New?]]="Old",1,0)+IF(SUM(Table4164854[[#This Row],[If Sight]:[If Both]])=1,1,0)=2,1,"")</f>
        <v/>
      </c>
    </row>
    <row r="3" spans="1:16">
      <c r="A3" s="1" t="s">
        <v>24</v>
      </c>
      <c r="B3" s="1" t="s">
        <v>23</v>
      </c>
      <c r="C3" s="1">
        <v>2</v>
      </c>
      <c r="D3" s="1" t="s">
        <v>16</v>
      </c>
      <c r="E3" s="1">
        <v>10</v>
      </c>
      <c r="F3" s="1" t="s">
        <v>18</v>
      </c>
      <c r="G3" s="5">
        <f>IF(Table4164854[[#This Row],[Response]]="Sight",1,"")</f>
        <v>1</v>
      </c>
      <c r="H3" s="5" t="str">
        <f>IF(Table4164854[[#This Row],[Response]]="Touch",1,"")</f>
        <v/>
      </c>
      <c r="I3" s="5" t="str">
        <f>IF(Table4164854[[#This Row],[Response]]="Both",1,"")</f>
        <v/>
      </c>
      <c r="J3" s="5">
        <f>IF(SUM(Table4164854[[#This Row],[If Sight]:[If Both]])=1,1,"")</f>
        <v>1</v>
      </c>
      <c r="K3" s="5">
        <f>IF(Table4164854[[#This Row],[Old or New?]]="New",IF(SUM(G3,I3)=1,1,""),"")</f>
        <v>1</v>
      </c>
      <c r="L3" s="5" t="str">
        <f>IF(Table4164854[[#This Row],[Old or New?]]="New",IF(SUM(H3,I3)=1,1,""),"")</f>
        <v/>
      </c>
      <c r="M3" s="5" t="str">
        <f>IF(Table4164854[[#This Row],[Old or New?]]="Old",IF(SUM(G3,I3)=1,1,""),"")</f>
        <v/>
      </c>
      <c r="N3" s="5" t="str">
        <f>IF(Table4164854[[#This Row],[Old or New?]]="Old",IF(SUM(H3,I3)=1,1,""),"")</f>
        <v/>
      </c>
      <c r="O3" s="5">
        <f>IF(IF(Table4164854[[#This Row],[Old or New?]]="New",1,0)+IF(SUM(Table4164854[[#This Row],[If Sight]:[If Both]])=1,1,0)=2,1,"")</f>
        <v>1</v>
      </c>
      <c r="P3" s="5" t="str">
        <f>IF(IF(Table4164854[[#This Row],[Old or New?]]="Old",1,0)+IF(SUM(Table4164854[[#This Row],[If Sight]:[If Both]])=1,1,0)=2,1,"")</f>
        <v/>
      </c>
    </row>
    <row r="4" spans="1:16">
      <c r="A4" s="1" t="s">
        <v>24</v>
      </c>
      <c r="B4" s="1" t="s">
        <v>23</v>
      </c>
      <c r="C4" s="1">
        <v>3</v>
      </c>
      <c r="D4" s="1" t="s">
        <v>16</v>
      </c>
      <c r="E4" s="1">
        <v>10</v>
      </c>
      <c r="F4" s="1" t="s">
        <v>18</v>
      </c>
      <c r="G4" s="5">
        <f>IF(Table4164854[[#This Row],[Response]]="Sight",1,"")</f>
        <v>1</v>
      </c>
      <c r="H4" s="5" t="str">
        <f>IF(Table4164854[[#This Row],[Response]]="Touch",1,"")</f>
        <v/>
      </c>
      <c r="I4" s="5" t="str">
        <f>IF(Table4164854[[#This Row],[Response]]="Both",1,"")</f>
        <v/>
      </c>
      <c r="J4" s="5">
        <f>IF(SUM(Table4164854[[#This Row],[If Sight]:[If Both]])=1,1,"")</f>
        <v>1</v>
      </c>
      <c r="K4" s="5">
        <f>IF(Table4164854[[#This Row],[Old or New?]]="New",IF(SUM(G4,I4)=1,1,""),"")</f>
        <v>1</v>
      </c>
      <c r="L4" s="5" t="str">
        <f>IF(Table4164854[[#This Row],[Old or New?]]="New",IF(SUM(H4,I4)=1,1,""),"")</f>
        <v/>
      </c>
      <c r="M4" s="5" t="str">
        <f>IF(Table4164854[[#This Row],[Old or New?]]="Old",IF(SUM(G4,I4)=1,1,""),"")</f>
        <v/>
      </c>
      <c r="N4" s="5" t="str">
        <f>IF(Table4164854[[#This Row],[Old or New?]]="Old",IF(SUM(H4,I4)=1,1,""),"")</f>
        <v/>
      </c>
      <c r="O4" s="5">
        <f>IF(IF(Table4164854[[#This Row],[Old or New?]]="New",1,0)+IF(SUM(Table4164854[[#This Row],[If Sight]:[If Both]])=1,1,0)=2,1,"")</f>
        <v>1</v>
      </c>
      <c r="P4" s="5" t="str">
        <f>IF(IF(Table4164854[[#This Row],[Old or New?]]="Old",1,0)+IF(SUM(Table4164854[[#This Row],[If Sight]:[If Both]])=1,1,0)=2,1,"")</f>
        <v/>
      </c>
    </row>
    <row r="5" spans="1:16">
      <c r="A5" s="1" t="s">
        <v>24</v>
      </c>
      <c r="B5" s="1" t="s">
        <v>23</v>
      </c>
      <c r="C5" s="1">
        <v>4</v>
      </c>
      <c r="D5" s="1" t="s">
        <v>16</v>
      </c>
      <c r="E5" s="1">
        <v>10</v>
      </c>
      <c r="F5" s="1" t="s">
        <v>18</v>
      </c>
      <c r="G5" s="5">
        <f>IF(Table4164854[[#This Row],[Response]]="Sight",1,"")</f>
        <v>1</v>
      </c>
      <c r="H5" s="5" t="str">
        <f>IF(Table4164854[[#This Row],[Response]]="Touch",1,"")</f>
        <v/>
      </c>
      <c r="I5" s="5" t="str">
        <f>IF(Table4164854[[#This Row],[Response]]="Both",1,"")</f>
        <v/>
      </c>
      <c r="J5" s="5">
        <f>IF(SUM(Table4164854[[#This Row],[If Sight]:[If Both]])=1,1,"")</f>
        <v>1</v>
      </c>
      <c r="K5" s="5">
        <f>IF(Table4164854[[#This Row],[Old or New?]]="New",IF(SUM(G5,I5)=1,1,""),"")</f>
        <v>1</v>
      </c>
      <c r="L5" s="5" t="str">
        <f>IF(Table4164854[[#This Row],[Old or New?]]="New",IF(SUM(H5,I5)=1,1,""),"")</f>
        <v/>
      </c>
      <c r="M5" s="5" t="str">
        <f>IF(Table4164854[[#This Row],[Old or New?]]="Old",IF(SUM(G5,I5)=1,1,""),"")</f>
        <v/>
      </c>
      <c r="N5" s="5" t="str">
        <f>IF(Table4164854[[#This Row],[Old or New?]]="Old",IF(SUM(H5,I5)=1,1,""),"")</f>
        <v/>
      </c>
      <c r="O5" s="5">
        <f>IF(IF(Table4164854[[#This Row],[Old or New?]]="New",1,0)+IF(SUM(Table4164854[[#This Row],[If Sight]:[If Both]])=1,1,0)=2,1,"")</f>
        <v>1</v>
      </c>
      <c r="P5" s="5" t="str">
        <f>IF(IF(Table4164854[[#This Row],[Old or New?]]="Old",1,0)+IF(SUM(Table4164854[[#This Row],[If Sight]:[If Both]])=1,1,0)=2,1,"")</f>
        <v/>
      </c>
    </row>
    <row r="6" spans="1:16">
      <c r="A6" s="1" t="s">
        <v>24</v>
      </c>
      <c r="B6" s="1" t="s">
        <v>23</v>
      </c>
      <c r="C6" s="1">
        <v>5</v>
      </c>
      <c r="D6" s="1" t="s">
        <v>16</v>
      </c>
      <c r="E6" s="1">
        <v>10</v>
      </c>
      <c r="F6" s="1" t="s">
        <v>18</v>
      </c>
      <c r="G6" s="5">
        <f>IF(Table4164854[[#This Row],[Response]]="Sight",1,"")</f>
        <v>1</v>
      </c>
      <c r="H6" s="5" t="str">
        <f>IF(Table4164854[[#This Row],[Response]]="Touch",1,"")</f>
        <v/>
      </c>
      <c r="I6" s="5" t="str">
        <f>IF(Table4164854[[#This Row],[Response]]="Both",1,"")</f>
        <v/>
      </c>
      <c r="J6" s="5">
        <f>IF(SUM(Table4164854[[#This Row],[If Sight]:[If Both]])=1,1,"")</f>
        <v>1</v>
      </c>
      <c r="K6" s="5">
        <f>IF(Table4164854[[#This Row],[Old or New?]]="New",IF(SUM(G6,I6)=1,1,""),"")</f>
        <v>1</v>
      </c>
      <c r="L6" s="5" t="str">
        <f>IF(Table4164854[[#This Row],[Old or New?]]="New",IF(SUM(H6,I6)=1,1,""),"")</f>
        <v/>
      </c>
      <c r="M6" s="5" t="str">
        <f>IF(Table4164854[[#This Row],[Old or New?]]="Old",IF(SUM(G6,I6)=1,1,""),"")</f>
        <v/>
      </c>
      <c r="N6" s="5" t="str">
        <f>IF(Table4164854[[#This Row],[Old or New?]]="Old",IF(SUM(H6,I6)=1,1,""),"")</f>
        <v/>
      </c>
      <c r="O6" s="5">
        <f>IF(IF(Table4164854[[#This Row],[Old or New?]]="New",1,0)+IF(SUM(Table4164854[[#This Row],[If Sight]:[If Both]])=1,1,0)=2,1,"")</f>
        <v>1</v>
      </c>
      <c r="P6" s="5" t="str">
        <f>IF(IF(Table4164854[[#This Row],[Old or New?]]="Old",1,0)+IF(SUM(Table4164854[[#This Row],[If Sight]:[If Both]])=1,1,0)=2,1,"")</f>
        <v/>
      </c>
    </row>
    <row r="7" spans="1:16">
      <c r="A7" s="1" t="s">
        <v>24</v>
      </c>
      <c r="B7" s="1" t="s">
        <v>23</v>
      </c>
      <c r="C7" s="1">
        <v>6</v>
      </c>
      <c r="D7" s="1" t="s">
        <v>16</v>
      </c>
      <c r="E7" s="1">
        <v>10</v>
      </c>
      <c r="F7" s="1" t="s">
        <v>18</v>
      </c>
      <c r="G7" s="5">
        <f>IF(Table4164854[[#This Row],[Response]]="Sight",1,"")</f>
        <v>1</v>
      </c>
      <c r="H7" s="5" t="str">
        <f>IF(Table4164854[[#This Row],[Response]]="Touch",1,"")</f>
        <v/>
      </c>
      <c r="I7" s="5" t="str">
        <f>IF(Table4164854[[#This Row],[Response]]="Both",1,"")</f>
        <v/>
      </c>
      <c r="J7" s="5">
        <f>IF(SUM(Table4164854[[#This Row],[If Sight]:[If Both]])=1,1,"")</f>
        <v>1</v>
      </c>
      <c r="K7" s="5">
        <f>IF(Table4164854[[#This Row],[Old or New?]]="New",IF(SUM(G7,I7)=1,1,""),"")</f>
        <v>1</v>
      </c>
      <c r="L7" s="5" t="str">
        <f>IF(Table4164854[[#This Row],[Old or New?]]="New",IF(SUM(H7,I7)=1,1,""),"")</f>
        <v/>
      </c>
      <c r="M7" s="5" t="str">
        <f>IF(Table4164854[[#This Row],[Old or New?]]="Old",IF(SUM(G7,I7)=1,1,""),"")</f>
        <v/>
      </c>
      <c r="N7" s="5" t="str">
        <f>IF(Table4164854[[#This Row],[Old or New?]]="Old",IF(SUM(H7,I7)=1,1,""),"")</f>
        <v/>
      </c>
      <c r="O7" s="5">
        <f>IF(IF(Table4164854[[#This Row],[Old or New?]]="New",1,0)+IF(SUM(Table4164854[[#This Row],[If Sight]:[If Both]])=1,1,0)=2,1,"")</f>
        <v>1</v>
      </c>
      <c r="P7" s="5" t="str">
        <f>IF(IF(Table4164854[[#This Row],[Old or New?]]="Old",1,0)+IF(SUM(Table4164854[[#This Row],[If Sight]:[If Both]])=1,1,0)=2,1,"")</f>
        <v/>
      </c>
    </row>
    <row r="8" spans="1:16">
      <c r="A8" s="1" t="s">
        <v>24</v>
      </c>
      <c r="B8" s="1" t="s">
        <v>23</v>
      </c>
      <c r="C8" s="1">
        <v>7</v>
      </c>
      <c r="D8" s="1" t="s">
        <v>16</v>
      </c>
      <c r="E8" s="1">
        <v>10</v>
      </c>
      <c r="F8" s="1" t="s">
        <v>18</v>
      </c>
      <c r="G8" s="5">
        <f>IF(Table4164854[[#This Row],[Response]]="Sight",1,"")</f>
        <v>1</v>
      </c>
      <c r="H8" s="5" t="str">
        <f>IF(Table4164854[[#This Row],[Response]]="Touch",1,"")</f>
        <v/>
      </c>
      <c r="I8" s="5" t="str">
        <f>IF(Table4164854[[#This Row],[Response]]="Both",1,"")</f>
        <v/>
      </c>
      <c r="J8" s="5">
        <f>IF(SUM(Table4164854[[#This Row],[If Sight]:[If Both]])=1,1,"")</f>
        <v>1</v>
      </c>
      <c r="K8" s="5">
        <f>IF(Table4164854[[#This Row],[Old or New?]]="New",IF(SUM(G8,I8)=1,1,""),"")</f>
        <v>1</v>
      </c>
      <c r="L8" s="5" t="str">
        <f>IF(Table4164854[[#This Row],[Old or New?]]="New",IF(SUM(H8,I8)=1,1,""),"")</f>
        <v/>
      </c>
      <c r="M8" s="5" t="str">
        <f>IF(Table4164854[[#This Row],[Old or New?]]="Old",IF(SUM(G8,I8)=1,1,""),"")</f>
        <v/>
      </c>
      <c r="N8" s="5" t="str">
        <f>IF(Table4164854[[#This Row],[Old or New?]]="Old",IF(SUM(H8,I8)=1,1,""),"")</f>
        <v/>
      </c>
      <c r="O8" s="5">
        <f>IF(IF(Table4164854[[#This Row],[Old or New?]]="New",1,0)+IF(SUM(Table4164854[[#This Row],[If Sight]:[If Both]])=1,1,0)=2,1,"")</f>
        <v>1</v>
      </c>
      <c r="P8" s="5" t="str">
        <f>IF(IF(Table4164854[[#This Row],[Old or New?]]="Old",1,0)+IF(SUM(Table4164854[[#This Row],[If Sight]:[If Both]])=1,1,0)=2,1,"")</f>
        <v/>
      </c>
    </row>
    <row r="9" spans="1:16">
      <c r="A9" s="1" t="s">
        <v>24</v>
      </c>
      <c r="B9" s="1" t="s">
        <v>23</v>
      </c>
      <c r="C9" s="1">
        <v>8</v>
      </c>
      <c r="D9" s="1" t="s">
        <v>16</v>
      </c>
      <c r="E9" s="1">
        <v>10</v>
      </c>
      <c r="F9" s="1" t="s">
        <v>18</v>
      </c>
      <c r="G9" s="5">
        <f>IF(Table4164854[[#This Row],[Response]]="Sight",1,"")</f>
        <v>1</v>
      </c>
      <c r="H9" s="5" t="str">
        <f>IF(Table4164854[[#This Row],[Response]]="Touch",1,"")</f>
        <v/>
      </c>
      <c r="I9" s="5" t="str">
        <f>IF(Table4164854[[#This Row],[Response]]="Both",1,"")</f>
        <v/>
      </c>
      <c r="J9" s="5">
        <f>IF(SUM(Table4164854[[#This Row],[If Sight]:[If Both]])=1,1,"")</f>
        <v>1</v>
      </c>
      <c r="K9" s="5">
        <f>IF(Table4164854[[#This Row],[Old or New?]]="New",IF(SUM(G9,I9)=1,1,""),"")</f>
        <v>1</v>
      </c>
      <c r="L9" s="5" t="str">
        <f>IF(Table4164854[[#This Row],[Old or New?]]="New",IF(SUM(H9,I9)=1,1,""),"")</f>
        <v/>
      </c>
      <c r="M9" s="5" t="str">
        <f>IF(Table4164854[[#This Row],[Old or New?]]="Old",IF(SUM(G9,I9)=1,1,""),"")</f>
        <v/>
      </c>
      <c r="N9" s="5" t="str">
        <f>IF(Table4164854[[#This Row],[Old or New?]]="Old",IF(SUM(H9,I9)=1,1,""),"")</f>
        <v/>
      </c>
      <c r="O9" s="5">
        <f>IF(IF(Table4164854[[#This Row],[Old or New?]]="New",1,0)+IF(SUM(Table4164854[[#This Row],[If Sight]:[If Both]])=1,1,0)=2,1,"")</f>
        <v>1</v>
      </c>
      <c r="P9" s="5" t="str">
        <f>IF(IF(Table4164854[[#This Row],[Old or New?]]="Old",1,0)+IF(SUM(Table4164854[[#This Row],[If Sight]:[If Both]])=1,1,0)=2,1,"")</f>
        <v/>
      </c>
    </row>
    <row r="10" spans="1:16">
      <c r="A10" s="1" t="s">
        <v>24</v>
      </c>
      <c r="B10" s="1" t="s">
        <v>23</v>
      </c>
      <c r="C10" s="1">
        <v>9</v>
      </c>
      <c r="D10" s="1" t="s">
        <v>16</v>
      </c>
      <c r="E10" s="1">
        <v>10</v>
      </c>
      <c r="F10" s="1" t="s">
        <v>18</v>
      </c>
      <c r="G10" s="5">
        <f>IF(Table4164854[[#This Row],[Response]]="Sight",1,"")</f>
        <v>1</v>
      </c>
      <c r="H10" s="5" t="str">
        <f>IF(Table4164854[[#This Row],[Response]]="Touch",1,"")</f>
        <v/>
      </c>
      <c r="I10" s="5" t="str">
        <f>IF(Table4164854[[#This Row],[Response]]="Both",1,"")</f>
        <v/>
      </c>
      <c r="J10" s="5">
        <f>IF(SUM(Table4164854[[#This Row],[If Sight]:[If Both]])=1,1,"")</f>
        <v>1</v>
      </c>
      <c r="K10" s="5">
        <f>IF(Table4164854[[#This Row],[Old or New?]]="New",IF(SUM(G10,I10)=1,1,""),"")</f>
        <v>1</v>
      </c>
      <c r="L10" s="5" t="str">
        <f>IF(Table4164854[[#This Row],[Old or New?]]="New",IF(SUM(H10,I10)=1,1,""),"")</f>
        <v/>
      </c>
      <c r="M10" s="5" t="str">
        <f>IF(Table4164854[[#This Row],[Old or New?]]="Old",IF(SUM(G10,I10)=1,1,""),"")</f>
        <v/>
      </c>
      <c r="N10" s="5" t="str">
        <f>IF(Table4164854[[#This Row],[Old or New?]]="Old",IF(SUM(H10,I10)=1,1,""),"")</f>
        <v/>
      </c>
      <c r="O10" s="5">
        <f>IF(IF(Table4164854[[#This Row],[Old or New?]]="New",1,0)+IF(SUM(Table4164854[[#This Row],[If Sight]:[If Both]])=1,1,0)=2,1,"")</f>
        <v>1</v>
      </c>
      <c r="P10" s="5" t="str">
        <f>IF(IF(Table4164854[[#This Row],[Old or New?]]="Old",1,0)+IF(SUM(Table4164854[[#This Row],[If Sight]:[If Both]])=1,1,0)=2,1,"")</f>
        <v/>
      </c>
    </row>
    <row r="11" spans="1:16">
      <c r="A11" s="1" t="s">
        <v>24</v>
      </c>
      <c r="B11" s="1" t="s">
        <v>23</v>
      </c>
      <c r="C11" s="1">
        <v>10</v>
      </c>
      <c r="D11" s="1" t="s">
        <v>16</v>
      </c>
      <c r="E11" s="1">
        <v>10</v>
      </c>
      <c r="F11" s="1" t="s">
        <v>18</v>
      </c>
      <c r="G11" s="5">
        <f>IF(Table4164854[[#This Row],[Response]]="Sight",1,"")</f>
        <v>1</v>
      </c>
      <c r="H11" s="5" t="str">
        <f>IF(Table4164854[[#This Row],[Response]]="Touch",1,"")</f>
        <v/>
      </c>
      <c r="I11" s="5" t="str">
        <f>IF(Table4164854[[#This Row],[Response]]="Both",1,"")</f>
        <v/>
      </c>
      <c r="J11" s="5">
        <f>IF(SUM(Table4164854[[#This Row],[If Sight]:[If Both]])=1,1,"")</f>
        <v>1</v>
      </c>
      <c r="K11" s="5">
        <f>IF(Table4164854[[#This Row],[Old or New?]]="New",IF(SUM(G11,I11)=1,1,""),"")</f>
        <v>1</v>
      </c>
      <c r="L11" s="5" t="str">
        <f>IF(Table4164854[[#This Row],[Old or New?]]="New",IF(SUM(H11,I11)=1,1,""),"")</f>
        <v/>
      </c>
      <c r="M11" s="5" t="str">
        <f>IF(Table4164854[[#This Row],[Old or New?]]="Old",IF(SUM(G11,I11)=1,1,""),"")</f>
        <v/>
      </c>
      <c r="N11" s="5" t="str">
        <f>IF(Table4164854[[#This Row],[Old or New?]]="Old",IF(SUM(H11,I11)=1,1,""),"")</f>
        <v/>
      </c>
      <c r="O11" s="5">
        <f>IF(IF(Table4164854[[#This Row],[Old or New?]]="New",1,0)+IF(SUM(Table4164854[[#This Row],[If Sight]:[If Both]])=1,1,0)=2,1,"")</f>
        <v>1</v>
      </c>
      <c r="P11" s="5" t="str">
        <f>IF(IF(Table4164854[[#This Row],[Old or New?]]="Old",1,0)+IF(SUM(Table4164854[[#This Row],[If Sight]:[If Both]])=1,1,0)=2,1,"")</f>
        <v/>
      </c>
    </row>
    <row r="12" spans="1:16">
      <c r="A12" s="1" t="s">
        <v>24</v>
      </c>
      <c r="B12" s="1" t="s">
        <v>23</v>
      </c>
      <c r="C12" s="1">
        <v>11</v>
      </c>
      <c r="D12" s="1" t="s">
        <v>16</v>
      </c>
      <c r="E12" s="1">
        <v>10</v>
      </c>
      <c r="F12" s="1" t="s">
        <v>18</v>
      </c>
      <c r="G12" s="5">
        <f>IF(Table4164854[[#This Row],[Response]]="Sight",1,"")</f>
        <v>1</v>
      </c>
      <c r="H12" s="5" t="str">
        <f>IF(Table4164854[[#This Row],[Response]]="Touch",1,"")</f>
        <v/>
      </c>
      <c r="I12" s="5" t="str">
        <f>IF(Table4164854[[#This Row],[Response]]="Both",1,"")</f>
        <v/>
      </c>
      <c r="J12" s="5">
        <f>IF(SUM(Table4164854[[#This Row],[If Sight]:[If Both]])=1,1,"")</f>
        <v>1</v>
      </c>
      <c r="K12" s="5">
        <f>IF(Table4164854[[#This Row],[Old or New?]]="New",IF(SUM(G12,I12)=1,1,""),"")</f>
        <v>1</v>
      </c>
      <c r="L12" s="5" t="str">
        <f>IF(Table4164854[[#This Row],[Old or New?]]="New",IF(SUM(H12,I12)=1,1,""),"")</f>
        <v/>
      </c>
      <c r="M12" s="5" t="str">
        <f>IF(Table4164854[[#This Row],[Old or New?]]="Old",IF(SUM(G12,I12)=1,1,""),"")</f>
        <v/>
      </c>
      <c r="N12" s="5" t="str">
        <f>IF(Table4164854[[#This Row],[Old or New?]]="Old",IF(SUM(H12,I12)=1,1,""),"")</f>
        <v/>
      </c>
      <c r="O12" s="5">
        <f>IF(IF(Table4164854[[#This Row],[Old or New?]]="New",1,0)+IF(SUM(Table4164854[[#This Row],[If Sight]:[If Both]])=1,1,0)=2,1,"")</f>
        <v>1</v>
      </c>
      <c r="P12" s="5" t="str">
        <f>IF(IF(Table4164854[[#This Row],[Old or New?]]="Old",1,0)+IF(SUM(Table4164854[[#This Row],[If Sight]:[If Both]])=1,1,0)=2,1,"")</f>
        <v/>
      </c>
    </row>
    <row r="13" spans="1:16">
      <c r="A13" s="1" t="s">
        <v>24</v>
      </c>
      <c r="B13" s="1" t="s">
        <v>23</v>
      </c>
      <c r="C13" s="1">
        <v>12</v>
      </c>
      <c r="D13" s="1" t="s">
        <v>16</v>
      </c>
      <c r="E13" s="1">
        <v>10</v>
      </c>
      <c r="F13" s="1" t="s">
        <v>18</v>
      </c>
      <c r="G13" s="5">
        <f>IF(Table4164854[[#This Row],[Response]]="Sight",1,"")</f>
        <v>1</v>
      </c>
      <c r="H13" s="5" t="str">
        <f>IF(Table4164854[[#This Row],[Response]]="Touch",1,"")</f>
        <v/>
      </c>
      <c r="I13" s="5" t="str">
        <f>IF(Table4164854[[#This Row],[Response]]="Both",1,"")</f>
        <v/>
      </c>
      <c r="J13" s="5">
        <f>IF(SUM(Table4164854[[#This Row],[If Sight]:[If Both]])=1,1,"")</f>
        <v>1</v>
      </c>
      <c r="K13" s="5">
        <f>IF(Table4164854[[#This Row],[Old or New?]]="New",IF(SUM(G13,I13)=1,1,""),"")</f>
        <v>1</v>
      </c>
      <c r="L13" s="5" t="str">
        <f>IF(Table4164854[[#This Row],[Old or New?]]="New",IF(SUM(H13,I13)=1,1,""),"")</f>
        <v/>
      </c>
      <c r="M13" s="5" t="str">
        <f>IF(Table4164854[[#This Row],[Old or New?]]="Old",IF(SUM(G13,I13)=1,1,""),"")</f>
        <v/>
      </c>
      <c r="N13" s="5" t="str">
        <f>IF(Table4164854[[#This Row],[Old or New?]]="Old",IF(SUM(H13,I13)=1,1,""),"")</f>
        <v/>
      </c>
      <c r="O13" s="5">
        <f>IF(IF(Table4164854[[#This Row],[Old or New?]]="New",1,0)+IF(SUM(Table4164854[[#This Row],[If Sight]:[If Both]])=1,1,0)=2,1,"")</f>
        <v>1</v>
      </c>
      <c r="P13" s="5" t="str">
        <f>IF(IF(Table4164854[[#This Row],[Old or New?]]="Old",1,0)+IF(SUM(Table4164854[[#This Row],[If Sight]:[If Both]])=1,1,0)=2,1,"")</f>
        <v/>
      </c>
    </row>
    <row r="14" spans="1:16">
      <c r="A14" s="1" t="s">
        <v>24</v>
      </c>
      <c r="B14" s="1" t="s">
        <v>23</v>
      </c>
      <c r="C14" s="1">
        <v>13</v>
      </c>
      <c r="D14" s="1" t="s">
        <v>16</v>
      </c>
      <c r="E14" s="1">
        <v>10</v>
      </c>
      <c r="F14" s="1" t="s">
        <v>18</v>
      </c>
      <c r="G14" s="5">
        <f>IF(Table4164854[[#This Row],[Response]]="Sight",1,"")</f>
        <v>1</v>
      </c>
      <c r="H14" s="5" t="str">
        <f>IF(Table4164854[[#This Row],[Response]]="Touch",1,"")</f>
        <v/>
      </c>
      <c r="I14" s="5" t="str">
        <f>IF(Table4164854[[#This Row],[Response]]="Both",1,"")</f>
        <v/>
      </c>
      <c r="J14" s="5">
        <f>IF(SUM(Table4164854[[#This Row],[If Sight]:[If Both]])=1,1,"")</f>
        <v>1</v>
      </c>
      <c r="K14" s="5">
        <f>IF(Table4164854[[#This Row],[Old or New?]]="New",IF(SUM(G14,I14)=1,1,""),"")</f>
        <v>1</v>
      </c>
      <c r="L14" s="5" t="str">
        <f>IF(Table4164854[[#This Row],[Old or New?]]="New",IF(SUM(H14,I14)=1,1,""),"")</f>
        <v/>
      </c>
      <c r="M14" s="5" t="str">
        <f>IF(Table4164854[[#This Row],[Old or New?]]="Old",IF(SUM(G14,I14)=1,1,""),"")</f>
        <v/>
      </c>
      <c r="N14" s="5" t="str">
        <f>IF(Table4164854[[#This Row],[Old or New?]]="Old",IF(SUM(H14,I14)=1,1,""),"")</f>
        <v/>
      </c>
      <c r="O14" s="5">
        <f>IF(IF(Table4164854[[#This Row],[Old or New?]]="New",1,0)+IF(SUM(Table4164854[[#This Row],[If Sight]:[If Both]])=1,1,0)=2,1,"")</f>
        <v>1</v>
      </c>
      <c r="P14" s="5" t="str">
        <f>IF(IF(Table4164854[[#This Row],[Old or New?]]="Old",1,0)+IF(SUM(Table4164854[[#This Row],[If Sight]:[If Both]])=1,1,0)=2,1,"")</f>
        <v/>
      </c>
    </row>
    <row r="15" spans="1:16">
      <c r="A15" s="1" t="s">
        <v>24</v>
      </c>
      <c r="B15" s="1" t="s">
        <v>23</v>
      </c>
      <c r="C15" s="1">
        <v>14</v>
      </c>
      <c r="D15" s="1" t="s">
        <v>16</v>
      </c>
      <c r="E15" s="1">
        <v>10</v>
      </c>
      <c r="F15" s="1" t="s">
        <v>19</v>
      </c>
      <c r="G15" s="5" t="str">
        <f>IF(Table4164854[[#This Row],[Response]]="Sight",1,"")</f>
        <v/>
      </c>
      <c r="H15" s="5" t="str">
        <f>IF(Table4164854[[#This Row],[Response]]="Touch",1,"")</f>
        <v/>
      </c>
      <c r="I15" s="5">
        <f>IF(Table4164854[[#This Row],[Response]]="Both",1,"")</f>
        <v>1</v>
      </c>
      <c r="J15" s="5">
        <f>IF(SUM(Table4164854[[#This Row],[If Sight]:[If Both]])=1,1,"")</f>
        <v>1</v>
      </c>
      <c r="K15" s="5">
        <f>IF(Table4164854[[#This Row],[Old or New?]]="New",IF(SUM(G15,I15)=1,1,""),"")</f>
        <v>1</v>
      </c>
      <c r="L15" s="5">
        <f>IF(Table4164854[[#This Row],[Old or New?]]="New",IF(SUM(H15,I15)=1,1,""),"")</f>
        <v>1</v>
      </c>
      <c r="M15" s="5" t="str">
        <f>IF(Table4164854[[#This Row],[Old or New?]]="Old",IF(SUM(G15,I15)=1,1,""),"")</f>
        <v/>
      </c>
      <c r="N15" s="5" t="str">
        <f>IF(Table4164854[[#This Row],[Old or New?]]="Old",IF(SUM(H15,I15)=1,1,""),"")</f>
        <v/>
      </c>
      <c r="O15" s="5">
        <f>IF(IF(Table4164854[[#This Row],[Old or New?]]="New",1,0)+IF(SUM(Table4164854[[#This Row],[If Sight]:[If Both]])=1,1,0)=2,1,"")</f>
        <v>1</v>
      </c>
      <c r="P15" s="5" t="str">
        <f>IF(IF(Table4164854[[#This Row],[Old or New?]]="Old",1,0)+IF(SUM(Table4164854[[#This Row],[If Sight]:[If Both]])=1,1,0)=2,1,"")</f>
        <v/>
      </c>
    </row>
    <row r="16" spans="1:16">
      <c r="A16" s="1" t="s">
        <v>24</v>
      </c>
      <c r="B16" s="1" t="s">
        <v>23</v>
      </c>
      <c r="C16" s="1">
        <v>15</v>
      </c>
      <c r="D16" s="1" t="s">
        <v>16</v>
      </c>
      <c r="E16" s="1">
        <v>10</v>
      </c>
      <c r="F16" s="1" t="s">
        <v>18</v>
      </c>
      <c r="G16" s="5">
        <f>IF(Table4164854[[#This Row],[Response]]="Sight",1,"")</f>
        <v>1</v>
      </c>
      <c r="H16" s="5" t="str">
        <f>IF(Table4164854[[#This Row],[Response]]="Touch",1,"")</f>
        <v/>
      </c>
      <c r="I16" s="5" t="str">
        <f>IF(Table4164854[[#This Row],[Response]]="Both",1,"")</f>
        <v/>
      </c>
      <c r="J16" s="5">
        <f>IF(SUM(Table4164854[[#This Row],[If Sight]:[If Both]])=1,1,"")</f>
        <v>1</v>
      </c>
      <c r="K16" s="5">
        <f>IF(Table4164854[[#This Row],[Old or New?]]="New",IF(SUM(G16,I16)=1,1,""),"")</f>
        <v>1</v>
      </c>
      <c r="L16" s="5" t="str">
        <f>IF(Table4164854[[#This Row],[Old or New?]]="New",IF(SUM(H16,I16)=1,1,""),"")</f>
        <v/>
      </c>
      <c r="M16" s="5" t="str">
        <f>IF(Table4164854[[#This Row],[Old or New?]]="Old",IF(SUM(G16,I16)=1,1,""),"")</f>
        <v/>
      </c>
      <c r="N16" s="5" t="str">
        <f>IF(Table4164854[[#This Row],[Old or New?]]="Old",IF(SUM(H16,I16)=1,1,""),"")</f>
        <v/>
      </c>
      <c r="O16" s="5">
        <f>IF(IF(Table4164854[[#This Row],[Old or New?]]="New",1,0)+IF(SUM(Table4164854[[#This Row],[If Sight]:[If Both]])=1,1,0)=2,1,"")</f>
        <v>1</v>
      </c>
      <c r="P16" s="5" t="str">
        <f>IF(IF(Table4164854[[#This Row],[Old or New?]]="Old",1,0)+IF(SUM(Table4164854[[#This Row],[If Sight]:[If Both]])=1,1,0)=2,1,"")</f>
        <v/>
      </c>
    </row>
    <row r="17" spans="1:16">
      <c r="A17" s="1" t="s">
        <v>24</v>
      </c>
      <c r="B17" s="1" t="s">
        <v>23</v>
      </c>
      <c r="C17" s="1">
        <v>16</v>
      </c>
      <c r="D17" s="1" t="s">
        <v>16</v>
      </c>
      <c r="E17" s="1">
        <v>10</v>
      </c>
      <c r="F17" s="1" t="s">
        <v>18</v>
      </c>
      <c r="G17" s="5">
        <f>IF(Table4164854[[#This Row],[Response]]="Sight",1,"")</f>
        <v>1</v>
      </c>
      <c r="H17" s="5" t="str">
        <f>IF(Table4164854[[#This Row],[Response]]="Touch",1,"")</f>
        <v/>
      </c>
      <c r="I17" s="5" t="str">
        <f>IF(Table4164854[[#This Row],[Response]]="Both",1,"")</f>
        <v/>
      </c>
      <c r="J17" s="5">
        <f>IF(SUM(Table4164854[[#This Row],[If Sight]:[If Both]])=1,1,"")</f>
        <v>1</v>
      </c>
      <c r="K17" s="5">
        <f>IF(Table4164854[[#This Row],[Old or New?]]="New",IF(SUM(G17,I17)=1,1,""),"")</f>
        <v>1</v>
      </c>
      <c r="L17" s="5" t="str">
        <f>IF(Table4164854[[#This Row],[Old or New?]]="New",IF(SUM(H17,I17)=1,1,""),"")</f>
        <v/>
      </c>
      <c r="M17" s="5" t="str">
        <f>IF(Table4164854[[#This Row],[Old or New?]]="Old",IF(SUM(G17,I17)=1,1,""),"")</f>
        <v/>
      </c>
      <c r="N17" s="5" t="str">
        <f>IF(Table4164854[[#This Row],[Old or New?]]="Old",IF(SUM(H17,I17)=1,1,""),"")</f>
        <v/>
      </c>
      <c r="O17" s="5">
        <f>IF(IF(Table4164854[[#This Row],[Old or New?]]="New",1,0)+IF(SUM(Table4164854[[#This Row],[If Sight]:[If Both]])=1,1,0)=2,1,"")</f>
        <v>1</v>
      </c>
      <c r="P17" s="5" t="str">
        <f>IF(IF(Table4164854[[#This Row],[Old or New?]]="Old",1,0)+IF(SUM(Table4164854[[#This Row],[If Sight]:[If Both]])=1,1,0)=2,1,"")</f>
        <v/>
      </c>
    </row>
    <row r="18" spans="1:16">
      <c r="A18" s="1" t="s">
        <v>24</v>
      </c>
      <c r="B18" s="1" t="s">
        <v>25</v>
      </c>
      <c r="C18" s="1">
        <v>1</v>
      </c>
      <c r="D18" s="1" t="s">
        <v>16</v>
      </c>
      <c r="E18" s="1">
        <v>10</v>
      </c>
      <c r="F18" s="1" t="s">
        <v>18</v>
      </c>
      <c r="G18" s="5">
        <f>IF(Table4164854[[#This Row],[Response]]="Sight",1,"")</f>
        <v>1</v>
      </c>
      <c r="H18" s="5" t="str">
        <f>IF(Table4164854[[#This Row],[Response]]="Touch",1,"")</f>
        <v/>
      </c>
      <c r="I18" s="5" t="str">
        <f>IF(Table4164854[[#This Row],[Response]]="Both",1,"")</f>
        <v/>
      </c>
      <c r="J18" s="5">
        <f>IF(SUM(Table4164854[[#This Row],[If Sight]:[If Both]])=1,1,"")</f>
        <v>1</v>
      </c>
      <c r="K18" s="5">
        <f>IF(Table4164854[[#This Row],[Old or New?]]="New",IF(SUM(G18,I18)=1,1,""),"")</f>
        <v>1</v>
      </c>
      <c r="L18" s="5" t="str">
        <f>IF(Table4164854[[#This Row],[Old or New?]]="New",IF(SUM(H18,I18)=1,1,""),"")</f>
        <v/>
      </c>
      <c r="M18" s="5" t="str">
        <f>IF(Table4164854[[#This Row],[Old or New?]]="Old",IF(SUM(G18,I18)=1,1,""),"")</f>
        <v/>
      </c>
      <c r="N18" s="5" t="str">
        <f>IF(Table4164854[[#This Row],[Old or New?]]="Old",IF(SUM(H18,I18)=1,1,""),"")</f>
        <v/>
      </c>
      <c r="O18" s="5">
        <f>IF(IF(Table4164854[[#This Row],[Old or New?]]="New",1,0)+IF(SUM(Table4164854[[#This Row],[If Sight]:[If Both]])=1,1,0)=2,1,"")</f>
        <v>1</v>
      </c>
      <c r="P18" s="5" t="str">
        <f>IF(IF(Table4164854[[#This Row],[Old or New?]]="Old",1,0)+IF(SUM(Table4164854[[#This Row],[If Sight]:[If Both]])=1,1,0)=2,1,"")</f>
        <v/>
      </c>
    </row>
    <row r="19" spans="1:16">
      <c r="A19" s="1" t="s">
        <v>24</v>
      </c>
      <c r="B19" s="1" t="s">
        <v>25</v>
      </c>
      <c r="C19" s="1">
        <v>2</v>
      </c>
      <c r="D19" s="1" t="s">
        <v>16</v>
      </c>
      <c r="E19" s="1">
        <v>10</v>
      </c>
      <c r="F19" s="1" t="s">
        <v>18</v>
      </c>
      <c r="G19" s="5">
        <f>IF(Table4164854[[#This Row],[Response]]="Sight",1,"")</f>
        <v>1</v>
      </c>
      <c r="H19" s="5" t="str">
        <f>IF(Table4164854[[#This Row],[Response]]="Touch",1,"")</f>
        <v/>
      </c>
      <c r="I19" s="5" t="str">
        <f>IF(Table4164854[[#This Row],[Response]]="Both",1,"")</f>
        <v/>
      </c>
      <c r="J19" s="5">
        <f>IF(SUM(Table4164854[[#This Row],[If Sight]:[If Both]])=1,1,"")</f>
        <v>1</v>
      </c>
      <c r="K19" s="5">
        <f>IF(Table4164854[[#This Row],[Old or New?]]="New",IF(SUM(G19,I19)=1,1,""),"")</f>
        <v>1</v>
      </c>
      <c r="L19" s="5" t="str">
        <f>IF(Table4164854[[#This Row],[Old or New?]]="New",IF(SUM(H19,I19)=1,1,""),"")</f>
        <v/>
      </c>
      <c r="M19" s="5" t="str">
        <f>IF(Table4164854[[#This Row],[Old or New?]]="Old",IF(SUM(G19,I19)=1,1,""),"")</f>
        <v/>
      </c>
      <c r="N19" s="5" t="str">
        <f>IF(Table4164854[[#This Row],[Old or New?]]="Old",IF(SUM(H19,I19)=1,1,""),"")</f>
        <v/>
      </c>
      <c r="O19" s="5">
        <f>IF(IF(Table4164854[[#This Row],[Old or New?]]="New",1,0)+IF(SUM(Table4164854[[#This Row],[If Sight]:[If Both]])=1,1,0)=2,1,"")</f>
        <v>1</v>
      </c>
      <c r="P19" s="5" t="str">
        <f>IF(IF(Table4164854[[#This Row],[Old or New?]]="Old",1,0)+IF(SUM(Table4164854[[#This Row],[If Sight]:[If Both]])=1,1,0)=2,1,"")</f>
        <v/>
      </c>
    </row>
    <row r="20" spans="1:16">
      <c r="A20" s="1" t="s">
        <v>24</v>
      </c>
      <c r="B20" s="1" t="s">
        <v>25</v>
      </c>
      <c r="C20" s="1">
        <v>3</v>
      </c>
      <c r="D20" s="1" t="s">
        <v>16</v>
      </c>
      <c r="E20" s="1">
        <v>10</v>
      </c>
      <c r="F20" s="1" t="s">
        <v>19</v>
      </c>
      <c r="G20" s="5" t="str">
        <f>IF(Table4164854[[#This Row],[Response]]="Sight",1,"")</f>
        <v/>
      </c>
      <c r="H20" s="5" t="str">
        <f>IF(Table4164854[[#This Row],[Response]]="Touch",1,"")</f>
        <v/>
      </c>
      <c r="I20" s="5">
        <f>IF(Table4164854[[#This Row],[Response]]="Both",1,"")</f>
        <v>1</v>
      </c>
      <c r="J20" s="5">
        <f>IF(SUM(Table4164854[[#This Row],[If Sight]:[If Both]])=1,1,"")</f>
        <v>1</v>
      </c>
      <c r="K20" s="5">
        <f>IF(Table4164854[[#This Row],[Old or New?]]="New",IF(SUM(G20,I20)=1,1,""),"")</f>
        <v>1</v>
      </c>
      <c r="L20" s="5">
        <f>IF(Table4164854[[#This Row],[Old or New?]]="New",IF(SUM(H20,I20)=1,1,""),"")</f>
        <v>1</v>
      </c>
      <c r="M20" s="5" t="str">
        <f>IF(Table4164854[[#This Row],[Old or New?]]="Old",IF(SUM(G20,I20)=1,1,""),"")</f>
        <v/>
      </c>
      <c r="N20" s="5" t="str">
        <f>IF(Table4164854[[#This Row],[Old or New?]]="Old",IF(SUM(H20,I20)=1,1,""),"")</f>
        <v/>
      </c>
      <c r="O20" s="5">
        <f>IF(IF(Table4164854[[#This Row],[Old or New?]]="New",1,0)+IF(SUM(Table4164854[[#This Row],[If Sight]:[If Both]])=1,1,0)=2,1,"")</f>
        <v>1</v>
      </c>
      <c r="P20" s="5" t="str">
        <f>IF(IF(Table4164854[[#This Row],[Old or New?]]="Old",1,0)+IF(SUM(Table4164854[[#This Row],[If Sight]:[If Both]])=1,1,0)=2,1,"")</f>
        <v/>
      </c>
    </row>
    <row r="21" spans="1:16">
      <c r="A21" s="1" t="s">
        <v>24</v>
      </c>
      <c r="B21" s="1" t="s">
        <v>25</v>
      </c>
      <c r="C21" s="1">
        <v>4</v>
      </c>
      <c r="D21" s="1" t="s">
        <v>16</v>
      </c>
      <c r="E21" s="1">
        <v>10</v>
      </c>
      <c r="F21" s="1" t="s">
        <v>18</v>
      </c>
      <c r="G21" s="5">
        <f>IF(Table4164854[[#This Row],[Response]]="Sight",1,"")</f>
        <v>1</v>
      </c>
      <c r="H21" s="5" t="str">
        <f>IF(Table4164854[[#This Row],[Response]]="Touch",1,"")</f>
        <v/>
      </c>
      <c r="I21" s="5" t="str">
        <f>IF(Table4164854[[#This Row],[Response]]="Both",1,"")</f>
        <v/>
      </c>
      <c r="J21" s="5">
        <f>IF(SUM(Table4164854[[#This Row],[If Sight]:[If Both]])=1,1,"")</f>
        <v>1</v>
      </c>
      <c r="K21" s="5">
        <f>IF(Table4164854[[#This Row],[Old or New?]]="New",IF(SUM(G21,I21)=1,1,""),"")</f>
        <v>1</v>
      </c>
      <c r="L21" s="5" t="str">
        <f>IF(Table4164854[[#This Row],[Old or New?]]="New",IF(SUM(H21,I21)=1,1,""),"")</f>
        <v/>
      </c>
      <c r="M21" s="5" t="str">
        <f>IF(Table4164854[[#This Row],[Old or New?]]="Old",IF(SUM(G21,I21)=1,1,""),"")</f>
        <v/>
      </c>
      <c r="N21" s="5" t="str">
        <f>IF(Table4164854[[#This Row],[Old or New?]]="Old",IF(SUM(H21,I21)=1,1,""),"")</f>
        <v/>
      </c>
      <c r="O21" s="5">
        <f>IF(IF(Table4164854[[#This Row],[Old or New?]]="New",1,0)+IF(SUM(Table4164854[[#This Row],[If Sight]:[If Both]])=1,1,0)=2,1,"")</f>
        <v>1</v>
      </c>
      <c r="P21" s="5" t="str">
        <f>IF(IF(Table4164854[[#This Row],[Old or New?]]="Old",1,0)+IF(SUM(Table4164854[[#This Row],[If Sight]:[If Both]])=1,1,0)=2,1,"")</f>
        <v/>
      </c>
    </row>
    <row r="22" spans="1:16">
      <c r="A22" s="1" t="s">
        <v>24</v>
      </c>
      <c r="B22" s="1" t="s">
        <v>25</v>
      </c>
      <c r="C22" s="1">
        <v>5</v>
      </c>
      <c r="D22" s="1" t="s">
        <v>16</v>
      </c>
      <c r="E22" s="1">
        <v>10</v>
      </c>
      <c r="F22" s="1" t="s">
        <v>19</v>
      </c>
      <c r="G22" s="5" t="str">
        <f>IF(Table4164854[[#This Row],[Response]]="Sight",1,"")</f>
        <v/>
      </c>
      <c r="H22" s="5" t="str">
        <f>IF(Table4164854[[#This Row],[Response]]="Touch",1,"")</f>
        <v/>
      </c>
      <c r="I22" s="5">
        <f>IF(Table4164854[[#This Row],[Response]]="Both",1,"")</f>
        <v>1</v>
      </c>
      <c r="J22" s="5">
        <f>IF(SUM(Table4164854[[#This Row],[If Sight]:[If Both]])=1,1,"")</f>
        <v>1</v>
      </c>
      <c r="K22" s="5">
        <f>IF(Table4164854[[#This Row],[Old or New?]]="New",IF(SUM(G22,I22)=1,1,""),"")</f>
        <v>1</v>
      </c>
      <c r="L22" s="5">
        <f>IF(Table4164854[[#This Row],[Old or New?]]="New",IF(SUM(H22,I22)=1,1,""),"")</f>
        <v>1</v>
      </c>
      <c r="M22" s="5" t="str">
        <f>IF(Table4164854[[#This Row],[Old or New?]]="Old",IF(SUM(G22,I22)=1,1,""),"")</f>
        <v/>
      </c>
      <c r="N22" s="5" t="str">
        <f>IF(Table4164854[[#This Row],[Old or New?]]="Old",IF(SUM(H22,I22)=1,1,""),"")</f>
        <v/>
      </c>
      <c r="O22" s="5">
        <f>IF(IF(Table4164854[[#This Row],[Old or New?]]="New",1,0)+IF(SUM(Table4164854[[#This Row],[If Sight]:[If Both]])=1,1,0)=2,1,"")</f>
        <v>1</v>
      </c>
      <c r="P22" s="5" t="str">
        <f>IF(IF(Table4164854[[#This Row],[Old or New?]]="Old",1,0)+IF(SUM(Table4164854[[#This Row],[If Sight]:[If Both]])=1,1,0)=2,1,"")</f>
        <v/>
      </c>
    </row>
    <row r="23" spans="1:16">
      <c r="A23" s="1" t="s">
        <v>24</v>
      </c>
      <c r="B23" s="1" t="s">
        <v>25</v>
      </c>
      <c r="C23" s="1">
        <v>6</v>
      </c>
      <c r="D23" s="1" t="s">
        <v>16</v>
      </c>
      <c r="E23" s="1">
        <v>10</v>
      </c>
      <c r="F23" s="1" t="s">
        <v>18</v>
      </c>
      <c r="G23" s="5">
        <f>IF(Table4164854[[#This Row],[Response]]="Sight",1,"")</f>
        <v>1</v>
      </c>
      <c r="H23" s="5" t="str">
        <f>IF(Table4164854[[#This Row],[Response]]="Touch",1,"")</f>
        <v/>
      </c>
      <c r="I23" s="5" t="str">
        <f>IF(Table4164854[[#This Row],[Response]]="Both",1,"")</f>
        <v/>
      </c>
      <c r="J23" s="5">
        <f>IF(SUM(Table4164854[[#This Row],[If Sight]:[If Both]])=1,1,"")</f>
        <v>1</v>
      </c>
      <c r="K23" s="5">
        <f>IF(Table4164854[[#This Row],[Old or New?]]="New",IF(SUM(G23,I23)=1,1,""),"")</f>
        <v>1</v>
      </c>
      <c r="L23" s="5" t="str">
        <f>IF(Table4164854[[#This Row],[Old or New?]]="New",IF(SUM(H23,I23)=1,1,""),"")</f>
        <v/>
      </c>
      <c r="M23" s="5" t="str">
        <f>IF(Table4164854[[#This Row],[Old or New?]]="Old",IF(SUM(G23,I23)=1,1,""),"")</f>
        <v/>
      </c>
      <c r="N23" s="5" t="str">
        <f>IF(Table4164854[[#This Row],[Old or New?]]="Old",IF(SUM(H23,I23)=1,1,""),"")</f>
        <v/>
      </c>
      <c r="O23" s="5">
        <f>IF(IF(Table4164854[[#This Row],[Old or New?]]="New",1,0)+IF(SUM(Table4164854[[#This Row],[If Sight]:[If Both]])=1,1,0)=2,1,"")</f>
        <v>1</v>
      </c>
      <c r="P23" s="5" t="str">
        <f>IF(IF(Table4164854[[#This Row],[Old or New?]]="Old",1,0)+IF(SUM(Table4164854[[#This Row],[If Sight]:[If Both]])=1,1,0)=2,1,"")</f>
        <v/>
      </c>
    </row>
    <row r="24" spans="1:16">
      <c r="A24" s="1" t="s">
        <v>24</v>
      </c>
      <c r="B24" s="1" t="s">
        <v>25</v>
      </c>
      <c r="C24" s="1">
        <v>7</v>
      </c>
      <c r="D24" s="1" t="s">
        <v>16</v>
      </c>
      <c r="E24" s="1">
        <v>10</v>
      </c>
      <c r="F24" s="1" t="s">
        <v>18</v>
      </c>
      <c r="G24" s="5">
        <f>IF(Table4164854[[#This Row],[Response]]="Sight",1,"")</f>
        <v>1</v>
      </c>
      <c r="H24" s="5" t="str">
        <f>IF(Table4164854[[#This Row],[Response]]="Touch",1,"")</f>
        <v/>
      </c>
      <c r="I24" s="5" t="str">
        <f>IF(Table4164854[[#This Row],[Response]]="Both",1,"")</f>
        <v/>
      </c>
      <c r="J24" s="5">
        <f>IF(SUM(Table4164854[[#This Row],[If Sight]:[If Both]])=1,1,"")</f>
        <v>1</v>
      </c>
      <c r="K24" s="5">
        <f>IF(Table4164854[[#This Row],[Old or New?]]="New",IF(SUM(G24,I24)=1,1,""),"")</f>
        <v>1</v>
      </c>
      <c r="L24" s="5" t="str">
        <f>IF(Table4164854[[#This Row],[Old or New?]]="New",IF(SUM(H24,I24)=1,1,""),"")</f>
        <v/>
      </c>
      <c r="M24" s="5" t="str">
        <f>IF(Table4164854[[#This Row],[Old or New?]]="Old",IF(SUM(G24,I24)=1,1,""),"")</f>
        <v/>
      </c>
      <c r="N24" s="5" t="str">
        <f>IF(Table4164854[[#This Row],[Old or New?]]="Old",IF(SUM(H24,I24)=1,1,""),"")</f>
        <v/>
      </c>
      <c r="O24" s="5">
        <f>IF(IF(Table4164854[[#This Row],[Old or New?]]="New",1,0)+IF(SUM(Table4164854[[#This Row],[If Sight]:[If Both]])=1,1,0)=2,1,"")</f>
        <v>1</v>
      </c>
      <c r="P24" s="5" t="str">
        <f>IF(IF(Table4164854[[#This Row],[Old or New?]]="Old",1,0)+IF(SUM(Table4164854[[#This Row],[If Sight]:[If Both]])=1,1,0)=2,1,"")</f>
        <v/>
      </c>
    </row>
    <row r="25" spans="1:16">
      <c r="A25" s="1" t="s">
        <v>24</v>
      </c>
      <c r="B25" s="1" t="s">
        <v>25</v>
      </c>
      <c r="C25" s="1">
        <v>8</v>
      </c>
      <c r="D25" s="1" t="s">
        <v>16</v>
      </c>
      <c r="E25" s="1">
        <v>10</v>
      </c>
      <c r="F25" s="1" t="s">
        <v>19</v>
      </c>
      <c r="G25" s="5" t="str">
        <f>IF(Table4164854[[#This Row],[Response]]="Sight",1,"")</f>
        <v/>
      </c>
      <c r="H25" s="5" t="str">
        <f>IF(Table4164854[[#This Row],[Response]]="Touch",1,"")</f>
        <v/>
      </c>
      <c r="I25" s="5">
        <f>IF(Table4164854[[#This Row],[Response]]="Both",1,"")</f>
        <v>1</v>
      </c>
      <c r="J25" s="5">
        <f>IF(SUM(Table4164854[[#This Row],[If Sight]:[If Both]])=1,1,"")</f>
        <v>1</v>
      </c>
      <c r="K25" s="5">
        <f>IF(Table4164854[[#This Row],[Old or New?]]="New",IF(SUM(G25,I25)=1,1,""),"")</f>
        <v>1</v>
      </c>
      <c r="L25" s="5">
        <f>IF(Table4164854[[#This Row],[Old or New?]]="New",IF(SUM(H25,I25)=1,1,""),"")</f>
        <v>1</v>
      </c>
      <c r="M25" s="5" t="str">
        <f>IF(Table4164854[[#This Row],[Old or New?]]="Old",IF(SUM(G25,I25)=1,1,""),"")</f>
        <v/>
      </c>
      <c r="N25" s="5" t="str">
        <f>IF(Table4164854[[#This Row],[Old or New?]]="Old",IF(SUM(H25,I25)=1,1,""),"")</f>
        <v/>
      </c>
      <c r="O25" s="5">
        <f>IF(IF(Table4164854[[#This Row],[Old or New?]]="New",1,0)+IF(SUM(Table4164854[[#This Row],[If Sight]:[If Both]])=1,1,0)=2,1,"")</f>
        <v>1</v>
      </c>
      <c r="P25" s="5" t="str">
        <f>IF(IF(Table4164854[[#This Row],[Old or New?]]="Old",1,0)+IF(SUM(Table4164854[[#This Row],[If Sight]:[If Both]])=1,1,0)=2,1,"")</f>
        <v/>
      </c>
    </row>
    <row r="26" spans="1:16">
      <c r="A26" s="1" t="s">
        <v>24</v>
      </c>
      <c r="B26" s="1" t="s">
        <v>25</v>
      </c>
      <c r="C26" s="1">
        <v>9</v>
      </c>
      <c r="D26" s="1" t="s">
        <v>16</v>
      </c>
      <c r="E26" s="1">
        <v>10</v>
      </c>
      <c r="F26" s="1" t="s">
        <v>19</v>
      </c>
      <c r="G26" s="5" t="str">
        <f>IF(Table4164854[[#This Row],[Response]]="Sight",1,"")</f>
        <v/>
      </c>
      <c r="H26" s="5" t="str">
        <f>IF(Table4164854[[#This Row],[Response]]="Touch",1,"")</f>
        <v/>
      </c>
      <c r="I26" s="5">
        <f>IF(Table4164854[[#This Row],[Response]]="Both",1,"")</f>
        <v>1</v>
      </c>
      <c r="J26" s="5">
        <f>IF(SUM(Table4164854[[#This Row],[If Sight]:[If Both]])=1,1,"")</f>
        <v>1</v>
      </c>
      <c r="K26" s="5">
        <f>IF(Table4164854[[#This Row],[Old or New?]]="New",IF(SUM(G26,I26)=1,1,""),"")</f>
        <v>1</v>
      </c>
      <c r="L26" s="5">
        <f>IF(Table4164854[[#This Row],[Old or New?]]="New",IF(SUM(H26,I26)=1,1,""),"")</f>
        <v>1</v>
      </c>
      <c r="M26" s="5" t="str">
        <f>IF(Table4164854[[#This Row],[Old or New?]]="Old",IF(SUM(G26,I26)=1,1,""),"")</f>
        <v/>
      </c>
      <c r="N26" s="5" t="str">
        <f>IF(Table4164854[[#This Row],[Old or New?]]="Old",IF(SUM(H26,I26)=1,1,""),"")</f>
        <v/>
      </c>
      <c r="O26" s="5">
        <f>IF(IF(Table4164854[[#This Row],[Old or New?]]="New",1,0)+IF(SUM(Table4164854[[#This Row],[If Sight]:[If Both]])=1,1,0)=2,1,"")</f>
        <v>1</v>
      </c>
      <c r="P26" s="5" t="str">
        <f>IF(IF(Table4164854[[#This Row],[Old or New?]]="Old",1,0)+IF(SUM(Table4164854[[#This Row],[If Sight]:[If Both]])=1,1,0)=2,1,"")</f>
        <v/>
      </c>
    </row>
    <row r="27" spans="1:16">
      <c r="A27" s="1" t="s">
        <v>24</v>
      </c>
      <c r="B27" s="1" t="s">
        <v>25</v>
      </c>
      <c r="C27" s="1">
        <v>10</v>
      </c>
      <c r="D27" s="1" t="s">
        <v>16</v>
      </c>
      <c r="E27" s="1">
        <v>10</v>
      </c>
      <c r="F27" s="1" t="s">
        <v>19</v>
      </c>
      <c r="G27" s="5" t="str">
        <f>IF(Table4164854[[#This Row],[Response]]="Sight",1,"")</f>
        <v/>
      </c>
      <c r="H27" s="5" t="str">
        <f>IF(Table4164854[[#This Row],[Response]]="Touch",1,"")</f>
        <v/>
      </c>
      <c r="I27" s="5">
        <f>IF(Table4164854[[#This Row],[Response]]="Both",1,"")</f>
        <v>1</v>
      </c>
      <c r="J27" s="5">
        <f>IF(SUM(Table4164854[[#This Row],[If Sight]:[If Both]])=1,1,"")</f>
        <v>1</v>
      </c>
      <c r="K27" s="5">
        <f>IF(Table4164854[[#This Row],[Old or New?]]="New",IF(SUM(G27,I27)=1,1,""),"")</f>
        <v>1</v>
      </c>
      <c r="L27" s="5">
        <f>IF(Table4164854[[#This Row],[Old or New?]]="New",IF(SUM(H27,I27)=1,1,""),"")</f>
        <v>1</v>
      </c>
      <c r="M27" s="5" t="str">
        <f>IF(Table4164854[[#This Row],[Old or New?]]="Old",IF(SUM(G27,I27)=1,1,""),"")</f>
        <v/>
      </c>
      <c r="N27" s="5" t="str">
        <f>IF(Table4164854[[#This Row],[Old or New?]]="Old",IF(SUM(H27,I27)=1,1,""),"")</f>
        <v/>
      </c>
      <c r="O27" s="5">
        <f>IF(IF(Table4164854[[#This Row],[Old or New?]]="New",1,0)+IF(SUM(Table4164854[[#This Row],[If Sight]:[If Both]])=1,1,0)=2,1,"")</f>
        <v>1</v>
      </c>
      <c r="P27" s="5" t="str">
        <f>IF(IF(Table4164854[[#This Row],[Old or New?]]="Old",1,0)+IF(SUM(Table4164854[[#This Row],[If Sight]:[If Both]])=1,1,0)=2,1,"")</f>
        <v/>
      </c>
    </row>
    <row r="28" spans="1:16">
      <c r="A28" s="1" t="s">
        <v>24</v>
      </c>
      <c r="B28" s="1" t="s">
        <v>25</v>
      </c>
      <c r="C28" s="1">
        <v>11</v>
      </c>
      <c r="D28" s="1" t="s">
        <v>16</v>
      </c>
      <c r="E28" s="1">
        <v>10</v>
      </c>
      <c r="G28" s="5" t="str">
        <f>IF(Table4164854[[#This Row],[Response]]="Sight",1,"")</f>
        <v/>
      </c>
      <c r="H28" s="5" t="str">
        <f>IF(Table4164854[[#This Row],[Response]]="Touch",1,"")</f>
        <v/>
      </c>
      <c r="I28" s="5" t="str">
        <f>IF(Table4164854[[#This Row],[Response]]="Both",1,"")</f>
        <v/>
      </c>
      <c r="J28" s="5" t="str">
        <f>IF(SUM(Table4164854[[#This Row],[If Sight]:[If Both]])=1,1,"")</f>
        <v/>
      </c>
      <c r="K28" s="5" t="str">
        <f>IF(Table4164854[[#This Row],[Old or New?]]="New",IF(SUM(G28,I28)=1,1,""),"")</f>
        <v/>
      </c>
      <c r="L28" s="5" t="str">
        <f>IF(Table4164854[[#This Row],[Old or New?]]="New",IF(SUM(H28,I28)=1,1,""),"")</f>
        <v/>
      </c>
      <c r="M28" s="5" t="str">
        <f>IF(Table4164854[[#This Row],[Old or New?]]="Old",IF(SUM(G28,I28)=1,1,""),"")</f>
        <v/>
      </c>
      <c r="N28" s="5" t="str">
        <f>IF(Table4164854[[#This Row],[Old or New?]]="Old",IF(SUM(H28,I28)=1,1,""),"")</f>
        <v/>
      </c>
      <c r="O28" s="5" t="str">
        <f>IF(IF(Table4164854[[#This Row],[Old or New?]]="New",1,0)+IF(SUM(Table4164854[[#This Row],[If Sight]:[If Both]])=1,1,0)=2,1,"")</f>
        <v/>
      </c>
      <c r="P28" s="5" t="str">
        <f>IF(IF(Table4164854[[#This Row],[Old or New?]]="Old",1,0)+IF(SUM(Table4164854[[#This Row],[If Sight]:[If Both]])=1,1,0)=2,1,"")</f>
        <v/>
      </c>
    </row>
    <row r="29" spans="1:16">
      <c r="A29" s="1" t="s">
        <v>24</v>
      </c>
      <c r="B29" s="1" t="s">
        <v>25</v>
      </c>
      <c r="C29" s="1">
        <v>12</v>
      </c>
      <c r="D29" s="1" t="s">
        <v>16</v>
      </c>
      <c r="E29" s="1">
        <v>10</v>
      </c>
      <c r="F29" s="1" t="s">
        <v>19</v>
      </c>
      <c r="G29" s="5" t="str">
        <f>IF(Table4164854[[#This Row],[Response]]="Sight",1,"")</f>
        <v/>
      </c>
      <c r="H29" s="5" t="str">
        <f>IF(Table4164854[[#This Row],[Response]]="Touch",1,"")</f>
        <v/>
      </c>
      <c r="I29" s="5">
        <f>IF(Table4164854[[#This Row],[Response]]="Both",1,"")</f>
        <v>1</v>
      </c>
      <c r="J29" s="5">
        <f>IF(SUM(Table4164854[[#This Row],[If Sight]:[If Both]])=1,1,"")</f>
        <v>1</v>
      </c>
      <c r="K29" s="5">
        <f>IF(Table4164854[[#This Row],[Old or New?]]="New",IF(SUM(G29,I29)=1,1,""),"")</f>
        <v>1</v>
      </c>
      <c r="L29" s="5">
        <f>IF(Table4164854[[#This Row],[Old or New?]]="New",IF(SUM(H29,I29)=1,1,""),"")</f>
        <v>1</v>
      </c>
      <c r="M29" s="5" t="str">
        <f>IF(Table4164854[[#This Row],[Old or New?]]="Old",IF(SUM(G29,I29)=1,1,""),"")</f>
        <v/>
      </c>
      <c r="N29" s="5" t="str">
        <f>IF(Table4164854[[#This Row],[Old or New?]]="Old",IF(SUM(H29,I29)=1,1,""),"")</f>
        <v/>
      </c>
      <c r="O29" s="5">
        <f>IF(IF(Table4164854[[#This Row],[Old or New?]]="New",1,0)+IF(SUM(Table4164854[[#This Row],[If Sight]:[If Both]])=1,1,0)=2,1,"")</f>
        <v>1</v>
      </c>
      <c r="P29" s="5" t="str">
        <f>IF(IF(Table4164854[[#This Row],[Old or New?]]="Old",1,0)+IF(SUM(Table4164854[[#This Row],[If Sight]:[If Both]])=1,1,0)=2,1,"")</f>
        <v/>
      </c>
    </row>
    <row r="30" spans="1:16">
      <c r="A30" s="1" t="s">
        <v>24</v>
      </c>
      <c r="B30" s="1" t="s">
        <v>25</v>
      </c>
      <c r="C30" s="1">
        <v>13</v>
      </c>
      <c r="D30" s="1" t="s">
        <v>16</v>
      </c>
      <c r="E30" s="1">
        <v>10</v>
      </c>
      <c r="F30" s="1" t="s">
        <v>19</v>
      </c>
      <c r="G30" s="5" t="str">
        <f>IF(Table4164854[[#This Row],[Response]]="Sight",1,"")</f>
        <v/>
      </c>
      <c r="H30" s="5" t="str">
        <f>IF(Table4164854[[#This Row],[Response]]="Touch",1,"")</f>
        <v/>
      </c>
      <c r="I30" s="5">
        <f>IF(Table4164854[[#This Row],[Response]]="Both",1,"")</f>
        <v>1</v>
      </c>
      <c r="J30" s="5">
        <f>IF(SUM(Table4164854[[#This Row],[If Sight]:[If Both]])=1,1,"")</f>
        <v>1</v>
      </c>
      <c r="K30" s="5">
        <f>IF(Table4164854[[#This Row],[Old or New?]]="New",IF(SUM(G30,I30)=1,1,""),"")</f>
        <v>1</v>
      </c>
      <c r="L30" s="5">
        <f>IF(Table4164854[[#This Row],[Old or New?]]="New",IF(SUM(H30,I30)=1,1,""),"")</f>
        <v>1</v>
      </c>
      <c r="M30" s="5" t="str">
        <f>IF(Table4164854[[#This Row],[Old or New?]]="Old",IF(SUM(G30,I30)=1,1,""),"")</f>
        <v/>
      </c>
      <c r="N30" s="5" t="str">
        <f>IF(Table4164854[[#This Row],[Old or New?]]="Old",IF(SUM(H30,I30)=1,1,""),"")</f>
        <v/>
      </c>
      <c r="O30" s="5">
        <f>IF(IF(Table4164854[[#This Row],[Old or New?]]="New",1,0)+IF(SUM(Table4164854[[#This Row],[If Sight]:[If Both]])=1,1,0)=2,1,"")</f>
        <v>1</v>
      </c>
      <c r="P30" s="5" t="str">
        <f>IF(IF(Table4164854[[#This Row],[Old or New?]]="Old",1,0)+IF(SUM(Table4164854[[#This Row],[If Sight]:[If Both]])=1,1,0)=2,1,"")</f>
        <v/>
      </c>
    </row>
    <row r="31" spans="1:16">
      <c r="A31" s="1" t="s">
        <v>24</v>
      </c>
      <c r="B31" s="1" t="s">
        <v>25</v>
      </c>
      <c r="C31" s="1">
        <v>14</v>
      </c>
      <c r="D31" s="1" t="s">
        <v>16</v>
      </c>
      <c r="E31" s="1">
        <v>10</v>
      </c>
      <c r="G31" s="5" t="str">
        <f>IF(Table4164854[[#This Row],[Response]]="Sight",1,"")</f>
        <v/>
      </c>
      <c r="H31" s="5" t="str">
        <f>IF(Table4164854[[#This Row],[Response]]="Touch",1,"")</f>
        <v/>
      </c>
      <c r="I31" s="5" t="str">
        <f>IF(Table4164854[[#This Row],[Response]]="Both",1,"")</f>
        <v/>
      </c>
      <c r="J31" s="5" t="str">
        <f>IF(SUM(Table4164854[[#This Row],[If Sight]:[If Both]])=1,1,"")</f>
        <v/>
      </c>
      <c r="K31" s="5" t="str">
        <f>IF(Table4164854[[#This Row],[Old or New?]]="New",IF(SUM(G31,I31)=1,1,""),"")</f>
        <v/>
      </c>
      <c r="L31" s="5" t="str">
        <f>IF(Table4164854[[#This Row],[Old or New?]]="New",IF(SUM(H31,I31)=1,1,""),"")</f>
        <v/>
      </c>
      <c r="M31" s="5" t="str">
        <f>IF(Table4164854[[#This Row],[Old or New?]]="Old",IF(SUM(G31,I31)=1,1,""),"")</f>
        <v/>
      </c>
      <c r="N31" s="5" t="str">
        <f>IF(Table4164854[[#This Row],[Old or New?]]="Old",IF(SUM(H31,I31)=1,1,""),"")</f>
        <v/>
      </c>
      <c r="O31" s="5" t="str">
        <f>IF(IF(Table4164854[[#This Row],[Old or New?]]="New",1,0)+IF(SUM(Table4164854[[#This Row],[If Sight]:[If Both]])=1,1,0)=2,1,"")</f>
        <v/>
      </c>
      <c r="P31" s="5" t="str">
        <f>IF(IF(Table4164854[[#This Row],[Old or New?]]="Old",1,0)+IF(SUM(Table4164854[[#This Row],[If Sight]:[If Both]])=1,1,0)=2,1,"")</f>
        <v/>
      </c>
    </row>
    <row r="32" spans="1:16">
      <c r="A32" s="1" t="s">
        <v>24</v>
      </c>
      <c r="B32" s="1" t="s">
        <v>25</v>
      </c>
      <c r="C32" s="1">
        <v>18</v>
      </c>
      <c r="D32" s="1" t="s">
        <v>16</v>
      </c>
      <c r="E32" s="1">
        <v>10</v>
      </c>
      <c r="G32" s="5" t="str">
        <f>IF(Table4164854[[#This Row],[Response]]="Sight",1,"")</f>
        <v/>
      </c>
      <c r="H32" s="5" t="str">
        <f>IF(Table4164854[[#This Row],[Response]]="Touch",1,"")</f>
        <v/>
      </c>
      <c r="I32" s="5" t="str">
        <f>IF(Table4164854[[#This Row],[Response]]="Both",1,"")</f>
        <v/>
      </c>
      <c r="J32" s="5" t="str">
        <f>IF(SUM(Table4164854[[#This Row],[If Sight]:[If Both]])=1,1,"")</f>
        <v/>
      </c>
      <c r="K32" s="5" t="str">
        <f>IF(Table4164854[[#This Row],[Old or New?]]="New",IF(SUM(G32,I32)=1,1,""),"")</f>
        <v/>
      </c>
      <c r="L32" s="5" t="str">
        <f>IF(Table4164854[[#This Row],[Old or New?]]="New",IF(SUM(H32,I32)=1,1,""),"")</f>
        <v/>
      </c>
      <c r="M32" s="5" t="str">
        <f>IF(Table4164854[[#This Row],[Old or New?]]="Old",IF(SUM(G32,I32)=1,1,""),"")</f>
        <v/>
      </c>
      <c r="N32" s="5" t="str">
        <f>IF(Table4164854[[#This Row],[Old or New?]]="Old",IF(SUM(H32,I32)=1,1,""),"")</f>
        <v/>
      </c>
      <c r="O32" s="5" t="str">
        <f>IF(IF(Table4164854[[#This Row],[Old or New?]]="New",1,0)+IF(SUM(Table4164854[[#This Row],[If Sight]:[If Both]])=1,1,0)=2,1,"")</f>
        <v/>
      </c>
      <c r="P32" s="5" t="str">
        <f>IF(IF(Table4164854[[#This Row],[Old or New?]]="Old",1,0)+IF(SUM(Table4164854[[#This Row],[If Sight]:[If Both]])=1,1,0)=2,1,"")</f>
        <v/>
      </c>
    </row>
    <row r="33" spans="1:16">
      <c r="A33" s="1" t="s">
        <v>24</v>
      </c>
      <c r="B33" s="1" t="s">
        <v>25</v>
      </c>
      <c r="C33" s="1">
        <v>19</v>
      </c>
      <c r="D33" s="1" t="s">
        <v>16</v>
      </c>
      <c r="E33" s="1">
        <v>10</v>
      </c>
      <c r="F33" s="1" t="s">
        <v>19</v>
      </c>
      <c r="G33" s="5" t="str">
        <f>IF(Table4164854[[#This Row],[Response]]="Sight",1,"")</f>
        <v/>
      </c>
      <c r="H33" s="5" t="str">
        <f>IF(Table4164854[[#This Row],[Response]]="Touch",1,"")</f>
        <v/>
      </c>
      <c r="I33" s="5">
        <f>IF(Table4164854[[#This Row],[Response]]="Both",1,"")</f>
        <v>1</v>
      </c>
      <c r="J33" s="5">
        <f>IF(SUM(Table4164854[[#This Row],[If Sight]:[If Both]])=1,1,"")</f>
        <v>1</v>
      </c>
      <c r="K33" s="5">
        <f>IF(Table4164854[[#This Row],[Old or New?]]="New",IF(SUM(G33,I33)=1,1,""),"")</f>
        <v>1</v>
      </c>
      <c r="L33" s="5">
        <f>IF(Table4164854[[#This Row],[Old or New?]]="New",IF(SUM(H33,I33)=1,1,""),"")</f>
        <v>1</v>
      </c>
      <c r="M33" s="5" t="str">
        <f>IF(Table4164854[[#This Row],[Old or New?]]="Old",IF(SUM(G33,I33)=1,1,""),"")</f>
        <v/>
      </c>
      <c r="N33" s="5" t="str">
        <f>IF(Table4164854[[#This Row],[Old or New?]]="Old",IF(SUM(H33,I33)=1,1,""),"")</f>
        <v/>
      </c>
      <c r="O33" s="5">
        <f>IF(IF(Table4164854[[#This Row],[Old or New?]]="New",1,0)+IF(SUM(Table4164854[[#This Row],[If Sight]:[If Both]])=1,1,0)=2,1,"")</f>
        <v>1</v>
      </c>
      <c r="P33" s="5" t="str">
        <f>IF(IF(Table4164854[[#This Row],[Old or New?]]="Old",1,0)+IF(SUM(Table4164854[[#This Row],[If Sight]:[If Both]])=1,1,0)=2,1,"")</f>
        <v/>
      </c>
    </row>
    <row r="34" spans="1:16">
      <c r="A34" s="1" t="s">
        <v>24</v>
      </c>
      <c r="B34" s="1" t="s">
        <v>25</v>
      </c>
      <c r="C34" s="1">
        <v>20</v>
      </c>
      <c r="D34" s="1" t="s">
        <v>16</v>
      </c>
      <c r="E34" s="1">
        <v>10</v>
      </c>
      <c r="F34" s="1" t="s">
        <v>19</v>
      </c>
      <c r="G34" s="5" t="str">
        <f>IF(Table4164854[[#This Row],[Response]]="Sight",1,"")</f>
        <v/>
      </c>
      <c r="H34" s="5" t="str">
        <f>IF(Table4164854[[#This Row],[Response]]="Touch",1,"")</f>
        <v/>
      </c>
      <c r="I34" s="5">
        <f>IF(Table4164854[[#This Row],[Response]]="Both",1,"")</f>
        <v>1</v>
      </c>
      <c r="J34" s="5">
        <f>IF(SUM(Table4164854[[#This Row],[If Sight]:[If Both]])=1,1,"")</f>
        <v>1</v>
      </c>
      <c r="K34" s="5">
        <f>IF(Table4164854[[#This Row],[Old or New?]]="New",IF(SUM(G34,I34)=1,1,""),"")</f>
        <v>1</v>
      </c>
      <c r="L34" s="5">
        <f>IF(Table4164854[[#This Row],[Old or New?]]="New",IF(SUM(H34,I34)=1,1,""),"")</f>
        <v>1</v>
      </c>
      <c r="M34" s="5" t="str">
        <f>IF(Table4164854[[#This Row],[Old or New?]]="Old",IF(SUM(G34,I34)=1,1,""),"")</f>
        <v/>
      </c>
      <c r="N34" s="5" t="str">
        <f>IF(Table4164854[[#This Row],[Old or New?]]="Old",IF(SUM(H34,I34)=1,1,""),"")</f>
        <v/>
      </c>
      <c r="O34" s="5">
        <f>IF(IF(Table4164854[[#This Row],[Old or New?]]="New",1,0)+IF(SUM(Table4164854[[#This Row],[If Sight]:[If Both]])=1,1,0)=2,1,"")</f>
        <v>1</v>
      </c>
      <c r="P34" s="5" t="str">
        <f>IF(IF(Table4164854[[#This Row],[Old or New?]]="Old",1,0)+IF(SUM(Table4164854[[#This Row],[If Sight]:[If Both]])=1,1,0)=2,1,"")</f>
        <v/>
      </c>
    </row>
    <row r="35" spans="1:16">
      <c r="A35" s="1" t="s">
        <v>24</v>
      </c>
      <c r="B35" s="1" t="s">
        <v>25</v>
      </c>
      <c r="C35" s="1">
        <v>21</v>
      </c>
      <c r="D35" s="1" t="s">
        <v>16</v>
      </c>
      <c r="E35" s="1">
        <v>10</v>
      </c>
      <c r="G35" s="5" t="str">
        <f>IF(Table4164854[[#This Row],[Response]]="Sight",1,"")</f>
        <v/>
      </c>
      <c r="H35" s="5" t="str">
        <f>IF(Table4164854[[#This Row],[Response]]="Touch",1,"")</f>
        <v/>
      </c>
      <c r="I35" s="5" t="str">
        <f>IF(Table4164854[[#This Row],[Response]]="Both",1,"")</f>
        <v/>
      </c>
      <c r="J35" s="5" t="str">
        <f>IF(SUM(Table4164854[[#This Row],[If Sight]:[If Both]])=1,1,"")</f>
        <v/>
      </c>
      <c r="K35" s="5" t="str">
        <f>IF(Table4164854[[#This Row],[Old or New?]]="New",IF(SUM(G35,I35)=1,1,""),"")</f>
        <v/>
      </c>
      <c r="L35" s="5" t="str">
        <f>IF(Table4164854[[#This Row],[Old or New?]]="New",IF(SUM(H35,I35)=1,1,""),"")</f>
        <v/>
      </c>
      <c r="M35" s="5" t="str">
        <f>IF(Table4164854[[#This Row],[Old or New?]]="Old",IF(SUM(G35,I35)=1,1,""),"")</f>
        <v/>
      </c>
      <c r="N35" s="5" t="str">
        <f>IF(Table4164854[[#This Row],[Old or New?]]="Old",IF(SUM(H35,I35)=1,1,""),"")</f>
        <v/>
      </c>
      <c r="O35" s="5" t="str">
        <f>IF(IF(Table4164854[[#This Row],[Old or New?]]="New",1,0)+IF(SUM(Table4164854[[#This Row],[If Sight]:[If Both]])=1,1,0)=2,1,"")</f>
        <v/>
      </c>
      <c r="P35" s="5" t="str">
        <f>IF(IF(Table4164854[[#This Row],[Old or New?]]="Old",1,0)+IF(SUM(Table4164854[[#This Row],[If Sight]:[If Both]])=1,1,0)=2,1,"")</f>
        <v/>
      </c>
    </row>
    <row r="36" spans="1:16">
      <c r="A36" s="2" t="s">
        <v>24</v>
      </c>
      <c r="B36" s="2" t="s">
        <v>26</v>
      </c>
      <c r="C36" s="1">
        <v>1</v>
      </c>
      <c r="D36" s="1" t="s">
        <v>16</v>
      </c>
      <c r="E36" s="1">
        <v>10</v>
      </c>
      <c r="F36" s="1" t="s">
        <v>19</v>
      </c>
      <c r="G36" s="5" t="str">
        <f>IF(Table4164854[[#This Row],[Response]]="Sight",1,"")</f>
        <v/>
      </c>
      <c r="H36" s="5" t="str">
        <f>IF(Table4164854[[#This Row],[Response]]="Touch",1,"")</f>
        <v/>
      </c>
      <c r="I36" s="5">
        <f>IF(Table4164854[[#This Row],[Response]]="Both",1,"")</f>
        <v>1</v>
      </c>
      <c r="J36" s="5">
        <f>IF(SUM(Table4164854[[#This Row],[If Sight]:[If Both]])=1,1,"")</f>
        <v>1</v>
      </c>
      <c r="K36" s="5">
        <f>IF(Table4164854[[#This Row],[Old or New?]]="New",IF(SUM(G36,I36)=1,1,""),"")</f>
        <v>1</v>
      </c>
      <c r="L36" s="5">
        <f>IF(Table4164854[[#This Row],[Old or New?]]="New",IF(SUM(H36,I36)=1,1,""),"")</f>
        <v>1</v>
      </c>
      <c r="M36" s="5" t="str">
        <f>IF(Table4164854[[#This Row],[Old or New?]]="Old",IF(SUM(G36,I36)=1,1,""),"")</f>
        <v/>
      </c>
      <c r="N36" s="5" t="str">
        <f>IF(Table4164854[[#This Row],[Old or New?]]="Old",IF(SUM(H36,I36)=1,1,""),"")</f>
        <v/>
      </c>
      <c r="O36" s="5">
        <f>IF(IF(Table4164854[[#This Row],[Old or New?]]="New",1,0)+IF(SUM(Table4164854[[#This Row],[If Sight]:[If Both]])=1,1,0)=2,1,"")</f>
        <v>1</v>
      </c>
      <c r="P36" s="5" t="str">
        <f>IF(IF(Table4164854[[#This Row],[Old or New?]]="Old",1,0)+IF(SUM(Table4164854[[#This Row],[If Sight]:[If Both]])=1,1,0)=2,1,"")</f>
        <v/>
      </c>
    </row>
    <row r="37" spans="1:16">
      <c r="A37" s="2" t="s">
        <v>24</v>
      </c>
      <c r="B37" s="2" t="s">
        <v>26</v>
      </c>
      <c r="C37" s="1">
        <v>2</v>
      </c>
      <c r="D37" s="1" t="s">
        <v>16</v>
      </c>
      <c r="E37" s="1">
        <v>10</v>
      </c>
      <c r="F37" s="1" t="s">
        <v>19</v>
      </c>
      <c r="G37" s="5" t="str">
        <f>IF(Table4164854[[#This Row],[Response]]="Sight",1,"")</f>
        <v/>
      </c>
      <c r="H37" s="5" t="str">
        <f>IF(Table4164854[[#This Row],[Response]]="Touch",1,"")</f>
        <v/>
      </c>
      <c r="I37" s="5">
        <f>IF(Table4164854[[#This Row],[Response]]="Both",1,"")</f>
        <v>1</v>
      </c>
      <c r="J37" s="5">
        <f>IF(SUM(Table4164854[[#This Row],[If Sight]:[If Both]])=1,1,"")</f>
        <v>1</v>
      </c>
      <c r="K37" s="5">
        <f>IF(Table4164854[[#This Row],[Old or New?]]="New",IF(SUM(G37,I37)=1,1,""),"")</f>
        <v>1</v>
      </c>
      <c r="L37" s="5">
        <f>IF(Table4164854[[#This Row],[Old or New?]]="New",IF(SUM(H37,I37)=1,1,""),"")</f>
        <v>1</v>
      </c>
      <c r="M37" s="5" t="str">
        <f>IF(Table4164854[[#This Row],[Old or New?]]="Old",IF(SUM(G37,I37)=1,1,""),"")</f>
        <v/>
      </c>
      <c r="N37" s="5" t="str">
        <f>IF(Table4164854[[#This Row],[Old or New?]]="Old",IF(SUM(H37,I37)=1,1,""),"")</f>
        <v/>
      </c>
      <c r="O37" s="5">
        <f>IF(IF(Table4164854[[#This Row],[Old or New?]]="New",1,0)+IF(SUM(Table4164854[[#This Row],[If Sight]:[If Both]])=1,1,0)=2,1,"")</f>
        <v>1</v>
      </c>
      <c r="P37" s="5" t="str">
        <f>IF(IF(Table4164854[[#This Row],[Old or New?]]="Old",1,0)+IF(SUM(Table4164854[[#This Row],[If Sight]:[If Both]])=1,1,0)=2,1,"")</f>
        <v/>
      </c>
    </row>
    <row r="38" spans="1:16">
      <c r="A38" s="2" t="s">
        <v>24</v>
      </c>
      <c r="B38" s="2" t="s">
        <v>26</v>
      </c>
      <c r="C38" s="1">
        <v>3</v>
      </c>
      <c r="D38" s="1" t="s">
        <v>16</v>
      </c>
      <c r="E38" s="1">
        <v>10</v>
      </c>
      <c r="F38" s="1" t="s">
        <v>19</v>
      </c>
      <c r="G38" s="5" t="str">
        <f>IF(Table4164854[[#This Row],[Response]]="Sight",1,"")</f>
        <v/>
      </c>
      <c r="H38" s="5" t="str">
        <f>IF(Table4164854[[#This Row],[Response]]="Touch",1,"")</f>
        <v/>
      </c>
      <c r="I38" s="5">
        <f>IF(Table4164854[[#This Row],[Response]]="Both",1,"")</f>
        <v>1</v>
      </c>
      <c r="J38" s="5">
        <f>IF(SUM(Table4164854[[#This Row],[If Sight]:[If Both]])=1,1,"")</f>
        <v>1</v>
      </c>
      <c r="K38" s="5">
        <f>IF(Table4164854[[#This Row],[Old or New?]]="New",IF(SUM(G38,I38)=1,1,""),"")</f>
        <v>1</v>
      </c>
      <c r="L38" s="5">
        <f>IF(Table4164854[[#This Row],[Old or New?]]="New",IF(SUM(H38,I38)=1,1,""),"")</f>
        <v>1</v>
      </c>
      <c r="M38" s="5" t="str">
        <f>IF(Table4164854[[#This Row],[Old or New?]]="Old",IF(SUM(G38,I38)=1,1,""),"")</f>
        <v/>
      </c>
      <c r="N38" s="5" t="str">
        <f>IF(Table4164854[[#This Row],[Old or New?]]="Old",IF(SUM(H38,I38)=1,1,""),"")</f>
        <v/>
      </c>
      <c r="O38" s="5">
        <f>IF(IF(Table4164854[[#This Row],[Old or New?]]="New",1,0)+IF(SUM(Table4164854[[#This Row],[If Sight]:[If Both]])=1,1,0)=2,1,"")</f>
        <v>1</v>
      </c>
      <c r="P38" s="5" t="str">
        <f>IF(IF(Table4164854[[#This Row],[Old or New?]]="Old",1,0)+IF(SUM(Table4164854[[#This Row],[If Sight]:[If Both]])=1,1,0)=2,1,"")</f>
        <v/>
      </c>
    </row>
    <row r="39" spans="1:16">
      <c r="A39" s="2" t="s">
        <v>24</v>
      </c>
      <c r="B39" s="2" t="s">
        <v>26</v>
      </c>
      <c r="C39" s="1">
        <v>4</v>
      </c>
      <c r="D39" s="1" t="s">
        <v>16</v>
      </c>
      <c r="E39" s="1">
        <v>10</v>
      </c>
      <c r="G39" s="5" t="str">
        <f>IF(Table4164854[[#This Row],[Response]]="Sight",1,"")</f>
        <v/>
      </c>
      <c r="H39" s="5" t="str">
        <f>IF(Table4164854[[#This Row],[Response]]="Touch",1,"")</f>
        <v/>
      </c>
      <c r="I39" s="5" t="str">
        <f>IF(Table4164854[[#This Row],[Response]]="Both",1,"")</f>
        <v/>
      </c>
      <c r="J39" s="5" t="str">
        <f>IF(SUM(Table4164854[[#This Row],[If Sight]:[If Both]])=1,1,"")</f>
        <v/>
      </c>
      <c r="K39" s="5" t="str">
        <f>IF(Table4164854[[#This Row],[Old or New?]]="New",IF(SUM(G39,I39)=1,1,""),"")</f>
        <v/>
      </c>
      <c r="L39" s="5" t="str">
        <f>IF(Table4164854[[#This Row],[Old or New?]]="New",IF(SUM(H39,I39)=1,1,""),"")</f>
        <v/>
      </c>
      <c r="M39" s="5" t="str">
        <f>IF(Table4164854[[#This Row],[Old or New?]]="Old",IF(SUM(G39,I39)=1,1,""),"")</f>
        <v/>
      </c>
      <c r="N39" s="5" t="str">
        <f>IF(Table4164854[[#This Row],[Old or New?]]="Old",IF(SUM(H39,I39)=1,1,""),"")</f>
        <v/>
      </c>
      <c r="O39" s="5" t="str">
        <f>IF(IF(Table4164854[[#This Row],[Old or New?]]="New",1,0)+IF(SUM(Table4164854[[#This Row],[If Sight]:[If Both]])=1,1,0)=2,1,"")</f>
        <v/>
      </c>
      <c r="P39" s="5" t="str">
        <f>IF(IF(Table4164854[[#This Row],[Old or New?]]="Old",1,0)+IF(SUM(Table4164854[[#This Row],[If Sight]:[If Both]])=1,1,0)=2,1,"")</f>
        <v/>
      </c>
    </row>
    <row r="40" spans="1:16">
      <c r="A40" s="2" t="s">
        <v>24</v>
      </c>
      <c r="B40" s="2" t="s">
        <v>26</v>
      </c>
      <c r="C40" s="1">
        <v>5</v>
      </c>
      <c r="D40" s="1" t="s">
        <v>16</v>
      </c>
      <c r="E40" s="1">
        <v>10</v>
      </c>
      <c r="G40" s="5" t="str">
        <f>IF(Table4164854[[#This Row],[Response]]="Sight",1,"")</f>
        <v/>
      </c>
      <c r="H40" s="5" t="str">
        <f>IF(Table4164854[[#This Row],[Response]]="Touch",1,"")</f>
        <v/>
      </c>
      <c r="I40" s="5" t="str">
        <f>IF(Table4164854[[#This Row],[Response]]="Both",1,"")</f>
        <v/>
      </c>
      <c r="J40" s="5" t="str">
        <f>IF(SUM(Table4164854[[#This Row],[If Sight]:[If Both]])=1,1,"")</f>
        <v/>
      </c>
      <c r="K40" s="5" t="str">
        <f>IF(Table4164854[[#This Row],[Old or New?]]="New",IF(SUM(G40,I40)=1,1,""),"")</f>
        <v/>
      </c>
      <c r="L40" s="5" t="str">
        <f>IF(Table4164854[[#This Row],[Old or New?]]="New",IF(SUM(H40,I40)=1,1,""),"")</f>
        <v/>
      </c>
      <c r="M40" s="5" t="str">
        <f>IF(Table4164854[[#This Row],[Old or New?]]="Old",IF(SUM(G40,I40)=1,1,""),"")</f>
        <v/>
      </c>
      <c r="N40" s="5" t="str">
        <f>IF(Table4164854[[#This Row],[Old or New?]]="Old",IF(SUM(H40,I40)=1,1,""),"")</f>
        <v/>
      </c>
      <c r="O40" s="5" t="str">
        <f>IF(IF(Table4164854[[#This Row],[Old or New?]]="New",1,0)+IF(SUM(Table4164854[[#This Row],[If Sight]:[If Both]])=1,1,0)=2,1,"")</f>
        <v/>
      </c>
      <c r="P40" s="5" t="str">
        <f>IF(IF(Table4164854[[#This Row],[Old or New?]]="Old",1,0)+IF(SUM(Table4164854[[#This Row],[If Sight]:[If Both]])=1,1,0)=2,1,"")</f>
        <v/>
      </c>
    </row>
    <row r="41" spans="1:16">
      <c r="A41" s="2" t="s">
        <v>24</v>
      </c>
      <c r="B41" s="2" t="s">
        <v>26</v>
      </c>
      <c r="C41" s="1">
        <v>6</v>
      </c>
      <c r="D41" s="1" t="s">
        <v>16</v>
      </c>
      <c r="E41" s="1">
        <v>10</v>
      </c>
      <c r="F41" s="1" t="s">
        <v>19</v>
      </c>
      <c r="G41" s="5" t="str">
        <f>IF(Table4164854[[#This Row],[Response]]="Sight",1,"")</f>
        <v/>
      </c>
      <c r="H41" s="5" t="str">
        <f>IF(Table4164854[[#This Row],[Response]]="Touch",1,"")</f>
        <v/>
      </c>
      <c r="I41" s="5">
        <f>IF(Table4164854[[#This Row],[Response]]="Both",1,"")</f>
        <v>1</v>
      </c>
      <c r="J41" s="5">
        <f>IF(SUM(Table4164854[[#This Row],[If Sight]:[If Both]])=1,1,"")</f>
        <v>1</v>
      </c>
      <c r="K41" s="5">
        <f>IF(Table4164854[[#This Row],[Old or New?]]="New",IF(SUM(G41,I41)=1,1,""),"")</f>
        <v>1</v>
      </c>
      <c r="L41" s="5">
        <f>IF(Table4164854[[#This Row],[Old or New?]]="New",IF(SUM(H41,I41)=1,1,""),"")</f>
        <v>1</v>
      </c>
      <c r="M41" s="5" t="str">
        <f>IF(Table4164854[[#This Row],[Old or New?]]="Old",IF(SUM(G41,I41)=1,1,""),"")</f>
        <v/>
      </c>
      <c r="N41" s="5" t="str">
        <f>IF(Table4164854[[#This Row],[Old or New?]]="Old",IF(SUM(H41,I41)=1,1,""),"")</f>
        <v/>
      </c>
      <c r="O41" s="5">
        <f>IF(IF(Table4164854[[#This Row],[Old or New?]]="New",1,0)+IF(SUM(Table4164854[[#This Row],[If Sight]:[If Both]])=1,1,0)=2,1,"")</f>
        <v>1</v>
      </c>
      <c r="P41" s="5" t="str">
        <f>IF(IF(Table4164854[[#This Row],[Old or New?]]="Old",1,0)+IF(SUM(Table4164854[[#This Row],[If Sight]:[If Both]])=1,1,0)=2,1,"")</f>
        <v/>
      </c>
    </row>
    <row r="42" spans="1:16">
      <c r="A42" s="2" t="s">
        <v>24</v>
      </c>
      <c r="B42" s="2" t="s">
        <v>26</v>
      </c>
      <c r="C42" s="1">
        <v>7</v>
      </c>
      <c r="D42" s="1" t="s">
        <v>16</v>
      </c>
      <c r="E42" s="1">
        <v>10</v>
      </c>
      <c r="F42" s="1" t="s">
        <v>18</v>
      </c>
      <c r="G42" s="5">
        <f>IF(Table4164854[[#This Row],[Response]]="Sight",1,"")</f>
        <v>1</v>
      </c>
      <c r="H42" s="5" t="str">
        <f>IF(Table4164854[[#This Row],[Response]]="Touch",1,"")</f>
        <v/>
      </c>
      <c r="I42" s="5" t="str">
        <f>IF(Table4164854[[#This Row],[Response]]="Both",1,"")</f>
        <v/>
      </c>
      <c r="J42" s="5">
        <f>IF(SUM(Table4164854[[#This Row],[If Sight]:[If Both]])=1,1,"")</f>
        <v>1</v>
      </c>
      <c r="K42" s="5">
        <f>IF(Table4164854[[#This Row],[Old or New?]]="New",IF(SUM(G42,I42)=1,1,""),"")</f>
        <v>1</v>
      </c>
      <c r="L42" s="5" t="str">
        <f>IF(Table4164854[[#This Row],[Old or New?]]="New",IF(SUM(H42,I42)=1,1,""),"")</f>
        <v/>
      </c>
      <c r="M42" s="5" t="str">
        <f>IF(Table4164854[[#This Row],[Old or New?]]="Old",IF(SUM(G42,I42)=1,1,""),"")</f>
        <v/>
      </c>
      <c r="N42" s="5" t="str">
        <f>IF(Table4164854[[#This Row],[Old or New?]]="Old",IF(SUM(H42,I42)=1,1,""),"")</f>
        <v/>
      </c>
      <c r="O42" s="5">
        <f>IF(IF(Table4164854[[#This Row],[Old or New?]]="New",1,0)+IF(SUM(Table4164854[[#This Row],[If Sight]:[If Both]])=1,1,0)=2,1,"")</f>
        <v>1</v>
      </c>
      <c r="P42" s="5" t="str">
        <f>IF(IF(Table4164854[[#This Row],[Old or New?]]="Old",1,0)+IF(SUM(Table4164854[[#This Row],[If Sight]:[If Both]])=1,1,0)=2,1,"")</f>
        <v/>
      </c>
    </row>
    <row r="43" spans="1:16">
      <c r="A43" s="2" t="s">
        <v>24</v>
      </c>
      <c r="B43" s="2" t="s">
        <v>26</v>
      </c>
      <c r="C43" s="1">
        <v>8</v>
      </c>
      <c r="D43" s="1" t="s">
        <v>16</v>
      </c>
      <c r="E43" s="1">
        <v>10</v>
      </c>
      <c r="F43" s="1" t="s">
        <v>19</v>
      </c>
      <c r="G43" s="5" t="str">
        <f>IF(Table4164854[[#This Row],[Response]]="Sight",1,"")</f>
        <v/>
      </c>
      <c r="H43" s="5" t="str">
        <f>IF(Table4164854[[#This Row],[Response]]="Touch",1,"")</f>
        <v/>
      </c>
      <c r="I43" s="5">
        <f>IF(Table4164854[[#This Row],[Response]]="Both",1,"")</f>
        <v>1</v>
      </c>
      <c r="J43" s="5">
        <f>IF(SUM(Table4164854[[#This Row],[If Sight]:[If Both]])=1,1,"")</f>
        <v>1</v>
      </c>
      <c r="K43" s="5">
        <f>IF(Table4164854[[#This Row],[Old or New?]]="New",IF(SUM(G43,I43)=1,1,""),"")</f>
        <v>1</v>
      </c>
      <c r="L43" s="5">
        <f>IF(Table4164854[[#This Row],[Old or New?]]="New",IF(SUM(H43,I43)=1,1,""),"")</f>
        <v>1</v>
      </c>
      <c r="M43" s="5" t="str">
        <f>IF(Table4164854[[#This Row],[Old or New?]]="Old",IF(SUM(G43,I43)=1,1,""),"")</f>
        <v/>
      </c>
      <c r="N43" s="5" t="str">
        <f>IF(Table4164854[[#This Row],[Old or New?]]="Old",IF(SUM(H43,I43)=1,1,""),"")</f>
        <v/>
      </c>
      <c r="O43" s="5">
        <f>IF(IF(Table4164854[[#This Row],[Old or New?]]="New",1,0)+IF(SUM(Table4164854[[#This Row],[If Sight]:[If Both]])=1,1,0)=2,1,"")</f>
        <v>1</v>
      </c>
      <c r="P43" s="5" t="str">
        <f>IF(IF(Table4164854[[#This Row],[Old or New?]]="Old",1,0)+IF(SUM(Table4164854[[#This Row],[If Sight]:[If Both]])=1,1,0)=2,1,"")</f>
        <v/>
      </c>
    </row>
    <row r="44" spans="1:16">
      <c r="A44" s="2" t="s">
        <v>24</v>
      </c>
      <c r="B44" s="2" t="s">
        <v>26</v>
      </c>
      <c r="C44" s="1">
        <v>9</v>
      </c>
      <c r="D44" s="1" t="s">
        <v>16</v>
      </c>
      <c r="E44" s="1">
        <v>10</v>
      </c>
      <c r="F44" s="1" t="s">
        <v>19</v>
      </c>
      <c r="G44" s="5" t="str">
        <f>IF(Table4164854[[#This Row],[Response]]="Sight",1,"")</f>
        <v/>
      </c>
      <c r="H44" s="5" t="str">
        <f>IF(Table4164854[[#This Row],[Response]]="Touch",1,"")</f>
        <v/>
      </c>
      <c r="I44" s="5">
        <f>IF(Table4164854[[#This Row],[Response]]="Both",1,"")</f>
        <v>1</v>
      </c>
      <c r="J44" s="5">
        <f>IF(SUM(Table4164854[[#This Row],[If Sight]:[If Both]])=1,1,"")</f>
        <v>1</v>
      </c>
      <c r="K44" s="5">
        <f>IF(Table4164854[[#This Row],[Old or New?]]="New",IF(SUM(G44,I44)=1,1,""),"")</f>
        <v>1</v>
      </c>
      <c r="L44" s="5">
        <f>IF(Table4164854[[#This Row],[Old or New?]]="New",IF(SUM(H44,I44)=1,1,""),"")</f>
        <v>1</v>
      </c>
      <c r="M44" s="5" t="str">
        <f>IF(Table4164854[[#This Row],[Old or New?]]="Old",IF(SUM(G44,I44)=1,1,""),"")</f>
        <v/>
      </c>
      <c r="N44" s="5" t="str">
        <f>IF(Table4164854[[#This Row],[Old or New?]]="Old",IF(SUM(H44,I44)=1,1,""),"")</f>
        <v/>
      </c>
      <c r="O44" s="5">
        <f>IF(IF(Table4164854[[#This Row],[Old or New?]]="New",1,0)+IF(SUM(Table4164854[[#This Row],[If Sight]:[If Both]])=1,1,0)=2,1,"")</f>
        <v>1</v>
      </c>
      <c r="P44" s="5" t="str">
        <f>IF(IF(Table4164854[[#This Row],[Old or New?]]="Old",1,0)+IF(SUM(Table4164854[[#This Row],[If Sight]:[If Both]])=1,1,0)=2,1,"")</f>
        <v/>
      </c>
    </row>
    <row r="45" spans="1:16">
      <c r="A45" s="2" t="s">
        <v>24</v>
      </c>
      <c r="B45" s="2" t="s">
        <v>26</v>
      </c>
      <c r="C45" s="1">
        <v>10</v>
      </c>
      <c r="D45" s="1" t="s">
        <v>16</v>
      </c>
      <c r="E45" s="1">
        <v>10</v>
      </c>
      <c r="G45" s="5" t="str">
        <f>IF(Table4164854[[#This Row],[Response]]="Sight",1,"")</f>
        <v/>
      </c>
      <c r="H45" s="5" t="str">
        <f>IF(Table4164854[[#This Row],[Response]]="Touch",1,"")</f>
        <v/>
      </c>
      <c r="I45" s="5" t="str">
        <f>IF(Table4164854[[#This Row],[Response]]="Both",1,"")</f>
        <v/>
      </c>
      <c r="J45" s="5" t="str">
        <f>IF(SUM(Table4164854[[#This Row],[If Sight]:[If Both]])=1,1,"")</f>
        <v/>
      </c>
      <c r="K45" s="5" t="str">
        <f>IF(Table4164854[[#This Row],[Old or New?]]="New",IF(SUM(G45,I45)=1,1,""),"")</f>
        <v/>
      </c>
      <c r="L45" s="5" t="str">
        <f>IF(Table4164854[[#This Row],[Old or New?]]="New",IF(SUM(H45,I45)=1,1,""),"")</f>
        <v/>
      </c>
      <c r="M45" s="5" t="str">
        <f>IF(Table4164854[[#This Row],[Old or New?]]="Old",IF(SUM(G45,I45)=1,1,""),"")</f>
        <v/>
      </c>
      <c r="N45" s="5" t="str">
        <f>IF(Table4164854[[#This Row],[Old or New?]]="Old",IF(SUM(H45,I45)=1,1,""),"")</f>
        <v/>
      </c>
      <c r="O45" s="5" t="str">
        <f>IF(IF(Table4164854[[#This Row],[Old or New?]]="New",1,0)+IF(SUM(Table4164854[[#This Row],[If Sight]:[If Both]])=1,1,0)=2,1,"")</f>
        <v/>
      </c>
      <c r="P45" s="5" t="str">
        <f>IF(IF(Table4164854[[#This Row],[Old or New?]]="Old",1,0)+IF(SUM(Table4164854[[#This Row],[If Sight]:[If Both]])=1,1,0)=2,1,"")</f>
        <v/>
      </c>
    </row>
    <row r="46" spans="1:16">
      <c r="A46" s="2" t="s">
        <v>24</v>
      </c>
      <c r="B46" s="2" t="s">
        <v>26</v>
      </c>
      <c r="C46" s="1">
        <v>11</v>
      </c>
      <c r="D46" s="1" t="s">
        <v>16</v>
      </c>
      <c r="E46" s="1">
        <v>10</v>
      </c>
      <c r="F46" s="1" t="s">
        <v>18</v>
      </c>
      <c r="G46" s="5">
        <f>IF(Table4164854[[#This Row],[Response]]="Sight",1,"")</f>
        <v>1</v>
      </c>
      <c r="H46" s="5" t="str">
        <f>IF(Table4164854[[#This Row],[Response]]="Touch",1,"")</f>
        <v/>
      </c>
      <c r="I46" s="5" t="str">
        <f>IF(Table4164854[[#This Row],[Response]]="Both",1,"")</f>
        <v/>
      </c>
      <c r="J46" s="5">
        <f>IF(SUM(Table4164854[[#This Row],[If Sight]:[If Both]])=1,1,"")</f>
        <v>1</v>
      </c>
      <c r="K46" s="5">
        <f>IF(Table4164854[[#This Row],[Old or New?]]="New",IF(SUM(G46,I46)=1,1,""),"")</f>
        <v>1</v>
      </c>
      <c r="L46" s="5" t="str">
        <f>IF(Table4164854[[#This Row],[Old or New?]]="New",IF(SUM(H46,I46)=1,1,""),"")</f>
        <v/>
      </c>
      <c r="M46" s="5" t="str">
        <f>IF(Table4164854[[#This Row],[Old or New?]]="Old",IF(SUM(G46,I46)=1,1,""),"")</f>
        <v/>
      </c>
      <c r="N46" s="5" t="str">
        <f>IF(Table4164854[[#This Row],[Old or New?]]="Old",IF(SUM(H46,I46)=1,1,""),"")</f>
        <v/>
      </c>
      <c r="O46" s="5">
        <f>IF(IF(Table4164854[[#This Row],[Old or New?]]="New",1,0)+IF(SUM(Table4164854[[#This Row],[If Sight]:[If Both]])=1,1,0)=2,1,"")</f>
        <v>1</v>
      </c>
      <c r="P46" s="5" t="str">
        <f>IF(IF(Table4164854[[#This Row],[Old or New?]]="Old",1,0)+IF(SUM(Table4164854[[#This Row],[If Sight]:[If Both]])=1,1,0)=2,1,"")</f>
        <v/>
      </c>
    </row>
    <row r="47" spans="1:16">
      <c r="A47" s="2" t="s">
        <v>24</v>
      </c>
      <c r="B47" s="2" t="s">
        <v>26</v>
      </c>
      <c r="C47" s="1">
        <v>12</v>
      </c>
      <c r="D47" s="1" t="s">
        <v>16</v>
      </c>
      <c r="E47" s="1">
        <v>10</v>
      </c>
      <c r="G47" s="5" t="str">
        <f>IF(Table4164854[[#This Row],[Response]]="Sight",1,"")</f>
        <v/>
      </c>
      <c r="H47" s="5" t="str">
        <f>IF(Table4164854[[#This Row],[Response]]="Touch",1,"")</f>
        <v/>
      </c>
      <c r="I47" s="5" t="str">
        <f>IF(Table4164854[[#This Row],[Response]]="Both",1,"")</f>
        <v/>
      </c>
      <c r="J47" s="5" t="str">
        <f>IF(SUM(Table4164854[[#This Row],[If Sight]:[If Both]])=1,1,"")</f>
        <v/>
      </c>
      <c r="K47" s="5" t="str">
        <f>IF(Table4164854[[#This Row],[Old or New?]]="New",IF(SUM(G47,I47)=1,1,""),"")</f>
        <v/>
      </c>
      <c r="L47" s="5" t="str">
        <f>IF(Table4164854[[#This Row],[Old or New?]]="New",IF(SUM(H47,I47)=1,1,""),"")</f>
        <v/>
      </c>
      <c r="M47" s="5" t="str">
        <f>IF(Table4164854[[#This Row],[Old or New?]]="Old",IF(SUM(G47,I47)=1,1,""),"")</f>
        <v/>
      </c>
      <c r="N47" s="5" t="str">
        <f>IF(Table4164854[[#This Row],[Old or New?]]="Old",IF(SUM(H47,I47)=1,1,""),"")</f>
        <v/>
      </c>
      <c r="O47" s="5" t="str">
        <f>IF(IF(Table4164854[[#This Row],[Old or New?]]="New",1,0)+IF(SUM(Table4164854[[#This Row],[If Sight]:[If Both]])=1,1,0)=2,1,"")</f>
        <v/>
      </c>
      <c r="P47" s="5" t="str">
        <f>IF(IF(Table4164854[[#This Row],[Old or New?]]="Old",1,0)+IF(SUM(Table4164854[[#This Row],[If Sight]:[If Both]])=1,1,0)=2,1,"")</f>
        <v/>
      </c>
    </row>
    <row r="48" spans="1:16">
      <c r="A48" s="2" t="s">
        <v>24</v>
      </c>
      <c r="B48" s="2" t="s">
        <v>26</v>
      </c>
      <c r="C48" s="1">
        <v>13</v>
      </c>
      <c r="D48" s="1" t="s">
        <v>16</v>
      </c>
      <c r="E48" s="1">
        <v>10</v>
      </c>
      <c r="G48" s="5" t="str">
        <f>IF(Table4164854[[#This Row],[Response]]="Sight",1,"")</f>
        <v/>
      </c>
      <c r="H48" s="5" t="str">
        <f>IF(Table4164854[[#This Row],[Response]]="Touch",1,"")</f>
        <v/>
      </c>
      <c r="I48" s="5" t="str">
        <f>IF(Table4164854[[#This Row],[Response]]="Both",1,"")</f>
        <v/>
      </c>
      <c r="J48" s="5" t="str">
        <f>IF(SUM(Table4164854[[#This Row],[If Sight]:[If Both]])=1,1,"")</f>
        <v/>
      </c>
      <c r="K48" s="5" t="str">
        <f>IF(Table4164854[[#This Row],[Old or New?]]="New",IF(SUM(G48,I48)=1,1,""),"")</f>
        <v/>
      </c>
      <c r="L48" s="5" t="str">
        <f>IF(Table4164854[[#This Row],[Old or New?]]="New",IF(SUM(H48,I48)=1,1,""),"")</f>
        <v/>
      </c>
      <c r="M48" s="5" t="str">
        <f>IF(Table4164854[[#This Row],[Old or New?]]="Old",IF(SUM(G48,I48)=1,1,""),"")</f>
        <v/>
      </c>
      <c r="N48" s="5" t="str">
        <f>IF(Table4164854[[#This Row],[Old or New?]]="Old",IF(SUM(H48,I48)=1,1,""),"")</f>
        <v/>
      </c>
      <c r="O48" s="5" t="str">
        <f>IF(IF(Table4164854[[#This Row],[Old or New?]]="New",1,0)+IF(SUM(Table4164854[[#This Row],[If Sight]:[If Both]])=1,1,0)=2,1,"")</f>
        <v/>
      </c>
      <c r="P48" s="5" t="str">
        <f>IF(IF(Table4164854[[#This Row],[Old or New?]]="Old",1,0)+IF(SUM(Table4164854[[#This Row],[If Sight]:[If Both]])=1,1,0)=2,1,"")</f>
        <v/>
      </c>
    </row>
    <row r="49" spans="1:16">
      <c r="A49" s="2" t="s">
        <v>24</v>
      </c>
      <c r="B49" s="2" t="s">
        <v>26</v>
      </c>
      <c r="C49" s="1">
        <v>14</v>
      </c>
      <c r="D49" s="1" t="s">
        <v>16</v>
      </c>
      <c r="E49" s="1">
        <v>10</v>
      </c>
      <c r="F49" s="1" t="s">
        <v>19</v>
      </c>
      <c r="G49" s="5" t="str">
        <f>IF(Table4164854[[#This Row],[Response]]="Sight",1,"")</f>
        <v/>
      </c>
      <c r="H49" s="5" t="str">
        <f>IF(Table4164854[[#This Row],[Response]]="Touch",1,"")</f>
        <v/>
      </c>
      <c r="I49" s="5">
        <f>IF(Table4164854[[#This Row],[Response]]="Both",1,"")</f>
        <v>1</v>
      </c>
      <c r="J49" s="5">
        <f>IF(SUM(Table4164854[[#This Row],[If Sight]:[If Both]])=1,1,"")</f>
        <v>1</v>
      </c>
      <c r="K49" s="5">
        <f>IF(Table4164854[[#This Row],[Old or New?]]="New",IF(SUM(G49,I49)=1,1,""),"")</f>
        <v>1</v>
      </c>
      <c r="L49" s="5">
        <f>IF(Table4164854[[#This Row],[Old or New?]]="New",IF(SUM(H49,I49)=1,1,""),"")</f>
        <v>1</v>
      </c>
      <c r="M49" s="5" t="str">
        <f>IF(Table4164854[[#This Row],[Old or New?]]="Old",IF(SUM(G49,I49)=1,1,""),"")</f>
        <v/>
      </c>
      <c r="N49" s="5" t="str">
        <f>IF(Table4164854[[#This Row],[Old or New?]]="Old",IF(SUM(H49,I49)=1,1,""),"")</f>
        <v/>
      </c>
      <c r="O49" s="5">
        <f>IF(IF(Table4164854[[#This Row],[Old or New?]]="New",1,0)+IF(SUM(Table4164854[[#This Row],[If Sight]:[If Both]])=1,1,0)=2,1,"")</f>
        <v>1</v>
      </c>
      <c r="P49" s="5" t="str">
        <f>IF(IF(Table4164854[[#This Row],[Old or New?]]="Old",1,0)+IF(SUM(Table4164854[[#This Row],[If Sight]:[If Both]])=1,1,0)=2,1,"")</f>
        <v/>
      </c>
    </row>
    <row r="50" spans="1:16">
      <c r="A50" s="2" t="s">
        <v>24</v>
      </c>
      <c r="B50" s="2" t="s">
        <v>26</v>
      </c>
      <c r="C50" s="1">
        <v>15</v>
      </c>
      <c r="D50" s="1" t="s">
        <v>16</v>
      </c>
      <c r="E50" s="1">
        <v>10</v>
      </c>
      <c r="F50" s="1" t="s">
        <v>19</v>
      </c>
      <c r="G50" s="5" t="str">
        <f>IF(Table4164854[[#This Row],[Response]]="Sight",1,"")</f>
        <v/>
      </c>
      <c r="H50" s="5" t="str">
        <f>IF(Table4164854[[#This Row],[Response]]="Touch",1,"")</f>
        <v/>
      </c>
      <c r="I50" s="5">
        <f>IF(Table4164854[[#This Row],[Response]]="Both",1,"")</f>
        <v>1</v>
      </c>
      <c r="J50" s="5">
        <f>IF(SUM(Table4164854[[#This Row],[If Sight]:[If Both]])=1,1,"")</f>
        <v>1</v>
      </c>
      <c r="K50" s="5">
        <f>IF(Table4164854[[#This Row],[Old or New?]]="New",IF(SUM(G50,I50)=1,1,""),"")</f>
        <v>1</v>
      </c>
      <c r="L50" s="5">
        <f>IF(Table4164854[[#This Row],[Old or New?]]="New",IF(SUM(H50,I50)=1,1,""),"")</f>
        <v>1</v>
      </c>
      <c r="M50" s="5" t="str">
        <f>IF(Table4164854[[#This Row],[Old or New?]]="Old",IF(SUM(G50,I50)=1,1,""),"")</f>
        <v/>
      </c>
      <c r="N50" s="5" t="str">
        <f>IF(Table4164854[[#This Row],[Old or New?]]="Old",IF(SUM(H50,I50)=1,1,""),"")</f>
        <v/>
      </c>
      <c r="O50" s="5">
        <f>IF(IF(Table4164854[[#This Row],[Old or New?]]="New",1,0)+IF(SUM(Table4164854[[#This Row],[If Sight]:[If Both]])=1,1,0)=2,1,"")</f>
        <v>1</v>
      </c>
      <c r="P50" s="5" t="str">
        <f>IF(IF(Table4164854[[#This Row],[Old or New?]]="Old",1,0)+IF(SUM(Table4164854[[#This Row],[If Sight]:[If Both]])=1,1,0)=2,1,"")</f>
        <v/>
      </c>
    </row>
    <row r="51" spans="1:16">
      <c r="A51" s="2" t="s">
        <v>24</v>
      </c>
      <c r="B51" s="2" t="s">
        <v>28</v>
      </c>
      <c r="C51" s="1">
        <v>1</v>
      </c>
      <c r="D51" s="1" t="s">
        <v>16</v>
      </c>
      <c r="E51" s="1">
        <v>10</v>
      </c>
      <c r="F51" s="2" t="s">
        <v>18</v>
      </c>
      <c r="G51" s="5">
        <f>IF(Table4164854[[#This Row],[Response]]="Sight",1,"")</f>
        <v>1</v>
      </c>
      <c r="H51" s="5" t="str">
        <f>IF(Table4164854[[#This Row],[Response]]="Touch",1,"")</f>
        <v/>
      </c>
      <c r="I51" s="5" t="str">
        <f>IF(Table4164854[[#This Row],[Response]]="Both",1,"")</f>
        <v/>
      </c>
      <c r="J51" s="5">
        <f>IF(SUM(Table4164854[[#This Row],[If Sight]:[If Both]])=1,1,"")</f>
        <v>1</v>
      </c>
      <c r="K51" s="5">
        <f>IF(Table4164854[[#This Row],[Old or New?]]="New",IF(SUM(G51,I51)=1,1,""),"")</f>
        <v>1</v>
      </c>
      <c r="L51" s="5" t="str">
        <f>IF(Table4164854[[#This Row],[Old or New?]]="New",IF(SUM(H51,I51)=1,1,""),"")</f>
        <v/>
      </c>
      <c r="M51" s="5" t="str">
        <f>IF(Table4164854[[#This Row],[Old or New?]]="Old",IF(SUM(G51,I51)=1,1,""),"")</f>
        <v/>
      </c>
      <c r="N51" s="5" t="str">
        <f>IF(Table4164854[[#This Row],[Old or New?]]="Old",IF(SUM(H51,I51)=1,1,""),"")</f>
        <v/>
      </c>
      <c r="O51" s="5">
        <f>IF(IF(Table4164854[[#This Row],[Old or New?]]="New",1,0)+IF(SUM(Table4164854[[#This Row],[If Sight]:[If Both]])=1,1,0)=2,1,"")</f>
        <v>1</v>
      </c>
      <c r="P51" s="5" t="str">
        <f>IF(IF(Table4164854[[#This Row],[Old or New?]]="Old",1,0)+IF(SUM(Table4164854[[#This Row],[If Sight]:[If Both]])=1,1,0)=2,1,"")</f>
        <v/>
      </c>
    </row>
    <row r="52" spans="1:16">
      <c r="A52" s="2" t="s">
        <v>24</v>
      </c>
      <c r="B52" s="2" t="s">
        <v>28</v>
      </c>
      <c r="C52" s="1">
        <v>2</v>
      </c>
      <c r="D52" s="1" t="s">
        <v>16</v>
      </c>
      <c r="E52" s="1">
        <v>10</v>
      </c>
      <c r="F52" s="2" t="s">
        <v>18</v>
      </c>
      <c r="G52" s="5">
        <f>IF(Table4164854[[#This Row],[Response]]="Sight",1,"")</f>
        <v>1</v>
      </c>
      <c r="H52" s="5" t="str">
        <f>IF(Table4164854[[#This Row],[Response]]="Touch",1,"")</f>
        <v/>
      </c>
      <c r="I52" s="5" t="str">
        <f>IF(Table4164854[[#This Row],[Response]]="Both",1,"")</f>
        <v/>
      </c>
      <c r="J52" s="5">
        <f>IF(SUM(Table4164854[[#This Row],[If Sight]:[If Both]])=1,1,"")</f>
        <v>1</v>
      </c>
      <c r="K52" s="5">
        <f>IF(Table4164854[[#This Row],[Old or New?]]="New",IF(SUM(G52,I52)=1,1,""),"")</f>
        <v>1</v>
      </c>
      <c r="L52" s="5" t="str">
        <f>IF(Table4164854[[#This Row],[Old or New?]]="New",IF(SUM(H52,I52)=1,1,""),"")</f>
        <v/>
      </c>
      <c r="M52" s="5" t="str">
        <f>IF(Table4164854[[#This Row],[Old or New?]]="Old",IF(SUM(G52,I52)=1,1,""),"")</f>
        <v/>
      </c>
      <c r="N52" s="5" t="str">
        <f>IF(Table4164854[[#This Row],[Old or New?]]="Old",IF(SUM(H52,I52)=1,1,""),"")</f>
        <v/>
      </c>
      <c r="O52" s="5">
        <f>IF(IF(Table4164854[[#This Row],[Old or New?]]="New",1,0)+IF(SUM(Table4164854[[#This Row],[If Sight]:[If Both]])=1,1,0)=2,1,"")</f>
        <v>1</v>
      </c>
      <c r="P52" s="5" t="str">
        <f>IF(IF(Table4164854[[#This Row],[Old or New?]]="Old",1,0)+IF(SUM(Table4164854[[#This Row],[If Sight]:[If Both]])=1,1,0)=2,1,"")</f>
        <v/>
      </c>
    </row>
    <row r="53" spans="1:16">
      <c r="A53" s="2" t="s">
        <v>24</v>
      </c>
      <c r="B53" s="2" t="s">
        <v>28</v>
      </c>
      <c r="C53" s="1">
        <v>3</v>
      </c>
      <c r="D53" s="1" t="s">
        <v>16</v>
      </c>
      <c r="E53" s="1">
        <v>10</v>
      </c>
      <c r="F53" s="2"/>
      <c r="G53" s="5" t="str">
        <f>IF(Table4164854[[#This Row],[Response]]="Sight",1,"")</f>
        <v/>
      </c>
      <c r="H53" s="5" t="str">
        <f>IF(Table4164854[[#This Row],[Response]]="Touch",1,"")</f>
        <v/>
      </c>
      <c r="I53" s="5" t="str">
        <f>IF(Table4164854[[#This Row],[Response]]="Both",1,"")</f>
        <v/>
      </c>
      <c r="J53" s="5" t="str">
        <f>IF(SUM(Table4164854[[#This Row],[If Sight]:[If Both]])=1,1,"")</f>
        <v/>
      </c>
      <c r="K53" s="5" t="str">
        <f>IF(Table4164854[[#This Row],[Old or New?]]="New",IF(SUM(G53,I53)=1,1,""),"")</f>
        <v/>
      </c>
      <c r="L53" s="5" t="str">
        <f>IF(Table4164854[[#This Row],[Old or New?]]="New",IF(SUM(H53,I53)=1,1,""),"")</f>
        <v/>
      </c>
      <c r="M53" s="5" t="str">
        <f>IF(Table4164854[[#This Row],[Old or New?]]="Old",IF(SUM(G53,I53)=1,1,""),"")</f>
        <v/>
      </c>
      <c r="N53" s="5" t="str">
        <f>IF(Table4164854[[#This Row],[Old or New?]]="Old",IF(SUM(H53,I53)=1,1,""),"")</f>
        <v/>
      </c>
      <c r="O53" s="5" t="str">
        <f>IF(IF(Table4164854[[#This Row],[Old or New?]]="New",1,0)+IF(SUM(Table4164854[[#This Row],[If Sight]:[If Both]])=1,1,0)=2,1,"")</f>
        <v/>
      </c>
      <c r="P53" s="5" t="str">
        <f>IF(IF(Table4164854[[#This Row],[Old or New?]]="Old",1,0)+IF(SUM(Table4164854[[#This Row],[If Sight]:[If Both]])=1,1,0)=2,1,"")</f>
        <v/>
      </c>
    </row>
    <row r="54" spans="1:16">
      <c r="A54" s="2" t="s">
        <v>24</v>
      </c>
      <c r="B54" s="2" t="s">
        <v>28</v>
      </c>
      <c r="C54" s="1">
        <v>4</v>
      </c>
      <c r="D54" s="1" t="s">
        <v>16</v>
      </c>
      <c r="E54" s="1">
        <v>10</v>
      </c>
      <c r="F54" s="2" t="s">
        <v>19</v>
      </c>
      <c r="G54" s="5" t="str">
        <f>IF(Table4164854[[#This Row],[Response]]="Sight",1,"")</f>
        <v/>
      </c>
      <c r="H54" s="5" t="str">
        <f>IF(Table4164854[[#This Row],[Response]]="Touch",1,"")</f>
        <v/>
      </c>
      <c r="I54" s="5">
        <f>IF(Table4164854[[#This Row],[Response]]="Both",1,"")</f>
        <v>1</v>
      </c>
      <c r="J54" s="5">
        <f>IF(SUM(Table4164854[[#This Row],[If Sight]:[If Both]])=1,1,"")</f>
        <v>1</v>
      </c>
      <c r="K54" s="5">
        <f>IF(Table4164854[[#This Row],[Old or New?]]="New",IF(SUM(G54,I54)=1,1,""),"")</f>
        <v>1</v>
      </c>
      <c r="L54" s="5">
        <f>IF(Table4164854[[#This Row],[Old or New?]]="New",IF(SUM(H54,I54)=1,1,""),"")</f>
        <v>1</v>
      </c>
      <c r="M54" s="5" t="str">
        <f>IF(Table4164854[[#This Row],[Old or New?]]="Old",IF(SUM(G54,I54)=1,1,""),"")</f>
        <v/>
      </c>
      <c r="N54" s="5" t="str">
        <f>IF(Table4164854[[#This Row],[Old or New?]]="Old",IF(SUM(H54,I54)=1,1,""),"")</f>
        <v/>
      </c>
      <c r="O54" s="5">
        <f>IF(IF(Table4164854[[#This Row],[Old or New?]]="New",1,0)+IF(SUM(Table4164854[[#This Row],[If Sight]:[If Both]])=1,1,0)=2,1,"")</f>
        <v>1</v>
      </c>
      <c r="P54" s="5" t="str">
        <f>IF(IF(Table4164854[[#This Row],[Old or New?]]="Old",1,0)+IF(SUM(Table4164854[[#This Row],[If Sight]:[If Both]])=1,1,0)=2,1,"")</f>
        <v/>
      </c>
    </row>
    <row r="55" spans="1:16">
      <c r="A55" s="2" t="s">
        <v>24</v>
      </c>
      <c r="B55" s="2" t="s">
        <v>28</v>
      </c>
      <c r="C55" s="1">
        <v>5</v>
      </c>
      <c r="D55" s="1" t="s">
        <v>16</v>
      </c>
      <c r="E55" s="1">
        <v>10</v>
      </c>
      <c r="F55" s="2" t="s">
        <v>18</v>
      </c>
      <c r="G55" s="5">
        <f>IF(Table4164854[[#This Row],[Response]]="Sight",1,"")</f>
        <v>1</v>
      </c>
      <c r="H55" s="5" t="str">
        <f>IF(Table4164854[[#This Row],[Response]]="Touch",1,"")</f>
        <v/>
      </c>
      <c r="I55" s="5" t="str">
        <f>IF(Table4164854[[#This Row],[Response]]="Both",1,"")</f>
        <v/>
      </c>
      <c r="J55" s="5">
        <f>IF(SUM(Table4164854[[#This Row],[If Sight]:[If Both]])=1,1,"")</f>
        <v>1</v>
      </c>
      <c r="K55" s="5">
        <f>IF(Table4164854[[#This Row],[Old or New?]]="New",IF(SUM(G55,I55)=1,1,""),"")</f>
        <v>1</v>
      </c>
      <c r="L55" s="5" t="str">
        <f>IF(Table4164854[[#This Row],[Old or New?]]="New",IF(SUM(H55,I55)=1,1,""),"")</f>
        <v/>
      </c>
      <c r="M55" s="5" t="str">
        <f>IF(Table4164854[[#This Row],[Old or New?]]="Old",IF(SUM(G55,I55)=1,1,""),"")</f>
        <v/>
      </c>
      <c r="N55" s="5" t="str">
        <f>IF(Table4164854[[#This Row],[Old or New?]]="Old",IF(SUM(H55,I55)=1,1,""),"")</f>
        <v/>
      </c>
      <c r="O55" s="5">
        <f>IF(IF(Table4164854[[#This Row],[Old or New?]]="New",1,0)+IF(SUM(Table4164854[[#This Row],[If Sight]:[If Both]])=1,1,0)=2,1,"")</f>
        <v>1</v>
      </c>
      <c r="P55" s="5" t="str">
        <f>IF(IF(Table4164854[[#This Row],[Old or New?]]="Old",1,0)+IF(SUM(Table4164854[[#This Row],[If Sight]:[If Both]])=1,1,0)=2,1,"")</f>
        <v/>
      </c>
    </row>
    <row r="56" spans="1:16">
      <c r="A56" s="2" t="s">
        <v>24</v>
      </c>
      <c r="B56" s="2" t="s">
        <v>28</v>
      </c>
      <c r="C56" s="1">
        <v>6</v>
      </c>
      <c r="D56" s="1" t="s">
        <v>16</v>
      </c>
      <c r="E56" s="1">
        <v>10</v>
      </c>
      <c r="F56" s="2" t="s">
        <v>18</v>
      </c>
      <c r="G56" s="5">
        <f>IF(Table4164854[[#This Row],[Response]]="Sight",1,"")</f>
        <v>1</v>
      </c>
      <c r="H56" s="5" t="str">
        <f>IF(Table4164854[[#This Row],[Response]]="Touch",1,"")</f>
        <v/>
      </c>
      <c r="I56" s="5" t="str">
        <f>IF(Table4164854[[#This Row],[Response]]="Both",1,"")</f>
        <v/>
      </c>
      <c r="J56" s="5">
        <f>IF(SUM(Table4164854[[#This Row],[If Sight]:[If Both]])=1,1,"")</f>
        <v>1</v>
      </c>
      <c r="K56" s="5">
        <f>IF(Table4164854[[#This Row],[Old or New?]]="New",IF(SUM(G56,I56)=1,1,""),"")</f>
        <v>1</v>
      </c>
      <c r="L56" s="5" t="str">
        <f>IF(Table4164854[[#This Row],[Old or New?]]="New",IF(SUM(H56,I56)=1,1,""),"")</f>
        <v/>
      </c>
      <c r="M56" s="5" t="str">
        <f>IF(Table4164854[[#This Row],[Old or New?]]="Old",IF(SUM(G56,I56)=1,1,""),"")</f>
        <v/>
      </c>
      <c r="N56" s="5" t="str">
        <f>IF(Table4164854[[#This Row],[Old or New?]]="Old",IF(SUM(H56,I56)=1,1,""),"")</f>
        <v/>
      </c>
      <c r="O56" s="5">
        <f>IF(IF(Table4164854[[#This Row],[Old or New?]]="New",1,0)+IF(SUM(Table4164854[[#This Row],[If Sight]:[If Both]])=1,1,0)=2,1,"")</f>
        <v>1</v>
      </c>
      <c r="P56" s="5" t="str">
        <f>IF(IF(Table4164854[[#This Row],[Old or New?]]="Old",1,0)+IF(SUM(Table4164854[[#This Row],[If Sight]:[If Both]])=1,1,0)=2,1,"")</f>
        <v/>
      </c>
    </row>
    <row r="57" spans="1:16">
      <c r="A57" s="2" t="s">
        <v>24</v>
      </c>
      <c r="B57" s="2" t="s">
        <v>28</v>
      </c>
      <c r="C57" s="1">
        <v>7</v>
      </c>
      <c r="D57" s="1" t="s">
        <v>16</v>
      </c>
      <c r="E57" s="1">
        <v>10</v>
      </c>
      <c r="F57" s="2" t="s">
        <v>18</v>
      </c>
      <c r="G57" s="5">
        <f>IF(Table4164854[[#This Row],[Response]]="Sight",1,"")</f>
        <v>1</v>
      </c>
      <c r="H57" s="5" t="str">
        <f>IF(Table4164854[[#This Row],[Response]]="Touch",1,"")</f>
        <v/>
      </c>
      <c r="I57" s="5" t="str">
        <f>IF(Table4164854[[#This Row],[Response]]="Both",1,"")</f>
        <v/>
      </c>
      <c r="J57" s="5">
        <f>IF(SUM(Table4164854[[#This Row],[If Sight]:[If Both]])=1,1,"")</f>
        <v>1</v>
      </c>
      <c r="K57" s="5">
        <f>IF(Table4164854[[#This Row],[Old or New?]]="New",IF(SUM(G57,I57)=1,1,""),"")</f>
        <v>1</v>
      </c>
      <c r="L57" s="5" t="str">
        <f>IF(Table4164854[[#This Row],[Old or New?]]="New",IF(SUM(H57,I57)=1,1,""),"")</f>
        <v/>
      </c>
      <c r="M57" s="5" t="str">
        <f>IF(Table4164854[[#This Row],[Old or New?]]="Old",IF(SUM(G57,I57)=1,1,""),"")</f>
        <v/>
      </c>
      <c r="N57" s="5" t="str">
        <f>IF(Table4164854[[#This Row],[Old or New?]]="Old",IF(SUM(H57,I57)=1,1,""),"")</f>
        <v/>
      </c>
      <c r="O57" s="5">
        <f>IF(IF(Table4164854[[#This Row],[Old or New?]]="New",1,0)+IF(SUM(Table4164854[[#This Row],[If Sight]:[If Both]])=1,1,0)=2,1,"")</f>
        <v>1</v>
      </c>
      <c r="P57" s="5" t="str">
        <f>IF(IF(Table4164854[[#This Row],[Old or New?]]="Old",1,0)+IF(SUM(Table4164854[[#This Row],[If Sight]:[If Both]])=1,1,0)=2,1,"")</f>
        <v/>
      </c>
    </row>
    <row r="58" spans="1:16">
      <c r="A58" s="2" t="s">
        <v>24</v>
      </c>
      <c r="B58" s="2" t="s">
        <v>28</v>
      </c>
      <c r="C58" s="1">
        <v>8</v>
      </c>
      <c r="D58" s="1" t="s">
        <v>16</v>
      </c>
      <c r="E58" s="1">
        <v>10</v>
      </c>
      <c r="F58" s="1" t="s">
        <v>18</v>
      </c>
      <c r="G58" s="5">
        <f>IF(Table4164854[[#This Row],[Response]]="Sight",1,"")</f>
        <v>1</v>
      </c>
      <c r="H58" s="5" t="str">
        <f>IF(Table4164854[[#This Row],[Response]]="Touch",1,"")</f>
        <v/>
      </c>
      <c r="I58" s="5" t="str">
        <f>IF(Table4164854[[#This Row],[Response]]="Both",1,"")</f>
        <v/>
      </c>
      <c r="J58" s="5">
        <f>IF(SUM(Table4164854[[#This Row],[If Sight]:[If Both]])=1,1,"")</f>
        <v>1</v>
      </c>
      <c r="K58" s="5">
        <f>IF(Table4164854[[#This Row],[Old or New?]]="New",IF(SUM(G58,I58)=1,1,""),"")</f>
        <v>1</v>
      </c>
      <c r="L58" s="5" t="str">
        <f>IF(Table4164854[[#This Row],[Old or New?]]="New",IF(SUM(H58,I58)=1,1,""),"")</f>
        <v/>
      </c>
      <c r="M58" s="5" t="str">
        <f>IF(Table4164854[[#This Row],[Old or New?]]="Old",IF(SUM(G58,I58)=1,1,""),"")</f>
        <v/>
      </c>
      <c r="N58" s="5" t="str">
        <f>IF(Table4164854[[#This Row],[Old or New?]]="Old",IF(SUM(H58,I58)=1,1,""),"")</f>
        <v/>
      </c>
      <c r="O58" s="5">
        <f>IF(IF(Table4164854[[#This Row],[Old or New?]]="New",1,0)+IF(SUM(Table4164854[[#This Row],[If Sight]:[If Both]])=1,1,0)=2,1,"")</f>
        <v>1</v>
      </c>
      <c r="P58" s="5" t="str">
        <f>IF(IF(Table4164854[[#This Row],[Old or New?]]="Old",1,0)+IF(SUM(Table4164854[[#This Row],[If Sight]:[If Both]])=1,1,0)=2,1,"")</f>
        <v/>
      </c>
    </row>
    <row r="59" spans="1:16">
      <c r="A59" s="2" t="s">
        <v>24</v>
      </c>
      <c r="B59" s="2" t="s">
        <v>28</v>
      </c>
      <c r="C59" s="1">
        <v>9</v>
      </c>
      <c r="D59" s="1" t="s">
        <v>16</v>
      </c>
      <c r="E59" s="1">
        <v>10</v>
      </c>
      <c r="G59" s="5" t="str">
        <f>IF(Table4164854[[#This Row],[Response]]="Sight",1,"")</f>
        <v/>
      </c>
      <c r="H59" s="5" t="str">
        <f>IF(Table4164854[[#This Row],[Response]]="Touch",1,"")</f>
        <v/>
      </c>
      <c r="I59" s="5" t="str">
        <f>IF(Table4164854[[#This Row],[Response]]="Both",1,"")</f>
        <v/>
      </c>
      <c r="J59" s="5" t="str">
        <f>IF(SUM(Table4164854[[#This Row],[If Sight]:[If Both]])=1,1,"")</f>
        <v/>
      </c>
      <c r="K59" s="5" t="str">
        <f>IF(Table4164854[[#This Row],[Old or New?]]="New",IF(SUM(G59,I59)=1,1,""),"")</f>
        <v/>
      </c>
      <c r="L59" s="5" t="str">
        <f>IF(Table4164854[[#This Row],[Old or New?]]="New",IF(SUM(H59,I59)=1,1,""),"")</f>
        <v/>
      </c>
      <c r="M59" s="5" t="str">
        <f>IF(Table4164854[[#This Row],[Old or New?]]="Old",IF(SUM(G59,I59)=1,1,""),"")</f>
        <v/>
      </c>
      <c r="N59" s="5" t="str">
        <f>IF(Table4164854[[#This Row],[Old or New?]]="Old",IF(SUM(H59,I59)=1,1,""),"")</f>
        <v/>
      </c>
      <c r="O59" s="5" t="str">
        <f>IF(IF(Table4164854[[#This Row],[Old or New?]]="New",1,0)+IF(SUM(Table4164854[[#This Row],[If Sight]:[If Both]])=1,1,0)=2,1,"")</f>
        <v/>
      </c>
      <c r="P59" s="5" t="str">
        <f>IF(IF(Table4164854[[#This Row],[Old or New?]]="Old",1,0)+IF(SUM(Table4164854[[#This Row],[If Sight]:[If Both]])=1,1,0)=2,1,"")</f>
        <v/>
      </c>
    </row>
    <row r="60" spans="1:16">
      <c r="A60" s="2" t="s">
        <v>24</v>
      </c>
      <c r="B60" s="2" t="s">
        <v>28</v>
      </c>
      <c r="C60" s="1">
        <v>10</v>
      </c>
      <c r="D60" s="1" t="s">
        <v>16</v>
      </c>
      <c r="E60" s="1">
        <v>10</v>
      </c>
      <c r="F60" s="1" t="s">
        <v>19</v>
      </c>
      <c r="G60" s="5" t="str">
        <f>IF(Table4164854[[#This Row],[Response]]="Sight",1,"")</f>
        <v/>
      </c>
      <c r="H60" s="5" t="str">
        <f>IF(Table4164854[[#This Row],[Response]]="Touch",1,"")</f>
        <v/>
      </c>
      <c r="I60" s="5">
        <f>IF(Table4164854[[#This Row],[Response]]="Both",1,"")</f>
        <v>1</v>
      </c>
      <c r="J60" s="5">
        <f>IF(SUM(Table4164854[[#This Row],[If Sight]:[If Both]])=1,1,"")</f>
        <v>1</v>
      </c>
      <c r="K60" s="5">
        <f>IF(Table4164854[[#This Row],[Old or New?]]="New",IF(SUM(G60,I60)=1,1,""),"")</f>
        <v>1</v>
      </c>
      <c r="L60" s="5">
        <f>IF(Table4164854[[#This Row],[Old or New?]]="New",IF(SUM(H60,I60)=1,1,""),"")</f>
        <v>1</v>
      </c>
      <c r="M60" s="5" t="str">
        <f>IF(Table4164854[[#This Row],[Old or New?]]="Old",IF(SUM(G60,I60)=1,1,""),"")</f>
        <v/>
      </c>
      <c r="N60" s="5" t="str">
        <f>IF(Table4164854[[#This Row],[Old or New?]]="Old",IF(SUM(H60,I60)=1,1,""),"")</f>
        <v/>
      </c>
      <c r="O60" s="5">
        <f>IF(IF(Table4164854[[#This Row],[Old or New?]]="New",1,0)+IF(SUM(Table4164854[[#This Row],[If Sight]:[If Both]])=1,1,0)=2,1,"")</f>
        <v>1</v>
      </c>
      <c r="P60" s="5" t="str">
        <f>IF(IF(Table4164854[[#This Row],[Old or New?]]="Old",1,0)+IF(SUM(Table4164854[[#This Row],[If Sight]:[If Both]])=1,1,0)=2,1,"")</f>
        <v/>
      </c>
    </row>
    <row r="61" spans="1:16">
      <c r="A61" s="2" t="s">
        <v>24</v>
      </c>
      <c r="B61" s="2" t="s">
        <v>28</v>
      </c>
      <c r="C61" s="1">
        <v>11</v>
      </c>
      <c r="D61" s="1" t="s">
        <v>16</v>
      </c>
      <c r="E61" s="1">
        <v>10</v>
      </c>
      <c r="F61" s="1" t="s">
        <v>18</v>
      </c>
      <c r="G61" s="5">
        <f>IF(Table4164854[[#This Row],[Response]]="Sight",1,"")</f>
        <v>1</v>
      </c>
      <c r="H61" s="5" t="str">
        <f>IF(Table4164854[[#This Row],[Response]]="Touch",1,"")</f>
        <v/>
      </c>
      <c r="I61" s="5" t="str">
        <f>IF(Table4164854[[#This Row],[Response]]="Both",1,"")</f>
        <v/>
      </c>
      <c r="J61" s="5">
        <f>IF(SUM(Table4164854[[#This Row],[If Sight]:[If Both]])=1,1,"")</f>
        <v>1</v>
      </c>
      <c r="K61" s="5">
        <f>IF(Table4164854[[#This Row],[Old or New?]]="New",IF(SUM(G61,I61)=1,1,""),"")</f>
        <v>1</v>
      </c>
      <c r="L61" s="5" t="str">
        <f>IF(Table4164854[[#This Row],[Old or New?]]="New",IF(SUM(H61,I61)=1,1,""),"")</f>
        <v/>
      </c>
      <c r="M61" s="5" t="str">
        <f>IF(Table4164854[[#This Row],[Old or New?]]="Old",IF(SUM(G61,I61)=1,1,""),"")</f>
        <v/>
      </c>
      <c r="N61" s="5" t="str">
        <f>IF(Table4164854[[#This Row],[Old or New?]]="Old",IF(SUM(H61,I61)=1,1,""),"")</f>
        <v/>
      </c>
      <c r="O61" s="5">
        <f>IF(IF(Table4164854[[#This Row],[Old or New?]]="New",1,0)+IF(SUM(Table4164854[[#This Row],[If Sight]:[If Both]])=1,1,0)=2,1,"")</f>
        <v>1</v>
      </c>
      <c r="P61" s="5" t="str">
        <f>IF(IF(Table4164854[[#This Row],[Old or New?]]="Old",1,0)+IF(SUM(Table4164854[[#This Row],[If Sight]:[If Both]])=1,1,0)=2,1,"")</f>
        <v/>
      </c>
    </row>
    <row r="62" spans="1:16">
      <c r="A62" s="2" t="s">
        <v>24</v>
      </c>
      <c r="B62" s="2" t="s">
        <v>28</v>
      </c>
      <c r="C62" s="1">
        <v>12</v>
      </c>
      <c r="D62" s="1" t="s">
        <v>16</v>
      </c>
      <c r="E62" s="1">
        <v>10</v>
      </c>
      <c r="F62" s="1" t="s">
        <v>29</v>
      </c>
      <c r="G62" s="5" t="str">
        <f>IF(Table4164854[[#This Row],[Response]]="Sight",1,"")</f>
        <v/>
      </c>
      <c r="H62" s="5">
        <f>IF(Table4164854[[#This Row],[Response]]="Touch",1,"")</f>
        <v>1</v>
      </c>
      <c r="I62" s="5" t="str">
        <f>IF(Table4164854[[#This Row],[Response]]="Both",1,"")</f>
        <v/>
      </c>
      <c r="J62" s="5">
        <f>IF(SUM(Table4164854[[#This Row],[If Sight]:[If Both]])=1,1,"")</f>
        <v>1</v>
      </c>
      <c r="K62" s="5" t="str">
        <f>IF(Table4164854[[#This Row],[Old or New?]]="New",IF(SUM(G62,I62)=1,1,""),"")</f>
        <v/>
      </c>
      <c r="L62" s="5">
        <f>IF(Table4164854[[#This Row],[Old or New?]]="New",IF(SUM(H62,I62)=1,1,""),"")</f>
        <v>1</v>
      </c>
      <c r="M62" s="5" t="str">
        <f>IF(Table4164854[[#This Row],[Old or New?]]="Old",IF(SUM(G62,I62)=1,1,""),"")</f>
        <v/>
      </c>
      <c r="N62" s="5" t="str">
        <f>IF(Table4164854[[#This Row],[Old or New?]]="Old",IF(SUM(H62,I62)=1,1,""),"")</f>
        <v/>
      </c>
      <c r="O62" s="5">
        <f>IF(IF(Table4164854[[#This Row],[Old or New?]]="New",1,0)+IF(SUM(Table4164854[[#This Row],[If Sight]:[If Both]])=1,1,0)=2,1,"")</f>
        <v>1</v>
      </c>
      <c r="P62" s="5" t="str">
        <f>IF(IF(Table4164854[[#This Row],[Old or New?]]="Old",1,0)+IF(SUM(Table4164854[[#This Row],[If Sight]:[If Both]])=1,1,0)=2,1,"")</f>
        <v/>
      </c>
    </row>
    <row r="63" spans="1:16">
      <c r="A63" s="2" t="s">
        <v>24</v>
      </c>
      <c r="B63" s="2" t="s">
        <v>28</v>
      </c>
      <c r="C63" s="1">
        <v>13</v>
      </c>
      <c r="D63" s="1" t="s">
        <v>16</v>
      </c>
      <c r="E63" s="1">
        <v>10</v>
      </c>
      <c r="F63" s="1" t="s">
        <v>19</v>
      </c>
      <c r="G63" s="5" t="str">
        <f>IF(Table4164854[[#This Row],[Response]]="Sight",1,"")</f>
        <v/>
      </c>
      <c r="H63" s="5" t="str">
        <f>IF(Table4164854[[#This Row],[Response]]="Touch",1,"")</f>
        <v/>
      </c>
      <c r="I63" s="5">
        <f>IF(Table4164854[[#This Row],[Response]]="Both",1,"")</f>
        <v>1</v>
      </c>
      <c r="J63" s="5">
        <f>IF(SUM(Table4164854[[#This Row],[If Sight]:[If Both]])=1,1,"")</f>
        <v>1</v>
      </c>
      <c r="K63" s="5">
        <f>IF(Table4164854[[#This Row],[Old or New?]]="New",IF(SUM(G63,I63)=1,1,""),"")</f>
        <v>1</v>
      </c>
      <c r="L63" s="5">
        <f>IF(Table4164854[[#This Row],[Old or New?]]="New",IF(SUM(H63,I63)=1,1,""),"")</f>
        <v>1</v>
      </c>
      <c r="M63" s="5" t="str">
        <f>IF(Table4164854[[#This Row],[Old or New?]]="Old",IF(SUM(G63,I63)=1,1,""),"")</f>
        <v/>
      </c>
      <c r="N63" s="5" t="str">
        <f>IF(Table4164854[[#This Row],[Old or New?]]="Old",IF(SUM(H63,I63)=1,1,""),"")</f>
        <v/>
      </c>
      <c r="O63" s="5">
        <f>IF(IF(Table4164854[[#This Row],[Old or New?]]="New",1,0)+IF(SUM(Table4164854[[#This Row],[If Sight]:[If Both]])=1,1,0)=2,1,"")</f>
        <v>1</v>
      </c>
      <c r="P63" s="5" t="str">
        <f>IF(IF(Table4164854[[#This Row],[Old or New?]]="Old",1,0)+IF(SUM(Table4164854[[#This Row],[If Sight]:[If Both]])=1,1,0)=2,1,"")</f>
        <v/>
      </c>
    </row>
    <row r="64" spans="1:16">
      <c r="A64" s="2" t="s">
        <v>24</v>
      </c>
      <c r="B64" s="2" t="s">
        <v>30</v>
      </c>
      <c r="C64" s="1">
        <v>1</v>
      </c>
      <c r="D64" s="2" t="s">
        <v>16</v>
      </c>
      <c r="E64" s="1">
        <v>10</v>
      </c>
      <c r="F64" s="1" t="s">
        <v>18</v>
      </c>
      <c r="G64" s="5">
        <f>IF(Table4164854[[#This Row],[Response]]="Sight",1,"")</f>
        <v>1</v>
      </c>
      <c r="H64" s="5" t="str">
        <f>IF(Table4164854[[#This Row],[Response]]="Touch",1,"")</f>
        <v/>
      </c>
      <c r="I64" s="5" t="str">
        <f>IF(Table4164854[[#This Row],[Response]]="Both",1,"")</f>
        <v/>
      </c>
      <c r="J64" s="5">
        <f>IF(SUM(Table4164854[[#This Row],[If Sight]:[If Both]])=1,1,"")</f>
        <v>1</v>
      </c>
      <c r="K64" s="5">
        <f>IF(Table4164854[[#This Row],[Old or New?]]="New",IF(SUM(G64,I64)=1,1,""),"")</f>
        <v>1</v>
      </c>
      <c r="L64" s="5" t="str">
        <f>IF(Table4164854[[#This Row],[Old or New?]]="New",IF(SUM(H64,I64)=1,1,""),"")</f>
        <v/>
      </c>
      <c r="M64" s="5" t="str">
        <f>IF(Table4164854[[#This Row],[Old or New?]]="Old",IF(SUM(G64,I64)=1,1,""),"")</f>
        <v/>
      </c>
      <c r="N64" s="5" t="str">
        <f>IF(Table4164854[[#This Row],[Old or New?]]="Old",IF(SUM(H64,I64)=1,1,""),"")</f>
        <v/>
      </c>
      <c r="O64" s="5">
        <f>IF(IF(Table4164854[[#This Row],[Old or New?]]="New",1,0)+IF(SUM(Table4164854[[#This Row],[If Sight]:[If Both]])=1,1,0)=2,1,"")</f>
        <v>1</v>
      </c>
      <c r="P64" s="5" t="str">
        <f>IF(IF(Table4164854[[#This Row],[Old or New?]]="Old",1,0)+IF(SUM(Table4164854[[#This Row],[If Sight]:[If Both]])=1,1,0)=2,1,"")</f>
        <v/>
      </c>
    </row>
    <row r="65" spans="1:16">
      <c r="A65" s="2" t="s">
        <v>24</v>
      </c>
      <c r="B65" s="2" t="s">
        <v>30</v>
      </c>
      <c r="C65" s="1">
        <v>2</v>
      </c>
      <c r="D65" s="2" t="s">
        <v>16</v>
      </c>
      <c r="E65" s="1">
        <v>10</v>
      </c>
      <c r="F65" s="1" t="s">
        <v>18</v>
      </c>
      <c r="G65" s="5">
        <f>IF(Table4164854[[#This Row],[Response]]="Sight",1,"")</f>
        <v>1</v>
      </c>
      <c r="H65" s="5" t="str">
        <f>IF(Table4164854[[#This Row],[Response]]="Touch",1,"")</f>
        <v/>
      </c>
      <c r="I65" s="5" t="str">
        <f>IF(Table4164854[[#This Row],[Response]]="Both",1,"")</f>
        <v/>
      </c>
      <c r="J65" s="5">
        <f>IF(SUM(Table4164854[[#This Row],[If Sight]:[If Both]])=1,1,"")</f>
        <v>1</v>
      </c>
      <c r="K65" s="5">
        <f>IF(Table4164854[[#This Row],[Old or New?]]="New",IF(SUM(G65,I65)=1,1,""),"")</f>
        <v>1</v>
      </c>
      <c r="L65" s="5" t="str">
        <f>IF(Table4164854[[#This Row],[Old or New?]]="New",IF(SUM(H65,I65)=1,1,""),"")</f>
        <v/>
      </c>
      <c r="M65" s="5" t="str">
        <f>IF(Table4164854[[#This Row],[Old or New?]]="Old",IF(SUM(G65,I65)=1,1,""),"")</f>
        <v/>
      </c>
      <c r="N65" s="5" t="str">
        <f>IF(Table4164854[[#This Row],[Old or New?]]="Old",IF(SUM(H65,I65)=1,1,""),"")</f>
        <v/>
      </c>
      <c r="O65" s="5">
        <f>IF(IF(Table4164854[[#This Row],[Old or New?]]="New",1,0)+IF(SUM(Table4164854[[#This Row],[If Sight]:[If Both]])=1,1,0)=2,1,"")</f>
        <v>1</v>
      </c>
      <c r="P65" s="5" t="str">
        <f>IF(IF(Table4164854[[#This Row],[Old or New?]]="Old",1,0)+IF(SUM(Table4164854[[#This Row],[If Sight]:[If Both]])=1,1,0)=2,1,"")</f>
        <v/>
      </c>
    </row>
    <row r="66" spans="1:16">
      <c r="A66" s="2" t="s">
        <v>24</v>
      </c>
      <c r="B66" s="2" t="s">
        <v>30</v>
      </c>
      <c r="C66" s="1">
        <v>3</v>
      </c>
      <c r="D66" s="2" t="s">
        <v>16</v>
      </c>
      <c r="E66" s="1">
        <v>10</v>
      </c>
      <c r="F66" s="1" t="s">
        <v>18</v>
      </c>
      <c r="G66" s="5">
        <f>IF(Table4164854[[#This Row],[Response]]="Sight",1,"")</f>
        <v>1</v>
      </c>
      <c r="H66" s="5" t="str">
        <f>IF(Table4164854[[#This Row],[Response]]="Touch",1,"")</f>
        <v/>
      </c>
      <c r="I66" s="5" t="str">
        <f>IF(Table4164854[[#This Row],[Response]]="Both",1,"")</f>
        <v/>
      </c>
      <c r="J66" s="5">
        <f>IF(SUM(Table4164854[[#This Row],[If Sight]:[If Both]])=1,1,"")</f>
        <v>1</v>
      </c>
      <c r="K66" s="5">
        <f>IF(Table4164854[[#This Row],[Old or New?]]="New",IF(SUM(G66,I66)=1,1,""),"")</f>
        <v>1</v>
      </c>
      <c r="L66" s="5" t="str">
        <f>IF(Table4164854[[#This Row],[Old or New?]]="New",IF(SUM(H66,I66)=1,1,""),"")</f>
        <v/>
      </c>
      <c r="M66" s="5" t="str">
        <f>IF(Table4164854[[#This Row],[Old or New?]]="Old",IF(SUM(G66,I66)=1,1,""),"")</f>
        <v/>
      </c>
      <c r="N66" s="5" t="str">
        <f>IF(Table4164854[[#This Row],[Old or New?]]="Old",IF(SUM(H66,I66)=1,1,""),"")</f>
        <v/>
      </c>
      <c r="O66" s="5">
        <f>IF(IF(Table4164854[[#This Row],[Old or New?]]="New",1,0)+IF(SUM(Table4164854[[#This Row],[If Sight]:[If Both]])=1,1,0)=2,1,"")</f>
        <v>1</v>
      </c>
      <c r="P66" s="5" t="str">
        <f>IF(IF(Table4164854[[#This Row],[Old or New?]]="Old",1,0)+IF(SUM(Table4164854[[#This Row],[If Sight]:[If Both]])=1,1,0)=2,1,"")</f>
        <v/>
      </c>
    </row>
    <row r="67" spans="1:16">
      <c r="A67" s="2" t="s">
        <v>24</v>
      </c>
      <c r="B67" s="2" t="s">
        <v>30</v>
      </c>
      <c r="C67" s="1">
        <v>4</v>
      </c>
      <c r="D67" s="2" t="s">
        <v>16</v>
      </c>
      <c r="E67" s="1">
        <v>10</v>
      </c>
      <c r="F67" s="1" t="s">
        <v>18</v>
      </c>
      <c r="G67" s="5">
        <f>IF(Table4164854[[#This Row],[Response]]="Sight",1,"")</f>
        <v>1</v>
      </c>
      <c r="H67" s="5" t="str">
        <f>IF(Table4164854[[#This Row],[Response]]="Touch",1,"")</f>
        <v/>
      </c>
      <c r="I67" s="5" t="str">
        <f>IF(Table4164854[[#This Row],[Response]]="Both",1,"")</f>
        <v/>
      </c>
      <c r="J67" s="5">
        <f>IF(SUM(Table4164854[[#This Row],[If Sight]:[If Both]])=1,1,"")</f>
        <v>1</v>
      </c>
      <c r="K67" s="5">
        <f>IF(Table4164854[[#This Row],[Old or New?]]="New",IF(SUM(G67,I67)=1,1,""),"")</f>
        <v>1</v>
      </c>
      <c r="L67" s="5" t="str">
        <f>IF(Table4164854[[#This Row],[Old or New?]]="New",IF(SUM(H67,I67)=1,1,""),"")</f>
        <v/>
      </c>
      <c r="M67" s="5" t="str">
        <f>IF(Table4164854[[#This Row],[Old or New?]]="Old",IF(SUM(G67,I67)=1,1,""),"")</f>
        <v/>
      </c>
      <c r="N67" s="5" t="str">
        <f>IF(Table4164854[[#This Row],[Old or New?]]="Old",IF(SUM(H67,I67)=1,1,""),"")</f>
        <v/>
      </c>
      <c r="O67" s="5">
        <f>IF(IF(Table4164854[[#This Row],[Old or New?]]="New",1,0)+IF(SUM(Table4164854[[#This Row],[If Sight]:[If Both]])=1,1,0)=2,1,"")</f>
        <v>1</v>
      </c>
      <c r="P67" s="5" t="str">
        <f>IF(IF(Table4164854[[#This Row],[Old or New?]]="Old",1,0)+IF(SUM(Table4164854[[#This Row],[If Sight]:[If Both]])=1,1,0)=2,1,"")</f>
        <v/>
      </c>
    </row>
    <row r="68" spans="1:16">
      <c r="A68" s="2" t="s">
        <v>24</v>
      </c>
      <c r="B68" s="2" t="s">
        <v>30</v>
      </c>
      <c r="C68" s="1">
        <v>5</v>
      </c>
      <c r="D68" s="2" t="s">
        <v>16</v>
      </c>
      <c r="E68" s="1">
        <v>10</v>
      </c>
      <c r="G68" s="5" t="str">
        <f>IF(Table4164854[[#This Row],[Response]]="Sight",1,"")</f>
        <v/>
      </c>
      <c r="H68" s="5" t="str">
        <f>IF(Table4164854[[#This Row],[Response]]="Touch",1,"")</f>
        <v/>
      </c>
      <c r="I68" s="5" t="str">
        <f>IF(Table4164854[[#This Row],[Response]]="Both",1,"")</f>
        <v/>
      </c>
      <c r="J68" s="5" t="str">
        <f>IF(SUM(Table4164854[[#This Row],[If Sight]:[If Both]])=1,1,"")</f>
        <v/>
      </c>
      <c r="K68" s="5" t="str">
        <f>IF(Table4164854[[#This Row],[Old or New?]]="New",IF(SUM(G68,I68)=1,1,""),"")</f>
        <v/>
      </c>
      <c r="L68" s="5" t="str">
        <f>IF(Table4164854[[#This Row],[Old or New?]]="New",IF(SUM(H68,I68)=1,1,""),"")</f>
        <v/>
      </c>
      <c r="M68" s="5" t="str">
        <f>IF(Table4164854[[#This Row],[Old or New?]]="Old",IF(SUM(G68,I68)=1,1,""),"")</f>
        <v/>
      </c>
      <c r="N68" s="5" t="str">
        <f>IF(Table4164854[[#This Row],[Old or New?]]="Old",IF(SUM(H68,I68)=1,1,""),"")</f>
        <v/>
      </c>
      <c r="O68" s="5" t="str">
        <f>IF(IF(Table4164854[[#This Row],[Old or New?]]="New",1,0)+IF(SUM(Table4164854[[#This Row],[If Sight]:[If Both]])=1,1,0)=2,1,"")</f>
        <v/>
      </c>
      <c r="P68" s="5" t="str">
        <f>IF(IF(Table4164854[[#This Row],[Old or New?]]="Old",1,0)+IF(SUM(Table4164854[[#This Row],[If Sight]:[If Both]])=1,1,0)=2,1,"")</f>
        <v/>
      </c>
    </row>
    <row r="69" spans="1:16">
      <c r="A69" s="2" t="s">
        <v>24</v>
      </c>
      <c r="B69" s="2" t="s">
        <v>30</v>
      </c>
      <c r="C69" s="1">
        <v>6</v>
      </c>
      <c r="D69" s="2" t="s">
        <v>16</v>
      </c>
      <c r="E69" s="1">
        <v>10</v>
      </c>
      <c r="F69" s="1" t="s">
        <v>18</v>
      </c>
      <c r="G69" s="5">
        <f>IF(Table4164854[[#This Row],[Response]]="Sight",1,"")</f>
        <v>1</v>
      </c>
      <c r="H69" s="5" t="str">
        <f>IF(Table4164854[[#This Row],[Response]]="Touch",1,"")</f>
        <v/>
      </c>
      <c r="I69" s="5" t="str">
        <f>IF(Table4164854[[#This Row],[Response]]="Both",1,"")</f>
        <v/>
      </c>
      <c r="J69" s="5">
        <f>IF(SUM(Table4164854[[#This Row],[If Sight]:[If Both]])=1,1,"")</f>
        <v>1</v>
      </c>
      <c r="K69" s="5">
        <f>IF(Table4164854[[#This Row],[Old or New?]]="New",IF(SUM(G69,I69)=1,1,""),"")</f>
        <v>1</v>
      </c>
      <c r="L69" s="5" t="str">
        <f>IF(Table4164854[[#This Row],[Old or New?]]="New",IF(SUM(H69,I69)=1,1,""),"")</f>
        <v/>
      </c>
      <c r="M69" s="5" t="str">
        <f>IF(Table4164854[[#This Row],[Old or New?]]="Old",IF(SUM(G69,I69)=1,1,""),"")</f>
        <v/>
      </c>
      <c r="N69" s="5" t="str">
        <f>IF(Table4164854[[#This Row],[Old or New?]]="Old",IF(SUM(H69,I69)=1,1,""),"")</f>
        <v/>
      </c>
      <c r="O69" s="5">
        <f>IF(IF(Table4164854[[#This Row],[Old or New?]]="New",1,0)+IF(SUM(Table4164854[[#This Row],[If Sight]:[If Both]])=1,1,0)=2,1,"")</f>
        <v>1</v>
      </c>
      <c r="P69" s="5" t="str">
        <f>IF(IF(Table4164854[[#This Row],[Old or New?]]="Old",1,0)+IF(SUM(Table4164854[[#This Row],[If Sight]:[If Both]])=1,1,0)=2,1,"")</f>
        <v/>
      </c>
    </row>
    <row r="70" spans="1:16">
      <c r="A70" s="2" t="s">
        <v>24</v>
      </c>
      <c r="B70" s="2" t="s">
        <v>30</v>
      </c>
      <c r="C70" s="1">
        <v>7</v>
      </c>
      <c r="D70" s="2" t="s">
        <v>16</v>
      </c>
      <c r="E70" s="1">
        <v>10</v>
      </c>
      <c r="F70" s="1" t="s">
        <v>18</v>
      </c>
      <c r="G70" s="5">
        <f>IF(Table4164854[[#This Row],[Response]]="Sight",1,"")</f>
        <v>1</v>
      </c>
      <c r="H70" s="5" t="str">
        <f>IF(Table4164854[[#This Row],[Response]]="Touch",1,"")</f>
        <v/>
      </c>
      <c r="I70" s="5" t="str">
        <f>IF(Table4164854[[#This Row],[Response]]="Both",1,"")</f>
        <v/>
      </c>
      <c r="J70" s="5">
        <f>IF(SUM(Table4164854[[#This Row],[If Sight]:[If Both]])=1,1,"")</f>
        <v>1</v>
      </c>
      <c r="K70" s="5">
        <f>IF(Table4164854[[#This Row],[Old or New?]]="New",IF(SUM(G70,I70)=1,1,""),"")</f>
        <v>1</v>
      </c>
      <c r="L70" s="5" t="str">
        <f>IF(Table4164854[[#This Row],[Old or New?]]="New",IF(SUM(H70,I70)=1,1,""),"")</f>
        <v/>
      </c>
      <c r="M70" s="5" t="str">
        <f>IF(Table4164854[[#This Row],[Old or New?]]="Old",IF(SUM(G70,I70)=1,1,""),"")</f>
        <v/>
      </c>
      <c r="N70" s="5" t="str">
        <f>IF(Table4164854[[#This Row],[Old or New?]]="Old",IF(SUM(H70,I70)=1,1,""),"")</f>
        <v/>
      </c>
      <c r="O70" s="5">
        <f>IF(IF(Table4164854[[#This Row],[Old or New?]]="New",1,0)+IF(SUM(Table4164854[[#This Row],[If Sight]:[If Both]])=1,1,0)=2,1,"")</f>
        <v>1</v>
      </c>
      <c r="P70" s="5" t="str">
        <f>IF(IF(Table4164854[[#This Row],[Old or New?]]="Old",1,0)+IF(SUM(Table4164854[[#This Row],[If Sight]:[If Both]])=1,1,0)=2,1,"")</f>
        <v/>
      </c>
    </row>
    <row r="71" spans="1:16">
      <c r="A71" s="2" t="s">
        <v>24</v>
      </c>
      <c r="B71" s="2" t="s">
        <v>30</v>
      </c>
      <c r="C71" s="1">
        <v>8</v>
      </c>
      <c r="D71" s="2" t="s">
        <v>16</v>
      </c>
      <c r="E71" s="1">
        <v>10</v>
      </c>
      <c r="F71" s="1" t="s">
        <v>19</v>
      </c>
      <c r="G71" s="5" t="str">
        <f>IF(Table4164854[[#This Row],[Response]]="Sight",1,"")</f>
        <v/>
      </c>
      <c r="H71" s="5" t="str">
        <f>IF(Table4164854[[#This Row],[Response]]="Touch",1,"")</f>
        <v/>
      </c>
      <c r="I71" s="5">
        <f>IF(Table4164854[[#This Row],[Response]]="Both",1,"")</f>
        <v>1</v>
      </c>
      <c r="J71" s="5">
        <f>IF(SUM(Table4164854[[#This Row],[If Sight]:[If Both]])=1,1,"")</f>
        <v>1</v>
      </c>
      <c r="K71" s="5">
        <f>IF(Table4164854[[#This Row],[Old or New?]]="New",IF(SUM(G71,I71)=1,1,""),"")</f>
        <v>1</v>
      </c>
      <c r="L71" s="5">
        <f>IF(Table4164854[[#This Row],[Old or New?]]="New",IF(SUM(H71,I71)=1,1,""),"")</f>
        <v>1</v>
      </c>
      <c r="M71" s="5" t="str">
        <f>IF(Table4164854[[#This Row],[Old or New?]]="Old",IF(SUM(G71,I71)=1,1,""),"")</f>
        <v/>
      </c>
      <c r="N71" s="5" t="str">
        <f>IF(Table4164854[[#This Row],[Old or New?]]="Old",IF(SUM(H71,I71)=1,1,""),"")</f>
        <v/>
      </c>
      <c r="O71" s="5">
        <f>IF(IF(Table4164854[[#This Row],[Old or New?]]="New",1,0)+IF(SUM(Table4164854[[#This Row],[If Sight]:[If Both]])=1,1,0)=2,1,"")</f>
        <v>1</v>
      </c>
      <c r="P71" s="5" t="str">
        <f>IF(IF(Table4164854[[#This Row],[Old or New?]]="Old",1,0)+IF(SUM(Table4164854[[#This Row],[If Sight]:[If Both]])=1,1,0)=2,1,"")</f>
        <v/>
      </c>
    </row>
    <row r="72" spans="1:16">
      <c r="A72" s="2" t="s">
        <v>24</v>
      </c>
      <c r="B72" s="2" t="s">
        <v>30</v>
      </c>
      <c r="C72" s="1">
        <v>9</v>
      </c>
      <c r="D72" s="2" t="s">
        <v>16</v>
      </c>
      <c r="E72" s="1">
        <v>10</v>
      </c>
      <c r="F72" s="1" t="s">
        <v>19</v>
      </c>
      <c r="G72" s="5" t="str">
        <f>IF(Table4164854[[#This Row],[Response]]="Sight",1,"")</f>
        <v/>
      </c>
      <c r="H72" s="5" t="str">
        <f>IF(Table4164854[[#This Row],[Response]]="Touch",1,"")</f>
        <v/>
      </c>
      <c r="I72" s="5">
        <f>IF(Table4164854[[#This Row],[Response]]="Both",1,"")</f>
        <v>1</v>
      </c>
      <c r="J72" s="5">
        <f>IF(SUM(Table4164854[[#This Row],[If Sight]:[If Both]])=1,1,"")</f>
        <v>1</v>
      </c>
      <c r="K72" s="5">
        <f>IF(Table4164854[[#This Row],[Old or New?]]="New",IF(SUM(G72,I72)=1,1,""),"")</f>
        <v>1</v>
      </c>
      <c r="L72" s="5">
        <f>IF(Table4164854[[#This Row],[Old or New?]]="New",IF(SUM(H72,I72)=1,1,""),"")</f>
        <v>1</v>
      </c>
      <c r="M72" s="5" t="str">
        <f>IF(Table4164854[[#This Row],[Old or New?]]="Old",IF(SUM(G72,I72)=1,1,""),"")</f>
        <v/>
      </c>
      <c r="N72" s="5" t="str">
        <f>IF(Table4164854[[#This Row],[Old or New?]]="Old",IF(SUM(H72,I72)=1,1,""),"")</f>
        <v/>
      </c>
      <c r="O72" s="5">
        <f>IF(IF(Table4164854[[#This Row],[Old or New?]]="New",1,0)+IF(SUM(Table4164854[[#This Row],[If Sight]:[If Both]])=1,1,0)=2,1,"")</f>
        <v>1</v>
      </c>
      <c r="P72" s="5" t="str">
        <f>IF(IF(Table4164854[[#This Row],[Old or New?]]="Old",1,0)+IF(SUM(Table4164854[[#This Row],[If Sight]:[If Both]])=1,1,0)=2,1,"")</f>
        <v/>
      </c>
    </row>
    <row r="73" spans="1:16">
      <c r="A73" s="2" t="s">
        <v>24</v>
      </c>
      <c r="B73" s="2" t="s">
        <v>30</v>
      </c>
      <c r="C73" s="1">
        <v>10</v>
      </c>
      <c r="D73" s="2" t="s">
        <v>16</v>
      </c>
      <c r="E73" s="1">
        <v>10</v>
      </c>
      <c r="F73" s="1" t="s">
        <v>18</v>
      </c>
      <c r="G73" s="5">
        <f>IF(Table4164854[[#This Row],[Response]]="Sight",1,"")</f>
        <v>1</v>
      </c>
      <c r="H73" s="5" t="str">
        <f>IF(Table4164854[[#This Row],[Response]]="Touch",1,"")</f>
        <v/>
      </c>
      <c r="I73" s="5" t="str">
        <f>IF(Table4164854[[#This Row],[Response]]="Both",1,"")</f>
        <v/>
      </c>
      <c r="J73" s="5">
        <f>IF(SUM(Table4164854[[#This Row],[If Sight]:[If Both]])=1,1,"")</f>
        <v>1</v>
      </c>
      <c r="K73" s="5">
        <f>IF(Table4164854[[#This Row],[Old or New?]]="New",IF(SUM(G73,I73)=1,1,""),"")</f>
        <v>1</v>
      </c>
      <c r="L73" s="5" t="str">
        <f>IF(Table4164854[[#This Row],[Old or New?]]="New",IF(SUM(H73,I73)=1,1,""),"")</f>
        <v/>
      </c>
      <c r="M73" s="5" t="str">
        <f>IF(Table4164854[[#This Row],[Old or New?]]="Old",IF(SUM(G73,I73)=1,1,""),"")</f>
        <v/>
      </c>
      <c r="N73" s="5" t="str">
        <f>IF(Table4164854[[#This Row],[Old or New?]]="Old",IF(SUM(H73,I73)=1,1,""),"")</f>
        <v/>
      </c>
      <c r="O73" s="5">
        <f>IF(IF(Table4164854[[#This Row],[Old or New?]]="New",1,0)+IF(SUM(Table4164854[[#This Row],[If Sight]:[If Both]])=1,1,0)=2,1,"")</f>
        <v>1</v>
      </c>
      <c r="P73" s="5" t="str">
        <f>IF(IF(Table4164854[[#This Row],[Old or New?]]="Old",1,0)+IF(SUM(Table4164854[[#This Row],[If Sight]:[If Both]])=1,1,0)=2,1,"")</f>
        <v/>
      </c>
    </row>
    <row r="74" spans="1:16">
      <c r="A74" s="2" t="s">
        <v>24</v>
      </c>
      <c r="B74" s="2" t="s">
        <v>30</v>
      </c>
      <c r="C74" s="1">
        <v>11</v>
      </c>
      <c r="D74" s="2" t="s">
        <v>16</v>
      </c>
      <c r="E74" s="1">
        <v>10</v>
      </c>
      <c r="G74" s="5" t="str">
        <f>IF(Table4164854[[#This Row],[Response]]="Sight",1,"")</f>
        <v/>
      </c>
      <c r="H74" s="5" t="str">
        <f>IF(Table4164854[[#This Row],[Response]]="Touch",1,"")</f>
        <v/>
      </c>
      <c r="I74" s="5" t="str">
        <f>IF(Table4164854[[#This Row],[Response]]="Both",1,"")</f>
        <v/>
      </c>
      <c r="J74" s="5" t="str">
        <f>IF(SUM(Table4164854[[#This Row],[If Sight]:[If Both]])=1,1,"")</f>
        <v/>
      </c>
      <c r="K74" s="5" t="str">
        <f>IF(Table4164854[[#This Row],[Old or New?]]="New",IF(SUM(G74,I74)=1,1,""),"")</f>
        <v/>
      </c>
      <c r="L74" s="5" t="str">
        <f>IF(Table4164854[[#This Row],[Old or New?]]="New",IF(SUM(H74,I74)=1,1,""),"")</f>
        <v/>
      </c>
      <c r="M74" s="5" t="str">
        <f>IF(Table4164854[[#This Row],[Old or New?]]="Old",IF(SUM(G74,I74)=1,1,""),"")</f>
        <v/>
      </c>
      <c r="N74" s="5" t="str">
        <f>IF(Table4164854[[#This Row],[Old or New?]]="Old",IF(SUM(H74,I74)=1,1,""),"")</f>
        <v/>
      </c>
      <c r="O74" s="5" t="str">
        <f>IF(IF(Table4164854[[#This Row],[Old or New?]]="New",1,0)+IF(SUM(Table4164854[[#This Row],[If Sight]:[If Both]])=1,1,0)=2,1,"")</f>
        <v/>
      </c>
      <c r="P74" s="5" t="str">
        <f>IF(IF(Table4164854[[#This Row],[Old or New?]]="Old",1,0)+IF(SUM(Table4164854[[#This Row],[If Sight]:[If Both]])=1,1,0)=2,1,"")</f>
        <v/>
      </c>
    </row>
    <row r="75" spans="1:16">
      <c r="A75" s="2" t="s">
        <v>24</v>
      </c>
      <c r="B75" s="2" t="s">
        <v>30</v>
      </c>
      <c r="C75" s="1">
        <v>12</v>
      </c>
      <c r="D75" s="2" t="s">
        <v>16</v>
      </c>
      <c r="E75" s="1">
        <v>10</v>
      </c>
      <c r="F75" s="1" t="s">
        <v>18</v>
      </c>
      <c r="G75" s="5">
        <f>IF(Table4164854[[#This Row],[Response]]="Sight",1,"")</f>
        <v>1</v>
      </c>
      <c r="H75" s="5" t="str">
        <f>IF(Table4164854[[#This Row],[Response]]="Touch",1,"")</f>
        <v/>
      </c>
      <c r="I75" s="5" t="str">
        <f>IF(Table4164854[[#This Row],[Response]]="Both",1,"")</f>
        <v/>
      </c>
      <c r="J75" s="5">
        <f>IF(SUM(Table4164854[[#This Row],[If Sight]:[If Both]])=1,1,"")</f>
        <v>1</v>
      </c>
      <c r="K75" s="5">
        <f>IF(Table4164854[[#This Row],[Old or New?]]="New",IF(SUM(G75,I75)=1,1,""),"")</f>
        <v>1</v>
      </c>
      <c r="L75" s="5" t="str">
        <f>IF(Table4164854[[#This Row],[Old or New?]]="New",IF(SUM(H75,I75)=1,1,""),"")</f>
        <v/>
      </c>
      <c r="M75" s="5" t="str">
        <f>IF(Table4164854[[#This Row],[Old or New?]]="Old",IF(SUM(G75,I75)=1,1,""),"")</f>
        <v/>
      </c>
      <c r="N75" s="5" t="str">
        <f>IF(Table4164854[[#This Row],[Old or New?]]="Old",IF(SUM(H75,I75)=1,1,""),"")</f>
        <v/>
      </c>
      <c r="O75" s="5">
        <f>IF(IF(Table4164854[[#This Row],[Old or New?]]="New",1,0)+IF(SUM(Table4164854[[#This Row],[If Sight]:[If Both]])=1,1,0)=2,1,"")</f>
        <v>1</v>
      </c>
      <c r="P75" s="5" t="str">
        <f>IF(IF(Table4164854[[#This Row],[Old or New?]]="Old",1,0)+IF(SUM(Table4164854[[#This Row],[If Sight]:[If Both]])=1,1,0)=2,1,"")</f>
        <v/>
      </c>
    </row>
    <row r="76" spans="1:16">
      <c r="A76" s="2" t="s">
        <v>24</v>
      </c>
      <c r="B76" s="2" t="s">
        <v>30</v>
      </c>
      <c r="C76" s="1">
        <v>13</v>
      </c>
      <c r="D76" s="2" t="s">
        <v>16</v>
      </c>
      <c r="E76" s="1">
        <v>10</v>
      </c>
      <c r="F76" s="1" t="s">
        <v>18</v>
      </c>
      <c r="G76" s="5">
        <f>IF(Table4164854[[#This Row],[Response]]="Sight",1,"")</f>
        <v>1</v>
      </c>
      <c r="H76" s="5" t="str">
        <f>IF(Table4164854[[#This Row],[Response]]="Touch",1,"")</f>
        <v/>
      </c>
      <c r="I76" s="5" t="str">
        <f>IF(Table4164854[[#This Row],[Response]]="Both",1,"")</f>
        <v/>
      </c>
      <c r="J76" s="5">
        <f>IF(SUM(Table4164854[[#This Row],[If Sight]:[If Both]])=1,1,"")</f>
        <v>1</v>
      </c>
      <c r="K76" s="5">
        <f>IF(Table4164854[[#This Row],[Old or New?]]="New",IF(SUM(G76,I76)=1,1,""),"")</f>
        <v>1</v>
      </c>
      <c r="L76" s="5" t="str">
        <f>IF(Table4164854[[#This Row],[Old or New?]]="New",IF(SUM(H76,I76)=1,1,""),"")</f>
        <v/>
      </c>
      <c r="M76" s="5" t="str">
        <f>IF(Table4164854[[#This Row],[Old or New?]]="Old",IF(SUM(G76,I76)=1,1,""),"")</f>
        <v/>
      </c>
      <c r="N76" s="5" t="str">
        <f>IF(Table4164854[[#This Row],[Old or New?]]="Old",IF(SUM(H76,I76)=1,1,""),"")</f>
        <v/>
      </c>
      <c r="O76" s="5">
        <f>IF(IF(Table4164854[[#This Row],[Old or New?]]="New",1,0)+IF(SUM(Table4164854[[#This Row],[If Sight]:[If Both]])=1,1,0)=2,1,"")</f>
        <v>1</v>
      </c>
      <c r="P76" s="5" t="str">
        <f>IF(IF(Table4164854[[#This Row],[Old or New?]]="Old",1,0)+IF(SUM(Table4164854[[#This Row],[If Sight]:[If Both]])=1,1,0)=2,1,"")</f>
        <v/>
      </c>
    </row>
    <row r="77" spans="1:16">
      <c r="A77" s="2" t="s">
        <v>24</v>
      </c>
      <c r="B77" s="2" t="s">
        <v>30</v>
      </c>
      <c r="C77" s="1">
        <v>14</v>
      </c>
      <c r="D77" s="2" t="s">
        <v>16</v>
      </c>
      <c r="E77" s="1">
        <v>10</v>
      </c>
      <c r="F77" s="1" t="s">
        <v>18</v>
      </c>
      <c r="G77" s="5">
        <f>IF(Table4164854[[#This Row],[Response]]="Sight",1,"")</f>
        <v>1</v>
      </c>
      <c r="H77" s="5" t="str">
        <f>IF(Table4164854[[#This Row],[Response]]="Touch",1,"")</f>
        <v/>
      </c>
      <c r="I77" s="5" t="str">
        <f>IF(Table4164854[[#This Row],[Response]]="Both",1,"")</f>
        <v/>
      </c>
      <c r="J77" s="5">
        <f>IF(SUM(Table4164854[[#This Row],[If Sight]:[If Both]])=1,1,"")</f>
        <v>1</v>
      </c>
      <c r="K77" s="5">
        <f>IF(Table4164854[[#This Row],[Old or New?]]="New",IF(SUM(G77,I77)=1,1,""),"")</f>
        <v>1</v>
      </c>
      <c r="L77" s="5" t="str">
        <f>IF(Table4164854[[#This Row],[Old or New?]]="New",IF(SUM(H77,I77)=1,1,""),"")</f>
        <v/>
      </c>
      <c r="M77" s="5" t="str">
        <f>IF(Table4164854[[#This Row],[Old or New?]]="Old",IF(SUM(G77,I77)=1,1,""),"")</f>
        <v/>
      </c>
      <c r="N77" s="5" t="str">
        <f>IF(Table4164854[[#This Row],[Old or New?]]="Old",IF(SUM(H77,I77)=1,1,""),"")</f>
        <v/>
      </c>
      <c r="O77" s="5">
        <f>IF(IF(Table4164854[[#This Row],[Old or New?]]="New",1,0)+IF(SUM(Table4164854[[#This Row],[If Sight]:[If Both]])=1,1,0)=2,1,"")</f>
        <v>1</v>
      </c>
      <c r="P77" s="5" t="str">
        <f>IF(IF(Table4164854[[#This Row],[Old or New?]]="Old",1,0)+IF(SUM(Table4164854[[#This Row],[If Sight]:[If Both]])=1,1,0)=2,1,"")</f>
        <v/>
      </c>
    </row>
    <row r="78" spans="1:16">
      <c r="A78" s="2" t="s">
        <v>24</v>
      </c>
      <c r="B78" s="2" t="s">
        <v>30</v>
      </c>
      <c r="C78" s="1">
        <v>15</v>
      </c>
      <c r="D78" s="2" t="s">
        <v>16</v>
      </c>
      <c r="E78" s="1">
        <v>10</v>
      </c>
      <c r="F78" s="1" t="s">
        <v>19</v>
      </c>
      <c r="G78" s="5" t="str">
        <f>IF(Table4164854[[#This Row],[Response]]="Sight",1,"")</f>
        <v/>
      </c>
      <c r="H78" s="5" t="str">
        <f>IF(Table4164854[[#This Row],[Response]]="Touch",1,"")</f>
        <v/>
      </c>
      <c r="I78" s="5">
        <f>IF(Table4164854[[#This Row],[Response]]="Both",1,"")</f>
        <v>1</v>
      </c>
      <c r="J78" s="5">
        <f>IF(SUM(Table4164854[[#This Row],[If Sight]:[If Both]])=1,1,"")</f>
        <v>1</v>
      </c>
      <c r="K78" s="5">
        <f>IF(Table4164854[[#This Row],[Old or New?]]="New",IF(SUM(G78,I78)=1,1,""),"")</f>
        <v>1</v>
      </c>
      <c r="L78" s="5">
        <f>IF(Table4164854[[#This Row],[Old or New?]]="New",IF(SUM(H78,I78)=1,1,""),"")</f>
        <v>1</v>
      </c>
      <c r="M78" s="5" t="str">
        <f>IF(Table4164854[[#This Row],[Old or New?]]="Old",IF(SUM(G78,I78)=1,1,""),"")</f>
        <v/>
      </c>
      <c r="N78" s="5" t="str">
        <f>IF(Table4164854[[#This Row],[Old or New?]]="Old",IF(SUM(H78,I78)=1,1,""),"")</f>
        <v/>
      </c>
      <c r="O78" s="5">
        <f>IF(IF(Table4164854[[#This Row],[Old or New?]]="New",1,0)+IF(SUM(Table4164854[[#This Row],[If Sight]:[If Both]])=1,1,0)=2,1,"")</f>
        <v>1</v>
      </c>
      <c r="P78" s="5" t="str">
        <f>IF(IF(Table4164854[[#This Row],[Old or New?]]="Old",1,0)+IF(SUM(Table4164854[[#This Row],[If Sight]:[If Both]])=1,1,0)=2,1,"")</f>
        <v/>
      </c>
    </row>
    <row r="79" spans="1:16">
      <c r="A79" s="2" t="s">
        <v>24</v>
      </c>
      <c r="B79" s="2" t="s">
        <v>30</v>
      </c>
      <c r="C79" s="1">
        <v>16</v>
      </c>
      <c r="D79" s="2" t="s">
        <v>16</v>
      </c>
      <c r="E79" s="1">
        <v>10</v>
      </c>
      <c r="F79" s="1" t="s">
        <v>19</v>
      </c>
      <c r="G79" s="5" t="str">
        <f>IF(Table4164854[[#This Row],[Response]]="Sight",1,"")</f>
        <v/>
      </c>
      <c r="H79" s="5" t="str">
        <f>IF(Table4164854[[#This Row],[Response]]="Touch",1,"")</f>
        <v/>
      </c>
      <c r="I79" s="5">
        <f>IF(Table4164854[[#This Row],[Response]]="Both",1,"")</f>
        <v>1</v>
      </c>
      <c r="J79" s="5">
        <f>IF(SUM(Table4164854[[#This Row],[If Sight]:[If Both]])=1,1,"")</f>
        <v>1</v>
      </c>
      <c r="K79" s="5">
        <f>IF(Table4164854[[#This Row],[Old or New?]]="New",IF(SUM(G79,I79)=1,1,""),"")</f>
        <v>1</v>
      </c>
      <c r="L79" s="5">
        <f>IF(Table4164854[[#This Row],[Old or New?]]="New",IF(SUM(H79,I79)=1,1,""),"")</f>
        <v>1</v>
      </c>
      <c r="M79" s="5" t="str">
        <f>IF(Table4164854[[#This Row],[Old or New?]]="Old",IF(SUM(G79,I79)=1,1,""),"")</f>
        <v/>
      </c>
      <c r="N79" s="5" t="str">
        <f>IF(Table4164854[[#This Row],[Old or New?]]="Old",IF(SUM(H79,I79)=1,1,""),"")</f>
        <v/>
      </c>
      <c r="O79" s="5">
        <f>IF(IF(Table4164854[[#This Row],[Old or New?]]="New",1,0)+IF(SUM(Table4164854[[#This Row],[If Sight]:[If Both]])=1,1,0)=2,1,"")</f>
        <v>1</v>
      </c>
      <c r="P79" s="5" t="str">
        <f>IF(IF(Table4164854[[#This Row],[Old or New?]]="Old",1,0)+IF(SUM(Table4164854[[#This Row],[If Sight]:[If Both]])=1,1,0)=2,1,"")</f>
        <v/>
      </c>
    </row>
    <row r="80" spans="1:16">
      <c r="A80" s="2" t="s">
        <v>24</v>
      </c>
      <c r="B80" s="2" t="s">
        <v>30</v>
      </c>
      <c r="C80" s="1">
        <v>17</v>
      </c>
      <c r="D80" s="2" t="s">
        <v>16</v>
      </c>
      <c r="E80" s="1">
        <v>10</v>
      </c>
      <c r="F80" s="1" t="s">
        <v>19</v>
      </c>
      <c r="G80" s="5" t="str">
        <f>IF(Table4164854[[#This Row],[Response]]="Sight",1,"")</f>
        <v/>
      </c>
      <c r="H80" s="5" t="str">
        <f>IF(Table4164854[[#This Row],[Response]]="Touch",1,"")</f>
        <v/>
      </c>
      <c r="I80" s="5">
        <f>IF(Table4164854[[#This Row],[Response]]="Both",1,"")</f>
        <v>1</v>
      </c>
      <c r="J80" s="5">
        <f>IF(SUM(Table4164854[[#This Row],[If Sight]:[If Both]])=1,1,"")</f>
        <v>1</v>
      </c>
      <c r="K80" s="5">
        <f>IF(Table4164854[[#This Row],[Old or New?]]="New",IF(SUM(G80,I80)=1,1,""),"")</f>
        <v>1</v>
      </c>
      <c r="L80" s="5">
        <f>IF(Table4164854[[#This Row],[Old or New?]]="New",IF(SUM(H80,I80)=1,1,""),"")</f>
        <v>1</v>
      </c>
      <c r="M80" s="5" t="str">
        <f>IF(Table4164854[[#This Row],[Old or New?]]="Old",IF(SUM(G80,I80)=1,1,""),"")</f>
        <v/>
      </c>
      <c r="N80" s="5" t="str">
        <f>IF(Table4164854[[#This Row],[Old or New?]]="Old",IF(SUM(H80,I80)=1,1,""),"")</f>
        <v/>
      </c>
      <c r="O80" s="5">
        <f>IF(IF(Table4164854[[#This Row],[Old or New?]]="New",1,0)+IF(SUM(Table4164854[[#This Row],[If Sight]:[If Both]])=1,1,0)=2,1,"")</f>
        <v>1</v>
      </c>
      <c r="P80" s="5" t="str">
        <f>IF(IF(Table4164854[[#This Row],[Old or New?]]="Old",1,0)+IF(SUM(Table4164854[[#This Row],[If Sight]:[If Both]])=1,1,0)=2,1,"")</f>
        <v/>
      </c>
    </row>
    <row r="81" spans="1:16">
      <c r="A81" s="2" t="s">
        <v>24</v>
      </c>
      <c r="B81" s="2" t="s">
        <v>30</v>
      </c>
      <c r="C81" s="1">
        <v>18</v>
      </c>
      <c r="D81" s="2" t="s">
        <v>16</v>
      </c>
      <c r="E81" s="1">
        <v>10</v>
      </c>
      <c r="F81" s="1" t="s">
        <v>18</v>
      </c>
      <c r="G81" s="5">
        <f>IF(Table4164854[[#This Row],[Response]]="Sight",1,"")</f>
        <v>1</v>
      </c>
      <c r="H81" s="5" t="str">
        <f>IF(Table4164854[[#This Row],[Response]]="Touch",1,"")</f>
        <v/>
      </c>
      <c r="I81" s="5" t="str">
        <f>IF(Table4164854[[#This Row],[Response]]="Both",1,"")</f>
        <v/>
      </c>
      <c r="J81" s="5">
        <f>IF(SUM(Table4164854[[#This Row],[If Sight]:[If Both]])=1,1,"")</f>
        <v>1</v>
      </c>
      <c r="K81" s="5">
        <f>IF(Table4164854[[#This Row],[Old or New?]]="New",IF(SUM(G81,I81)=1,1,""),"")</f>
        <v>1</v>
      </c>
      <c r="L81" s="5" t="str">
        <f>IF(Table4164854[[#This Row],[Old or New?]]="New",IF(SUM(H81,I81)=1,1,""),"")</f>
        <v/>
      </c>
      <c r="M81" s="5" t="str">
        <f>IF(Table4164854[[#This Row],[Old or New?]]="Old",IF(SUM(G81,I81)=1,1,""),"")</f>
        <v/>
      </c>
      <c r="N81" s="5" t="str">
        <f>IF(Table4164854[[#This Row],[Old or New?]]="Old",IF(SUM(H81,I81)=1,1,""),"")</f>
        <v/>
      </c>
      <c r="O81" s="5">
        <f>IF(IF(Table4164854[[#This Row],[Old or New?]]="New",1,0)+IF(SUM(Table4164854[[#This Row],[If Sight]:[If Both]])=1,1,0)=2,1,"")</f>
        <v>1</v>
      </c>
      <c r="P81" s="5" t="str">
        <f>IF(IF(Table4164854[[#This Row],[Old or New?]]="Old",1,0)+IF(SUM(Table4164854[[#This Row],[If Sight]:[If Both]])=1,1,0)=2,1,"")</f>
        <v/>
      </c>
    </row>
    <row r="82" spans="1:16">
      <c r="A82" s="2" t="s">
        <v>24</v>
      </c>
      <c r="B82" s="2" t="s">
        <v>30</v>
      </c>
      <c r="C82" s="2">
        <v>19</v>
      </c>
      <c r="D82" s="2" t="s">
        <v>16</v>
      </c>
      <c r="E82" s="1">
        <v>10</v>
      </c>
      <c r="F82" s="1" t="s">
        <v>18</v>
      </c>
      <c r="G82" s="5">
        <f>IF(Table4164854[[#This Row],[Response]]="Sight",1,"")</f>
        <v>1</v>
      </c>
      <c r="H82" s="5" t="str">
        <f>IF(Table4164854[[#This Row],[Response]]="Touch",1,"")</f>
        <v/>
      </c>
      <c r="I82" s="5" t="str">
        <f>IF(Table4164854[[#This Row],[Response]]="Both",1,"")</f>
        <v/>
      </c>
      <c r="J82" s="5">
        <f>IF(SUM(Table4164854[[#This Row],[If Sight]:[If Both]])=1,1,"")</f>
        <v>1</v>
      </c>
      <c r="K82" s="5">
        <f>IF(Table4164854[[#This Row],[Old or New?]]="New",IF(SUM(G82,I82)=1,1,""),"")</f>
        <v>1</v>
      </c>
      <c r="L82" s="5" t="str">
        <f>IF(Table4164854[[#This Row],[Old or New?]]="New",IF(SUM(H82,I82)=1,1,""),"")</f>
        <v/>
      </c>
      <c r="M82" s="5" t="str">
        <f>IF(Table4164854[[#This Row],[Old or New?]]="Old",IF(SUM(G82,I82)=1,1,""),"")</f>
        <v/>
      </c>
      <c r="N82" s="5" t="str">
        <f>IF(Table4164854[[#This Row],[Old or New?]]="Old",IF(SUM(H82,I82)=1,1,""),"")</f>
        <v/>
      </c>
      <c r="O82" s="5">
        <f>IF(IF(Table4164854[[#This Row],[Old or New?]]="New",1,0)+IF(SUM(Table4164854[[#This Row],[If Sight]:[If Both]])=1,1,0)=2,1,"")</f>
        <v>1</v>
      </c>
      <c r="P82" s="5" t="str">
        <f>IF(IF(Table4164854[[#This Row],[Old or New?]]="Old",1,0)+IF(SUM(Table4164854[[#This Row],[If Sight]:[If Both]])=1,1,0)=2,1,"")</f>
        <v/>
      </c>
    </row>
    <row r="83" spans="1:16">
      <c r="A83" s="2" t="s">
        <v>24</v>
      </c>
      <c r="B83" s="2" t="s">
        <v>31</v>
      </c>
      <c r="C83" s="1">
        <v>1</v>
      </c>
      <c r="D83" s="2" t="s">
        <v>16</v>
      </c>
      <c r="E83" s="1">
        <v>10</v>
      </c>
      <c r="F83" s="1" t="s">
        <v>18</v>
      </c>
      <c r="G83" s="5">
        <f>IF(Table4164854[[#This Row],[Response]]="Sight",1,"")</f>
        <v>1</v>
      </c>
      <c r="H83" s="5" t="str">
        <f>IF(Table4164854[[#This Row],[Response]]="Touch",1,"")</f>
        <v/>
      </c>
      <c r="I83" s="5" t="str">
        <f>IF(Table4164854[[#This Row],[Response]]="Both",1,"")</f>
        <v/>
      </c>
      <c r="J83" s="5">
        <f>IF(SUM(Table4164854[[#This Row],[If Sight]:[If Both]])=1,1,"")</f>
        <v>1</v>
      </c>
      <c r="K83" s="5">
        <f>IF(Table4164854[[#This Row],[Old or New?]]="New",IF(SUM(G83,I83)=1,1,""),"")</f>
        <v>1</v>
      </c>
      <c r="L83" s="5" t="str">
        <f>IF(Table4164854[[#This Row],[Old or New?]]="New",IF(SUM(H83,I83)=1,1,""),"")</f>
        <v/>
      </c>
      <c r="M83" s="5" t="str">
        <f>IF(Table4164854[[#This Row],[Old or New?]]="Old",IF(SUM(G83,I83)=1,1,""),"")</f>
        <v/>
      </c>
      <c r="N83" s="5" t="str">
        <f>IF(Table4164854[[#This Row],[Old or New?]]="Old",IF(SUM(H83,I83)=1,1,""),"")</f>
        <v/>
      </c>
      <c r="O83" s="5">
        <f>IF(IF(Table4164854[[#This Row],[Old or New?]]="New",1,0)+IF(SUM(Table4164854[[#This Row],[If Sight]:[If Both]])=1,1,0)=2,1,"")</f>
        <v>1</v>
      </c>
      <c r="P83" s="5" t="str">
        <f>IF(IF(Table4164854[[#This Row],[Old or New?]]="Old",1,0)+IF(SUM(Table4164854[[#This Row],[If Sight]:[If Both]])=1,1,0)=2,1,"")</f>
        <v/>
      </c>
    </row>
    <row r="84" spans="1:16">
      <c r="A84" s="2" t="s">
        <v>24</v>
      </c>
      <c r="B84" s="2" t="s">
        <v>31</v>
      </c>
      <c r="C84" s="1">
        <v>2</v>
      </c>
      <c r="D84" s="2" t="s">
        <v>16</v>
      </c>
      <c r="E84" s="1">
        <v>10</v>
      </c>
      <c r="G84" s="5" t="str">
        <f>IF(Table4164854[[#This Row],[Response]]="Sight",1,"")</f>
        <v/>
      </c>
      <c r="H84" s="5" t="str">
        <f>IF(Table4164854[[#This Row],[Response]]="Touch",1,"")</f>
        <v/>
      </c>
      <c r="I84" s="5" t="str">
        <f>IF(Table4164854[[#This Row],[Response]]="Both",1,"")</f>
        <v/>
      </c>
      <c r="J84" s="5" t="str">
        <f>IF(SUM(Table4164854[[#This Row],[If Sight]:[If Both]])=1,1,"")</f>
        <v/>
      </c>
      <c r="K84" s="5" t="str">
        <f>IF(Table4164854[[#This Row],[Old or New?]]="New",IF(SUM(G84,I84)=1,1,""),"")</f>
        <v/>
      </c>
      <c r="L84" s="5" t="str">
        <f>IF(Table4164854[[#This Row],[Old or New?]]="New",IF(SUM(H84,I84)=1,1,""),"")</f>
        <v/>
      </c>
      <c r="M84" s="5" t="str">
        <f>IF(Table4164854[[#This Row],[Old or New?]]="Old",IF(SUM(G84,I84)=1,1,""),"")</f>
        <v/>
      </c>
      <c r="N84" s="5" t="str">
        <f>IF(Table4164854[[#This Row],[Old or New?]]="Old",IF(SUM(H84,I84)=1,1,""),"")</f>
        <v/>
      </c>
      <c r="O84" s="5" t="str">
        <f>IF(IF(Table4164854[[#This Row],[Old or New?]]="New",1,0)+IF(SUM(Table4164854[[#This Row],[If Sight]:[If Both]])=1,1,0)=2,1,"")</f>
        <v/>
      </c>
      <c r="P84" s="5" t="str">
        <f>IF(IF(Table4164854[[#This Row],[Old or New?]]="Old",1,0)+IF(SUM(Table4164854[[#This Row],[If Sight]:[If Both]])=1,1,0)=2,1,"")</f>
        <v/>
      </c>
    </row>
    <row r="85" spans="1:16">
      <c r="A85" s="2" t="s">
        <v>24</v>
      </c>
      <c r="B85" s="2" t="s">
        <v>31</v>
      </c>
      <c r="C85" s="1">
        <v>3</v>
      </c>
      <c r="D85" s="2" t="s">
        <v>16</v>
      </c>
      <c r="E85" s="1">
        <v>10</v>
      </c>
      <c r="G85" s="5" t="str">
        <f>IF(Table4164854[[#This Row],[Response]]="Sight",1,"")</f>
        <v/>
      </c>
      <c r="H85" s="5" t="str">
        <f>IF(Table4164854[[#This Row],[Response]]="Touch",1,"")</f>
        <v/>
      </c>
      <c r="I85" s="5" t="str">
        <f>IF(Table4164854[[#This Row],[Response]]="Both",1,"")</f>
        <v/>
      </c>
      <c r="J85" s="5" t="str">
        <f>IF(SUM(Table4164854[[#This Row],[If Sight]:[If Both]])=1,1,"")</f>
        <v/>
      </c>
      <c r="K85" s="5" t="str">
        <f>IF(Table4164854[[#This Row],[Old or New?]]="New",IF(SUM(G85,I85)=1,1,""),"")</f>
        <v/>
      </c>
      <c r="L85" s="5" t="str">
        <f>IF(Table4164854[[#This Row],[Old or New?]]="New",IF(SUM(H85,I85)=1,1,""),"")</f>
        <v/>
      </c>
      <c r="M85" s="5" t="str">
        <f>IF(Table4164854[[#This Row],[Old or New?]]="Old",IF(SUM(G85,I85)=1,1,""),"")</f>
        <v/>
      </c>
      <c r="N85" s="5" t="str">
        <f>IF(Table4164854[[#This Row],[Old or New?]]="Old",IF(SUM(H85,I85)=1,1,""),"")</f>
        <v/>
      </c>
      <c r="O85" s="5" t="str">
        <f>IF(IF(Table4164854[[#This Row],[Old or New?]]="New",1,0)+IF(SUM(Table4164854[[#This Row],[If Sight]:[If Both]])=1,1,0)=2,1,"")</f>
        <v/>
      </c>
      <c r="P85" s="5" t="str">
        <f>IF(IF(Table4164854[[#This Row],[Old or New?]]="Old",1,0)+IF(SUM(Table4164854[[#This Row],[If Sight]:[If Both]])=1,1,0)=2,1,"")</f>
        <v/>
      </c>
    </row>
    <row r="86" spans="1:16">
      <c r="A86" s="2" t="s">
        <v>24</v>
      </c>
      <c r="B86" s="2" t="s">
        <v>31</v>
      </c>
      <c r="C86" s="1">
        <v>4</v>
      </c>
      <c r="D86" s="2" t="s">
        <v>16</v>
      </c>
      <c r="E86" s="1">
        <v>10</v>
      </c>
      <c r="F86" s="1" t="s">
        <v>18</v>
      </c>
      <c r="G86" s="5">
        <f>IF(Table4164854[[#This Row],[Response]]="Sight",1,"")</f>
        <v>1</v>
      </c>
      <c r="H86" s="5" t="str">
        <f>IF(Table4164854[[#This Row],[Response]]="Touch",1,"")</f>
        <v/>
      </c>
      <c r="I86" s="5" t="str">
        <f>IF(Table4164854[[#This Row],[Response]]="Both",1,"")</f>
        <v/>
      </c>
      <c r="J86" s="5">
        <f>IF(SUM(Table4164854[[#This Row],[If Sight]:[If Both]])=1,1,"")</f>
        <v>1</v>
      </c>
      <c r="K86" s="5">
        <f>IF(Table4164854[[#This Row],[Old or New?]]="New",IF(SUM(G86,I86)=1,1,""),"")</f>
        <v>1</v>
      </c>
      <c r="L86" s="5" t="str">
        <f>IF(Table4164854[[#This Row],[Old or New?]]="New",IF(SUM(H86,I86)=1,1,""),"")</f>
        <v/>
      </c>
      <c r="M86" s="5" t="str">
        <f>IF(Table4164854[[#This Row],[Old or New?]]="Old",IF(SUM(G86,I86)=1,1,""),"")</f>
        <v/>
      </c>
      <c r="N86" s="5" t="str">
        <f>IF(Table4164854[[#This Row],[Old or New?]]="Old",IF(SUM(H86,I86)=1,1,""),"")</f>
        <v/>
      </c>
      <c r="O86" s="5">
        <f>IF(IF(Table4164854[[#This Row],[Old or New?]]="New",1,0)+IF(SUM(Table4164854[[#This Row],[If Sight]:[If Both]])=1,1,0)=2,1,"")</f>
        <v>1</v>
      </c>
      <c r="P86" s="5" t="str">
        <f>IF(IF(Table4164854[[#This Row],[Old or New?]]="Old",1,0)+IF(SUM(Table4164854[[#This Row],[If Sight]:[If Both]])=1,1,0)=2,1,"")</f>
        <v/>
      </c>
    </row>
    <row r="87" spans="1:16">
      <c r="A87" s="2" t="s">
        <v>24</v>
      </c>
      <c r="B87" s="2" t="s">
        <v>31</v>
      </c>
      <c r="C87" s="1">
        <v>5</v>
      </c>
      <c r="D87" s="2" t="s">
        <v>16</v>
      </c>
      <c r="E87" s="1">
        <v>10</v>
      </c>
      <c r="G87" s="5" t="str">
        <f>IF(Table4164854[[#This Row],[Response]]="Sight",1,"")</f>
        <v/>
      </c>
      <c r="H87" s="5" t="str">
        <f>IF(Table4164854[[#This Row],[Response]]="Touch",1,"")</f>
        <v/>
      </c>
      <c r="I87" s="5" t="str">
        <f>IF(Table4164854[[#This Row],[Response]]="Both",1,"")</f>
        <v/>
      </c>
      <c r="J87" s="5" t="str">
        <f>IF(SUM(Table4164854[[#This Row],[If Sight]:[If Both]])=1,1,"")</f>
        <v/>
      </c>
      <c r="K87" s="5" t="str">
        <f>IF(Table4164854[[#This Row],[Old or New?]]="New",IF(SUM(G87,I87)=1,1,""),"")</f>
        <v/>
      </c>
      <c r="L87" s="5" t="str">
        <f>IF(Table4164854[[#This Row],[Old or New?]]="New",IF(SUM(H87,I87)=1,1,""),"")</f>
        <v/>
      </c>
      <c r="M87" s="5" t="str">
        <f>IF(Table4164854[[#This Row],[Old or New?]]="Old",IF(SUM(G87,I87)=1,1,""),"")</f>
        <v/>
      </c>
      <c r="N87" s="5" t="str">
        <f>IF(Table4164854[[#This Row],[Old or New?]]="Old",IF(SUM(H87,I87)=1,1,""),"")</f>
        <v/>
      </c>
      <c r="O87" s="5" t="str">
        <f>IF(IF(Table4164854[[#This Row],[Old or New?]]="New",1,0)+IF(SUM(Table4164854[[#This Row],[If Sight]:[If Both]])=1,1,0)=2,1,"")</f>
        <v/>
      </c>
      <c r="P87" s="5" t="str">
        <f>IF(IF(Table4164854[[#This Row],[Old or New?]]="Old",1,0)+IF(SUM(Table4164854[[#This Row],[If Sight]:[If Both]])=1,1,0)=2,1,"")</f>
        <v/>
      </c>
    </row>
    <row r="88" spans="1:16">
      <c r="A88" s="2" t="s">
        <v>24</v>
      </c>
      <c r="B88" s="2" t="s">
        <v>31</v>
      </c>
      <c r="C88" s="1">
        <v>6</v>
      </c>
      <c r="D88" s="2" t="s">
        <v>16</v>
      </c>
      <c r="E88" s="1">
        <v>10</v>
      </c>
      <c r="G88" s="5" t="str">
        <f>IF(Table4164854[[#This Row],[Response]]="Sight",1,"")</f>
        <v/>
      </c>
      <c r="H88" s="5" t="str">
        <f>IF(Table4164854[[#This Row],[Response]]="Touch",1,"")</f>
        <v/>
      </c>
      <c r="I88" s="5" t="str">
        <f>IF(Table4164854[[#This Row],[Response]]="Both",1,"")</f>
        <v/>
      </c>
      <c r="J88" s="5" t="str">
        <f>IF(SUM(Table4164854[[#This Row],[If Sight]:[If Both]])=1,1,"")</f>
        <v/>
      </c>
      <c r="K88" s="5" t="str">
        <f>IF(Table4164854[[#This Row],[Old or New?]]="New",IF(SUM(G88,I88)=1,1,""),"")</f>
        <v/>
      </c>
      <c r="L88" s="5" t="str">
        <f>IF(Table4164854[[#This Row],[Old or New?]]="New",IF(SUM(H88,I88)=1,1,""),"")</f>
        <v/>
      </c>
      <c r="M88" s="5" t="str">
        <f>IF(Table4164854[[#This Row],[Old or New?]]="Old",IF(SUM(G88,I88)=1,1,""),"")</f>
        <v/>
      </c>
      <c r="N88" s="5" t="str">
        <f>IF(Table4164854[[#This Row],[Old or New?]]="Old",IF(SUM(H88,I88)=1,1,""),"")</f>
        <v/>
      </c>
      <c r="O88" s="5" t="str">
        <f>IF(IF(Table4164854[[#This Row],[Old or New?]]="New",1,0)+IF(SUM(Table4164854[[#This Row],[If Sight]:[If Both]])=1,1,0)=2,1,"")</f>
        <v/>
      </c>
      <c r="P88" s="5" t="str">
        <f>IF(IF(Table4164854[[#This Row],[Old or New?]]="Old",1,0)+IF(SUM(Table4164854[[#This Row],[If Sight]:[If Both]])=1,1,0)=2,1,"")</f>
        <v/>
      </c>
    </row>
    <row r="89" spans="1:16">
      <c r="A89" s="2" t="s">
        <v>24</v>
      </c>
      <c r="B89" s="2" t="s">
        <v>31</v>
      </c>
      <c r="C89" s="1">
        <v>7</v>
      </c>
      <c r="D89" s="2" t="s">
        <v>16</v>
      </c>
      <c r="E89" s="1">
        <v>10</v>
      </c>
      <c r="F89" s="1" t="s">
        <v>19</v>
      </c>
      <c r="G89" s="5" t="str">
        <f>IF(Table4164854[[#This Row],[Response]]="Sight",1,"")</f>
        <v/>
      </c>
      <c r="H89" s="5" t="str">
        <f>IF(Table4164854[[#This Row],[Response]]="Touch",1,"")</f>
        <v/>
      </c>
      <c r="I89" s="5">
        <f>IF(Table4164854[[#This Row],[Response]]="Both",1,"")</f>
        <v>1</v>
      </c>
      <c r="J89" s="5">
        <f>IF(SUM(Table4164854[[#This Row],[If Sight]:[If Both]])=1,1,"")</f>
        <v>1</v>
      </c>
      <c r="K89" s="5">
        <f>IF(Table4164854[[#This Row],[Old or New?]]="New",IF(SUM(G89,I89)=1,1,""),"")</f>
        <v>1</v>
      </c>
      <c r="L89" s="5">
        <f>IF(Table4164854[[#This Row],[Old or New?]]="New",IF(SUM(H89,I89)=1,1,""),"")</f>
        <v>1</v>
      </c>
      <c r="M89" s="5" t="str">
        <f>IF(Table4164854[[#This Row],[Old or New?]]="Old",IF(SUM(G89,I89)=1,1,""),"")</f>
        <v/>
      </c>
      <c r="N89" s="5" t="str">
        <f>IF(Table4164854[[#This Row],[Old or New?]]="Old",IF(SUM(H89,I89)=1,1,""),"")</f>
        <v/>
      </c>
      <c r="O89" s="5">
        <f>IF(IF(Table4164854[[#This Row],[Old or New?]]="New",1,0)+IF(SUM(Table4164854[[#This Row],[If Sight]:[If Both]])=1,1,0)=2,1,"")</f>
        <v>1</v>
      </c>
      <c r="P89" s="5" t="str">
        <f>IF(IF(Table4164854[[#This Row],[Old or New?]]="Old",1,0)+IF(SUM(Table4164854[[#This Row],[If Sight]:[If Both]])=1,1,0)=2,1,"")</f>
        <v/>
      </c>
    </row>
    <row r="90" spans="1:16">
      <c r="A90" s="2" t="s">
        <v>24</v>
      </c>
      <c r="B90" s="2" t="s">
        <v>31</v>
      </c>
      <c r="C90" s="1">
        <v>8</v>
      </c>
      <c r="D90" s="2" t="s">
        <v>16</v>
      </c>
      <c r="E90" s="1">
        <v>10</v>
      </c>
      <c r="F90" s="1" t="s">
        <v>18</v>
      </c>
      <c r="G90" s="5">
        <f>IF(Table4164854[[#This Row],[Response]]="Sight",1,"")</f>
        <v>1</v>
      </c>
      <c r="H90" s="5" t="str">
        <f>IF(Table4164854[[#This Row],[Response]]="Touch",1,"")</f>
        <v/>
      </c>
      <c r="I90" s="5" t="str">
        <f>IF(Table4164854[[#This Row],[Response]]="Both",1,"")</f>
        <v/>
      </c>
      <c r="J90" s="5">
        <f>IF(SUM(Table4164854[[#This Row],[If Sight]:[If Both]])=1,1,"")</f>
        <v>1</v>
      </c>
      <c r="K90" s="5">
        <f>IF(Table4164854[[#This Row],[Old or New?]]="New",IF(SUM(G90,I90)=1,1,""),"")</f>
        <v>1</v>
      </c>
      <c r="L90" s="5" t="str">
        <f>IF(Table4164854[[#This Row],[Old or New?]]="New",IF(SUM(H90,I90)=1,1,""),"")</f>
        <v/>
      </c>
      <c r="M90" s="5" t="str">
        <f>IF(Table4164854[[#This Row],[Old or New?]]="Old",IF(SUM(G90,I90)=1,1,""),"")</f>
        <v/>
      </c>
      <c r="N90" s="5" t="str">
        <f>IF(Table4164854[[#This Row],[Old or New?]]="Old",IF(SUM(H90,I90)=1,1,""),"")</f>
        <v/>
      </c>
      <c r="O90" s="5">
        <f>IF(IF(Table4164854[[#This Row],[Old or New?]]="New",1,0)+IF(SUM(Table4164854[[#This Row],[If Sight]:[If Both]])=1,1,0)=2,1,"")</f>
        <v>1</v>
      </c>
      <c r="P90" s="5" t="str">
        <f>IF(IF(Table4164854[[#This Row],[Old or New?]]="Old",1,0)+IF(SUM(Table4164854[[#This Row],[If Sight]:[If Both]])=1,1,0)=2,1,"")</f>
        <v/>
      </c>
    </row>
    <row r="91" spans="1:16">
      <c r="A91" s="2" t="s">
        <v>24</v>
      </c>
      <c r="B91" s="2" t="s">
        <v>31</v>
      </c>
      <c r="C91" s="1">
        <v>9</v>
      </c>
      <c r="D91" s="2" t="s">
        <v>16</v>
      </c>
      <c r="E91" s="1">
        <v>10</v>
      </c>
      <c r="F91" s="1" t="s">
        <v>18</v>
      </c>
      <c r="G91" s="5">
        <f>IF(Table4164854[[#This Row],[Response]]="Sight",1,"")</f>
        <v>1</v>
      </c>
      <c r="H91" s="5" t="str">
        <f>IF(Table4164854[[#This Row],[Response]]="Touch",1,"")</f>
        <v/>
      </c>
      <c r="I91" s="5" t="str">
        <f>IF(Table4164854[[#This Row],[Response]]="Both",1,"")</f>
        <v/>
      </c>
      <c r="J91" s="5">
        <f>IF(SUM(Table4164854[[#This Row],[If Sight]:[If Both]])=1,1,"")</f>
        <v>1</v>
      </c>
      <c r="K91" s="5">
        <f>IF(Table4164854[[#This Row],[Old or New?]]="New",IF(SUM(G91,I91)=1,1,""),"")</f>
        <v>1</v>
      </c>
      <c r="L91" s="5" t="str">
        <f>IF(Table4164854[[#This Row],[Old or New?]]="New",IF(SUM(H91,I91)=1,1,""),"")</f>
        <v/>
      </c>
      <c r="M91" s="5" t="str">
        <f>IF(Table4164854[[#This Row],[Old or New?]]="Old",IF(SUM(G91,I91)=1,1,""),"")</f>
        <v/>
      </c>
      <c r="N91" s="5" t="str">
        <f>IF(Table4164854[[#This Row],[Old or New?]]="Old",IF(SUM(H91,I91)=1,1,""),"")</f>
        <v/>
      </c>
      <c r="O91" s="5">
        <f>IF(IF(Table4164854[[#This Row],[Old or New?]]="New",1,0)+IF(SUM(Table4164854[[#This Row],[If Sight]:[If Both]])=1,1,0)=2,1,"")</f>
        <v>1</v>
      </c>
      <c r="P91" s="5" t="str">
        <f>IF(IF(Table4164854[[#This Row],[Old or New?]]="Old",1,0)+IF(SUM(Table4164854[[#This Row],[If Sight]:[If Both]])=1,1,0)=2,1,"")</f>
        <v/>
      </c>
    </row>
    <row r="92" spans="1:16">
      <c r="A92" s="2" t="s">
        <v>24</v>
      </c>
      <c r="B92" s="2" t="s">
        <v>31</v>
      </c>
      <c r="C92" s="1">
        <v>10</v>
      </c>
      <c r="D92" s="2" t="s">
        <v>16</v>
      </c>
      <c r="E92" s="1">
        <v>10</v>
      </c>
      <c r="F92" s="1" t="s">
        <v>19</v>
      </c>
      <c r="G92" s="5" t="str">
        <f>IF(Table4164854[[#This Row],[Response]]="Sight",1,"")</f>
        <v/>
      </c>
      <c r="H92" s="5" t="str">
        <f>IF(Table4164854[[#This Row],[Response]]="Touch",1,"")</f>
        <v/>
      </c>
      <c r="I92" s="5">
        <f>IF(Table4164854[[#This Row],[Response]]="Both",1,"")</f>
        <v>1</v>
      </c>
      <c r="J92" s="5">
        <f>IF(SUM(Table4164854[[#This Row],[If Sight]:[If Both]])=1,1,"")</f>
        <v>1</v>
      </c>
      <c r="K92" s="5">
        <f>IF(Table4164854[[#This Row],[Old or New?]]="New",IF(SUM(G92,I92)=1,1,""),"")</f>
        <v>1</v>
      </c>
      <c r="L92" s="5">
        <f>IF(Table4164854[[#This Row],[Old or New?]]="New",IF(SUM(H92,I92)=1,1,""),"")</f>
        <v>1</v>
      </c>
      <c r="M92" s="5" t="str">
        <f>IF(Table4164854[[#This Row],[Old or New?]]="Old",IF(SUM(G92,I92)=1,1,""),"")</f>
        <v/>
      </c>
      <c r="N92" s="5" t="str">
        <f>IF(Table4164854[[#This Row],[Old or New?]]="Old",IF(SUM(H92,I92)=1,1,""),"")</f>
        <v/>
      </c>
      <c r="O92" s="5">
        <f>IF(IF(Table4164854[[#This Row],[Old or New?]]="New",1,0)+IF(SUM(Table4164854[[#This Row],[If Sight]:[If Both]])=1,1,0)=2,1,"")</f>
        <v>1</v>
      </c>
      <c r="P92" s="5" t="str">
        <f>IF(IF(Table4164854[[#This Row],[Old or New?]]="Old",1,0)+IF(SUM(Table4164854[[#This Row],[If Sight]:[If Both]])=1,1,0)=2,1,"")</f>
        <v/>
      </c>
    </row>
    <row r="93" spans="1:16">
      <c r="A93" s="2" t="s">
        <v>24</v>
      </c>
      <c r="B93" s="2" t="s">
        <v>31</v>
      </c>
      <c r="C93" s="1">
        <v>11</v>
      </c>
      <c r="D93" s="2" t="s">
        <v>16</v>
      </c>
      <c r="E93" s="1">
        <v>10</v>
      </c>
      <c r="F93" s="1" t="s">
        <v>18</v>
      </c>
      <c r="G93" s="5">
        <f>IF(Table4164854[[#This Row],[Response]]="Sight",1,"")</f>
        <v>1</v>
      </c>
      <c r="H93" s="5" t="str">
        <f>IF(Table4164854[[#This Row],[Response]]="Touch",1,"")</f>
        <v/>
      </c>
      <c r="I93" s="5" t="str">
        <f>IF(Table4164854[[#This Row],[Response]]="Both",1,"")</f>
        <v/>
      </c>
      <c r="J93" s="5">
        <f>IF(SUM(Table4164854[[#This Row],[If Sight]:[If Both]])=1,1,"")</f>
        <v>1</v>
      </c>
      <c r="K93" s="5">
        <f>IF(Table4164854[[#This Row],[Old or New?]]="New",IF(SUM(G93,I93)=1,1,""),"")</f>
        <v>1</v>
      </c>
      <c r="L93" s="5" t="str">
        <f>IF(Table4164854[[#This Row],[Old or New?]]="New",IF(SUM(H93,I93)=1,1,""),"")</f>
        <v/>
      </c>
      <c r="M93" s="5" t="str">
        <f>IF(Table4164854[[#This Row],[Old or New?]]="Old",IF(SUM(G93,I93)=1,1,""),"")</f>
        <v/>
      </c>
      <c r="N93" s="5" t="str">
        <f>IF(Table4164854[[#This Row],[Old or New?]]="Old",IF(SUM(H93,I93)=1,1,""),"")</f>
        <v/>
      </c>
      <c r="O93" s="5">
        <f>IF(IF(Table4164854[[#This Row],[Old or New?]]="New",1,0)+IF(SUM(Table4164854[[#This Row],[If Sight]:[If Both]])=1,1,0)=2,1,"")</f>
        <v>1</v>
      </c>
      <c r="P93" s="5" t="str">
        <f>IF(IF(Table4164854[[#This Row],[Old or New?]]="Old",1,0)+IF(SUM(Table4164854[[#This Row],[If Sight]:[If Both]])=1,1,0)=2,1,"")</f>
        <v/>
      </c>
    </row>
    <row r="94" spans="1:16">
      <c r="A94" s="2" t="s">
        <v>24</v>
      </c>
      <c r="B94" s="2" t="s">
        <v>31</v>
      </c>
      <c r="C94" s="1">
        <v>12</v>
      </c>
      <c r="D94" s="2" t="s">
        <v>16</v>
      </c>
      <c r="E94" s="1">
        <v>10</v>
      </c>
      <c r="F94" s="1" t="s">
        <v>19</v>
      </c>
      <c r="G94" s="5" t="str">
        <f>IF(Table4164854[[#This Row],[Response]]="Sight",1,"")</f>
        <v/>
      </c>
      <c r="H94" s="5" t="str">
        <f>IF(Table4164854[[#This Row],[Response]]="Touch",1,"")</f>
        <v/>
      </c>
      <c r="I94" s="5">
        <f>IF(Table4164854[[#This Row],[Response]]="Both",1,"")</f>
        <v>1</v>
      </c>
      <c r="J94" s="5">
        <f>IF(SUM(Table4164854[[#This Row],[If Sight]:[If Both]])=1,1,"")</f>
        <v>1</v>
      </c>
      <c r="K94" s="5">
        <f>IF(Table4164854[[#This Row],[Old or New?]]="New",IF(SUM(G94,I94)=1,1,""),"")</f>
        <v>1</v>
      </c>
      <c r="L94" s="5">
        <f>IF(Table4164854[[#This Row],[Old or New?]]="New",IF(SUM(H94,I94)=1,1,""),"")</f>
        <v>1</v>
      </c>
      <c r="M94" s="5" t="str">
        <f>IF(Table4164854[[#This Row],[Old or New?]]="Old",IF(SUM(G94,I94)=1,1,""),"")</f>
        <v/>
      </c>
      <c r="N94" s="5" t="str">
        <f>IF(Table4164854[[#This Row],[Old or New?]]="Old",IF(SUM(H94,I94)=1,1,""),"")</f>
        <v/>
      </c>
      <c r="O94" s="5">
        <f>IF(IF(Table4164854[[#This Row],[Old or New?]]="New",1,0)+IF(SUM(Table4164854[[#This Row],[If Sight]:[If Both]])=1,1,0)=2,1,"")</f>
        <v>1</v>
      </c>
      <c r="P94" s="5" t="str">
        <f>IF(IF(Table4164854[[#This Row],[Old or New?]]="Old",1,0)+IF(SUM(Table4164854[[#This Row],[If Sight]:[If Both]])=1,1,0)=2,1,"")</f>
        <v/>
      </c>
    </row>
    <row r="95" spans="1:16">
      <c r="A95" s="2" t="s">
        <v>24</v>
      </c>
      <c r="B95" s="2" t="s">
        <v>31</v>
      </c>
      <c r="C95" s="1">
        <v>13</v>
      </c>
      <c r="D95" s="2" t="s">
        <v>16</v>
      </c>
      <c r="E95" s="1">
        <v>10</v>
      </c>
      <c r="G95" s="5" t="str">
        <f>IF(Table4164854[[#This Row],[Response]]="Sight",1,"")</f>
        <v/>
      </c>
      <c r="H95" s="5" t="str">
        <f>IF(Table4164854[[#This Row],[Response]]="Touch",1,"")</f>
        <v/>
      </c>
      <c r="I95" s="5" t="str">
        <f>IF(Table4164854[[#This Row],[Response]]="Both",1,"")</f>
        <v/>
      </c>
      <c r="J95" s="5" t="str">
        <f>IF(SUM(Table4164854[[#This Row],[If Sight]:[If Both]])=1,1,"")</f>
        <v/>
      </c>
      <c r="K95" s="5" t="str">
        <f>IF(Table4164854[[#This Row],[Old or New?]]="New",IF(SUM(G95,I95)=1,1,""),"")</f>
        <v/>
      </c>
      <c r="L95" s="5" t="str">
        <f>IF(Table4164854[[#This Row],[Old or New?]]="New",IF(SUM(H95,I95)=1,1,""),"")</f>
        <v/>
      </c>
      <c r="M95" s="5" t="str">
        <f>IF(Table4164854[[#This Row],[Old or New?]]="Old",IF(SUM(G95,I95)=1,1,""),"")</f>
        <v/>
      </c>
      <c r="N95" s="5" t="str">
        <f>IF(Table4164854[[#This Row],[Old or New?]]="Old",IF(SUM(H95,I95)=1,1,""),"")</f>
        <v/>
      </c>
      <c r="O95" s="5" t="str">
        <f>IF(IF(Table4164854[[#This Row],[Old or New?]]="New",1,0)+IF(SUM(Table4164854[[#This Row],[If Sight]:[If Both]])=1,1,0)=2,1,"")</f>
        <v/>
      </c>
      <c r="P95" s="5" t="str">
        <f>IF(IF(Table4164854[[#This Row],[Old or New?]]="Old",1,0)+IF(SUM(Table4164854[[#This Row],[If Sight]:[If Both]])=1,1,0)=2,1,"")</f>
        <v/>
      </c>
    </row>
    <row r="96" spans="1:16">
      <c r="A96" s="2" t="s">
        <v>24</v>
      </c>
      <c r="B96" s="2" t="s">
        <v>31</v>
      </c>
      <c r="C96" s="1">
        <v>14</v>
      </c>
      <c r="D96" s="2" t="s">
        <v>16</v>
      </c>
      <c r="E96" s="1">
        <v>10</v>
      </c>
      <c r="F96" s="1" t="s">
        <v>18</v>
      </c>
      <c r="G96" s="5">
        <f>IF(Table4164854[[#This Row],[Response]]="Sight",1,"")</f>
        <v>1</v>
      </c>
      <c r="H96" s="5" t="str">
        <f>IF(Table4164854[[#This Row],[Response]]="Touch",1,"")</f>
        <v/>
      </c>
      <c r="I96" s="5" t="str">
        <f>IF(Table4164854[[#This Row],[Response]]="Both",1,"")</f>
        <v/>
      </c>
      <c r="J96" s="5">
        <f>IF(SUM(Table4164854[[#This Row],[If Sight]:[If Both]])=1,1,"")</f>
        <v>1</v>
      </c>
      <c r="K96" s="5">
        <f>IF(Table4164854[[#This Row],[Old or New?]]="New",IF(SUM(G96,I96)=1,1,""),"")</f>
        <v>1</v>
      </c>
      <c r="L96" s="5" t="str">
        <f>IF(Table4164854[[#This Row],[Old or New?]]="New",IF(SUM(H96,I96)=1,1,""),"")</f>
        <v/>
      </c>
      <c r="M96" s="5" t="str">
        <f>IF(Table4164854[[#This Row],[Old or New?]]="Old",IF(SUM(G96,I96)=1,1,""),"")</f>
        <v/>
      </c>
      <c r="N96" s="5" t="str">
        <f>IF(Table4164854[[#This Row],[Old or New?]]="Old",IF(SUM(H96,I96)=1,1,""),"")</f>
        <v/>
      </c>
      <c r="O96" s="5">
        <f>IF(IF(Table4164854[[#This Row],[Old or New?]]="New",1,0)+IF(SUM(Table4164854[[#This Row],[If Sight]:[If Both]])=1,1,0)=2,1,"")</f>
        <v>1</v>
      </c>
      <c r="P96" s="5" t="str">
        <f>IF(IF(Table4164854[[#This Row],[Old or New?]]="Old",1,0)+IF(SUM(Table4164854[[#This Row],[If Sight]:[If Both]])=1,1,0)=2,1,"")</f>
        <v/>
      </c>
    </row>
    <row r="97" spans="1:16">
      <c r="A97" s="2" t="s">
        <v>24</v>
      </c>
      <c r="B97" s="2" t="s">
        <v>31</v>
      </c>
      <c r="C97" s="1">
        <v>15</v>
      </c>
      <c r="D97" s="2" t="s">
        <v>16</v>
      </c>
      <c r="E97" s="1">
        <v>10</v>
      </c>
      <c r="F97" s="1" t="s">
        <v>18</v>
      </c>
      <c r="G97" s="5">
        <f>IF(Table4164854[[#This Row],[Response]]="Sight",1,"")</f>
        <v>1</v>
      </c>
      <c r="H97" s="5" t="str">
        <f>IF(Table4164854[[#This Row],[Response]]="Touch",1,"")</f>
        <v/>
      </c>
      <c r="I97" s="5" t="str">
        <f>IF(Table4164854[[#This Row],[Response]]="Both",1,"")</f>
        <v/>
      </c>
      <c r="J97" s="5">
        <f>IF(SUM(Table4164854[[#This Row],[If Sight]:[If Both]])=1,1,"")</f>
        <v>1</v>
      </c>
      <c r="K97" s="5">
        <f>IF(Table4164854[[#This Row],[Old or New?]]="New",IF(SUM(G97,I97)=1,1,""),"")</f>
        <v>1</v>
      </c>
      <c r="L97" s="5" t="str">
        <f>IF(Table4164854[[#This Row],[Old or New?]]="New",IF(SUM(H97,I97)=1,1,""),"")</f>
        <v/>
      </c>
      <c r="M97" s="5" t="str">
        <f>IF(Table4164854[[#This Row],[Old or New?]]="Old",IF(SUM(G97,I97)=1,1,""),"")</f>
        <v/>
      </c>
      <c r="N97" s="5" t="str">
        <f>IF(Table4164854[[#This Row],[Old or New?]]="Old",IF(SUM(H97,I97)=1,1,""),"")</f>
        <v/>
      </c>
      <c r="O97" s="5">
        <f>IF(IF(Table4164854[[#This Row],[Old or New?]]="New",1,0)+IF(SUM(Table4164854[[#This Row],[If Sight]:[If Both]])=1,1,0)=2,1,"")</f>
        <v>1</v>
      </c>
      <c r="P97" s="5" t="str">
        <f>IF(IF(Table4164854[[#This Row],[Old or New?]]="Old",1,0)+IF(SUM(Table4164854[[#This Row],[If Sight]:[If Both]])=1,1,0)=2,1,"")</f>
        <v/>
      </c>
    </row>
    <row r="98" spans="1:16">
      <c r="A98" s="1" t="s">
        <v>12</v>
      </c>
      <c r="B98" s="1" t="s">
        <v>10</v>
      </c>
      <c r="C98" s="1">
        <v>1</v>
      </c>
      <c r="D98" s="1" t="s">
        <v>16</v>
      </c>
      <c r="E98" s="1">
        <v>10</v>
      </c>
      <c r="F98" s="1" t="s">
        <v>18</v>
      </c>
      <c r="G98" s="5">
        <f>IF(Table4164854[[#This Row],[Response]]="Sight",1,"")</f>
        <v>1</v>
      </c>
      <c r="H98" s="5" t="str">
        <f>IF(Table4164854[[#This Row],[Response]]="Touch",1,"")</f>
        <v/>
      </c>
      <c r="I98" s="5" t="str">
        <f>IF(Table4164854[[#This Row],[Response]]="Both",1,"")</f>
        <v/>
      </c>
      <c r="J98" s="5">
        <f>IF(SUM(Table4164854[[#This Row],[If Sight]:[If Both]])=1,1,"")</f>
        <v>1</v>
      </c>
      <c r="K98" s="5" t="str">
        <f>IF(Table4164854[[#This Row],[Old or New?]]="New",IF(SUM(G98,I98)=1,1,""),"")</f>
        <v/>
      </c>
      <c r="L98" s="5" t="str">
        <f>IF(Table4164854[[#This Row],[Old or New?]]="New",IF(SUM(H98,I98)=1,1,""),"")</f>
        <v/>
      </c>
      <c r="M98" s="5">
        <f>IF(Table4164854[[#This Row],[Old or New?]]="Old",IF(SUM(G98,I98)=1,1,""),"")</f>
        <v>1</v>
      </c>
      <c r="N98" s="5" t="str">
        <f>IF(Table4164854[[#This Row],[Old or New?]]="Old",IF(SUM(H98,I98)=1,1,""),"")</f>
        <v/>
      </c>
      <c r="O98" s="5" t="str">
        <f>IF(IF(Table4164854[[#This Row],[Old or New?]]="New",1,0)+IF(SUM(Table4164854[[#This Row],[If Sight]:[If Both]])=1,1,0)=2,1,"")</f>
        <v/>
      </c>
      <c r="P98" s="5">
        <f>IF(IF(Table4164854[[#This Row],[Old or New?]]="Old",1,0)+IF(SUM(Table4164854[[#This Row],[If Sight]:[If Both]])=1,1,0)=2,1,"")</f>
        <v>1</v>
      </c>
    </row>
    <row r="99" spans="1:16">
      <c r="A99" s="1" t="s">
        <v>12</v>
      </c>
      <c r="B99" s="1" t="s">
        <v>10</v>
      </c>
      <c r="C99" s="1">
        <v>2</v>
      </c>
      <c r="D99" s="1" t="s">
        <v>16</v>
      </c>
      <c r="E99" s="1">
        <v>10</v>
      </c>
      <c r="F99" s="1" t="s">
        <v>18</v>
      </c>
      <c r="G99" s="5">
        <f>IF(Table4164854[[#This Row],[Response]]="Sight",1,"")</f>
        <v>1</v>
      </c>
      <c r="H99" s="5" t="str">
        <f>IF(Table4164854[[#This Row],[Response]]="Touch",1,"")</f>
        <v/>
      </c>
      <c r="I99" s="5" t="str">
        <f>IF(Table4164854[[#This Row],[Response]]="Both",1,"")</f>
        <v/>
      </c>
      <c r="J99" s="5">
        <f>IF(SUM(Table4164854[[#This Row],[If Sight]:[If Both]])=1,1,"")</f>
        <v>1</v>
      </c>
      <c r="K99" s="5" t="str">
        <f>IF(Table4164854[[#This Row],[Old or New?]]="New",IF(SUM(G99,I99)=1,1,""),"")</f>
        <v/>
      </c>
      <c r="L99" s="5" t="str">
        <f>IF(Table4164854[[#This Row],[Old or New?]]="New",IF(SUM(H99,I99)=1,1,""),"")</f>
        <v/>
      </c>
      <c r="M99" s="5">
        <f>IF(Table4164854[[#This Row],[Old or New?]]="Old",IF(SUM(G99,I99)=1,1,""),"")</f>
        <v>1</v>
      </c>
      <c r="N99" s="5" t="str">
        <f>IF(Table4164854[[#This Row],[Old or New?]]="Old",IF(SUM(H99,I99)=1,1,""),"")</f>
        <v/>
      </c>
      <c r="O99" s="5" t="str">
        <f>IF(IF(Table4164854[[#This Row],[Old or New?]]="New",1,0)+IF(SUM(Table4164854[[#This Row],[If Sight]:[If Both]])=1,1,0)=2,1,"")</f>
        <v/>
      </c>
      <c r="P99" s="5">
        <f>IF(IF(Table4164854[[#This Row],[Old or New?]]="Old",1,0)+IF(SUM(Table4164854[[#This Row],[If Sight]:[If Both]])=1,1,0)=2,1,"")</f>
        <v>1</v>
      </c>
    </row>
    <row r="100" spans="1:16">
      <c r="A100" s="1" t="s">
        <v>12</v>
      </c>
      <c r="B100" s="1" t="s">
        <v>10</v>
      </c>
      <c r="C100" s="1">
        <v>3</v>
      </c>
      <c r="D100" s="1" t="s">
        <v>16</v>
      </c>
      <c r="E100" s="1">
        <v>10</v>
      </c>
      <c r="F100" s="1" t="s">
        <v>18</v>
      </c>
      <c r="G100" s="5">
        <f>IF(Table4164854[[#This Row],[Response]]="Sight",1,"")</f>
        <v>1</v>
      </c>
      <c r="H100" s="5" t="str">
        <f>IF(Table4164854[[#This Row],[Response]]="Touch",1,"")</f>
        <v/>
      </c>
      <c r="I100" s="5" t="str">
        <f>IF(Table4164854[[#This Row],[Response]]="Both",1,"")</f>
        <v/>
      </c>
      <c r="J100" s="5">
        <f>IF(SUM(Table4164854[[#This Row],[If Sight]:[If Both]])=1,1,"")</f>
        <v>1</v>
      </c>
      <c r="K100" s="5" t="str">
        <f>IF(Table4164854[[#This Row],[Old or New?]]="New",IF(SUM(G100,I100)=1,1,""),"")</f>
        <v/>
      </c>
      <c r="L100" s="5" t="str">
        <f>IF(Table4164854[[#This Row],[Old or New?]]="New",IF(SUM(H100,I100)=1,1,""),"")</f>
        <v/>
      </c>
      <c r="M100" s="5">
        <f>IF(Table4164854[[#This Row],[Old or New?]]="Old",IF(SUM(G100,I100)=1,1,""),"")</f>
        <v>1</v>
      </c>
      <c r="N100" s="5" t="str">
        <f>IF(Table4164854[[#This Row],[Old or New?]]="Old",IF(SUM(H100,I100)=1,1,""),"")</f>
        <v/>
      </c>
      <c r="O100" s="5" t="str">
        <f>IF(IF(Table4164854[[#This Row],[Old or New?]]="New",1,0)+IF(SUM(Table4164854[[#This Row],[If Sight]:[If Both]])=1,1,0)=2,1,"")</f>
        <v/>
      </c>
      <c r="P100" s="5">
        <f>IF(IF(Table4164854[[#This Row],[Old or New?]]="Old",1,0)+IF(SUM(Table4164854[[#This Row],[If Sight]:[If Both]])=1,1,0)=2,1,"")</f>
        <v>1</v>
      </c>
    </row>
    <row r="101" spans="1:16">
      <c r="A101" s="1" t="s">
        <v>12</v>
      </c>
      <c r="B101" s="1" t="s">
        <v>10</v>
      </c>
      <c r="C101" s="1">
        <v>4</v>
      </c>
      <c r="D101" s="1" t="s">
        <v>16</v>
      </c>
      <c r="E101" s="1">
        <v>10</v>
      </c>
      <c r="F101" s="1" t="s">
        <v>18</v>
      </c>
      <c r="G101" s="5">
        <f>IF(Table4164854[[#This Row],[Response]]="Sight",1,"")</f>
        <v>1</v>
      </c>
      <c r="H101" s="5" t="str">
        <f>IF(Table4164854[[#This Row],[Response]]="Touch",1,"")</f>
        <v/>
      </c>
      <c r="I101" s="5" t="str">
        <f>IF(Table4164854[[#This Row],[Response]]="Both",1,"")</f>
        <v/>
      </c>
      <c r="J101" s="5">
        <f>IF(SUM(Table4164854[[#This Row],[If Sight]:[If Both]])=1,1,"")</f>
        <v>1</v>
      </c>
      <c r="K101" s="5" t="str">
        <f>IF(Table4164854[[#This Row],[Old or New?]]="New",IF(SUM(G101,I101)=1,1,""),"")</f>
        <v/>
      </c>
      <c r="L101" s="5" t="str">
        <f>IF(Table4164854[[#This Row],[Old or New?]]="New",IF(SUM(H101,I101)=1,1,""),"")</f>
        <v/>
      </c>
      <c r="M101" s="5">
        <f>IF(Table4164854[[#This Row],[Old or New?]]="Old",IF(SUM(G101,I101)=1,1,""),"")</f>
        <v>1</v>
      </c>
      <c r="N101" s="5" t="str">
        <f>IF(Table4164854[[#This Row],[Old or New?]]="Old",IF(SUM(H101,I101)=1,1,""),"")</f>
        <v/>
      </c>
      <c r="O101" s="5" t="str">
        <f>IF(IF(Table4164854[[#This Row],[Old or New?]]="New",1,0)+IF(SUM(Table4164854[[#This Row],[If Sight]:[If Both]])=1,1,0)=2,1,"")</f>
        <v/>
      </c>
      <c r="P101" s="5">
        <f>IF(IF(Table4164854[[#This Row],[Old or New?]]="Old",1,0)+IF(SUM(Table4164854[[#This Row],[If Sight]:[If Both]])=1,1,0)=2,1,"")</f>
        <v>1</v>
      </c>
    </row>
    <row r="102" spans="1:16">
      <c r="A102" s="1" t="s">
        <v>12</v>
      </c>
      <c r="B102" s="1" t="s">
        <v>10</v>
      </c>
      <c r="C102" s="1">
        <v>5</v>
      </c>
      <c r="D102" s="1" t="s">
        <v>16</v>
      </c>
      <c r="E102" s="1">
        <v>10</v>
      </c>
      <c r="F102" s="1" t="s">
        <v>19</v>
      </c>
      <c r="G102" s="5" t="str">
        <f>IF(Table4164854[[#This Row],[Response]]="Sight",1,"")</f>
        <v/>
      </c>
      <c r="H102" s="5" t="str">
        <f>IF(Table4164854[[#This Row],[Response]]="Touch",1,"")</f>
        <v/>
      </c>
      <c r="I102" s="5">
        <f>IF(Table4164854[[#This Row],[Response]]="Both",1,"")</f>
        <v>1</v>
      </c>
      <c r="J102" s="5">
        <f>IF(SUM(Table4164854[[#This Row],[If Sight]:[If Both]])=1,1,"")</f>
        <v>1</v>
      </c>
      <c r="K102" s="5" t="str">
        <f>IF(Table4164854[[#This Row],[Old or New?]]="New",IF(SUM(G102,I102)=1,1,""),"")</f>
        <v/>
      </c>
      <c r="L102" s="5" t="str">
        <f>IF(Table4164854[[#This Row],[Old or New?]]="New",IF(SUM(H102,I102)=1,1,""),"")</f>
        <v/>
      </c>
      <c r="M102" s="5">
        <f>IF(Table4164854[[#This Row],[Old or New?]]="Old",IF(SUM(G102,I102)=1,1,""),"")</f>
        <v>1</v>
      </c>
      <c r="N102" s="5">
        <f>IF(Table4164854[[#This Row],[Old or New?]]="Old",IF(SUM(H102,I102)=1,1,""),"")</f>
        <v>1</v>
      </c>
      <c r="O102" s="5" t="str">
        <f>IF(IF(Table4164854[[#This Row],[Old or New?]]="New",1,0)+IF(SUM(Table4164854[[#This Row],[If Sight]:[If Both]])=1,1,0)=2,1,"")</f>
        <v/>
      </c>
      <c r="P102" s="5">
        <f>IF(IF(Table4164854[[#This Row],[Old or New?]]="Old",1,0)+IF(SUM(Table4164854[[#This Row],[If Sight]:[If Both]])=1,1,0)=2,1,"")</f>
        <v>1</v>
      </c>
    </row>
    <row r="103" spans="1:16">
      <c r="A103" s="1" t="s">
        <v>12</v>
      </c>
      <c r="B103" s="1" t="s">
        <v>10</v>
      </c>
      <c r="C103" s="1">
        <v>6</v>
      </c>
      <c r="D103" s="1" t="s">
        <v>16</v>
      </c>
      <c r="E103" s="1">
        <v>10</v>
      </c>
      <c r="F103" s="1" t="s">
        <v>18</v>
      </c>
      <c r="G103" s="5">
        <f>IF(Table4164854[[#This Row],[Response]]="Sight",1,"")</f>
        <v>1</v>
      </c>
      <c r="H103" s="5" t="str">
        <f>IF(Table4164854[[#This Row],[Response]]="Touch",1,"")</f>
        <v/>
      </c>
      <c r="I103" s="5" t="str">
        <f>IF(Table4164854[[#This Row],[Response]]="Both",1,"")</f>
        <v/>
      </c>
      <c r="J103" s="5">
        <f>IF(SUM(Table4164854[[#This Row],[If Sight]:[If Both]])=1,1,"")</f>
        <v>1</v>
      </c>
      <c r="K103" s="5" t="str">
        <f>IF(Table4164854[[#This Row],[Old or New?]]="New",IF(SUM(G103,I103)=1,1,""),"")</f>
        <v/>
      </c>
      <c r="L103" s="5" t="str">
        <f>IF(Table4164854[[#This Row],[Old or New?]]="New",IF(SUM(H103,I103)=1,1,""),"")</f>
        <v/>
      </c>
      <c r="M103" s="5">
        <f>IF(Table4164854[[#This Row],[Old or New?]]="Old",IF(SUM(G103,I103)=1,1,""),"")</f>
        <v>1</v>
      </c>
      <c r="N103" s="5" t="str">
        <f>IF(Table4164854[[#This Row],[Old or New?]]="Old",IF(SUM(H103,I103)=1,1,""),"")</f>
        <v/>
      </c>
      <c r="O103" s="5" t="str">
        <f>IF(IF(Table4164854[[#This Row],[Old or New?]]="New",1,0)+IF(SUM(Table4164854[[#This Row],[If Sight]:[If Both]])=1,1,0)=2,1,"")</f>
        <v/>
      </c>
      <c r="P103" s="5">
        <f>IF(IF(Table4164854[[#This Row],[Old or New?]]="Old",1,0)+IF(SUM(Table4164854[[#This Row],[If Sight]:[If Both]])=1,1,0)=2,1,"")</f>
        <v>1</v>
      </c>
    </row>
    <row r="104" spans="1:16">
      <c r="A104" s="1" t="s">
        <v>12</v>
      </c>
      <c r="B104" s="1" t="s">
        <v>10</v>
      </c>
      <c r="C104" s="1">
        <v>7</v>
      </c>
      <c r="D104" s="1" t="s">
        <v>16</v>
      </c>
      <c r="E104" s="1">
        <v>10</v>
      </c>
      <c r="F104" s="1" t="s">
        <v>18</v>
      </c>
      <c r="G104" s="5">
        <f>IF(Table4164854[[#This Row],[Response]]="Sight",1,"")</f>
        <v>1</v>
      </c>
      <c r="H104" s="5" t="str">
        <f>IF(Table4164854[[#This Row],[Response]]="Touch",1,"")</f>
        <v/>
      </c>
      <c r="I104" s="5" t="str">
        <f>IF(Table4164854[[#This Row],[Response]]="Both",1,"")</f>
        <v/>
      </c>
      <c r="J104" s="5">
        <f>IF(SUM(Table4164854[[#This Row],[If Sight]:[If Both]])=1,1,"")</f>
        <v>1</v>
      </c>
      <c r="K104" s="5" t="str">
        <f>IF(Table4164854[[#This Row],[Old or New?]]="New",IF(SUM(G104,I104)=1,1,""),"")</f>
        <v/>
      </c>
      <c r="L104" s="5" t="str">
        <f>IF(Table4164854[[#This Row],[Old or New?]]="New",IF(SUM(H104,I104)=1,1,""),"")</f>
        <v/>
      </c>
      <c r="M104" s="5">
        <f>IF(Table4164854[[#This Row],[Old or New?]]="Old",IF(SUM(G104,I104)=1,1,""),"")</f>
        <v>1</v>
      </c>
      <c r="N104" s="5" t="str">
        <f>IF(Table4164854[[#This Row],[Old or New?]]="Old",IF(SUM(H104,I104)=1,1,""),"")</f>
        <v/>
      </c>
      <c r="O104" s="5" t="str">
        <f>IF(IF(Table4164854[[#This Row],[Old or New?]]="New",1,0)+IF(SUM(Table4164854[[#This Row],[If Sight]:[If Both]])=1,1,0)=2,1,"")</f>
        <v/>
      </c>
      <c r="P104" s="5">
        <f>IF(IF(Table4164854[[#This Row],[Old or New?]]="Old",1,0)+IF(SUM(Table4164854[[#This Row],[If Sight]:[If Both]])=1,1,0)=2,1,"")</f>
        <v>1</v>
      </c>
    </row>
    <row r="105" spans="1:16">
      <c r="A105" s="1" t="s">
        <v>12</v>
      </c>
      <c r="B105" s="1" t="s">
        <v>10</v>
      </c>
      <c r="C105" s="1">
        <v>8</v>
      </c>
      <c r="D105" s="1" t="s">
        <v>16</v>
      </c>
      <c r="E105" s="1">
        <v>10</v>
      </c>
      <c r="F105" s="1" t="s">
        <v>18</v>
      </c>
      <c r="G105" s="5">
        <f>IF(Table4164854[[#This Row],[Response]]="Sight",1,"")</f>
        <v>1</v>
      </c>
      <c r="H105" s="5" t="str">
        <f>IF(Table4164854[[#This Row],[Response]]="Touch",1,"")</f>
        <v/>
      </c>
      <c r="I105" s="5" t="str">
        <f>IF(Table4164854[[#This Row],[Response]]="Both",1,"")</f>
        <v/>
      </c>
      <c r="J105" s="5">
        <f>IF(SUM(Table4164854[[#This Row],[If Sight]:[If Both]])=1,1,"")</f>
        <v>1</v>
      </c>
      <c r="K105" s="5" t="str">
        <f>IF(Table4164854[[#This Row],[Old or New?]]="New",IF(SUM(G105,I105)=1,1,""),"")</f>
        <v/>
      </c>
      <c r="L105" s="5" t="str">
        <f>IF(Table4164854[[#This Row],[Old or New?]]="New",IF(SUM(H105,I105)=1,1,""),"")</f>
        <v/>
      </c>
      <c r="M105" s="5">
        <f>IF(Table4164854[[#This Row],[Old or New?]]="Old",IF(SUM(G105,I105)=1,1,""),"")</f>
        <v>1</v>
      </c>
      <c r="N105" s="5" t="str">
        <f>IF(Table4164854[[#This Row],[Old or New?]]="Old",IF(SUM(H105,I105)=1,1,""),"")</f>
        <v/>
      </c>
      <c r="O105" s="5" t="str">
        <f>IF(IF(Table4164854[[#This Row],[Old or New?]]="New",1,0)+IF(SUM(Table4164854[[#This Row],[If Sight]:[If Both]])=1,1,0)=2,1,"")</f>
        <v/>
      </c>
      <c r="P105" s="5">
        <f>IF(IF(Table4164854[[#This Row],[Old or New?]]="Old",1,0)+IF(SUM(Table4164854[[#This Row],[If Sight]:[If Both]])=1,1,0)=2,1,"")</f>
        <v>1</v>
      </c>
    </row>
    <row r="106" spans="1:16">
      <c r="A106" s="1" t="s">
        <v>12</v>
      </c>
      <c r="B106" s="1" t="s">
        <v>10</v>
      </c>
      <c r="C106" s="1">
        <v>9</v>
      </c>
      <c r="D106" s="1" t="s">
        <v>16</v>
      </c>
      <c r="E106" s="1">
        <v>10</v>
      </c>
      <c r="F106" s="1" t="s">
        <v>18</v>
      </c>
      <c r="G106" s="6">
        <f>IF(Table4164854[[#This Row],[Response]]="Sight",1,"")</f>
        <v>1</v>
      </c>
      <c r="H106" s="6" t="str">
        <f>IF(Table4164854[[#This Row],[Response]]="Touch",1,"")</f>
        <v/>
      </c>
      <c r="I106" s="6" t="str">
        <f>IF(Table4164854[[#This Row],[Response]]="Both",1,"")</f>
        <v/>
      </c>
      <c r="J106" s="6">
        <f>IF(SUM(Table4164854[[#This Row],[If Sight]:[If Both]])=1,1,"")</f>
        <v>1</v>
      </c>
      <c r="K106" s="6" t="str">
        <f>IF(Table4164854[[#This Row],[Old or New?]]="New",IF(SUM(G106,I106)=1,1,""),"")</f>
        <v/>
      </c>
      <c r="L106" s="6" t="str">
        <f>IF(Table4164854[[#This Row],[Old or New?]]="New",IF(SUM(H106,I106)=1,1,""),"")</f>
        <v/>
      </c>
      <c r="M106" s="6">
        <f>IF(Table4164854[[#This Row],[Old or New?]]="Old",IF(SUM(G106,I106)=1,1,""),"")</f>
        <v>1</v>
      </c>
      <c r="N106" s="6" t="str">
        <f>IF(Table4164854[[#This Row],[Old or New?]]="Old",IF(SUM(H106,I106)=1,1,""),"")</f>
        <v/>
      </c>
      <c r="O106" s="5" t="str">
        <f>IF(IF(Table4164854[[#This Row],[Old or New?]]="New",1,0)+IF(SUM(Table4164854[[#This Row],[If Sight]:[If Both]])=1,1,0)=2,1,"")</f>
        <v/>
      </c>
      <c r="P106" s="5">
        <f>IF(IF(Table4164854[[#This Row],[Old or New?]]="Old",1,0)+IF(SUM(Table4164854[[#This Row],[If Sight]:[If Both]])=1,1,0)=2,1,"")</f>
        <v>1</v>
      </c>
    </row>
    <row r="107" spans="1:16">
      <c r="A107" s="1" t="s">
        <v>12</v>
      </c>
      <c r="B107" s="1" t="s">
        <v>10</v>
      </c>
      <c r="C107" s="1">
        <v>10</v>
      </c>
      <c r="D107" s="1" t="s">
        <v>16</v>
      </c>
      <c r="E107" s="1">
        <v>10</v>
      </c>
      <c r="F107" s="1" t="s">
        <v>18</v>
      </c>
      <c r="G107" s="6">
        <f>IF(Table4164854[[#This Row],[Response]]="Sight",1,"")</f>
        <v>1</v>
      </c>
      <c r="H107" s="6" t="str">
        <f>IF(Table4164854[[#This Row],[Response]]="Touch",1,"")</f>
        <v/>
      </c>
      <c r="I107" s="6" t="str">
        <f>IF(Table4164854[[#This Row],[Response]]="Both",1,"")</f>
        <v/>
      </c>
      <c r="J107" s="6">
        <f>IF(SUM(Table4164854[[#This Row],[If Sight]:[If Both]])=1,1,"")</f>
        <v>1</v>
      </c>
      <c r="K107" s="6" t="str">
        <f>IF(Table4164854[[#This Row],[Old or New?]]="New",IF(SUM(G107,I107)=1,1,""),"")</f>
        <v/>
      </c>
      <c r="L107" s="6" t="str">
        <f>IF(Table4164854[[#This Row],[Old or New?]]="New",IF(SUM(H107,I107)=1,1,""),"")</f>
        <v/>
      </c>
      <c r="M107" s="6">
        <f>IF(Table4164854[[#This Row],[Old or New?]]="Old",IF(SUM(G107,I107)=1,1,""),"")</f>
        <v>1</v>
      </c>
      <c r="N107" s="6" t="str">
        <f>IF(Table4164854[[#This Row],[Old or New?]]="Old",IF(SUM(H107,I107)=1,1,""),"")</f>
        <v/>
      </c>
      <c r="O107" s="5" t="str">
        <f>IF(IF(Table4164854[[#This Row],[Old or New?]]="New",1,0)+IF(SUM(Table4164854[[#This Row],[If Sight]:[If Both]])=1,1,0)=2,1,"")</f>
        <v/>
      </c>
      <c r="P107" s="5">
        <f>IF(IF(Table4164854[[#This Row],[Old or New?]]="Old",1,0)+IF(SUM(Table4164854[[#This Row],[If Sight]:[If Both]])=1,1,0)=2,1,"")</f>
        <v>1</v>
      </c>
    </row>
    <row r="108" spans="1:16">
      <c r="A108" s="1" t="s">
        <v>12</v>
      </c>
      <c r="B108" s="1" t="s">
        <v>10</v>
      </c>
      <c r="C108" s="1">
        <v>11</v>
      </c>
      <c r="D108" s="1" t="s">
        <v>16</v>
      </c>
      <c r="E108" s="1">
        <v>10</v>
      </c>
      <c r="F108" s="1" t="s">
        <v>18</v>
      </c>
      <c r="G108" s="6">
        <f>IF(Table4164854[[#This Row],[Response]]="Sight",1,"")</f>
        <v>1</v>
      </c>
      <c r="H108" s="6" t="str">
        <f>IF(Table4164854[[#This Row],[Response]]="Touch",1,"")</f>
        <v/>
      </c>
      <c r="I108" s="6" t="str">
        <f>IF(Table4164854[[#This Row],[Response]]="Both",1,"")</f>
        <v/>
      </c>
      <c r="J108" s="6">
        <f>IF(SUM(Table4164854[[#This Row],[If Sight]:[If Both]])=1,1,"")</f>
        <v>1</v>
      </c>
      <c r="K108" s="6" t="str">
        <f>IF(Table4164854[[#This Row],[Old or New?]]="New",IF(SUM(G108,I108)=1,1,""),"")</f>
        <v/>
      </c>
      <c r="L108" s="6" t="str">
        <f>IF(Table4164854[[#This Row],[Old or New?]]="New",IF(SUM(H108,I108)=1,1,""),"")</f>
        <v/>
      </c>
      <c r="M108" s="6">
        <f>IF(Table4164854[[#This Row],[Old or New?]]="Old",IF(SUM(G108,I108)=1,1,""),"")</f>
        <v>1</v>
      </c>
      <c r="N108" s="6" t="str">
        <f>IF(Table4164854[[#This Row],[Old or New?]]="Old",IF(SUM(H108,I108)=1,1,""),"")</f>
        <v/>
      </c>
      <c r="O108" s="5" t="str">
        <f>IF(IF(Table4164854[[#This Row],[Old or New?]]="New",1,0)+IF(SUM(Table4164854[[#This Row],[If Sight]:[If Both]])=1,1,0)=2,1,"")</f>
        <v/>
      </c>
      <c r="P108" s="5">
        <f>IF(IF(Table4164854[[#This Row],[Old or New?]]="Old",1,0)+IF(SUM(Table4164854[[#This Row],[If Sight]:[If Both]])=1,1,0)=2,1,"")</f>
        <v>1</v>
      </c>
    </row>
    <row r="109" spans="1:16">
      <c r="A109" s="1" t="s">
        <v>12</v>
      </c>
      <c r="B109" s="1" t="s">
        <v>10</v>
      </c>
      <c r="C109" s="1">
        <v>12</v>
      </c>
      <c r="D109" s="1" t="s">
        <v>16</v>
      </c>
      <c r="E109" s="1">
        <v>10</v>
      </c>
      <c r="F109" s="1" t="s">
        <v>18</v>
      </c>
      <c r="G109" s="6">
        <f>IF(Table4164854[[#This Row],[Response]]="Sight",1,"")</f>
        <v>1</v>
      </c>
      <c r="H109" s="6" t="str">
        <f>IF(Table4164854[[#This Row],[Response]]="Touch",1,"")</f>
        <v/>
      </c>
      <c r="I109" s="6" t="str">
        <f>IF(Table4164854[[#This Row],[Response]]="Both",1,"")</f>
        <v/>
      </c>
      <c r="J109" s="6">
        <f>IF(SUM(Table4164854[[#This Row],[If Sight]:[If Both]])=1,1,"")</f>
        <v>1</v>
      </c>
      <c r="K109" s="6" t="str">
        <f>IF(Table4164854[[#This Row],[Old or New?]]="New",IF(SUM(G109,I109)=1,1,""),"")</f>
        <v/>
      </c>
      <c r="L109" s="6" t="str">
        <f>IF(Table4164854[[#This Row],[Old or New?]]="New",IF(SUM(H109,I109)=1,1,""),"")</f>
        <v/>
      </c>
      <c r="M109" s="6">
        <f>IF(Table4164854[[#This Row],[Old or New?]]="Old",IF(SUM(G109,I109)=1,1,""),"")</f>
        <v>1</v>
      </c>
      <c r="N109" s="6" t="str">
        <f>IF(Table4164854[[#This Row],[Old or New?]]="Old",IF(SUM(H109,I109)=1,1,""),"")</f>
        <v/>
      </c>
      <c r="O109" s="5" t="str">
        <f>IF(IF(Table4164854[[#This Row],[Old or New?]]="New",1,0)+IF(SUM(Table4164854[[#This Row],[If Sight]:[If Both]])=1,1,0)=2,1,"")</f>
        <v/>
      </c>
      <c r="P109" s="5">
        <f>IF(IF(Table4164854[[#This Row],[Old or New?]]="Old",1,0)+IF(SUM(Table4164854[[#This Row],[If Sight]:[If Both]])=1,1,0)=2,1,"")</f>
        <v>1</v>
      </c>
    </row>
    <row r="110" spans="1:16">
      <c r="A110" s="1" t="s">
        <v>12</v>
      </c>
      <c r="B110" s="1" t="s">
        <v>10</v>
      </c>
      <c r="C110" s="1">
        <v>13</v>
      </c>
      <c r="D110" s="1" t="s">
        <v>16</v>
      </c>
      <c r="E110" s="1">
        <v>10</v>
      </c>
      <c r="F110" s="1" t="s">
        <v>18</v>
      </c>
      <c r="G110" s="6">
        <f>IF(Table4164854[[#This Row],[Response]]="Sight",1,"")</f>
        <v>1</v>
      </c>
      <c r="H110" s="6" t="str">
        <f>IF(Table4164854[[#This Row],[Response]]="Touch",1,"")</f>
        <v/>
      </c>
      <c r="I110" s="6" t="str">
        <f>IF(Table4164854[[#This Row],[Response]]="Both",1,"")</f>
        <v/>
      </c>
      <c r="J110" s="6">
        <f>IF(SUM(Table4164854[[#This Row],[If Sight]:[If Both]])=1,1,"")</f>
        <v>1</v>
      </c>
      <c r="K110" s="6" t="str">
        <f>IF(Table4164854[[#This Row],[Old or New?]]="New",IF(SUM(G110,I110)=1,1,""),"")</f>
        <v/>
      </c>
      <c r="L110" s="6" t="str">
        <f>IF(Table4164854[[#This Row],[Old or New?]]="New",IF(SUM(H110,I110)=1,1,""),"")</f>
        <v/>
      </c>
      <c r="M110" s="6">
        <f>IF(Table4164854[[#This Row],[Old or New?]]="Old",IF(SUM(G110,I110)=1,1,""),"")</f>
        <v>1</v>
      </c>
      <c r="N110" s="6" t="str">
        <f>IF(Table4164854[[#This Row],[Old or New?]]="Old",IF(SUM(H110,I110)=1,1,""),"")</f>
        <v/>
      </c>
      <c r="O110" s="5" t="str">
        <f>IF(IF(Table4164854[[#This Row],[Old or New?]]="New",1,0)+IF(SUM(Table4164854[[#This Row],[If Sight]:[If Both]])=1,1,0)=2,1,"")</f>
        <v/>
      </c>
      <c r="P110" s="5">
        <f>IF(IF(Table4164854[[#This Row],[Old or New?]]="Old",1,0)+IF(SUM(Table4164854[[#This Row],[If Sight]:[If Both]])=1,1,0)=2,1,"")</f>
        <v>1</v>
      </c>
    </row>
    <row r="111" spans="1:16">
      <c r="A111" s="1" t="s">
        <v>12</v>
      </c>
      <c r="B111" s="1" t="s">
        <v>10</v>
      </c>
      <c r="C111" s="1">
        <v>14</v>
      </c>
      <c r="D111" s="1" t="s">
        <v>16</v>
      </c>
      <c r="E111" s="1">
        <v>10</v>
      </c>
      <c r="F111" s="1" t="s">
        <v>18</v>
      </c>
      <c r="G111" s="6">
        <f>IF(Table4164854[[#This Row],[Response]]="Sight",1,"")</f>
        <v>1</v>
      </c>
      <c r="H111" s="6" t="str">
        <f>IF(Table4164854[[#This Row],[Response]]="Touch",1,"")</f>
        <v/>
      </c>
      <c r="I111" s="6" t="str">
        <f>IF(Table4164854[[#This Row],[Response]]="Both",1,"")</f>
        <v/>
      </c>
      <c r="J111" s="6">
        <f>IF(SUM(Table4164854[[#This Row],[If Sight]:[If Both]])=1,1,"")</f>
        <v>1</v>
      </c>
      <c r="K111" s="6" t="str">
        <f>IF(Table4164854[[#This Row],[Old or New?]]="New",IF(SUM(G111,I111)=1,1,""),"")</f>
        <v/>
      </c>
      <c r="L111" s="6" t="str">
        <f>IF(Table4164854[[#This Row],[Old or New?]]="New",IF(SUM(H111,I111)=1,1,""),"")</f>
        <v/>
      </c>
      <c r="M111" s="6">
        <f>IF(Table4164854[[#This Row],[Old or New?]]="Old",IF(SUM(G111,I111)=1,1,""),"")</f>
        <v>1</v>
      </c>
      <c r="N111" s="6" t="str">
        <f>IF(Table4164854[[#This Row],[Old or New?]]="Old",IF(SUM(H111,I111)=1,1,""),"")</f>
        <v/>
      </c>
      <c r="O111" s="5" t="str">
        <f>IF(IF(Table4164854[[#This Row],[Old or New?]]="New",1,0)+IF(SUM(Table4164854[[#This Row],[If Sight]:[If Both]])=1,1,0)=2,1,"")</f>
        <v/>
      </c>
      <c r="P111" s="5">
        <f>IF(IF(Table4164854[[#This Row],[Old or New?]]="Old",1,0)+IF(SUM(Table4164854[[#This Row],[If Sight]:[If Both]])=1,1,0)=2,1,"")</f>
        <v>1</v>
      </c>
    </row>
    <row r="112" spans="1:16">
      <c r="A112" s="1" t="s">
        <v>12</v>
      </c>
      <c r="B112" s="1" t="s">
        <v>10</v>
      </c>
      <c r="C112" s="1">
        <v>15</v>
      </c>
      <c r="D112" s="1" t="s">
        <v>16</v>
      </c>
      <c r="E112" s="1">
        <v>10</v>
      </c>
      <c r="F112" s="1" t="s">
        <v>18</v>
      </c>
      <c r="G112" s="6">
        <f>IF(Table4164854[[#This Row],[Response]]="Sight",1,"")</f>
        <v>1</v>
      </c>
      <c r="H112" s="6" t="str">
        <f>IF(Table4164854[[#This Row],[Response]]="Touch",1,"")</f>
        <v/>
      </c>
      <c r="I112" s="6" t="str">
        <f>IF(Table4164854[[#This Row],[Response]]="Both",1,"")</f>
        <v/>
      </c>
      <c r="J112" s="6">
        <f>IF(SUM(Table4164854[[#This Row],[If Sight]:[If Both]])=1,1,"")</f>
        <v>1</v>
      </c>
      <c r="K112" s="6" t="str">
        <f>IF(Table4164854[[#This Row],[Old or New?]]="New",IF(SUM(G112,I112)=1,1,""),"")</f>
        <v/>
      </c>
      <c r="L112" s="6" t="str">
        <f>IF(Table4164854[[#This Row],[Old or New?]]="New",IF(SUM(H112,I112)=1,1,""),"")</f>
        <v/>
      </c>
      <c r="M112" s="6">
        <f>IF(Table4164854[[#This Row],[Old or New?]]="Old",IF(SUM(G112,I112)=1,1,""),"")</f>
        <v>1</v>
      </c>
      <c r="N112" s="6" t="str">
        <f>IF(Table4164854[[#This Row],[Old or New?]]="Old",IF(SUM(H112,I112)=1,1,""),"")</f>
        <v/>
      </c>
      <c r="O112" s="5" t="str">
        <f>IF(IF(Table4164854[[#This Row],[Old or New?]]="New",1,0)+IF(SUM(Table4164854[[#This Row],[If Sight]:[If Both]])=1,1,0)=2,1,"")</f>
        <v/>
      </c>
      <c r="P112" s="5">
        <f>IF(IF(Table4164854[[#This Row],[Old or New?]]="Old",1,0)+IF(SUM(Table4164854[[#This Row],[If Sight]:[If Both]])=1,1,0)=2,1,"")</f>
        <v>1</v>
      </c>
    </row>
    <row r="113" spans="1:16">
      <c r="A113" s="1" t="s">
        <v>12</v>
      </c>
      <c r="B113" s="1" t="s">
        <v>10</v>
      </c>
      <c r="C113" s="1">
        <v>16</v>
      </c>
      <c r="D113" s="1" t="s">
        <v>16</v>
      </c>
      <c r="E113" s="1">
        <v>10</v>
      </c>
      <c r="F113" s="1" t="s">
        <v>19</v>
      </c>
      <c r="G113" s="6" t="str">
        <f>IF(Table4164854[[#This Row],[Response]]="Sight",1,"")</f>
        <v/>
      </c>
      <c r="H113" s="6" t="str">
        <f>IF(Table4164854[[#This Row],[Response]]="Touch",1,"")</f>
        <v/>
      </c>
      <c r="I113" s="6">
        <f>IF(Table4164854[[#This Row],[Response]]="Both",1,"")</f>
        <v>1</v>
      </c>
      <c r="J113" s="6">
        <f>IF(SUM(Table4164854[[#This Row],[If Sight]:[If Both]])=1,1,"")</f>
        <v>1</v>
      </c>
      <c r="K113" s="6" t="str">
        <f>IF(Table4164854[[#This Row],[Old or New?]]="New",IF(SUM(G113,I113)=1,1,""),"")</f>
        <v/>
      </c>
      <c r="L113" s="6" t="str">
        <f>IF(Table4164854[[#This Row],[Old or New?]]="New",IF(SUM(H113,I113)=1,1,""),"")</f>
        <v/>
      </c>
      <c r="M113" s="6">
        <f>IF(Table4164854[[#This Row],[Old or New?]]="Old",IF(SUM(G113,I113)=1,1,""),"")</f>
        <v>1</v>
      </c>
      <c r="N113" s="6">
        <f>IF(Table4164854[[#This Row],[Old or New?]]="Old",IF(SUM(H113,I113)=1,1,""),"")</f>
        <v>1</v>
      </c>
      <c r="O113" s="5" t="str">
        <f>IF(IF(Table4164854[[#This Row],[Old or New?]]="New",1,0)+IF(SUM(Table4164854[[#This Row],[If Sight]:[If Both]])=1,1,0)=2,1,"")</f>
        <v/>
      </c>
      <c r="P113" s="5">
        <f>IF(IF(Table4164854[[#This Row],[Old or New?]]="Old",1,0)+IF(SUM(Table4164854[[#This Row],[If Sight]:[If Both]])=1,1,0)=2,1,"")</f>
        <v>1</v>
      </c>
    </row>
    <row r="114" spans="1:16">
      <c r="A114" s="1" t="s">
        <v>12</v>
      </c>
      <c r="B114" s="1" t="s">
        <v>10</v>
      </c>
      <c r="C114" s="1">
        <v>17</v>
      </c>
      <c r="D114" s="1" t="s">
        <v>16</v>
      </c>
      <c r="E114" s="1">
        <v>10</v>
      </c>
      <c r="F114" s="1" t="s">
        <v>18</v>
      </c>
      <c r="G114" s="6">
        <f>IF(Table4164854[[#This Row],[Response]]="Sight",1,"")</f>
        <v>1</v>
      </c>
      <c r="H114" s="6" t="str">
        <f>IF(Table4164854[[#This Row],[Response]]="Touch",1,"")</f>
        <v/>
      </c>
      <c r="I114" s="6" t="str">
        <f>IF(Table4164854[[#This Row],[Response]]="Both",1,"")</f>
        <v/>
      </c>
      <c r="J114" s="6">
        <f>IF(SUM(Table4164854[[#This Row],[If Sight]:[If Both]])=1,1,"")</f>
        <v>1</v>
      </c>
      <c r="K114" s="6" t="str">
        <f>IF(Table4164854[[#This Row],[Old or New?]]="New",IF(SUM(G114,I114)=1,1,""),"")</f>
        <v/>
      </c>
      <c r="L114" s="6" t="str">
        <f>IF(Table4164854[[#This Row],[Old or New?]]="New",IF(SUM(H114,I114)=1,1,""),"")</f>
        <v/>
      </c>
      <c r="M114" s="6">
        <f>IF(Table4164854[[#This Row],[Old or New?]]="Old",IF(SUM(G114,I114)=1,1,""),"")</f>
        <v>1</v>
      </c>
      <c r="N114" s="6" t="str">
        <f>IF(Table4164854[[#This Row],[Old or New?]]="Old",IF(SUM(H114,I114)=1,1,""),"")</f>
        <v/>
      </c>
      <c r="O114" s="5" t="str">
        <f>IF(IF(Table4164854[[#This Row],[Old or New?]]="New",1,0)+IF(SUM(Table4164854[[#This Row],[If Sight]:[If Both]])=1,1,0)=2,1,"")</f>
        <v/>
      </c>
      <c r="P114" s="5">
        <f>IF(IF(Table4164854[[#This Row],[Old or New?]]="Old",1,0)+IF(SUM(Table4164854[[#This Row],[If Sight]:[If Both]])=1,1,0)=2,1,"")</f>
        <v>1</v>
      </c>
    </row>
    <row r="115" spans="1:16">
      <c r="A115" s="1" t="s">
        <v>12</v>
      </c>
      <c r="B115" s="1" t="s">
        <v>10</v>
      </c>
      <c r="C115" s="1">
        <v>18</v>
      </c>
      <c r="D115" s="1" t="s">
        <v>16</v>
      </c>
      <c r="E115" s="1">
        <v>10</v>
      </c>
      <c r="F115" s="1" t="s">
        <v>18</v>
      </c>
      <c r="G115" s="6">
        <f>IF(Table4164854[[#This Row],[Response]]="Sight",1,"")</f>
        <v>1</v>
      </c>
      <c r="H115" s="6" t="str">
        <f>IF(Table4164854[[#This Row],[Response]]="Touch",1,"")</f>
        <v/>
      </c>
      <c r="I115" s="6" t="str">
        <f>IF(Table4164854[[#This Row],[Response]]="Both",1,"")</f>
        <v/>
      </c>
      <c r="J115" s="6">
        <f>IF(SUM(Table4164854[[#This Row],[If Sight]:[If Both]])=1,1,"")</f>
        <v>1</v>
      </c>
      <c r="K115" s="6" t="str">
        <f>IF(Table4164854[[#This Row],[Old or New?]]="New",IF(SUM(G115,I115)=1,1,""),"")</f>
        <v/>
      </c>
      <c r="L115" s="6" t="str">
        <f>IF(Table4164854[[#This Row],[Old or New?]]="New",IF(SUM(H115,I115)=1,1,""),"")</f>
        <v/>
      </c>
      <c r="M115" s="6">
        <f>IF(Table4164854[[#This Row],[Old or New?]]="Old",IF(SUM(G115,I115)=1,1,""),"")</f>
        <v>1</v>
      </c>
      <c r="N115" s="6" t="str">
        <f>IF(Table4164854[[#This Row],[Old or New?]]="Old",IF(SUM(H115,I115)=1,1,""),"")</f>
        <v/>
      </c>
      <c r="O115" s="5" t="str">
        <f>IF(IF(Table4164854[[#This Row],[Old or New?]]="New",1,0)+IF(SUM(Table4164854[[#This Row],[If Sight]:[If Both]])=1,1,0)=2,1,"")</f>
        <v/>
      </c>
      <c r="P115" s="5">
        <f>IF(IF(Table4164854[[#This Row],[Old or New?]]="Old",1,0)+IF(SUM(Table4164854[[#This Row],[If Sight]:[If Both]])=1,1,0)=2,1,"")</f>
        <v>1</v>
      </c>
    </row>
    <row r="116" spans="1:16">
      <c r="A116" s="2" t="s">
        <v>12</v>
      </c>
      <c r="B116" s="2" t="s">
        <v>21</v>
      </c>
      <c r="C116" s="1">
        <v>1</v>
      </c>
      <c r="D116" s="2" t="s">
        <v>16</v>
      </c>
      <c r="E116" s="1">
        <v>10</v>
      </c>
      <c r="F116" s="1" t="s">
        <v>19</v>
      </c>
      <c r="G116" s="6" t="str">
        <f>IF(Table4164854[[#This Row],[Response]]="Sight",1,"")</f>
        <v/>
      </c>
      <c r="H116" s="6" t="str">
        <f>IF(Table4164854[[#This Row],[Response]]="Touch",1,"")</f>
        <v/>
      </c>
      <c r="I116" s="6">
        <f>IF(Table4164854[[#This Row],[Response]]="Both",1,"")</f>
        <v>1</v>
      </c>
      <c r="J116" s="6">
        <f>IF(SUM(Table4164854[[#This Row],[If Sight]:[If Both]])=1,1,"")</f>
        <v>1</v>
      </c>
      <c r="K116" s="6" t="str">
        <f>IF(Table4164854[[#This Row],[Old or New?]]="New",IF(SUM(G116,I116)=1,1,""),"")</f>
        <v/>
      </c>
      <c r="L116" s="6" t="str">
        <f>IF(Table4164854[[#This Row],[Old or New?]]="New",IF(SUM(H116,I116)=1,1,""),"")</f>
        <v/>
      </c>
      <c r="M116" s="6">
        <f>IF(Table4164854[[#This Row],[Old or New?]]="Old",IF(SUM(G116,I116)=1,1,""),"")</f>
        <v>1</v>
      </c>
      <c r="N116" s="6">
        <f>IF(Table4164854[[#This Row],[Old or New?]]="Old",IF(SUM(H116,I116)=1,1,""),"")</f>
        <v>1</v>
      </c>
      <c r="O116" s="5" t="str">
        <f>IF(IF(Table4164854[[#This Row],[Old or New?]]="New",1,0)+IF(SUM(Table4164854[[#This Row],[If Sight]:[If Both]])=1,1,0)=2,1,"")</f>
        <v/>
      </c>
      <c r="P116" s="5">
        <f>IF(IF(Table4164854[[#This Row],[Old or New?]]="Old",1,0)+IF(SUM(Table4164854[[#This Row],[If Sight]:[If Both]])=1,1,0)=2,1,"")</f>
        <v>1</v>
      </c>
    </row>
    <row r="117" spans="1:16">
      <c r="A117" s="2" t="s">
        <v>12</v>
      </c>
      <c r="B117" s="2" t="s">
        <v>21</v>
      </c>
      <c r="C117" s="1">
        <v>2</v>
      </c>
      <c r="D117" s="2" t="s">
        <v>16</v>
      </c>
      <c r="E117" s="1">
        <v>10</v>
      </c>
      <c r="F117" s="1" t="s">
        <v>19</v>
      </c>
      <c r="G117" s="6" t="str">
        <f>IF(Table4164854[[#This Row],[Response]]="Sight",1,"")</f>
        <v/>
      </c>
      <c r="H117" s="6" t="str">
        <f>IF(Table4164854[[#This Row],[Response]]="Touch",1,"")</f>
        <v/>
      </c>
      <c r="I117" s="6">
        <f>IF(Table4164854[[#This Row],[Response]]="Both",1,"")</f>
        <v>1</v>
      </c>
      <c r="J117" s="6">
        <f>IF(SUM(Table4164854[[#This Row],[If Sight]:[If Both]])=1,1,"")</f>
        <v>1</v>
      </c>
      <c r="K117" s="6" t="str">
        <f>IF(Table4164854[[#This Row],[Old or New?]]="New",IF(SUM(G117,I117)=1,1,""),"")</f>
        <v/>
      </c>
      <c r="L117" s="6" t="str">
        <f>IF(Table4164854[[#This Row],[Old or New?]]="New",IF(SUM(H117,I117)=1,1,""),"")</f>
        <v/>
      </c>
      <c r="M117" s="6">
        <f>IF(Table4164854[[#This Row],[Old or New?]]="Old",IF(SUM(G117,I117)=1,1,""),"")</f>
        <v>1</v>
      </c>
      <c r="N117" s="6">
        <f>IF(Table4164854[[#This Row],[Old or New?]]="Old",IF(SUM(H117,I117)=1,1,""),"")</f>
        <v>1</v>
      </c>
      <c r="O117" s="5" t="str">
        <f>IF(IF(Table4164854[[#This Row],[Old or New?]]="New",1,0)+IF(SUM(Table4164854[[#This Row],[If Sight]:[If Both]])=1,1,0)=2,1,"")</f>
        <v/>
      </c>
      <c r="P117" s="5">
        <f>IF(IF(Table4164854[[#This Row],[Old or New?]]="Old",1,0)+IF(SUM(Table4164854[[#This Row],[If Sight]:[If Both]])=1,1,0)=2,1,"")</f>
        <v>1</v>
      </c>
    </row>
    <row r="118" spans="1:16">
      <c r="A118" s="2" t="s">
        <v>12</v>
      </c>
      <c r="B118" s="2" t="s">
        <v>21</v>
      </c>
      <c r="C118" s="1">
        <v>3</v>
      </c>
      <c r="D118" s="2" t="s">
        <v>16</v>
      </c>
      <c r="E118" s="1">
        <v>10</v>
      </c>
      <c r="F118" s="1" t="s">
        <v>19</v>
      </c>
      <c r="G118" s="6" t="str">
        <f>IF(Table4164854[[#This Row],[Response]]="Sight",1,"")</f>
        <v/>
      </c>
      <c r="H118" s="6" t="str">
        <f>IF(Table4164854[[#This Row],[Response]]="Touch",1,"")</f>
        <v/>
      </c>
      <c r="I118" s="6">
        <f>IF(Table4164854[[#This Row],[Response]]="Both",1,"")</f>
        <v>1</v>
      </c>
      <c r="J118" s="6">
        <f>IF(SUM(Table4164854[[#This Row],[If Sight]:[If Both]])=1,1,"")</f>
        <v>1</v>
      </c>
      <c r="K118" s="6" t="str">
        <f>IF(Table4164854[[#This Row],[Old or New?]]="New",IF(SUM(G118,I118)=1,1,""),"")</f>
        <v/>
      </c>
      <c r="L118" s="6" t="str">
        <f>IF(Table4164854[[#This Row],[Old or New?]]="New",IF(SUM(H118,I118)=1,1,""),"")</f>
        <v/>
      </c>
      <c r="M118" s="6">
        <f>IF(Table4164854[[#This Row],[Old or New?]]="Old",IF(SUM(G118,I118)=1,1,""),"")</f>
        <v>1</v>
      </c>
      <c r="N118" s="6">
        <f>IF(Table4164854[[#This Row],[Old or New?]]="Old",IF(SUM(H118,I118)=1,1,""),"")</f>
        <v>1</v>
      </c>
      <c r="O118" s="5" t="str">
        <f>IF(IF(Table4164854[[#This Row],[Old or New?]]="New",1,0)+IF(SUM(Table4164854[[#This Row],[If Sight]:[If Both]])=1,1,0)=2,1,"")</f>
        <v/>
      </c>
      <c r="P118" s="5">
        <f>IF(IF(Table4164854[[#This Row],[Old or New?]]="Old",1,0)+IF(SUM(Table4164854[[#This Row],[If Sight]:[If Both]])=1,1,0)=2,1,"")</f>
        <v>1</v>
      </c>
    </row>
    <row r="119" spans="1:16">
      <c r="A119" s="2" t="s">
        <v>12</v>
      </c>
      <c r="B119" s="2" t="s">
        <v>21</v>
      </c>
      <c r="C119" s="1">
        <v>4</v>
      </c>
      <c r="D119" s="2" t="s">
        <v>16</v>
      </c>
      <c r="E119" s="1">
        <v>10</v>
      </c>
      <c r="F119" s="1" t="s">
        <v>18</v>
      </c>
      <c r="G119" s="6">
        <f>IF(Table4164854[[#This Row],[Response]]="Sight",1,"")</f>
        <v>1</v>
      </c>
      <c r="H119" s="6" t="str">
        <f>IF(Table4164854[[#This Row],[Response]]="Touch",1,"")</f>
        <v/>
      </c>
      <c r="I119" s="6" t="str">
        <f>IF(Table4164854[[#This Row],[Response]]="Both",1,"")</f>
        <v/>
      </c>
      <c r="J119" s="6">
        <f>IF(SUM(Table4164854[[#This Row],[If Sight]:[If Both]])=1,1,"")</f>
        <v>1</v>
      </c>
      <c r="K119" s="6" t="str">
        <f>IF(Table4164854[[#This Row],[Old or New?]]="New",IF(SUM(G119,I119)=1,1,""),"")</f>
        <v/>
      </c>
      <c r="L119" s="6" t="str">
        <f>IF(Table4164854[[#This Row],[Old or New?]]="New",IF(SUM(H119,I119)=1,1,""),"")</f>
        <v/>
      </c>
      <c r="M119" s="6">
        <f>IF(Table4164854[[#This Row],[Old or New?]]="Old",IF(SUM(G119,I119)=1,1,""),"")</f>
        <v>1</v>
      </c>
      <c r="N119" s="6" t="str">
        <f>IF(Table4164854[[#This Row],[Old or New?]]="Old",IF(SUM(H119,I119)=1,1,""),"")</f>
        <v/>
      </c>
      <c r="O119" s="5" t="str">
        <f>IF(IF(Table4164854[[#This Row],[Old or New?]]="New",1,0)+IF(SUM(Table4164854[[#This Row],[If Sight]:[If Both]])=1,1,0)=2,1,"")</f>
        <v/>
      </c>
      <c r="P119" s="5">
        <f>IF(IF(Table4164854[[#This Row],[Old or New?]]="Old",1,0)+IF(SUM(Table4164854[[#This Row],[If Sight]:[If Both]])=1,1,0)=2,1,"")</f>
        <v>1</v>
      </c>
    </row>
    <row r="120" spans="1:16">
      <c r="A120" s="2" t="s">
        <v>12</v>
      </c>
      <c r="B120" s="2" t="s">
        <v>21</v>
      </c>
      <c r="C120" s="1">
        <v>5</v>
      </c>
      <c r="D120" s="2" t="s">
        <v>16</v>
      </c>
      <c r="E120" s="1">
        <v>10</v>
      </c>
      <c r="F120" s="1" t="s">
        <v>18</v>
      </c>
      <c r="G120" s="6">
        <f>IF(Table4164854[[#This Row],[Response]]="Sight",1,"")</f>
        <v>1</v>
      </c>
      <c r="H120" s="6" t="str">
        <f>IF(Table4164854[[#This Row],[Response]]="Touch",1,"")</f>
        <v/>
      </c>
      <c r="I120" s="6" t="str">
        <f>IF(Table4164854[[#This Row],[Response]]="Both",1,"")</f>
        <v/>
      </c>
      <c r="J120" s="6">
        <f>IF(SUM(Table4164854[[#This Row],[If Sight]:[If Both]])=1,1,"")</f>
        <v>1</v>
      </c>
      <c r="K120" s="6" t="str">
        <f>IF(Table4164854[[#This Row],[Old or New?]]="New",IF(SUM(G120,I120)=1,1,""),"")</f>
        <v/>
      </c>
      <c r="L120" s="6" t="str">
        <f>IF(Table4164854[[#This Row],[Old or New?]]="New",IF(SUM(H120,I120)=1,1,""),"")</f>
        <v/>
      </c>
      <c r="M120" s="6">
        <f>IF(Table4164854[[#This Row],[Old or New?]]="Old",IF(SUM(G120,I120)=1,1,""),"")</f>
        <v>1</v>
      </c>
      <c r="N120" s="6" t="str">
        <f>IF(Table4164854[[#This Row],[Old or New?]]="Old",IF(SUM(H120,I120)=1,1,""),"")</f>
        <v/>
      </c>
      <c r="O120" s="5" t="str">
        <f>IF(IF(Table4164854[[#This Row],[Old or New?]]="New",1,0)+IF(SUM(Table4164854[[#This Row],[If Sight]:[If Both]])=1,1,0)=2,1,"")</f>
        <v/>
      </c>
      <c r="P120" s="5">
        <f>IF(IF(Table4164854[[#This Row],[Old or New?]]="Old",1,0)+IF(SUM(Table4164854[[#This Row],[If Sight]:[If Both]])=1,1,0)=2,1,"")</f>
        <v>1</v>
      </c>
    </row>
    <row r="121" spans="1:16">
      <c r="A121" s="2" t="s">
        <v>12</v>
      </c>
      <c r="B121" s="2" t="s">
        <v>21</v>
      </c>
      <c r="C121" s="1">
        <v>6</v>
      </c>
      <c r="D121" s="2" t="s">
        <v>16</v>
      </c>
      <c r="E121" s="1">
        <v>10</v>
      </c>
      <c r="F121" s="1" t="s">
        <v>18</v>
      </c>
      <c r="G121" s="6">
        <f>IF(Table4164854[[#This Row],[Response]]="Sight",1,"")</f>
        <v>1</v>
      </c>
      <c r="H121" s="6" t="str">
        <f>IF(Table4164854[[#This Row],[Response]]="Touch",1,"")</f>
        <v/>
      </c>
      <c r="I121" s="6" t="str">
        <f>IF(Table4164854[[#This Row],[Response]]="Both",1,"")</f>
        <v/>
      </c>
      <c r="J121" s="6">
        <f>IF(SUM(Table4164854[[#This Row],[If Sight]:[If Both]])=1,1,"")</f>
        <v>1</v>
      </c>
      <c r="K121" s="6" t="str">
        <f>IF(Table4164854[[#This Row],[Old or New?]]="New",IF(SUM(G121,I121)=1,1,""),"")</f>
        <v/>
      </c>
      <c r="L121" s="6" t="str">
        <f>IF(Table4164854[[#This Row],[Old or New?]]="New",IF(SUM(H121,I121)=1,1,""),"")</f>
        <v/>
      </c>
      <c r="M121" s="6">
        <f>IF(Table4164854[[#This Row],[Old or New?]]="Old",IF(SUM(G121,I121)=1,1,""),"")</f>
        <v>1</v>
      </c>
      <c r="N121" s="6" t="str">
        <f>IF(Table4164854[[#This Row],[Old or New?]]="Old",IF(SUM(H121,I121)=1,1,""),"")</f>
        <v/>
      </c>
      <c r="O121" s="5" t="str">
        <f>IF(IF(Table4164854[[#This Row],[Old or New?]]="New",1,0)+IF(SUM(Table4164854[[#This Row],[If Sight]:[If Both]])=1,1,0)=2,1,"")</f>
        <v/>
      </c>
      <c r="P121" s="5">
        <f>IF(IF(Table4164854[[#This Row],[Old or New?]]="Old",1,0)+IF(SUM(Table4164854[[#This Row],[If Sight]:[If Both]])=1,1,0)=2,1,"")</f>
        <v>1</v>
      </c>
    </row>
    <row r="122" spans="1:16">
      <c r="A122" s="2" t="s">
        <v>12</v>
      </c>
      <c r="B122" s="2" t="s">
        <v>21</v>
      </c>
      <c r="C122" s="1">
        <v>7</v>
      </c>
      <c r="D122" s="2" t="s">
        <v>16</v>
      </c>
      <c r="E122" s="1">
        <v>10</v>
      </c>
      <c r="F122" s="1" t="s">
        <v>19</v>
      </c>
      <c r="G122" s="6" t="str">
        <f>IF(Table4164854[[#This Row],[Response]]="Sight",1,"")</f>
        <v/>
      </c>
      <c r="H122" s="6" t="str">
        <f>IF(Table4164854[[#This Row],[Response]]="Touch",1,"")</f>
        <v/>
      </c>
      <c r="I122" s="6">
        <f>IF(Table4164854[[#This Row],[Response]]="Both",1,"")</f>
        <v>1</v>
      </c>
      <c r="J122" s="6">
        <f>IF(SUM(Table4164854[[#This Row],[If Sight]:[If Both]])=1,1,"")</f>
        <v>1</v>
      </c>
      <c r="K122" s="6" t="str">
        <f>IF(Table4164854[[#This Row],[Old or New?]]="New",IF(SUM(G122,I122)=1,1,""),"")</f>
        <v/>
      </c>
      <c r="L122" s="6" t="str">
        <f>IF(Table4164854[[#This Row],[Old or New?]]="New",IF(SUM(H122,I122)=1,1,""),"")</f>
        <v/>
      </c>
      <c r="M122" s="6">
        <f>IF(Table4164854[[#This Row],[Old or New?]]="Old",IF(SUM(G122,I122)=1,1,""),"")</f>
        <v>1</v>
      </c>
      <c r="N122" s="6">
        <f>IF(Table4164854[[#This Row],[Old or New?]]="Old",IF(SUM(H122,I122)=1,1,""),"")</f>
        <v>1</v>
      </c>
      <c r="O122" s="5" t="str">
        <f>IF(IF(Table4164854[[#This Row],[Old or New?]]="New",1,0)+IF(SUM(Table4164854[[#This Row],[If Sight]:[If Both]])=1,1,0)=2,1,"")</f>
        <v/>
      </c>
      <c r="P122" s="5">
        <f>IF(IF(Table4164854[[#This Row],[Old or New?]]="Old",1,0)+IF(SUM(Table4164854[[#This Row],[If Sight]:[If Both]])=1,1,0)=2,1,"")</f>
        <v>1</v>
      </c>
    </row>
    <row r="123" spans="1:16">
      <c r="A123" s="2" t="s">
        <v>12</v>
      </c>
      <c r="B123" s="2" t="s">
        <v>21</v>
      </c>
      <c r="C123" s="1">
        <v>8</v>
      </c>
      <c r="D123" s="2" t="s">
        <v>16</v>
      </c>
      <c r="E123" s="1">
        <v>10</v>
      </c>
      <c r="F123" s="1" t="s">
        <v>18</v>
      </c>
      <c r="G123" s="6">
        <f>IF(Table4164854[[#This Row],[Response]]="Sight",1,"")</f>
        <v>1</v>
      </c>
      <c r="H123" s="6" t="str">
        <f>IF(Table4164854[[#This Row],[Response]]="Touch",1,"")</f>
        <v/>
      </c>
      <c r="I123" s="6" t="str">
        <f>IF(Table4164854[[#This Row],[Response]]="Both",1,"")</f>
        <v/>
      </c>
      <c r="J123" s="6">
        <f>IF(SUM(Table4164854[[#This Row],[If Sight]:[If Both]])=1,1,"")</f>
        <v>1</v>
      </c>
      <c r="K123" s="6" t="str">
        <f>IF(Table4164854[[#This Row],[Old or New?]]="New",IF(SUM(G123,I123)=1,1,""),"")</f>
        <v/>
      </c>
      <c r="L123" s="6" t="str">
        <f>IF(Table4164854[[#This Row],[Old or New?]]="New",IF(SUM(H123,I123)=1,1,""),"")</f>
        <v/>
      </c>
      <c r="M123" s="6">
        <f>IF(Table4164854[[#This Row],[Old or New?]]="Old",IF(SUM(G123,I123)=1,1,""),"")</f>
        <v>1</v>
      </c>
      <c r="N123" s="6" t="str">
        <f>IF(Table4164854[[#This Row],[Old or New?]]="Old",IF(SUM(H123,I123)=1,1,""),"")</f>
        <v/>
      </c>
      <c r="O123" s="5" t="str">
        <f>IF(IF(Table4164854[[#This Row],[Old or New?]]="New",1,0)+IF(SUM(Table4164854[[#This Row],[If Sight]:[If Both]])=1,1,0)=2,1,"")</f>
        <v/>
      </c>
      <c r="P123" s="5">
        <f>IF(IF(Table4164854[[#This Row],[Old or New?]]="Old",1,0)+IF(SUM(Table4164854[[#This Row],[If Sight]:[If Both]])=1,1,0)=2,1,"")</f>
        <v>1</v>
      </c>
    </row>
    <row r="124" spans="1:16">
      <c r="A124" s="2" t="s">
        <v>12</v>
      </c>
      <c r="B124" s="2" t="s">
        <v>21</v>
      </c>
      <c r="C124" s="1">
        <v>9</v>
      </c>
      <c r="D124" s="2" t="s">
        <v>16</v>
      </c>
      <c r="E124" s="1">
        <v>10</v>
      </c>
      <c r="F124" s="1" t="s">
        <v>18</v>
      </c>
      <c r="G124" s="6">
        <f>IF(Table4164854[[#This Row],[Response]]="Sight",1,"")</f>
        <v>1</v>
      </c>
      <c r="H124" s="6" t="str">
        <f>IF(Table4164854[[#This Row],[Response]]="Touch",1,"")</f>
        <v/>
      </c>
      <c r="I124" s="6" t="str">
        <f>IF(Table4164854[[#This Row],[Response]]="Both",1,"")</f>
        <v/>
      </c>
      <c r="J124" s="6">
        <f>IF(SUM(Table4164854[[#This Row],[If Sight]:[If Both]])=1,1,"")</f>
        <v>1</v>
      </c>
      <c r="K124" s="6" t="str">
        <f>IF(Table4164854[[#This Row],[Old or New?]]="New",IF(SUM(G124,I124)=1,1,""),"")</f>
        <v/>
      </c>
      <c r="L124" s="6" t="str">
        <f>IF(Table4164854[[#This Row],[Old or New?]]="New",IF(SUM(H124,I124)=1,1,""),"")</f>
        <v/>
      </c>
      <c r="M124" s="6">
        <f>IF(Table4164854[[#This Row],[Old or New?]]="Old",IF(SUM(G124,I124)=1,1,""),"")</f>
        <v>1</v>
      </c>
      <c r="N124" s="6" t="str">
        <f>IF(Table4164854[[#This Row],[Old or New?]]="Old",IF(SUM(H124,I124)=1,1,""),"")</f>
        <v/>
      </c>
      <c r="O124" s="5" t="str">
        <f>IF(IF(Table4164854[[#This Row],[Old or New?]]="New",1,0)+IF(SUM(Table4164854[[#This Row],[If Sight]:[If Both]])=1,1,0)=2,1,"")</f>
        <v/>
      </c>
      <c r="P124" s="5">
        <f>IF(IF(Table4164854[[#This Row],[Old or New?]]="Old",1,0)+IF(SUM(Table4164854[[#This Row],[If Sight]:[If Both]])=1,1,0)=2,1,"")</f>
        <v>1</v>
      </c>
    </row>
    <row r="125" spans="1:16">
      <c r="A125" s="2" t="s">
        <v>12</v>
      </c>
      <c r="B125" s="2" t="s">
        <v>21</v>
      </c>
      <c r="C125" s="1">
        <v>10</v>
      </c>
      <c r="D125" s="2" t="s">
        <v>16</v>
      </c>
      <c r="E125" s="1">
        <v>10</v>
      </c>
      <c r="G125" s="6" t="str">
        <f>IF(Table4164854[[#This Row],[Response]]="Sight",1,"")</f>
        <v/>
      </c>
      <c r="H125" s="6" t="str">
        <f>IF(Table4164854[[#This Row],[Response]]="Touch",1,"")</f>
        <v/>
      </c>
      <c r="I125" s="6" t="str">
        <f>IF(Table4164854[[#This Row],[Response]]="Both",1,"")</f>
        <v/>
      </c>
      <c r="J125" s="6" t="str">
        <f>IF(SUM(Table4164854[[#This Row],[If Sight]:[If Both]])=1,1,"")</f>
        <v/>
      </c>
      <c r="K125" s="6" t="str">
        <f>IF(Table4164854[[#This Row],[Old or New?]]="New",IF(SUM(G125,I125)=1,1,""),"")</f>
        <v/>
      </c>
      <c r="L125" s="6" t="str">
        <f>IF(Table4164854[[#This Row],[Old or New?]]="New",IF(SUM(H125,I125)=1,1,""),"")</f>
        <v/>
      </c>
      <c r="M125" s="6" t="str">
        <f>IF(Table4164854[[#This Row],[Old or New?]]="Old",IF(SUM(G125,I125)=1,1,""),"")</f>
        <v/>
      </c>
      <c r="N125" s="6" t="str">
        <f>IF(Table4164854[[#This Row],[Old or New?]]="Old",IF(SUM(H125,I125)=1,1,""),"")</f>
        <v/>
      </c>
      <c r="O125" s="5" t="str">
        <f>IF(IF(Table4164854[[#This Row],[Old or New?]]="New",1,0)+IF(SUM(Table4164854[[#This Row],[If Sight]:[If Both]])=1,1,0)=2,1,"")</f>
        <v/>
      </c>
      <c r="P125" s="5" t="str">
        <f>IF(IF(Table4164854[[#This Row],[Old or New?]]="Old",1,0)+IF(SUM(Table4164854[[#This Row],[If Sight]:[If Both]])=1,1,0)=2,1,"")</f>
        <v/>
      </c>
    </row>
    <row r="126" spans="1:16">
      <c r="A126" s="2" t="s">
        <v>12</v>
      </c>
      <c r="B126" s="2" t="s">
        <v>21</v>
      </c>
      <c r="C126" s="1">
        <v>11</v>
      </c>
      <c r="D126" s="2" t="s">
        <v>16</v>
      </c>
      <c r="E126" s="1">
        <v>10</v>
      </c>
      <c r="F126" s="1" t="s">
        <v>18</v>
      </c>
      <c r="G126" s="6">
        <f>IF(Table4164854[[#This Row],[Response]]="Sight",1,"")</f>
        <v>1</v>
      </c>
      <c r="H126" s="6" t="str">
        <f>IF(Table4164854[[#This Row],[Response]]="Touch",1,"")</f>
        <v/>
      </c>
      <c r="I126" s="6" t="str">
        <f>IF(Table4164854[[#This Row],[Response]]="Both",1,"")</f>
        <v/>
      </c>
      <c r="J126" s="6">
        <f>IF(SUM(Table4164854[[#This Row],[If Sight]:[If Both]])=1,1,"")</f>
        <v>1</v>
      </c>
      <c r="K126" s="6" t="str">
        <f>IF(Table4164854[[#This Row],[Old or New?]]="New",IF(SUM(G126,I126)=1,1,""),"")</f>
        <v/>
      </c>
      <c r="L126" s="6" t="str">
        <f>IF(Table4164854[[#This Row],[Old or New?]]="New",IF(SUM(H126,I126)=1,1,""),"")</f>
        <v/>
      </c>
      <c r="M126" s="6">
        <f>IF(Table4164854[[#This Row],[Old or New?]]="Old",IF(SUM(G126,I126)=1,1,""),"")</f>
        <v>1</v>
      </c>
      <c r="N126" s="6" t="str">
        <f>IF(Table4164854[[#This Row],[Old or New?]]="Old",IF(SUM(H126,I126)=1,1,""),"")</f>
        <v/>
      </c>
      <c r="O126" s="5" t="str">
        <f>IF(IF(Table4164854[[#This Row],[Old or New?]]="New",1,0)+IF(SUM(Table4164854[[#This Row],[If Sight]:[If Both]])=1,1,0)=2,1,"")</f>
        <v/>
      </c>
      <c r="P126" s="5">
        <f>IF(IF(Table4164854[[#This Row],[Old or New?]]="Old",1,0)+IF(SUM(Table4164854[[#This Row],[If Sight]:[If Both]])=1,1,0)=2,1,"")</f>
        <v>1</v>
      </c>
    </row>
    <row r="127" spans="1:16">
      <c r="A127" s="2" t="s">
        <v>12</v>
      </c>
      <c r="B127" s="2" t="s">
        <v>21</v>
      </c>
      <c r="C127" s="1">
        <v>12</v>
      </c>
      <c r="D127" s="2" t="s">
        <v>16</v>
      </c>
      <c r="E127" s="1">
        <v>10</v>
      </c>
      <c r="F127" s="1" t="s">
        <v>18</v>
      </c>
      <c r="G127" s="6">
        <f>IF(Table4164854[[#This Row],[Response]]="Sight",1,"")</f>
        <v>1</v>
      </c>
      <c r="H127" s="6" t="str">
        <f>IF(Table4164854[[#This Row],[Response]]="Touch",1,"")</f>
        <v/>
      </c>
      <c r="I127" s="6" t="str">
        <f>IF(Table4164854[[#This Row],[Response]]="Both",1,"")</f>
        <v/>
      </c>
      <c r="J127" s="6">
        <f>IF(SUM(Table4164854[[#This Row],[If Sight]:[If Both]])=1,1,"")</f>
        <v>1</v>
      </c>
      <c r="K127" s="6" t="str">
        <f>IF(Table4164854[[#This Row],[Old or New?]]="New",IF(SUM(G127,I127)=1,1,""),"")</f>
        <v/>
      </c>
      <c r="L127" s="6" t="str">
        <f>IF(Table4164854[[#This Row],[Old or New?]]="New",IF(SUM(H127,I127)=1,1,""),"")</f>
        <v/>
      </c>
      <c r="M127" s="6">
        <f>IF(Table4164854[[#This Row],[Old or New?]]="Old",IF(SUM(G127,I127)=1,1,""),"")</f>
        <v>1</v>
      </c>
      <c r="N127" s="6" t="str">
        <f>IF(Table4164854[[#This Row],[Old or New?]]="Old",IF(SUM(H127,I127)=1,1,""),"")</f>
        <v/>
      </c>
      <c r="O127" s="5" t="str">
        <f>IF(IF(Table4164854[[#This Row],[Old or New?]]="New",1,0)+IF(SUM(Table4164854[[#This Row],[If Sight]:[If Both]])=1,1,0)=2,1,"")</f>
        <v/>
      </c>
      <c r="P127" s="5">
        <f>IF(IF(Table4164854[[#This Row],[Old or New?]]="Old",1,0)+IF(SUM(Table4164854[[#This Row],[If Sight]:[If Both]])=1,1,0)=2,1,"")</f>
        <v>1</v>
      </c>
    </row>
    <row r="128" spans="1:16">
      <c r="A128" s="2" t="s">
        <v>12</v>
      </c>
      <c r="B128" s="2" t="s">
        <v>21</v>
      </c>
      <c r="C128" s="1">
        <v>13</v>
      </c>
      <c r="D128" s="2" t="s">
        <v>16</v>
      </c>
      <c r="E128" s="1">
        <v>10</v>
      </c>
      <c r="F128" s="1" t="s">
        <v>18</v>
      </c>
      <c r="G128" s="6">
        <f>IF(Table4164854[[#This Row],[Response]]="Sight",1,"")</f>
        <v>1</v>
      </c>
      <c r="H128" s="6" t="str">
        <f>IF(Table4164854[[#This Row],[Response]]="Touch",1,"")</f>
        <v/>
      </c>
      <c r="I128" s="6" t="str">
        <f>IF(Table4164854[[#This Row],[Response]]="Both",1,"")</f>
        <v/>
      </c>
      <c r="J128" s="6">
        <f>IF(SUM(Table4164854[[#This Row],[If Sight]:[If Both]])=1,1,"")</f>
        <v>1</v>
      </c>
      <c r="K128" s="6" t="str">
        <f>IF(Table4164854[[#This Row],[Old or New?]]="New",IF(SUM(G128,I128)=1,1,""),"")</f>
        <v/>
      </c>
      <c r="L128" s="6" t="str">
        <f>IF(Table4164854[[#This Row],[Old or New?]]="New",IF(SUM(H128,I128)=1,1,""),"")</f>
        <v/>
      </c>
      <c r="M128" s="6">
        <f>IF(Table4164854[[#This Row],[Old or New?]]="Old",IF(SUM(G128,I128)=1,1,""),"")</f>
        <v>1</v>
      </c>
      <c r="N128" s="6" t="str">
        <f>IF(Table4164854[[#This Row],[Old or New?]]="Old",IF(SUM(H128,I128)=1,1,""),"")</f>
        <v/>
      </c>
      <c r="O128" s="5" t="str">
        <f>IF(IF(Table4164854[[#This Row],[Old or New?]]="New",1,0)+IF(SUM(Table4164854[[#This Row],[If Sight]:[If Both]])=1,1,0)=2,1,"")</f>
        <v/>
      </c>
      <c r="P128" s="5">
        <f>IF(IF(Table4164854[[#This Row],[Old or New?]]="Old",1,0)+IF(SUM(Table4164854[[#This Row],[If Sight]:[If Both]])=1,1,0)=2,1,"")</f>
        <v>1</v>
      </c>
    </row>
    <row r="129" spans="1:16">
      <c r="A129" s="2" t="s">
        <v>12</v>
      </c>
      <c r="B129" s="2" t="s">
        <v>21</v>
      </c>
      <c r="C129" s="1">
        <v>14</v>
      </c>
      <c r="D129" s="2" t="s">
        <v>16</v>
      </c>
      <c r="E129" s="1">
        <v>10</v>
      </c>
      <c r="G129" s="6" t="str">
        <f>IF(Table4164854[[#This Row],[Response]]="Sight",1,"")</f>
        <v/>
      </c>
      <c r="H129" s="6" t="str">
        <f>IF(Table4164854[[#This Row],[Response]]="Touch",1,"")</f>
        <v/>
      </c>
      <c r="I129" s="6" t="str">
        <f>IF(Table4164854[[#This Row],[Response]]="Both",1,"")</f>
        <v/>
      </c>
      <c r="J129" s="6" t="str">
        <f>IF(SUM(Table4164854[[#This Row],[If Sight]:[If Both]])=1,1,"")</f>
        <v/>
      </c>
      <c r="K129" s="6" t="str">
        <f>IF(Table4164854[[#This Row],[Old or New?]]="New",IF(SUM(G129,I129)=1,1,""),"")</f>
        <v/>
      </c>
      <c r="L129" s="6" t="str">
        <f>IF(Table4164854[[#This Row],[Old or New?]]="New",IF(SUM(H129,I129)=1,1,""),"")</f>
        <v/>
      </c>
      <c r="M129" s="6" t="str">
        <f>IF(Table4164854[[#This Row],[Old or New?]]="Old",IF(SUM(G129,I129)=1,1,""),"")</f>
        <v/>
      </c>
      <c r="N129" s="6" t="str">
        <f>IF(Table4164854[[#This Row],[Old or New?]]="Old",IF(SUM(H129,I129)=1,1,""),"")</f>
        <v/>
      </c>
      <c r="O129" s="5" t="str">
        <f>IF(IF(Table4164854[[#This Row],[Old or New?]]="New",1,0)+IF(SUM(Table4164854[[#This Row],[If Sight]:[If Both]])=1,1,0)=2,1,"")</f>
        <v/>
      </c>
      <c r="P129" s="5" t="str">
        <f>IF(IF(Table4164854[[#This Row],[Old or New?]]="Old",1,0)+IF(SUM(Table4164854[[#This Row],[If Sight]:[If Both]])=1,1,0)=2,1,"")</f>
        <v/>
      </c>
    </row>
    <row r="130" spans="1:16">
      <c r="A130" s="2" t="s">
        <v>12</v>
      </c>
      <c r="B130" s="2" t="s">
        <v>21</v>
      </c>
      <c r="C130" s="1">
        <v>15</v>
      </c>
      <c r="D130" s="2" t="s">
        <v>16</v>
      </c>
      <c r="E130" s="1">
        <v>10</v>
      </c>
      <c r="F130" s="1" t="s">
        <v>18</v>
      </c>
      <c r="G130" s="6">
        <f>IF(Table4164854[[#This Row],[Response]]="Sight",1,"")</f>
        <v>1</v>
      </c>
      <c r="H130" s="6" t="str">
        <f>IF(Table4164854[[#This Row],[Response]]="Touch",1,"")</f>
        <v/>
      </c>
      <c r="I130" s="6" t="str">
        <f>IF(Table4164854[[#This Row],[Response]]="Both",1,"")</f>
        <v/>
      </c>
      <c r="J130" s="6">
        <f>IF(SUM(Table4164854[[#This Row],[If Sight]:[If Both]])=1,1,"")</f>
        <v>1</v>
      </c>
      <c r="K130" s="6" t="str">
        <f>IF(Table4164854[[#This Row],[Old or New?]]="New",IF(SUM(G130,I130)=1,1,""),"")</f>
        <v/>
      </c>
      <c r="L130" s="6" t="str">
        <f>IF(Table4164854[[#This Row],[Old or New?]]="New",IF(SUM(H130,I130)=1,1,""),"")</f>
        <v/>
      </c>
      <c r="M130" s="6">
        <f>IF(Table4164854[[#This Row],[Old or New?]]="Old",IF(SUM(G130,I130)=1,1,""),"")</f>
        <v>1</v>
      </c>
      <c r="N130" s="6" t="str">
        <f>IF(Table4164854[[#This Row],[Old or New?]]="Old",IF(SUM(H130,I130)=1,1,""),"")</f>
        <v/>
      </c>
      <c r="O130" s="5" t="str">
        <f>IF(IF(Table4164854[[#This Row],[Old or New?]]="New",1,0)+IF(SUM(Table4164854[[#This Row],[If Sight]:[If Both]])=1,1,0)=2,1,"")</f>
        <v/>
      </c>
      <c r="P130" s="5">
        <f>IF(IF(Table4164854[[#This Row],[Old or New?]]="Old",1,0)+IF(SUM(Table4164854[[#This Row],[If Sight]:[If Both]])=1,1,0)=2,1,"")</f>
        <v>1</v>
      </c>
    </row>
    <row r="131" spans="1:16">
      <c r="A131" s="2" t="s">
        <v>12</v>
      </c>
      <c r="B131" s="2" t="s">
        <v>21</v>
      </c>
      <c r="C131" s="1">
        <v>16</v>
      </c>
      <c r="D131" s="2" t="s">
        <v>16</v>
      </c>
      <c r="E131" s="1">
        <v>10</v>
      </c>
      <c r="F131" s="1" t="s">
        <v>18</v>
      </c>
      <c r="G131" s="6">
        <f>IF(Table4164854[[#This Row],[Response]]="Sight",1,"")</f>
        <v>1</v>
      </c>
      <c r="H131" s="6" t="str">
        <f>IF(Table4164854[[#This Row],[Response]]="Touch",1,"")</f>
        <v/>
      </c>
      <c r="I131" s="6" t="str">
        <f>IF(Table4164854[[#This Row],[Response]]="Both",1,"")</f>
        <v/>
      </c>
      <c r="J131" s="6">
        <f>IF(SUM(Table4164854[[#This Row],[If Sight]:[If Both]])=1,1,"")</f>
        <v>1</v>
      </c>
      <c r="K131" s="6" t="str">
        <f>IF(Table4164854[[#This Row],[Old or New?]]="New",IF(SUM(G131,I131)=1,1,""),"")</f>
        <v/>
      </c>
      <c r="L131" s="6" t="str">
        <f>IF(Table4164854[[#This Row],[Old or New?]]="New",IF(SUM(H131,I131)=1,1,""),"")</f>
        <v/>
      </c>
      <c r="M131" s="6">
        <f>IF(Table4164854[[#This Row],[Old or New?]]="Old",IF(SUM(G131,I131)=1,1,""),"")</f>
        <v>1</v>
      </c>
      <c r="N131" s="6" t="str">
        <f>IF(Table4164854[[#This Row],[Old or New?]]="Old",IF(SUM(H131,I131)=1,1,""),"")</f>
        <v/>
      </c>
      <c r="O131" s="5" t="str">
        <f>IF(IF(Table4164854[[#This Row],[Old or New?]]="New",1,0)+IF(SUM(Table4164854[[#This Row],[If Sight]:[If Both]])=1,1,0)=2,1,"")</f>
        <v/>
      </c>
      <c r="P131" s="5">
        <f>IF(IF(Table4164854[[#This Row],[Old or New?]]="Old",1,0)+IF(SUM(Table4164854[[#This Row],[If Sight]:[If Both]])=1,1,0)=2,1,"")</f>
        <v>1</v>
      </c>
    </row>
    <row r="132" spans="1:16">
      <c r="A132" s="2" t="s">
        <v>12</v>
      </c>
      <c r="B132" s="2" t="s">
        <v>21</v>
      </c>
      <c r="C132" s="1">
        <v>17</v>
      </c>
      <c r="D132" s="2" t="s">
        <v>16</v>
      </c>
      <c r="E132" s="1">
        <v>10</v>
      </c>
      <c r="F132" s="1" t="s">
        <v>18</v>
      </c>
      <c r="G132" s="6">
        <f>IF(Table4164854[[#This Row],[Response]]="Sight",1,"")</f>
        <v>1</v>
      </c>
      <c r="H132" s="6" t="str">
        <f>IF(Table4164854[[#This Row],[Response]]="Touch",1,"")</f>
        <v/>
      </c>
      <c r="I132" s="6" t="str">
        <f>IF(Table4164854[[#This Row],[Response]]="Both",1,"")</f>
        <v/>
      </c>
      <c r="J132" s="6">
        <f>IF(SUM(Table4164854[[#This Row],[If Sight]:[If Both]])=1,1,"")</f>
        <v>1</v>
      </c>
      <c r="K132" s="6" t="str">
        <f>IF(Table4164854[[#This Row],[Old or New?]]="New",IF(SUM(G132,I132)=1,1,""),"")</f>
        <v/>
      </c>
      <c r="L132" s="6" t="str">
        <f>IF(Table4164854[[#This Row],[Old or New?]]="New",IF(SUM(H132,I132)=1,1,""),"")</f>
        <v/>
      </c>
      <c r="M132" s="6">
        <f>IF(Table4164854[[#This Row],[Old or New?]]="Old",IF(SUM(G132,I132)=1,1,""),"")</f>
        <v>1</v>
      </c>
      <c r="N132" s="6" t="str">
        <f>IF(Table4164854[[#This Row],[Old or New?]]="Old",IF(SUM(H132,I132)=1,1,""),"")</f>
        <v/>
      </c>
      <c r="O132" s="5" t="str">
        <f>IF(IF(Table4164854[[#This Row],[Old or New?]]="New",1,0)+IF(SUM(Table4164854[[#This Row],[If Sight]:[If Both]])=1,1,0)=2,1,"")</f>
        <v/>
      </c>
      <c r="P132" s="5">
        <f>IF(IF(Table4164854[[#This Row],[Old or New?]]="Old",1,0)+IF(SUM(Table4164854[[#This Row],[If Sight]:[If Both]])=1,1,0)=2,1,"")</f>
        <v>1</v>
      </c>
    </row>
    <row r="133" spans="1:16">
      <c r="A133" s="2" t="s">
        <v>12</v>
      </c>
      <c r="B133" s="2" t="s">
        <v>21</v>
      </c>
      <c r="C133" s="1">
        <v>18</v>
      </c>
      <c r="D133" s="2" t="s">
        <v>16</v>
      </c>
      <c r="E133" s="1">
        <v>10</v>
      </c>
      <c r="F133" s="1" t="s">
        <v>18</v>
      </c>
      <c r="G133" s="6">
        <f>IF(Table4164854[[#This Row],[Response]]="Sight",1,"")</f>
        <v>1</v>
      </c>
      <c r="H133" s="6" t="str">
        <f>IF(Table4164854[[#This Row],[Response]]="Touch",1,"")</f>
        <v/>
      </c>
      <c r="I133" s="6" t="str">
        <f>IF(Table4164854[[#This Row],[Response]]="Both",1,"")</f>
        <v/>
      </c>
      <c r="J133" s="6">
        <f>IF(SUM(Table4164854[[#This Row],[If Sight]:[If Both]])=1,1,"")</f>
        <v>1</v>
      </c>
      <c r="K133" s="6" t="str">
        <f>IF(Table4164854[[#This Row],[Old or New?]]="New",IF(SUM(G133,I133)=1,1,""),"")</f>
        <v/>
      </c>
      <c r="L133" s="6" t="str">
        <f>IF(Table4164854[[#This Row],[Old or New?]]="New",IF(SUM(H133,I133)=1,1,""),"")</f>
        <v/>
      </c>
      <c r="M133" s="6">
        <f>IF(Table4164854[[#This Row],[Old or New?]]="Old",IF(SUM(G133,I133)=1,1,""),"")</f>
        <v>1</v>
      </c>
      <c r="N133" s="6" t="str">
        <f>IF(Table4164854[[#This Row],[Old or New?]]="Old",IF(SUM(H133,I133)=1,1,""),"")</f>
        <v/>
      </c>
      <c r="O133" s="5" t="str">
        <f>IF(IF(Table4164854[[#This Row],[Old or New?]]="New",1,0)+IF(SUM(Table4164854[[#This Row],[If Sight]:[If Both]])=1,1,0)=2,1,"")</f>
        <v/>
      </c>
      <c r="P133" s="5">
        <f>IF(IF(Table4164854[[#This Row],[Old or New?]]="Old",1,0)+IF(SUM(Table4164854[[#This Row],[If Sight]:[If Both]])=1,1,0)=2,1,"")</f>
        <v>1</v>
      </c>
    </row>
    <row r="134" spans="1:16">
      <c r="A134" s="2" t="s">
        <v>12</v>
      </c>
      <c r="B134" s="2" t="s">
        <v>21</v>
      </c>
      <c r="C134" s="1">
        <v>19</v>
      </c>
      <c r="D134" s="2" t="s">
        <v>16</v>
      </c>
      <c r="E134" s="1">
        <v>10</v>
      </c>
      <c r="F134" s="1" t="s">
        <v>19</v>
      </c>
      <c r="G134" s="6" t="str">
        <f>IF(Table4164854[[#This Row],[Response]]="Sight",1,"")</f>
        <v/>
      </c>
      <c r="H134" s="6" t="str">
        <f>IF(Table4164854[[#This Row],[Response]]="Touch",1,"")</f>
        <v/>
      </c>
      <c r="I134" s="6">
        <f>IF(Table4164854[[#This Row],[Response]]="Both",1,"")</f>
        <v>1</v>
      </c>
      <c r="J134" s="6">
        <f>IF(SUM(Table4164854[[#This Row],[If Sight]:[If Both]])=1,1,"")</f>
        <v>1</v>
      </c>
      <c r="K134" s="6" t="str">
        <f>IF(Table4164854[[#This Row],[Old or New?]]="New",IF(SUM(G134,I134)=1,1,""),"")</f>
        <v/>
      </c>
      <c r="L134" s="6" t="str">
        <f>IF(Table4164854[[#This Row],[Old or New?]]="New",IF(SUM(H134,I134)=1,1,""),"")</f>
        <v/>
      </c>
      <c r="M134" s="6">
        <f>IF(Table4164854[[#This Row],[Old or New?]]="Old",IF(SUM(G134,I134)=1,1,""),"")</f>
        <v>1</v>
      </c>
      <c r="N134" s="6">
        <f>IF(Table4164854[[#This Row],[Old or New?]]="Old",IF(SUM(H134,I134)=1,1,""),"")</f>
        <v>1</v>
      </c>
      <c r="O134" s="5" t="str">
        <f>IF(IF(Table4164854[[#This Row],[Old or New?]]="New",1,0)+IF(SUM(Table4164854[[#This Row],[If Sight]:[If Both]])=1,1,0)=2,1,"")</f>
        <v/>
      </c>
      <c r="P134" s="5">
        <f>IF(IF(Table4164854[[#This Row],[Old or New?]]="Old",1,0)+IF(SUM(Table4164854[[#This Row],[If Sight]:[If Both]])=1,1,0)=2,1,"")</f>
        <v>1</v>
      </c>
    </row>
    <row r="135" spans="1:16">
      <c r="A135" s="2" t="s">
        <v>12</v>
      </c>
      <c r="B135" s="2" t="s">
        <v>21</v>
      </c>
      <c r="C135" s="1">
        <v>20</v>
      </c>
      <c r="D135" s="2" t="s">
        <v>16</v>
      </c>
      <c r="E135" s="1">
        <v>10</v>
      </c>
      <c r="F135" s="1" t="s">
        <v>18</v>
      </c>
      <c r="G135" s="6">
        <f>IF(Table4164854[[#This Row],[Response]]="Sight",1,"")</f>
        <v>1</v>
      </c>
      <c r="H135" s="6" t="str">
        <f>IF(Table4164854[[#This Row],[Response]]="Touch",1,"")</f>
        <v/>
      </c>
      <c r="I135" s="6" t="str">
        <f>IF(Table4164854[[#This Row],[Response]]="Both",1,"")</f>
        <v/>
      </c>
      <c r="J135" s="6">
        <f>IF(SUM(Table4164854[[#This Row],[If Sight]:[If Both]])=1,1,"")</f>
        <v>1</v>
      </c>
      <c r="K135" s="6" t="str">
        <f>IF(Table4164854[[#This Row],[Old or New?]]="New",IF(SUM(G135,I135)=1,1,""),"")</f>
        <v/>
      </c>
      <c r="L135" s="6" t="str">
        <f>IF(Table4164854[[#This Row],[Old or New?]]="New",IF(SUM(H135,I135)=1,1,""),"")</f>
        <v/>
      </c>
      <c r="M135" s="6">
        <f>IF(Table4164854[[#This Row],[Old or New?]]="Old",IF(SUM(G135,I135)=1,1,""),"")</f>
        <v>1</v>
      </c>
      <c r="N135" s="6" t="str">
        <f>IF(Table4164854[[#This Row],[Old or New?]]="Old",IF(SUM(H135,I135)=1,1,""),"")</f>
        <v/>
      </c>
      <c r="O135" s="5" t="str">
        <f>IF(IF(Table4164854[[#This Row],[Old or New?]]="New",1,0)+IF(SUM(Table4164854[[#This Row],[If Sight]:[If Both]])=1,1,0)=2,1,"")</f>
        <v/>
      </c>
      <c r="P135" s="5">
        <f>IF(IF(Table4164854[[#This Row],[Old or New?]]="Old",1,0)+IF(SUM(Table4164854[[#This Row],[If Sight]:[If Both]])=1,1,0)=2,1,"")</f>
        <v>1</v>
      </c>
    </row>
    <row r="136" spans="1:16">
      <c r="A136" s="2" t="s">
        <v>12</v>
      </c>
      <c r="B136" s="2" t="s">
        <v>21</v>
      </c>
      <c r="C136" s="1">
        <v>21</v>
      </c>
      <c r="D136" s="2" t="s">
        <v>16</v>
      </c>
      <c r="E136" s="1">
        <v>10</v>
      </c>
      <c r="F136" s="1" t="s">
        <v>18</v>
      </c>
      <c r="G136" s="6">
        <f>IF(Table4164854[[#This Row],[Response]]="Sight",1,"")</f>
        <v>1</v>
      </c>
      <c r="H136" s="6" t="str">
        <f>IF(Table4164854[[#This Row],[Response]]="Touch",1,"")</f>
        <v/>
      </c>
      <c r="I136" s="6" t="str">
        <f>IF(Table4164854[[#This Row],[Response]]="Both",1,"")</f>
        <v/>
      </c>
      <c r="J136" s="6">
        <f>IF(SUM(Table4164854[[#This Row],[If Sight]:[If Both]])=1,1,"")</f>
        <v>1</v>
      </c>
      <c r="K136" s="6" t="str">
        <f>IF(Table4164854[[#This Row],[Old or New?]]="New",IF(SUM(G136,I136)=1,1,""),"")</f>
        <v/>
      </c>
      <c r="L136" s="6" t="str">
        <f>IF(Table4164854[[#This Row],[Old or New?]]="New",IF(SUM(H136,I136)=1,1,""),"")</f>
        <v/>
      </c>
      <c r="M136" s="6">
        <f>IF(Table4164854[[#This Row],[Old or New?]]="Old",IF(SUM(G136,I136)=1,1,""),"")</f>
        <v>1</v>
      </c>
      <c r="N136" s="6" t="str">
        <f>IF(Table4164854[[#This Row],[Old or New?]]="Old",IF(SUM(H136,I136)=1,1,""),"")</f>
        <v/>
      </c>
      <c r="O136" s="5" t="str">
        <f>IF(IF(Table4164854[[#This Row],[Old or New?]]="New",1,0)+IF(SUM(Table4164854[[#This Row],[If Sight]:[If Both]])=1,1,0)=2,1,"")</f>
        <v/>
      </c>
      <c r="P136" s="5">
        <f>IF(IF(Table4164854[[#This Row],[Old or New?]]="Old",1,0)+IF(SUM(Table4164854[[#This Row],[If Sight]:[If Both]])=1,1,0)=2,1,"")</f>
        <v>1</v>
      </c>
    </row>
    <row r="137" spans="1:16">
      <c r="A137" s="2" t="s">
        <v>12</v>
      </c>
      <c r="B137" s="2" t="s">
        <v>21</v>
      </c>
      <c r="C137" s="1">
        <v>22</v>
      </c>
      <c r="D137" s="2" t="s">
        <v>16</v>
      </c>
      <c r="E137" s="1">
        <v>10</v>
      </c>
      <c r="F137" s="1" t="s">
        <v>18</v>
      </c>
      <c r="G137" s="6">
        <f>IF(Table4164854[[#This Row],[Response]]="Sight",1,"")</f>
        <v>1</v>
      </c>
      <c r="H137" s="6" t="str">
        <f>IF(Table4164854[[#This Row],[Response]]="Touch",1,"")</f>
        <v/>
      </c>
      <c r="I137" s="6" t="str">
        <f>IF(Table4164854[[#This Row],[Response]]="Both",1,"")</f>
        <v/>
      </c>
      <c r="J137" s="6">
        <f>IF(SUM(Table4164854[[#This Row],[If Sight]:[If Both]])=1,1,"")</f>
        <v>1</v>
      </c>
      <c r="K137" s="6" t="str">
        <f>IF(Table4164854[[#This Row],[Old or New?]]="New",IF(SUM(G137,I137)=1,1,""),"")</f>
        <v/>
      </c>
      <c r="L137" s="6" t="str">
        <f>IF(Table4164854[[#This Row],[Old or New?]]="New",IF(SUM(H137,I137)=1,1,""),"")</f>
        <v/>
      </c>
      <c r="M137" s="6">
        <f>IF(Table4164854[[#This Row],[Old or New?]]="Old",IF(SUM(G137,I137)=1,1,""),"")</f>
        <v>1</v>
      </c>
      <c r="N137" s="6" t="str">
        <f>IF(Table4164854[[#This Row],[Old or New?]]="Old",IF(SUM(H137,I137)=1,1,""),"")</f>
        <v/>
      </c>
      <c r="O137" s="5" t="str">
        <f>IF(IF(Table4164854[[#This Row],[Old or New?]]="New",1,0)+IF(SUM(Table4164854[[#This Row],[If Sight]:[If Both]])=1,1,0)=2,1,"")</f>
        <v/>
      </c>
      <c r="P137" s="5">
        <f>IF(IF(Table4164854[[#This Row],[Old or New?]]="Old",1,0)+IF(SUM(Table4164854[[#This Row],[If Sight]:[If Both]])=1,1,0)=2,1,"")</f>
        <v>1</v>
      </c>
    </row>
    <row r="138" spans="1:16">
      <c r="A138" s="2" t="s">
        <v>12</v>
      </c>
      <c r="B138" s="2" t="s">
        <v>21</v>
      </c>
      <c r="C138" s="1">
        <v>23</v>
      </c>
      <c r="D138" s="2" t="s">
        <v>16</v>
      </c>
      <c r="E138" s="1">
        <v>10</v>
      </c>
      <c r="G138" s="6" t="str">
        <f>IF(Table4164854[[#This Row],[Response]]="Sight",1,"")</f>
        <v/>
      </c>
      <c r="H138" s="6" t="str">
        <f>IF(Table4164854[[#This Row],[Response]]="Touch",1,"")</f>
        <v/>
      </c>
      <c r="I138" s="6" t="str">
        <f>IF(Table4164854[[#This Row],[Response]]="Both",1,"")</f>
        <v/>
      </c>
      <c r="J138" s="6" t="str">
        <f>IF(SUM(Table4164854[[#This Row],[If Sight]:[If Both]])=1,1,"")</f>
        <v/>
      </c>
      <c r="K138" s="6" t="str">
        <f>IF(Table4164854[[#This Row],[Old or New?]]="New",IF(SUM(G138,I138)=1,1,""),"")</f>
        <v/>
      </c>
      <c r="L138" s="6" t="str">
        <f>IF(Table4164854[[#This Row],[Old or New?]]="New",IF(SUM(H138,I138)=1,1,""),"")</f>
        <v/>
      </c>
      <c r="M138" s="6" t="str">
        <f>IF(Table4164854[[#This Row],[Old or New?]]="Old",IF(SUM(G138,I138)=1,1,""),"")</f>
        <v/>
      </c>
      <c r="N138" s="6" t="str">
        <f>IF(Table4164854[[#This Row],[Old or New?]]="Old",IF(SUM(H138,I138)=1,1,""),"")</f>
        <v/>
      </c>
      <c r="O138" s="5" t="str">
        <f>IF(IF(Table4164854[[#This Row],[Old or New?]]="New",1,0)+IF(SUM(Table4164854[[#This Row],[If Sight]:[If Both]])=1,1,0)=2,1,"")</f>
        <v/>
      </c>
      <c r="P138" s="5" t="str">
        <f>IF(IF(Table4164854[[#This Row],[Old or New?]]="Old",1,0)+IF(SUM(Table4164854[[#This Row],[If Sight]:[If Both]])=1,1,0)=2,1,"")</f>
        <v/>
      </c>
    </row>
    <row r="139" spans="1:16">
      <c r="A139" s="2" t="s">
        <v>12</v>
      </c>
      <c r="B139" s="2" t="s">
        <v>5</v>
      </c>
      <c r="C139" s="1">
        <v>1</v>
      </c>
      <c r="D139" s="2" t="s">
        <v>16</v>
      </c>
      <c r="E139" s="1">
        <v>10</v>
      </c>
      <c r="G139" s="6" t="str">
        <f>IF(Table4164854[[#This Row],[Response]]="Sight",1,"")</f>
        <v/>
      </c>
      <c r="H139" s="6" t="str">
        <f>IF(Table4164854[[#This Row],[Response]]="Touch",1,"")</f>
        <v/>
      </c>
      <c r="I139" s="6" t="str">
        <f>IF(Table4164854[[#This Row],[Response]]="Both",1,"")</f>
        <v/>
      </c>
      <c r="J139" s="6" t="str">
        <f>IF(SUM(Table4164854[[#This Row],[If Sight]:[If Both]])=1,1,"")</f>
        <v/>
      </c>
      <c r="K139" s="6" t="str">
        <f>IF(Table4164854[[#This Row],[Old or New?]]="New",IF(SUM(G139,I139)=1,1,""),"")</f>
        <v/>
      </c>
      <c r="L139" s="6" t="str">
        <f>IF(Table4164854[[#This Row],[Old or New?]]="New",IF(SUM(H139,I139)=1,1,""),"")</f>
        <v/>
      </c>
      <c r="M139" s="6" t="str">
        <f>IF(Table4164854[[#This Row],[Old or New?]]="Old",IF(SUM(G139,I139)=1,1,""),"")</f>
        <v/>
      </c>
      <c r="N139" s="6" t="str">
        <f>IF(Table4164854[[#This Row],[Old or New?]]="Old",IF(SUM(H139,I139)=1,1,""),"")</f>
        <v/>
      </c>
      <c r="O139" s="5" t="str">
        <f>IF(IF(Table4164854[[#This Row],[Old or New?]]="New",1,0)+IF(SUM(Table4164854[[#This Row],[If Sight]:[If Both]])=1,1,0)=2,1,"")</f>
        <v/>
      </c>
      <c r="P139" s="5" t="str">
        <f>IF(IF(Table4164854[[#This Row],[Old or New?]]="Old",1,0)+IF(SUM(Table4164854[[#This Row],[If Sight]:[If Both]])=1,1,0)=2,1,"")</f>
        <v/>
      </c>
    </row>
    <row r="140" spans="1:16">
      <c r="A140" s="2" t="s">
        <v>12</v>
      </c>
      <c r="B140" s="2" t="s">
        <v>5</v>
      </c>
      <c r="C140" s="1">
        <v>2</v>
      </c>
      <c r="D140" s="2" t="s">
        <v>16</v>
      </c>
      <c r="E140" s="1">
        <v>10</v>
      </c>
      <c r="F140" s="1" t="s">
        <v>18</v>
      </c>
      <c r="G140" s="6">
        <f>IF(Table4164854[[#This Row],[Response]]="Sight",1,"")</f>
        <v>1</v>
      </c>
      <c r="H140" s="6" t="str">
        <f>IF(Table4164854[[#This Row],[Response]]="Touch",1,"")</f>
        <v/>
      </c>
      <c r="I140" s="6" t="str">
        <f>IF(Table4164854[[#This Row],[Response]]="Both",1,"")</f>
        <v/>
      </c>
      <c r="J140" s="6">
        <f>IF(SUM(Table4164854[[#This Row],[If Sight]:[If Both]])=1,1,"")</f>
        <v>1</v>
      </c>
      <c r="K140" s="6" t="str">
        <f>IF(Table4164854[[#This Row],[Old or New?]]="New",IF(SUM(G140,I140)=1,1,""),"")</f>
        <v/>
      </c>
      <c r="L140" s="6" t="str">
        <f>IF(Table4164854[[#This Row],[Old or New?]]="New",IF(SUM(H140,I140)=1,1,""),"")</f>
        <v/>
      </c>
      <c r="M140" s="6">
        <f>IF(Table4164854[[#This Row],[Old or New?]]="Old",IF(SUM(G140,I140)=1,1,""),"")</f>
        <v>1</v>
      </c>
      <c r="N140" s="6" t="str">
        <f>IF(Table4164854[[#This Row],[Old or New?]]="Old",IF(SUM(H140,I140)=1,1,""),"")</f>
        <v/>
      </c>
      <c r="O140" s="5" t="str">
        <f>IF(IF(Table4164854[[#This Row],[Old or New?]]="New",1,0)+IF(SUM(Table4164854[[#This Row],[If Sight]:[If Both]])=1,1,0)=2,1,"")</f>
        <v/>
      </c>
      <c r="P140" s="5">
        <f>IF(IF(Table4164854[[#This Row],[Old or New?]]="Old",1,0)+IF(SUM(Table4164854[[#This Row],[If Sight]:[If Both]])=1,1,0)=2,1,"")</f>
        <v>1</v>
      </c>
    </row>
    <row r="141" spans="1:16">
      <c r="A141" s="2" t="s">
        <v>12</v>
      </c>
      <c r="B141" s="2" t="s">
        <v>5</v>
      </c>
      <c r="C141" s="1">
        <v>3</v>
      </c>
      <c r="D141" s="2" t="s">
        <v>16</v>
      </c>
      <c r="E141" s="1">
        <v>10</v>
      </c>
      <c r="F141" s="1" t="s">
        <v>18</v>
      </c>
      <c r="G141" s="6">
        <f>IF(Table4164854[[#This Row],[Response]]="Sight",1,"")</f>
        <v>1</v>
      </c>
      <c r="H141" s="6" t="str">
        <f>IF(Table4164854[[#This Row],[Response]]="Touch",1,"")</f>
        <v/>
      </c>
      <c r="I141" s="6" t="str">
        <f>IF(Table4164854[[#This Row],[Response]]="Both",1,"")</f>
        <v/>
      </c>
      <c r="J141" s="6">
        <f>IF(SUM(Table4164854[[#This Row],[If Sight]:[If Both]])=1,1,"")</f>
        <v>1</v>
      </c>
      <c r="K141" s="6" t="str">
        <f>IF(Table4164854[[#This Row],[Old or New?]]="New",IF(SUM(G141,I141)=1,1,""),"")</f>
        <v/>
      </c>
      <c r="L141" s="6" t="str">
        <f>IF(Table4164854[[#This Row],[Old or New?]]="New",IF(SUM(H141,I141)=1,1,""),"")</f>
        <v/>
      </c>
      <c r="M141" s="6">
        <f>IF(Table4164854[[#This Row],[Old or New?]]="Old",IF(SUM(G141,I141)=1,1,""),"")</f>
        <v>1</v>
      </c>
      <c r="N141" s="6" t="str">
        <f>IF(Table4164854[[#This Row],[Old or New?]]="Old",IF(SUM(H141,I141)=1,1,""),"")</f>
        <v/>
      </c>
      <c r="O141" s="5" t="str">
        <f>IF(IF(Table4164854[[#This Row],[Old or New?]]="New",1,0)+IF(SUM(Table4164854[[#This Row],[If Sight]:[If Both]])=1,1,0)=2,1,"")</f>
        <v/>
      </c>
      <c r="P141" s="5">
        <f>IF(IF(Table4164854[[#This Row],[Old or New?]]="Old",1,0)+IF(SUM(Table4164854[[#This Row],[If Sight]:[If Both]])=1,1,0)=2,1,"")</f>
        <v>1</v>
      </c>
    </row>
    <row r="142" spans="1:16">
      <c r="A142" s="2" t="s">
        <v>12</v>
      </c>
      <c r="B142" s="2" t="s">
        <v>5</v>
      </c>
      <c r="C142" s="1">
        <v>4</v>
      </c>
      <c r="D142" s="2" t="s">
        <v>16</v>
      </c>
      <c r="E142" s="1">
        <v>10</v>
      </c>
      <c r="G142" s="6" t="str">
        <f>IF(Table4164854[[#This Row],[Response]]="Sight",1,"")</f>
        <v/>
      </c>
      <c r="H142" s="6" t="str">
        <f>IF(Table4164854[[#This Row],[Response]]="Touch",1,"")</f>
        <v/>
      </c>
      <c r="I142" s="6" t="str">
        <f>IF(Table4164854[[#This Row],[Response]]="Both",1,"")</f>
        <v/>
      </c>
      <c r="J142" s="6" t="str">
        <f>IF(SUM(Table4164854[[#This Row],[If Sight]:[If Both]])=1,1,"")</f>
        <v/>
      </c>
      <c r="K142" s="6" t="str">
        <f>IF(Table4164854[[#This Row],[Old or New?]]="New",IF(SUM(G142,I142)=1,1,""),"")</f>
        <v/>
      </c>
      <c r="L142" s="6" t="str">
        <f>IF(Table4164854[[#This Row],[Old or New?]]="New",IF(SUM(H142,I142)=1,1,""),"")</f>
        <v/>
      </c>
      <c r="M142" s="6" t="str">
        <f>IF(Table4164854[[#This Row],[Old or New?]]="Old",IF(SUM(G142,I142)=1,1,""),"")</f>
        <v/>
      </c>
      <c r="N142" s="6" t="str">
        <f>IF(Table4164854[[#This Row],[Old or New?]]="Old",IF(SUM(H142,I142)=1,1,""),"")</f>
        <v/>
      </c>
      <c r="O142" s="5" t="str">
        <f>IF(IF(Table4164854[[#This Row],[Old or New?]]="New",1,0)+IF(SUM(Table4164854[[#This Row],[If Sight]:[If Both]])=1,1,0)=2,1,"")</f>
        <v/>
      </c>
      <c r="P142" s="5" t="str">
        <f>IF(IF(Table4164854[[#This Row],[Old or New?]]="Old",1,0)+IF(SUM(Table4164854[[#This Row],[If Sight]:[If Both]])=1,1,0)=2,1,"")</f>
        <v/>
      </c>
    </row>
    <row r="143" spans="1:16">
      <c r="A143" s="2" t="s">
        <v>12</v>
      </c>
      <c r="B143" s="2" t="s">
        <v>5</v>
      </c>
      <c r="C143" s="1">
        <v>5</v>
      </c>
      <c r="D143" s="2" t="s">
        <v>16</v>
      </c>
      <c r="E143" s="1">
        <v>10</v>
      </c>
      <c r="G143" s="6" t="str">
        <f>IF(Table4164854[[#This Row],[Response]]="Sight",1,"")</f>
        <v/>
      </c>
      <c r="H143" s="6" t="str">
        <f>IF(Table4164854[[#This Row],[Response]]="Touch",1,"")</f>
        <v/>
      </c>
      <c r="I143" s="6" t="str">
        <f>IF(Table4164854[[#This Row],[Response]]="Both",1,"")</f>
        <v/>
      </c>
      <c r="J143" s="6" t="str">
        <f>IF(SUM(Table4164854[[#This Row],[If Sight]:[If Both]])=1,1,"")</f>
        <v/>
      </c>
      <c r="K143" s="6" t="str">
        <f>IF(Table4164854[[#This Row],[Old or New?]]="New",IF(SUM(G143,I143)=1,1,""),"")</f>
        <v/>
      </c>
      <c r="L143" s="6" t="str">
        <f>IF(Table4164854[[#This Row],[Old or New?]]="New",IF(SUM(H143,I143)=1,1,""),"")</f>
        <v/>
      </c>
      <c r="M143" s="6" t="str">
        <f>IF(Table4164854[[#This Row],[Old or New?]]="Old",IF(SUM(G143,I143)=1,1,""),"")</f>
        <v/>
      </c>
      <c r="N143" s="6" t="str">
        <f>IF(Table4164854[[#This Row],[Old or New?]]="Old",IF(SUM(H143,I143)=1,1,""),"")</f>
        <v/>
      </c>
      <c r="O143" s="5" t="str">
        <f>IF(IF(Table4164854[[#This Row],[Old or New?]]="New",1,0)+IF(SUM(Table4164854[[#This Row],[If Sight]:[If Both]])=1,1,0)=2,1,"")</f>
        <v/>
      </c>
      <c r="P143" s="5" t="str">
        <f>IF(IF(Table4164854[[#This Row],[Old or New?]]="Old",1,0)+IF(SUM(Table4164854[[#This Row],[If Sight]:[If Both]])=1,1,0)=2,1,"")</f>
        <v/>
      </c>
    </row>
    <row r="144" spans="1:16">
      <c r="A144" s="2" t="s">
        <v>12</v>
      </c>
      <c r="B144" s="2" t="s">
        <v>5</v>
      </c>
      <c r="C144" s="1">
        <v>6</v>
      </c>
      <c r="D144" s="2" t="s">
        <v>16</v>
      </c>
      <c r="E144" s="1">
        <v>10</v>
      </c>
      <c r="F144" s="2" t="s">
        <v>18</v>
      </c>
      <c r="G144" s="6">
        <f>IF(Table4164854[[#This Row],[Response]]="Sight",1,"")</f>
        <v>1</v>
      </c>
      <c r="H144" s="6" t="str">
        <f>IF(Table4164854[[#This Row],[Response]]="Touch",1,"")</f>
        <v/>
      </c>
      <c r="I144" s="6" t="str">
        <f>IF(Table4164854[[#This Row],[Response]]="Both",1,"")</f>
        <v/>
      </c>
      <c r="J144" s="6">
        <f>IF(SUM(Table4164854[[#This Row],[If Sight]:[If Both]])=1,1,"")</f>
        <v>1</v>
      </c>
      <c r="K144" s="6" t="str">
        <f>IF(Table4164854[[#This Row],[Old or New?]]="New",IF(SUM(G144,I144)=1,1,""),"")</f>
        <v/>
      </c>
      <c r="L144" s="6" t="str">
        <f>IF(Table4164854[[#This Row],[Old or New?]]="New",IF(SUM(H144,I144)=1,1,""),"")</f>
        <v/>
      </c>
      <c r="M144" s="6">
        <f>IF(Table4164854[[#This Row],[Old or New?]]="Old",IF(SUM(G144,I144)=1,1,""),"")</f>
        <v>1</v>
      </c>
      <c r="N144" s="6" t="str">
        <f>IF(Table4164854[[#This Row],[Old or New?]]="Old",IF(SUM(H144,I144)=1,1,""),"")</f>
        <v/>
      </c>
      <c r="O144" s="5" t="str">
        <f>IF(IF(Table4164854[[#This Row],[Old or New?]]="New",1,0)+IF(SUM(Table4164854[[#This Row],[If Sight]:[If Both]])=1,1,0)=2,1,"")</f>
        <v/>
      </c>
      <c r="P144" s="5">
        <f>IF(IF(Table4164854[[#This Row],[Old or New?]]="Old",1,0)+IF(SUM(Table4164854[[#This Row],[If Sight]:[If Both]])=1,1,0)=2,1,"")</f>
        <v>1</v>
      </c>
    </row>
    <row r="145" spans="1:16">
      <c r="A145" s="2" t="s">
        <v>12</v>
      </c>
      <c r="B145" s="2" t="s">
        <v>5</v>
      </c>
      <c r="C145" s="1">
        <v>7</v>
      </c>
      <c r="D145" s="2" t="s">
        <v>16</v>
      </c>
      <c r="E145" s="1">
        <v>10</v>
      </c>
      <c r="G145" s="6" t="str">
        <f>IF(Table4164854[[#This Row],[Response]]="Sight",1,"")</f>
        <v/>
      </c>
      <c r="H145" s="6" t="str">
        <f>IF(Table4164854[[#This Row],[Response]]="Touch",1,"")</f>
        <v/>
      </c>
      <c r="I145" s="6" t="str">
        <f>IF(Table4164854[[#This Row],[Response]]="Both",1,"")</f>
        <v/>
      </c>
      <c r="J145" s="6" t="str">
        <f>IF(SUM(Table4164854[[#This Row],[If Sight]:[If Both]])=1,1,"")</f>
        <v/>
      </c>
      <c r="K145" s="6" t="str">
        <f>IF(Table4164854[[#This Row],[Old or New?]]="New",IF(SUM(G145,I145)=1,1,""),"")</f>
        <v/>
      </c>
      <c r="L145" s="6" t="str">
        <f>IF(Table4164854[[#This Row],[Old or New?]]="New",IF(SUM(H145,I145)=1,1,""),"")</f>
        <v/>
      </c>
      <c r="M145" s="6" t="str">
        <f>IF(Table4164854[[#This Row],[Old or New?]]="Old",IF(SUM(G145,I145)=1,1,""),"")</f>
        <v/>
      </c>
      <c r="N145" s="6" t="str">
        <f>IF(Table4164854[[#This Row],[Old or New?]]="Old",IF(SUM(H145,I145)=1,1,""),"")</f>
        <v/>
      </c>
      <c r="O145" s="5" t="str">
        <f>IF(IF(Table4164854[[#This Row],[Old or New?]]="New",1,0)+IF(SUM(Table4164854[[#This Row],[If Sight]:[If Both]])=1,1,0)=2,1,"")</f>
        <v/>
      </c>
      <c r="P145" s="5" t="str">
        <f>IF(IF(Table4164854[[#This Row],[Old or New?]]="Old",1,0)+IF(SUM(Table4164854[[#This Row],[If Sight]:[If Both]])=1,1,0)=2,1,"")</f>
        <v/>
      </c>
    </row>
    <row r="146" spans="1:16">
      <c r="A146" s="2" t="s">
        <v>12</v>
      </c>
      <c r="B146" s="2" t="s">
        <v>5</v>
      </c>
      <c r="C146" s="1">
        <v>8</v>
      </c>
      <c r="D146" s="2" t="s">
        <v>16</v>
      </c>
      <c r="E146" s="1">
        <v>10</v>
      </c>
      <c r="G146" s="6" t="str">
        <f>IF(Table4164854[[#This Row],[Response]]="Sight",1,"")</f>
        <v/>
      </c>
      <c r="H146" s="6" t="str">
        <f>IF(Table4164854[[#This Row],[Response]]="Touch",1,"")</f>
        <v/>
      </c>
      <c r="I146" s="6" t="str">
        <f>IF(Table4164854[[#This Row],[Response]]="Both",1,"")</f>
        <v/>
      </c>
      <c r="J146" s="6" t="str">
        <f>IF(SUM(Table4164854[[#This Row],[If Sight]:[If Both]])=1,1,"")</f>
        <v/>
      </c>
      <c r="K146" s="6" t="str">
        <f>IF(Table4164854[[#This Row],[Old or New?]]="New",IF(SUM(G146,I146)=1,1,""),"")</f>
        <v/>
      </c>
      <c r="L146" s="6" t="str">
        <f>IF(Table4164854[[#This Row],[Old or New?]]="New",IF(SUM(H146,I146)=1,1,""),"")</f>
        <v/>
      </c>
      <c r="M146" s="6" t="str">
        <f>IF(Table4164854[[#This Row],[Old or New?]]="Old",IF(SUM(G146,I146)=1,1,""),"")</f>
        <v/>
      </c>
      <c r="N146" s="6" t="str">
        <f>IF(Table4164854[[#This Row],[Old or New?]]="Old",IF(SUM(H146,I146)=1,1,""),"")</f>
        <v/>
      </c>
      <c r="O146" s="5" t="str">
        <f>IF(IF(Table4164854[[#This Row],[Old or New?]]="New",1,0)+IF(SUM(Table4164854[[#This Row],[If Sight]:[If Both]])=1,1,0)=2,1,"")</f>
        <v/>
      </c>
      <c r="P146" s="5" t="str">
        <f>IF(IF(Table4164854[[#This Row],[Old or New?]]="Old",1,0)+IF(SUM(Table4164854[[#This Row],[If Sight]:[If Both]])=1,1,0)=2,1,"")</f>
        <v/>
      </c>
    </row>
    <row r="147" spans="1:16">
      <c r="A147" s="2" t="s">
        <v>12</v>
      </c>
      <c r="B147" s="2" t="s">
        <v>5</v>
      </c>
      <c r="C147" s="1">
        <v>9</v>
      </c>
      <c r="D147" s="2" t="s">
        <v>16</v>
      </c>
      <c r="E147" s="1">
        <v>10</v>
      </c>
      <c r="G147" s="6" t="str">
        <f>IF(Table4164854[[#This Row],[Response]]="Sight",1,"")</f>
        <v/>
      </c>
      <c r="H147" s="6" t="str">
        <f>IF(Table4164854[[#This Row],[Response]]="Touch",1,"")</f>
        <v/>
      </c>
      <c r="I147" s="6" t="str">
        <f>IF(Table4164854[[#This Row],[Response]]="Both",1,"")</f>
        <v/>
      </c>
      <c r="J147" s="6" t="str">
        <f>IF(SUM(Table4164854[[#This Row],[If Sight]:[If Both]])=1,1,"")</f>
        <v/>
      </c>
      <c r="K147" s="6" t="str">
        <f>IF(Table4164854[[#This Row],[Old or New?]]="New",IF(SUM(G147,I147)=1,1,""),"")</f>
        <v/>
      </c>
      <c r="L147" s="6" t="str">
        <f>IF(Table4164854[[#This Row],[Old or New?]]="New",IF(SUM(H147,I147)=1,1,""),"")</f>
        <v/>
      </c>
      <c r="M147" s="6" t="str">
        <f>IF(Table4164854[[#This Row],[Old or New?]]="Old",IF(SUM(G147,I147)=1,1,""),"")</f>
        <v/>
      </c>
      <c r="N147" s="6" t="str">
        <f>IF(Table4164854[[#This Row],[Old or New?]]="Old",IF(SUM(H147,I147)=1,1,""),"")</f>
        <v/>
      </c>
      <c r="O147" s="5" t="str">
        <f>IF(IF(Table4164854[[#This Row],[Old or New?]]="New",1,0)+IF(SUM(Table4164854[[#This Row],[If Sight]:[If Both]])=1,1,0)=2,1,"")</f>
        <v/>
      </c>
      <c r="P147" s="5" t="str">
        <f>IF(IF(Table4164854[[#This Row],[Old or New?]]="Old",1,0)+IF(SUM(Table4164854[[#This Row],[If Sight]:[If Both]])=1,1,0)=2,1,"")</f>
        <v/>
      </c>
    </row>
    <row r="148" spans="1:16">
      <c r="A148" s="2" t="s">
        <v>12</v>
      </c>
      <c r="B148" s="2" t="s">
        <v>5</v>
      </c>
      <c r="C148" s="1">
        <v>10</v>
      </c>
      <c r="D148" s="2" t="s">
        <v>16</v>
      </c>
      <c r="E148" s="1">
        <v>10</v>
      </c>
      <c r="F148" s="2"/>
      <c r="G148" s="6" t="str">
        <f>IF(Table4164854[[#This Row],[Response]]="Sight",1,"")</f>
        <v/>
      </c>
      <c r="H148" s="6" t="str">
        <f>IF(Table4164854[[#This Row],[Response]]="Touch",1,"")</f>
        <v/>
      </c>
      <c r="I148" s="6" t="str">
        <f>IF(Table4164854[[#This Row],[Response]]="Both",1,"")</f>
        <v/>
      </c>
      <c r="J148" s="6" t="str">
        <f>IF(SUM(Table4164854[[#This Row],[If Sight]:[If Both]])=1,1,"")</f>
        <v/>
      </c>
      <c r="K148" s="6" t="str">
        <f>IF(Table4164854[[#This Row],[Old or New?]]="New",IF(SUM(G148,I148)=1,1,""),"")</f>
        <v/>
      </c>
      <c r="L148" s="6" t="str">
        <f>IF(Table4164854[[#This Row],[Old or New?]]="New",IF(SUM(H148,I148)=1,1,""),"")</f>
        <v/>
      </c>
      <c r="M148" s="6" t="str">
        <f>IF(Table4164854[[#This Row],[Old or New?]]="Old",IF(SUM(G148,I148)=1,1,""),"")</f>
        <v/>
      </c>
      <c r="N148" s="6" t="str">
        <f>IF(Table4164854[[#This Row],[Old or New?]]="Old",IF(SUM(H148,I148)=1,1,""),"")</f>
        <v/>
      </c>
      <c r="O148" s="5" t="str">
        <f>IF(IF(Table4164854[[#This Row],[Old or New?]]="New",1,0)+IF(SUM(Table4164854[[#This Row],[If Sight]:[If Both]])=1,1,0)=2,1,"")</f>
        <v/>
      </c>
      <c r="P148" s="5" t="str">
        <f>IF(IF(Table4164854[[#This Row],[Old or New?]]="Old",1,0)+IF(SUM(Table4164854[[#This Row],[If Sight]:[If Both]])=1,1,0)=2,1,"")</f>
        <v/>
      </c>
    </row>
    <row r="149" spans="1:16">
      <c r="A149" s="2" t="s">
        <v>12</v>
      </c>
      <c r="B149" s="2" t="s">
        <v>5</v>
      </c>
      <c r="C149" s="1">
        <v>11</v>
      </c>
      <c r="D149" s="2" t="s">
        <v>16</v>
      </c>
      <c r="E149" s="1">
        <v>10</v>
      </c>
      <c r="G149" s="6" t="str">
        <f>IF(Table4164854[[#This Row],[Response]]="Sight",1,"")</f>
        <v/>
      </c>
      <c r="H149" s="6" t="str">
        <f>IF(Table4164854[[#This Row],[Response]]="Touch",1,"")</f>
        <v/>
      </c>
      <c r="I149" s="6" t="str">
        <f>IF(Table4164854[[#This Row],[Response]]="Both",1,"")</f>
        <v/>
      </c>
      <c r="J149" s="6" t="str">
        <f>IF(SUM(Table4164854[[#This Row],[If Sight]:[If Both]])=1,1,"")</f>
        <v/>
      </c>
      <c r="K149" s="6" t="str">
        <f>IF(Table4164854[[#This Row],[Old or New?]]="New",IF(SUM(G149,I149)=1,1,""),"")</f>
        <v/>
      </c>
      <c r="L149" s="6" t="str">
        <f>IF(Table4164854[[#This Row],[Old or New?]]="New",IF(SUM(H149,I149)=1,1,""),"")</f>
        <v/>
      </c>
      <c r="M149" s="6" t="str">
        <f>IF(Table4164854[[#This Row],[Old or New?]]="Old",IF(SUM(G149,I149)=1,1,""),"")</f>
        <v/>
      </c>
      <c r="N149" s="6" t="str">
        <f>IF(Table4164854[[#This Row],[Old or New?]]="Old",IF(SUM(H149,I149)=1,1,""),"")</f>
        <v/>
      </c>
      <c r="O149" s="5" t="str">
        <f>IF(IF(Table4164854[[#This Row],[Old or New?]]="New",1,0)+IF(SUM(Table4164854[[#This Row],[If Sight]:[If Both]])=1,1,0)=2,1,"")</f>
        <v/>
      </c>
      <c r="P149" s="5" t="str">
        <f>IF(IF(Table4164854[[#This Row],[Old or New?]]="Old",1,0)+IF(SUM(Table4164854[[#This Row],[If Sight]:[If Both]])=1,1,0)=2,1,"")</f>
        <v/>
      </c>
    </row>
    <row r="150" spans="1:16">
      <c r="A150" s="2" t="s">
        <v>12</v>
      </c>
      <c r="B150" s="2" t="s">
        <v>5</v>
      </c>
      <c r="C150" s="1">
        <v>12</v>
      </c>
      <c r="D150" s="2" t="s">
        <v>16</v>
      </c>
      <c r="E150" s="1">
        <v>10</v>
      </c>
      <c r="F150" s="2"/>
      <c r="G150" s="6" t="str">
        <f>IF(Table4164854[[#This Row],[Response]]="Sight",1,"")</f>
        <v/>
      </c>
      <c r="H150" s="6" t="str">
        <f>IF(Table4164854[[#This Row],[Response]]="Touch",1,"")</f>
        <v/>
      </c>
      <c r="I150" s="6" t="str">
        <f>IF(Table4164854[[#This Row],[Response]]="Both",1,"")</f>
        <v/>
      </c>
      <c r="J150" s="6" t="str">
        <f>IF(SUM(Table4164854[[#This Row],[If Sight]:[If Both]])=1,1,"")</f>
        <v/>
      </c>
      <c r="K150" s="6" t="str">
        <f>IF(Table4164854[[#This Row],[Old or New?]]="New",IF(SUM(G150,I150)=1,1,""),"")</f>
        <v/>
      </c>
      <c r="L150" s="6" t="str">
        <f>IF(Table4164854[[#This Row],[Old or New?]]="New",IF(SUM(H150,I150)=1,1,""),"")</f>
        <v/>
      </c>
      <c r="M150" s="6" t="str">
        <f>IF(Table4164854[[#This Row],[Old or New?]]="Old",IF(SUM(G150,I150)=1,1,""),"")</f>
        <v/>
      </c>
      <c r="N150" s="6" t="str">
        <f>IF(Table4164854[[#This Row],[Old or New?]]="Old",IF(SUM(H150,I150)=1,1,""),"")</f>
        <v/>
      </c>
      <c r="O150" s="5" t="str">
        <f>IF(IF(Table4164854[[#This Row],[Old or New?]]="New",1,0)+IF(SUM(Table4164854[[#This Row],[If Sight]:[If Both]])=1,1,0)=2,1,"")</f>
        <v/>
      </c>
      <c r="P150" s="5" t="str">
        <f>IF(IF(Table4164854[[#This Row],[Old or New?]]="Old",1,0)+IF(SUM(Table4164854[[#This Row],[If Sight]:[If Both]])=1,1,0)=2,1,"")</f>
        <v/>
      </c>
    </row>
    <row r="151" spans="1:16">
      <c r="A151" s="2" t="s">
        <v>12</v>
      </c>
      <c r="B151" s="2" t="s">
        <v>5</v>
      </c>
      <c r="C151" s="1">
        <v>13</v>
      </c>
      <c r="D151" s="2" t="s">
        <v>16</v>
      </c>
      <c r="E151" s="1">
        <v>10</v>
      </c>
      <c r="G151" s="6" t="str">
        <f>IF(Table4164854[[#This Row],[Response]]="Sight",1,"")</f>
        <v/>
      </c>
      <c r="H151" s="6" t="str">
        <f>IF(Table4164854[[#This Row],[Response]]="Touch",1,"")</f>
        <v/>
      </c>
      <c r="I151" s="6" t="str">
        <f>IF(Table4164854[[#This Row],[Response]]="Both",1,"")</f>
        <v/>
      </c>
      <c r="J151" s="6" t="str">
        <f>IF(SUM(Table4164854[[#This Row],[If Sight]:[If Both]])=1,1,"")</f>
        <v/>
      </c>
      <c r="K151" s="6" t="str">
        <f>IF(Table4164854[[#This Row],[Old or New?]]="New",IF(SUM(G151,I151)=1,1,""),"")</f>
        <v/>
      </c>
      <c r="L151" s="6" t="str">
        <f>IF(Table4164854[[#This Row],[Old or New?]]="New",IF(SUM(H151,I151)=1,1,""),"")</f>
        <v/>
      </c>
      <c r="M151" s="6" t="str">
        <f>IF(Table4164854[[#This Row],[Old or New?]]="Old",IF(SUM(G151,I151)=1,1,""),"")</f>
        <v/>
      </c>
      <c r="N151" s="6" t="str">
        <f>IF(Table4164854[[#This Row],[Old or New?]]="Old",IF(SUM(H151,I151)=1,1,""),"")</f>
        <v/>
      </c>
      <c r="O151" s="5" t="str">
        <f>IF(IF(Table4164854[[#This Row],[Old or New?]]="New",1,0)+IF(SUM(Table4164854[[#This Row],[If Sight]:[If Both]])=1,1,0)=2,1,"")</f>
        <v/>
      </c>
      <c r="P151" s="5" t="str">
        <f>IF(IF(Table4164854[[#This Row],[Old or New?]]="Old",1,0)+IF(SUM(Table4164854[[#This Row],[If Sight]:[If Both]])=1,1,0)=2,1,"")</f>
        <v/>
      </c>
    </row>
    <row r="152" spans="1:16">
      <c r="A152" s="2" t="s">
        <v>12</v>
      </c>
      <c r="B152" s="2" t="s">
        <v>5</v>
      </c>
      <c r="C152" s="1">
        <v>14</v>
      </c>
      <c r="D152" s="2" t="s">
        <v>16</v>
      </c>
      <c r="E152" s="1">
        <v>10</v>
      </c>
      <c r="G152" s="6" t="str">
        <f>IF(Table4164854[[#This Row],[Response]]="Sight",1,"")</f>
        <v/>
      </c>
      <c r="H152" s="6" t="str">
        <f>IF(Table4164854[[#This Row],[Response]]="Touch",1,"")</f>
        <v/>
      </c>
      <c r="I152" s="6" t="str">
        <f>IF(Table4164854[[#This Row],[Response]]="Both",1,"")</f>
        <v/>
      </c>
      <c r="J152" s="6" t="str">
        <f>IF(SUM(Table4164854[[#This Row],[If Sight]:[If Both]])=1,1,"")</f>
        <v/>
      </c>
      <c r="K152" s="6" t="str">
        <f>IF(Table4164854[[#This Row],[Old or New?]]="New",IF(SUM(G152,I152)=1,1,""),"")</f>
        <v/>
      </c>
      <c r="L152" s="6" t="str">
        <f>IF(Table4164854[[#This Row],[Old or New?]]="New",IF(SUM(H152,I152)=1,1,""),"")</f>
        <v/>
      </c>
      <c r="M152" s="6" t="str">
        <f>IF(Table4164854[[#This Row],[Old or New?]]="Old",IF(SUM(G152,I152)=1,1,""),"")</f>
        <v/>
      </c>
      <c r="N152" s="6" t="str">
        <f>IF(Table4164854[[#This Row],[Old or New?]]="Old",IF(SUM(H152,I152)=1,1,""),"")</f>
        <v/>
      </c>
      <c r="O152" s="5" t="str">
        <f>IF(IF(Table4164854[[#This Row],[Old or New?]]="New",1,0)+IF(SUM(Table4164854[[#This Row],[If Sight]:[If Both]])=1,1,0)=2,1,"")</f>
        <v/>
      </c>
      <c r="P152" s="5" t="str">
        <f>IF(IF(Table4164854[[#This Row],[Old or New?]]="Old",1,0)+IF(SUM(Table4164854[[#This Row],[If Sight]:[If Both]])=1,1,0)=2,1,"")</f>
        <v/>
      </c>
    </row>
    <row r="153" spans="1:16">
      <c r="A153" s="2" t="s">
        <v>12</v>
      </c>
      <c r="B153" s="2" t="s">
        <v>5</v>
      </c>
      <c r="C153" s="1">
        <v>15</v>
      </c>
      <c r="D153" s="2" t="s">
        <v>16</v>
      </c>
      <c r="E153" s="1">
        <v>10</v>
      </c>
      <c r="F153" s="1" t="s">
        <v>18</v>
      </c>
      <c r="G153" s="6">
        <f>IF(Table4164854[[#This Row],[Response]]="Sight",1,"")</f>
        <v>1</v>
      </c>
      <c r="H153" s="6" t="str">
        <f>IF(Table4164854[[#This Row],[Response]]="Touch",1,"")</f>
        <v/>
      </c>
      <c r="I153" s="6" t="str">
        <f>IF(Table4164854[[#This Row],[Response]]="Both",1,"")</f>
        <v/>
      </c>
      <c r="J153" s="6">
        <f>IF(SUM(Table4164854[[#This Row],[If Sight]:[If Both]])=1,1,"")</f>
        <v>1</v>
      </c>
      <c r="K153" s="6" t="str">
        <f>IF(Table4164854[[#This Row],[Old or New?]]="New",IF(SUM(G153,I153)=1,1,""),"")</f>
        <v/>
      </c>
      <c r="L153" s="6" t="str">
        <f>IF(Table4164854[[#This Row],[Old or New?]]="New",IF(SUM(H153,I153)=1,1,""),"")</f>
        <v/>
      </c>
      <c r="M153" s="6">
        <f>IF(Table4164854[[#This Row],[Old or New?]]="Old",IF(SUM(G153,I153)=1,1,""),"")</f>
        <v>1</v>
      </c>
      <c r="N153" s="6" t="str">
        <f>IF(Table4164854[[#This Row],[Old or New?]]="Old",IF(SUM(H153,I153)=1,1,""),"")</f>
        <v/>
      </c>
      <c r="O153" s="5" t="str">
        <f>IF(IF(Table4164854[[#This Row],[Old or New?]]="New",1,0)+IF(SUM(Table4164854[[#This Row],[If Sight]:[If Both]])=1,1,0)=2,1,"")</f>
        <v/>
      </c>
      <c r="P153" s="5">
        <f>IF(IF(Table4164854[[#This Row],[Old or New?]]="Old",1,0)+IF(SUM(Table4164854[[#This Row],[If Sight]:[If Both]])=1,1,0)=2,1,"")</f>
        <v>1</v>
      </c>
    </row>
    <row r="154" spans="1:16">
      <c r="A154" s="2" t="s">
        <v>12</v>
      </c>
      <c r="B154" s="2" t="s">
        <v>5</v>
      </c>
      <c r="C154" s="1">
        <v>16</v>
      </c>
      <c r="D154" s="2" t="s">
        <v>16</v>
      </c>
      <c r="E154" s="1">
        <v>10</v>
      </c>
      <c r="F154" s="1" t="s">
        <v>18</v>
      </c>
      <c r="G154" s="6">
        <f>IF(Table4164854[[#This Row],[Response]]="Sight",1,"")</f>
        <v>1</v>
      </c>
      <c r="H154" s="6" t="str">
        <f>IF(Table4164854[[#This Row],[Response]]="Touch",1,"")</f>
        <v/>
      </c>
      <c r="I154" s="6" t="str">
        <f>IF(Table4164854[[#This Row],[Response]]="Both",1,"")</f>
        <v/>
      </c>
      <c r="J154" s="6">
        <f>IF(SUM(Table4164854[[#This Row],[If Sight]:[If Both]])=1,1,"")</f>
        <v>1</v>
      </c>
      <c r="K154" s="6" t="str">
        <f>IF(Table4164854[[#This Row],[Old or New?]]="New",IF(SUM(G154,I154)=1,1,""),"")</f>
        <v/>
      </c>
      <c r="L154" s="6" t="str">
        <f>IF(Table4164854[[#This Row],[Old or New?]]="New",IF(SUM(H154,I154)=1,1,""),"")</f>
        <v/>
      </c>
      <c r="M154" s="6">
        <f>IF(Table4164854[[#This Row],[Old or New?]]="Old",IF(SUM(G154,I154)=1,1,""),"")</f>
        <v>1</v>
      </c>
      <c r="N154" s="6" t="str">
        <f>IF(Table4164854[[#This Row],[Old or New?]]="Old",IF(SUM(H154,I154)=1,1,""),"")</f>
        <v/>
      </c>
      <c r="O154" s="5" t="str">
        <f>IF(IF(Table4164854[[#This Row],[Old or New?]]="New",1,0)+IF(SUM(Table4164854[[#This Row],[If Sight]:[If Both]])=1,1,0)=2,1,"")</f>
        <v/>
      </c>
      <c r="P154" s="5">
        <f>IF(IF(Table4164854[[#This Row],[Old or New?]]="Old",1,0)+IF(SUM(Table4164854[[#This Row],[If Sight]:[If Both]])=1,1,0)=2,1,"")</f>
        <v>1</v>
      </c>
    </row>
    <row r="155" spans="1:16">
      <c r="A155" s="2" t="s">
        <v>12</v>
      </c>
      <c r="B155" s="2" t="s">
        <v>5</v>
      </c>
      <c r="C155" s="1">
        <v>17</v>
      </c>
      <c r="D155" s="2" t="s">
        <v>16</v>
      </c>
      <c r="E155" s="1">
        <v>10</v>
      </c>
      <c r="G155" s="6" t="str">
        <f>IF(Table4164854[[#This Row],[Response]]="Sight",1,"")</f>
        <v/>
      </c>
      <c r="H155" s="6" t="str">
        <f>IF(Table4164854[[#This Row],[Response]]="Touch",1,"")</f>
        <v/>
      </c>
      <c r="I155" s="6" t="str">
        <f>IF(Table4164854[[#This Row],[Response]]="Both",1,"")</f>
        <v/>
      </c>
      <c r="J155" s="6" t="str">
        <f>IF(SUM(Table4164854[[#This Row],[If Sight]:[If Both]])=1,1,"")</f>
        <v/>
      </c>
      <c r="K155" s="6" t="str">
        <f>IF(Table4164854[[#This Row],[Old or New?]]="New",IF(SUM(G155,I155)=1,1,""),"")</f>
        <v/>
      </c>
      <c r="L155" s="6" t="str">
        <f>IF(Table4164854[[#This Row],[Old or New?]]="New",IF(SUM(H155,I155)=1,1,""),"")</f>
        <v/>
      </c>
      <c r="M155" s="6" t="str">
        <f>IF(Table4164854[[#This Row],[Old or New?]]="Old",IF(SUM(G155,I155)=1,1,""),"")</f>
        <v/>
      </c>
      <c r="N155" s="6" t="str">
        <f>IF(Table4164854[[#This Row],[Old or New?]]="Old",IF(SUM(H155,I155)=1,1,""),"")</f>
        <v/>
      </c>
      <c r="O155" s="5" t="str">
        <f>IF(IF(Table4164854[[#This Row],[Old or New?]]="New",1,0)+IF(SUM(Table4164854[[#This Row],[If Sight]:[If Both]])=1,1,0)=2,1,"")</f>
        <v/>
      </c>
      <c r="P155" s="5" t="str">
        <f>IF(IF(Table4164854[[#This Row],[Old or New?]]="Old",1,0)+IF(SUM(Table4164854[[#This Row],[If Sight]:[If Both]])=1,1,0)=2,1,"")</f>
        <v/>
      </c>
    </row>
    <row r="156" spans="1:16">
      <c r="A156" s="2" t="s">
        <v>12</v>
      </c>
      <c r="B156" s="2" t="s">
        <v>5</v>
      </c>
      <c r="C156" s="1">
        <v>18</v>
      </c>
      <c r="D156" s="2" t="s">
        <v>16</v>
      </c>
      <c r="E156" s="1">
        <v>10</v>
      </c>
      <c r="G156" s="6" t="str">
        <f>IF(Table4164854[[#This Row],[Response]]="Sight",1,"")</f>
        <v/>
      </c>
      <c r="H156" s="6" t="str">
        <f>IF(Table4164854[[#This Row],[Response]]="Touch",1,"")</f>
        <v/>
      </c>
      <c r="I156" s="6" t="str">
        <f>IF(Table4164854[[#This Row],[Response]]="Both",1,"")</f>
        <v/>
      </c>
      <c r="J156" s="6" t="str">
        <f>IF(SUM(Table4164854[[#This Row],[If Sight]:[If Both]])=1,1,"")</f>
        <v/>
      </c>
      <c r="K156" s="6" t="str">
        <f>IF(Table4164854[[#This Row],[Old or New?]]="New",IF(SUM(G156,I156)=1,1,""),"")</f>
        <v/>
      </c>
      <c r="L156" s="6" t="str">
        <f>IF(Table4164854[[#This Row],[Old or New?]]="New",IF(SUM(H156,I156)=1,1,""),"")</f>
        <v/>
      </c>
      <c r="M156" s="6" t="str">
        <f>IF(Table4164854[[#This Row],[Old or New?]]="Old",IF(SUM(G156,I156)=1,1,""),"")</f>
        <v/>
      </c>
      <c r="N156" s="6" t="str">
        <f>IF(Table4164854[[#This Row],[Old or New?]]="Old",IF(SUM(H156,I156)=1,1,""),"")</f>
        <v/>
      </c>
      <c r="O156" s="5" t="str">
        <f>IF(IF(Table4164854[[#This Row],[Old or New?]]="New",1,0)+IF(SUM(Table4164854[[#This Row],[If Sight]:[If Both]])=1,1,0)=2,1,"")</f>
        <v/>
      </c>
      <c r="P156" s="5" t="str">
        <f>IF(IF(Table4164854[[#This Row],[Old or New?]]="Old",1,0)+IF(SUM(Table4164854[[#This Row],[If Sight]:[If Both]])=1,1,0)=2,1,"")</f>
        <v/>
      </c>
    </row>
    <row r="157" spans="1:16">
      <c r="A157" s="2" t="s">
        <v>12</v>
      </c>
      <c r="B157" s="2" t="s">
        <v>5</v>
      </c>
      <c r="C157" s="2">
        <v>19</v>
      </c>
      <c r="D157" s="2" t="s">
        <v>16</v>
      </c>
      <c r="E157" s="1">
        <v>10</v>
      </c>
      <c r="F157" s="2"/>
      <c r="G157" s="6" t="str">
        <f>IF(Table4164854[[#This Row],[Response]]="Sight",1,"")</f>
        <v/>
      </c>
      <c r="H157" s="6" t="str">
        <f>IF(Table4164854[[#This Row],[Response]]="Touch",1,"")</f>
        <v/>
      </c>
      <c r="I157" s="6" t="str">
        <f>IF(Table4164854[[#This Row],[Response]]="Both",1,"")</f>
        <v/>
      </c>
      <c r="J157" s="6" t="str">
        <f>IF(SUM(Table4164854[[#This Row],[If Sight]:[If Both]])=1,1,"")</f>
        <v/>
      </c>
      <c r="K157" s="6" t="str">
        <f>IF(Table4164854[[#This Row],[Old or New?]]="New",IF(SUM(G157,I157)=1,1,""),"")</f>
        <v/>
      </c>
      <c r="L157" s="6" t="str">
        <f>IF(Table4164854[[#This Row],[Old or New?]]="New",IF(SUM(H157,I157)=1,1,""),"")</f>
        <v/>
      </c>
      <c r="M157" s="6" t="str">
        <f>IF(Table4164854[[#This Row],[Old or New?]]="Old",IF(SUM(G157,I157)=1,1,""),"")</f>
        <v/>
      </c>
      <c r="N157" s="6" t="str">
        <f>IF(Table4164854[[#This Row],[Old or New?]]="Old",IF(SUM(H157,I157)=1,1,""),"")</f>
        <v/>
      </c>
      <c r="O157" s="5" t="str">
        <f>IF(IF(Table4164854[[#This Row],[Old or New?]]="New",1,0)+IF(SUM(Table4164854[[#This Row],[If Sight]:[If Both]])=1,1,0)=2,1,"")</f>
        <v/>
      </c>
      <c r="P157" s="5" t="str">
        <f>IF(IF(Table4164854[[#This Row],[Old or New?]]="Old",1,0)+IF(SUM(Table4164854[[#This Row],[If Sight]:[If Both]])=1,1,0)=2,1,"")</f>
        <v/>
      </c>
    </row>
    <row r="158" spans="1:16">
      <c r="A158" s="2" t="s">
        <v>12</v>
      </c>
      <c r="B158" s="2" t="s">
        <v>5</v>
      </c>
      <c r="C158" s="2">
        <v>20</v>
      </c>
      <c r="D158" s="2" t="s">
        <v>16</v>
      </c>
      <c r="E158" s="1">
        <v>10</v>
      </c>
      <c r="F158" s="2"/>
      <c r="G158" s="6" t="str">
        <f>IF(Table4164854[[#This Row],[Response]]="Sight",1,"")</f>
        <v/>
      </c>
      <c r="H158" s="6" t="str">
        <f>IF(Table4164854[[#This Row],[Response]]="Touch",1,"")</f>
        <v/>
      </c>
      <c r="I158" s="6" t="str">
        <f>IF(Table4164854[[#This Row],[Response]]="Both",1,"")</f>
        <v/>
      </c>
      <c r="J158" s="6" t="str">
        <f>IF(SUM(Table4164854[[#This Row],[If Sight]:[If Both]])=1,1,"")</f>
        <v/>
      </c>
      <c r="K158" s="6" t="str">
        <f>IF(Table4164854[[#This Row],[Old or New?]]="New",IF(SUM(G158,I158)=1,1,""),"")</f>
        <v/>
      </c>
      <c r="L158" s="6" t="str">
        <f>IF(Table4164854[[#This Row],[Old or New?]]="New",IF(SUM(H158,I158)=1,1,""),"")</f>
        <v/>
      </c>
      <c r="M158" s="6" t="str">
        <f>IF(Table4164854[[#This Row],[Old or New?]]="Old",IF(SUM(G158,I158)=1,1,""),"")</f>
        <v/>
      </c>
      <c r="N158" s="6" t="str">
        <f>IF(Table4164854[[#This Row],[Old or New?]]="Old",IF(SUM(H158,I158)=1,1,""),"")</f>
        <v/>
      </c>
      <c r="O158" s="5" t="str">
        <f>IF(IF(Table4164854[[#This Row],[Old or New?]]="New",1,0)+IF(SUM(Table4164854[[#This Row],[If Sight]:[If Both]])=1,1,0)=2,1,"")</f>
        <v/>
      </c>
      <c r="P158" s="5" t="str">
        <f>IF(IF(Table4164854[[#This Row],[Old or New?]]="Old",1,0)+IF(SUM(Table4164854[[#This Row],[If Sight]:[If Both]])=1,1,0)=2,1,"")</f>
        <v/>
      </c>
    </row>
    <row r="159" spans="1:16">
      <c r="A159" s="2" t="s">
        <v>12</v>
      </c>
      <c r="B159" s="2" t="s">
        <v>5</v>
      </c>
      <c r="C159" s="2">
        <v>21</v>
      </c>
      <c r="D159" s="2" t="s">
        <v>16</v>
      </c>
      <c r="E159" s="1">
        <v>10</v>
      </c>
      <c r="F159" s="2"/>
      <c r="G159" s="6" t="str">
        <f>IF(Table4164854[[#This Row],[Response]]="Sight",1,"")</f>
        <v/>
      </c>
      <c r="H159" s="6" t="str">
        <f>IF(Table4164854[[#This Row],[Response]]="Touch",1,"")</f>
        <v/>
      </c>
      <c r="I159" s="6" t="str">
        <f>IF(Table4164854[[#This Row],[Response]]="Both",1,"")</f>
        <v/>
      </c>
      <c r="J159" s="6" t="str">
        <f>IF(SUM(Table4164854[[#This Row],[If Sight]:[If Both]])=1,1,"")</f>
        <v/>
      </c>
      <c r="K159" s="6" t="str">
        <f>IF(Table4164854[[#This Row],[Old or New?]]="New",IF(SUM(G159,I159)=1,1,""),"")</f>
        <v/>
      </c>
      <c r="L159" s="6" t="str">
        <f>IF(Table4164854[[#This Row],[Old or New?]]="New",IF(SUM(H159,I159)=1,1,""),"")</f>
        <v/>
      </c>
      <c r="M159" s="6" t="str">
        <f>IF(Table4164854[[#This Row],[Old or New?]]="Old",IF(SUM(G159,I159)=1,1,""),"")</f>
        <v/>
      </c>
      <c r="N159" s="6" t="str">
        <f>IF(Table4164854[[#This Row],[Old or New?]]="Old",IF(SUM(H159,I159)=1,1,""),"")</f>
        <v/>
      </c>
      <c r="O159" s="5" t="str">
        <f>IF(IF(Table4164854[[#This Row],[Old or New?]]="New",1,0)+IF(SUM(Table4164854[[#This Row],[If Sight]:[If Both]])=1,1,0)=2,1,"")</f>
        <v/>
      </c>
      <c r="P159" s="5" t="str">
        <f>IF(IF(Table4164854[[#This Row],[Old or New?]]="Old",1,0)+IF(SUM(Table4164854[[#This Row],[If Sight]:[If Both]])=1,1,0)=2,1,"")</f>
        <v/>
      </c>
    </row>
    <row r="160" spans="1:16">
      <c r="A160" s="2" t="s">
        <v>12</v>
      </c>
      <c r="B160" s="2" t="s">
        <v>5</v>
      </c>
      <c r="C160" s="2">
        <v>22</v>
      </c>
      <c r="D160" s="2" t="s">
        <v>16</v>
      </c>
      <c r="E160" s="1">
        <v>10</v>
      </c>
      <c r="F160" s="2"/>
      <c r="G160" s="6" t="str">
        <f>IF(Table4164854[[#This Row],[Response]]="Sight",1,"")</f>
        <v/>
      </c>
      <c r="H160" s="6" t="str">
        <f>IF(Table4164854[[#This Row],[Response]]="Touch",1,"")</f>
        <v/>
      </c>
      <c r="I160" s="6" t="str">
        <f>IF(Table4164854[[#This Row],[Response]]="Both",1,"")</f>
        <v/>
      </c>
      <c r="J160" s="6" t="str">
        <f>IF(SUM(Table4164854[[#This Row],[If Sight]:[If Both]])=1,1,"")</f>
        <v/>
      </c>
      <c r="K160" s="6" t="str">
        <f>IF(Table4164854[[#This Row],[Old or New?]]="New",IF(SUM(G160,I160)=1,1,""),"")</f>
        <v/>
      </c>
      <c r="L160" s="6" t="str">
        <f>IF(Table4164854[[#This Row],[Old or New?]]="New",IF(SUM(H160,I160)=1,1,""),"")</f>
        <v/>
      </c>
      <c r="M160" s="6" t="str">
        <f>IF(Table4164854[[#This Row],[Old or New?]]="Old",IF(SUM(G160,I160)=1,1,""),"")</f>
        <v/>
      </c>
      <c r="N160" s="6" t="str">
        <f>IF(Table4164854[[#This Row],[Old or New?]]="Old",IF(SUM(H160,I160)=1,1,""),"")</f>
        <v/>
      </c>
      <c r="O160" s="5" t="str">
        <f>IF(IF(Table4164854[[#This Row],[Old or New?]]="New",1,0)+IF(SUM(Table4164854[[#This Row],[If Sight]:[If Both]])=1,1,0)=2,1,"")</f>
        <v/>
      </c>
      <c r="P160" s="5" t="str">
        <f>IF(IF(Table4164854[[#This Row],[Old or New?]]="Old",1,0)+IF(SUM(Table4164854[[#This Row],[If Sight]:[If Both]])=1,1,0)=2,1,"")</f>
        <v/>
      </c>
    </row>
    <row r="161" spans="1:16">
      <c r="A161" s="2" t="s">
        <v>12</v>
      </c>
      <c r="B161" s="2" t="s">
        <v>5</v>
      </c>
      <c r="C161" s="2">
        <v>23</v>
      </c>
      <c r="D161" s="2" t="s">
        <v>16</v>
      </c>
      <c r="E161" s="1">
        <v>10</v>
      </c>
      <c r="F161" s="2"/>
      <c r="G161" s="6" t="str">
        <f>IF(Table4164854[[#This Row],[Response]]="Sight",1,"")</f>
        <v/>
      </c>
      <c r="H161" s="6" t="str">
        <f>IF(Table4164854[[#This Row],[Response]]="Touch",1,"")</f>
        <v/>
      </c>
      <c r="I161" s="6" t="str">
        <f>IF(Table4164854[[#This Row],[Response]]="Both",1,"")</f>
        <v/>
      </c>
      <c r="J161" s="6" t="str">
        <f>IF(SUM(Table4164854[[#This Row],[If Sight]:[If Both]])=1,1,"")</f>
        <v/>
      </c>
      <c r="K161" s="6" t="str">
        <f>IF(Table4164854[[#This Row],[Old or New?]]="New",IF(SUM(G161,I161)=1,1,""),"")</f>
        <v/>
      </c>
      <c r="L161" s="6" t="str">
        <f>IF(Table4164854[[#This Row],[Old or New?]]="New",IF(SUM(H161,I161)=1,1,""),"")</f>
        <v/>
      </c>
      <c r="M161" s="6" t="str">
        <f>IF(Table4164854[[#This Row],[Old or New?]]="Old",IF(SUM(G161,I161)=1,1,""),"")</f>
        <v/>
      </c>
      <c r="N161" s="6" t="str">
        <f>IF(Table4164854[[#This Row],[Old or New?]]="Old",IF(SUM(H161,I161)=1,1,""),"")</f>
        <v/>
      </c>
      <c r="O161" s="5" t="str">
        <f>IF(IF(Table4164854[[#This Row],[Old or New?]]="New",1,0)+IF(SUM(Table4164854[[#This Row],[If Sight]:[If Both]])=1,1,0)=2,1,"")</f>
        <v/>
      </c>
      <c r="P161" s="5" t="str">
        <f>IF(IF(Table4164854[[#This Row],[Old or New?]]="Old",1,0)+IF(SUM(Table4164854[[#This Row],[If Sight]:[If Both]])=1,1,0)=2,1,"")</f>
        <v/>
      </c>
    </row>
    <row r="162" spans="1:16">
      <c r="A162" s="2" t="s">
        <v>12</v>
      </c>
      <c r="B162" s="2" t="s">
        <v>5</v>
      </c>
      <c r="C162" s="2">
        <v>24</v>
      </c>
      <c r="D162" s="2" t="s">
        <v>16</v>
      </c>
      <c r="E162" s="1">
        <v>10</v>
      </c>
      <c r="F162" s="2"/>
      <c r="G162" s="6" t="str">
        <f>IF(Table4164854[[#This Row],[Response]]="Sight",1,"")</f>
        <v/>
      </c>
      <c r="H162" s="6" t="str">
        <f>IF(Table4164854[[#This Row],[Response]]="Touch",1,"")</f>
        <v/>
      </c>
      <c r="I162" s="6" t="str">
        <f>IF(Table4164854[[#This Row],[Response]]="Both",1,"")</f>
        <v/>
      </c>
      <c r="J162" s="6" t="str">
        <f>IF(SUM(Table4164854[[#This Row],[If Sight]:[If Both]])=1,1,"")</f>
        <v/>
      </c>
      <c r="K162" s="6" t="str">
        <f>IF(Table4164854[[#This Row],[Old or New?]]="New",IF(SUM(G162,I162)=1,1,""),"")</f>
        <v/>
      </c>
      <c r="L162" s="6" t="str">
        <f>IF(Table4164854[[#This Row],[Old or New?]]="New",IF(SUM(H162,I162)=1,1,""),"")</f>
        <v/>
      </c>
      <c r="M162" s="6" t="str">
        <f>IF(Table4164854[[#This Row],[Old or New?]]="Old",IF(SUM(G162,I162)=1,1,""),"")</f>
        <v/>
      </c>
      <c r="N162" s="6" t="str">
        <f>IF(Table4164854[[#This Row],[Old or New?]]="Old",IF(SUM(H162,I162)=1,1,""),"")</f>
        <v/>
      </c>
      <c r="O162" s="5" t="str">
        <f>IF(IF(Table4164854[[#This Row],[Old or New?]]="New",1,0)+IF(SUM(Table4164854[[#This Row],[If Sight]:[If Both]])=1,1,0)=2,1,"")</f>
        <v/>
      </c>
      <c r="P162" s="5" t="str">
        <f>IF(IF(Table4164854[[#This Row],[Old or New?]]="Old",1,0)+IF(SUM(Table4164854[[#This Row],[If Sight]:[If Both]])=1,1,0)=2,1,"")</f>
        <v/>
      </c>
    </row>
    <row r="163" spans="1:16">
      <c r="A163" s="2"/>
      <c r="B163" s="2"/>
      <c r="C163" s="2"/>
      <c r="D163" s="2"/>
      <c r="E163" s="2"/>
      <c r="F163" s="2"/>
      <c r="G163" s="6">
        <f>SUM([If Sight])</f>
        <v>84</v>
      </c>
      <c r="H163" s="6">
        <f>SUM([If Touch])</f>
        <v>1</v>
      </c>
      <c r="I163" s="6">
        <f>SUM([If Both])</f>
        <v>36</v>
      </c>
      <c r="J163" s="2">
        <f>SUM([Answered?])</f>
        <v>121</v>
      </c>
      <c r="K163" s="2">
        <f>SUM([New Sight (w/Both)])</f>
        <v>77</v>
      </c>
      <c r="L163" s="2">
        <f>SUM([New Touch (w/Both)])</f>
        <v>30</v>
      </c>
      <c r="M163" s="2">
        <f>SUM([Old Sight (w/Both)])</f>
        <v>43</v>
      </c>
      <c r="N163" s="2">
        <f>SUM([Old Touch (w/Both)])</f>
        <v>7</v>
      </c>
      <c r="O163" s="2">
        <f>SUM([Count New Answers])</f>
        <v>78</v>
      </c>
      <c r="P163" s="2">
        <f>SUM([Count Old Answers])</f>
        <v>43</v>
      </c>
    </row>
    <row r="164" spans="1:16">
      <c r="A164" s="2"/>
      <c r="B164" s="2"/>
      <c r="C164" s="2"/>
      <c r="D164" s="2"/>
      <c r="E164" s="2"/>
      <c r="F164" s="2"/>
      <c r="G164" s="6"/>
      <c r="H164" s="6"/>
      <c r="I164" s="2"/>
      <c r="J164" s="2"/>
      <c r="K164" s="2"/>
      <c r="L164" s="2"/>
      <c r="M164" s="2"/>
    </row>
    <row r="165" spans="1:16">
      <c r="A165" s="1" t="s">
        <v>4</v>
      </c>
      <c r="B165" s="1" t="s">
        <v>36</v>
      </c>
      <c r="C165" s="1" t="s">
        <v>37</v>
      </c>
      <c r="D165" s="1" t="s">
        <v>150</v>
      </c>
      <c r="E165" s="1" t="s">
        <v>149</v>
      </c>
      <c r="F165" s="1" t="s">
        <v>151</v>
      </c>
      <c r="G165" s="1" t="s">
        <v>152</v>
      </c>
    </row>
    <row r="166" spans="1:16">
      <c r="A166" s="1" t="s">
        <v>24</v>
      </c>
      <c r="B166" s="1">
        <f>COUNTIF(Table4164854[Old or New?],"New")</f>
        <v>96</v>
      </c>
      <c r="C166" s="1">
        <f>Table4164854[[#Totals],[Count New Answers]]</f>
        <v>78</v>
      </c>
      <c r="D166" s="1">
        <f>Table4164854[[#Totals],[New Sight (w/Both)]]</f>
        <v>77</v>
      </c>
      <c r="E166" s="1">
        <f>Table4164854[[#Totals],[New Touch (w/Both)]]</f>
        <v>30</v>
      </c>
      <c r="F166" s="5">
        <f>Table5174955[[#This Row],[Sight (w/Both)]]/Table5174955[[#This Row],[Total Answers]]*100</f>
        <v>98.71794871794873</v>
      </c>
      <c r="G166" s="5">
        <f>Table5174955[[#This Row],[Touch (w/Both)]]/Table5174955[[#This Row],[Total Answers]]*100</f>
        <v>38.461538461538467</v>
      </c>
    </row>
    <row r="167" spans="1:16">
      <c r="A167" s="1" t="s">
        <v>12</v>
      </c>
      <c r="B167" s="1">
        <f>COUNTIF(Table4164854[Old or New?],"Old")</f>
        <v>65</v>
      </c>
      <c r="C167" s="1">
        <f>Table4164854[[#Totals],[Count Old Answers]]</f>
        <v>43</v>
      </c>
      <c r="D167" s="1">
        <f>Table4164854[[#Totals],[Old Sight (w/Both)]]</f>
        <v>43</v>
      </c>
      <c r="E167" s="1">
        <f>Table4164854[[#Totals],[Old Touch (w/Both)]]</f>
        <v>7</v>
      </c>
      <c r="F167" s="5">
        <f>Table5174955[[#This Row],[Sight (w/Both)]]/Table5174955[[#This Row],[Total Answers]]*100</f>
        <v>100</v>
      </c>
      <c r="G167" s="5">
        <f>Table5174955[[#This Row],[Touch (w/Both)]]/Table5174955[[#This Row],[Total Answers]]*100</f>
        <v>16.279069767441861</v>
      </c>
    </row>
    <row r="169" spans="1:16">
      <c r="A169" s="28" t="s">
        <v>154</v>
      </c>
      <c r="B169" s="28"/>
      <c r="C169" s="28"/>
      <c r="D169" s="28" t="s">
        <v>155</v>
      </c>
      <c r="E169" s="28"/>
      <c r="F169" s="28"/>
      <c r="G169" s="28"/>
      <c r="H169" s="28"/>
      <c r="I169" s="12"/>
      <c r="J169" s="12"/>
    </row>
    <row r="170" spans="1:16">
      <c r="A170" s="12" t="s">
        <v>153</v>
      </c>
      <c r="B170" s="12"/>
      <c r="C170" s="12"/>
      <c r="D170" s="12"/>
      <c r="E170" s="12"/>
      <c r="F170" s="12"/>
      <c r="G170" s="12"/>
      <c r="H170" s="12"/>
      <c r="I170" s="12"/>
      <c r="J170" s="12"/>
    </row>
    <row r="172" spans="1:16">
      <c r="A172" s="28" t="s">
        <v>160</v>
      </c>
      <c r="B172" s="28"/>
      <c r="C172" s="28"/>
      <c r="D172" s="28" t="s">
        <v>159</v>
      </c>
      <c r="E172" s="28"/>
      <c r="F172" s="28"/>
      <c r="G172" s="28"/>
      <c r="H172" s="28"/>
    </row>
    <row r="173" spans="1:16">
      <c r="A173" s="12" t="s">
        <v>161</v>
      </c>
      <c r="B173" s="12"/>
      <c r="C173" s="12"/>
      <c r="D173" s="12"/>
      <c r="E173" s="12"/>
      <c r="F173" s="12"/>
      <c r="G173" s="12"/>
    </row>
  </sheetData>
  <mergeCells count="4">
    <mergeCell ref="D169:H169"/>
    <mergeCell ref="D172:H172"/>
    <mergeCell ref="A169:C169"/>
    <mergeCell ref="A172:C172"/>
  </mergeCells>
  <conditionalFormatting sqref="F2:F162">
    <cfRule type="cellIs" dxfId="594" priority="1" operator="equal">
      <formula>"No"</formula>
    </cfRule>
    <cfRule type="cellIs" dxfId="593" priority="2" operator="equal">
      <formula>"Yes"</formula>
    </cfRule>
  </conditionalFormatting>
  <pageMargins left="0.7" right="0.7" top="0.75" bottom="0.75" header="0.3" footer="0.3"/>
  <pageSetup scale="27" orientation="portrait" horizontalDpi="300" verticalDpi="3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1"/>
  <sheetViews>
    <sheetView workbookViewId="0">
      <pane ySplit="1" topLeftCell="A2" activePane="bottomLeft" state="frozen"/>
      <selection pane="bottomLeft" activeCell="E7" sqref="E7"/>
    </sheetView>
  </sheetViews>
  <sheetFormatPr defaultColWidth="16.7109375" defaultRowHeight="15"/>
  <sheetData>
    <row r="1" spans="1:11">
      <c r="A1" t="s">
        <v>11</v>
      </c>
      <c r="B1" t="s">
        <v>0</v>
      </c>
      <c r="C1" t="s">
        <v>1</v>
      </c>
      <c r="D1" t="s">
        <v>4</v>
      </c>
      <c r="E1" t="s">
        <v>170</v>
      </c>
      <c r="F1" t="s">
        <v>2</v>
      </c>
      <c r="G1" t="s">
        <v>3</v>
      </c>
      <c r="H1" t="s">
        <v>20</v>
      </c>
      <c r="I1" t="s">
        <v>110</v>
      </c>
      <c r="J1" t="s">
        <v>111</v>
      </c>
      <c r="K1" t="s">
        <v>112</v>
      </c>
    </row>
    <row r="2" spans="1:11">
      <c r="A2" s="1" t="s">
        <v>24</v>
      </c>
      <c r="B2" s="1" t="s">
        <v>23</v>
      </c>
      <c r="C2" s="1">
        <v>1</v>
      </c>
      <c r="D2" s="1" t="s">
        <v>6</v>
      </c>
      <c r="E2" s="5" t="str">
        <f>IF(Table13[[#This Row],[Pre or Post]]="Pre",IF(IF(Table13[[#This Row],[Response]]="Male",0,1)+IF(Table13[[#This Row],[Response]]="Female",0,1)=2,E1,Table13[[#This Row],[Response]]),"")</f>
        <v>Male</v>
      </c>
      <c r="F2" s="1">
        <v>2</v>
      </c>
      <c r="G2" s="1" t="s">
        <v>7</v>
      </c>
      <c r="H2" s="1" t="s">
        <v>8</v>
      </c>
      <c r="I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" spans="1:11">
      <c r="A3" s="1" t="s">
        <v>24</v>
      </c>
      <c r="B3" s="1" t="s">
        <v>23</v>
      </c>
      <c r="C3" s="1">
        <v>1</v>
      </c>
      <c r="D3" s="1" t="s">
        <v>6</v>
      </c>
      <c r="E3" s="5" t="str">
        <f>IF(Table13[[#This Row],[Pre or Post]]="Pre",IF(IF(Table13[[#This Row],[Response]]="Male",0,1)+IF(Table13[[#This Row],[Response]]="Female",0,1)=2,E2,Table13[[#This Row],[Response]]),"")</f>
        <v>Male</v>
      </c>
      <c r="F3" s="1">
        <v>3</v>
      </c>
      <c r="G3" s="1" t="s">
        <v>8</v>
      </c>
      <c r="H3" s="1" t="s">
        <v>8</v>
      </c>
      <c r="I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4" spans="1:11">
      <c r="A4" s="1" t="s">
        <v>24</v>
      </c>
      <c r="B4" s="1" t="s">
        <v>23</v>
      </c>
      <c r="C4" s="1">
        <v>1</v>
      </c>
      <c r="D4" s="1" t="s">
        <v>6</v>
      </c>
      <c r="E4" s="5" t="str">
        <f>IF(Table13[[#This Row],[Pre or Post]]="Pre",IF(IF(Table13[[#This Row],[Response]]="Male",0,1)+IF(Table13[[#This Row],[Response]]="Female",0,1)=2,E3,Table13[[#This Row],[Response]]),"")</f>
        <v>Male</v>
      </c>
      <c r="F4" s="1">
        <v>4</v>
      </c>
      <c r="G4" s="1" t="s">
        <v>8</v>
      </c>
      <c r="H4" s="1" t="s">
        <v>8</v>
      </c>
      <c r="I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5" spans="1:11">
      <c r="A5" s="1" t="s">
        <v>24</v>
      </c>
      <c r="B5" s="1" t="s">
        <v>23</v>
      </c>
      <c r="C5" s="1">
        <v>1</v>
      </c>
      <c r="D5" s="1" t="s">
        <v>6</v>
      </c>
      <c r="E5" s="5" t="str">
        <f>IF(Table13[[#This Row],[Pre or Post]]="Pre",IF(IF(Table13[[#This Row],[Response]]="Male",0,1)+IF(Table13[[#This Row],[Response]]="Female",0,1)=2,E4,Table13[[#This Row],[Response]]),"")</f>
        <v>Male</v>
      </c>
      <c r="F5" s="1">
        <v>5</v>
      </c>
      <c r="G5" s="1" t="s">
        <v>8</v>
      </c>
      <c r="H5" s="1" t="s">
        <v>8</v>
      </c>
      <c r="I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6" spans="1:11">
      <c r="A6" s="1" t="s">
        <v>24</v>
      </c>
      <c r="B6" s="1" t="s">
        <v>23</v>
      </c>
      <c r="C6" s="1">
        <v>1</v>
      </c>
      <c r="D6" s="1" t="s">
        <v>6</v>
      </c>
      <c r="E6" s="5" t="str">
        <f>IF(Table13[[#This Row],[Pre or Post]]="Pre",IF(IF(Table13[[#This Row],[Response]]="Male",0,1)+IF(Table13[[#This Row],[Response]]="Female",0,1)=2,E5,Table13[[#This Row],[Response]]),"")</f>
        <v>Male</v>
      </c>
      <c r="F6" s="1">
        <v>6</v>
      </c>
      <c r="G6" s="1" t="s">
        <v>8</v>
      </c>
      <c r="H6" s="1" t="s">
        <v>8</v>
      </c>
      <c r="I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7" spans="1:11">
      <c r="A7" s="1" t="s">
        <v>24</v>
      </c>
      <c r="B7" s="1" t="s">
        <v>23</v>
      </c>
      <c r="C7" s="1">
        <v>1</v>
      </c>
      <c r="D7" s="1" t="s">
        <v>6</v>
      </c>
      <c r="E7" s="5" t="str">
        <f>IF(Table13[[#This Row],[Pre or Post]]="Pre",IF(IF(Table13[[#This Row],[Response]]="Male",0,1)+IF(Table13[[#This Row],[Response]]="Female",0,1)=2,E6,Table13[[#This Row],[Response]]),"")</f>
        <v>Male</v>
      </c>
      <c r="F7" s="1">
        <v>7</v>
      </c>
      <c r="G7" s="1" t="s">
        <v>8</v>
      </c>
      <c r="H7" s="1" t="s">
        <v>8</v>
      </c>
      <c r="I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8" spans="1:11">
      <c r="A8" s="1" t="s">
        <v>24</v>
      </c>
      <c r="B8" s="1" t="s">
        <v>23</v>
      </c>
      <c r="C8" s="1">
        <v>1</v>
      </c>
      <c r="D8" s="1" t="s">
        <v>6</v>
      </c>
      <c r="E8" s="5" t="str">
        <f>IF(Table13[[#This Row],[Pre or Post]]="Pre",IF(IF(Table13[[#This Row],[Response]]="Male",0,1)+IF(Table13[[#This Row],[Response]]="Female",0,1)=2,E7,Table13[[#This Row],[Response]]),"")</f>
        <v>Male</v>
      </c>
      <c r="F8" s="1">
        <v>8</v>
      </c>
      <c r="G8" s="1"/>
      <c r="H8" s="1" t="s">
        <v>8</v>
      </c>
      <c r="I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9" spans="1:11">
      <c r="A9" s="1" t="s">
        <v>24</v>
      </c>
      <c r="B9" s="1" t="s">
        <v>23</v>
      </c>
      <c r="C9" s="1">
        <v>1</v>
      </c>
      <c r="D9" s="1" t="s">
        <v>6</v>
      </c>
      <c r="E9" s="5" t="str">
        <f>IF(Table13[[#This Row],[Pre or Post]]="Pre",IF(IF(Table13[[#This Row],[Response]]="Male",0,1)+IF(Table13[[#This Row],[Response]]="Female",0,1)=2,E8,Table13[[#This Row],[Response]]),"")</f>
        <v>Male</v>
      </c>
      <c r="F9" s="1">
        <v>9</v>
      </c>
      <c r="G9" s="1">
        <v>3</v>
      </c>
      <c r="H9" s="1" t="s">
        <v>8</v>
      </c>
      <c r="I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0" spans="1:11">
      <c r="A10" s="1" t="s">
        <v>24</v>
      </c>
      <c r="B10" s="1" t="s">
        <v>23</v>
      </c>
      <c r="C10" s="1">
        <v>1</v>
      </c>
      <c r="D10" s="1" t="s">
        <v>6</v>
      </c>
      <c r="E10" s="5" t="str">
        <f>IF(Table13[[#This Row],[Pre or Post]]="Pre",IF(IF(Table13[[#This Row],[Response]]="Male",0,1)+IF(Table13[[#This Row],[Response]]="Female",0,1)=2,E9,Table13[[#This Row],[Response]]),"")</f>
        <v>Male</v>
      </c>
      <c r="F10" s="1">
        <v>10</v>
      </c>
      <c r="G10" s="1">
        <v>4</v>
      </c>
      <c r="H10" s="1" t="s">
        <v>8</v>
      </c>
      <c r="I1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1" spans="1:11">
      <c r="A11" s="1" t="s">
        <v>24</v>
      </c>
      <c r="B11" s="1" t="s">
        <v>23</v>
      </c>
      <c r="C11" s="1">
        <v>1</v>
      </c>
      <c r="D11" s="1" t="s">
        <v>6</v>
      </c>
      <c r="E11" s="5" t="str">
        <f>IF(Table13[[#This Row],[Pre or Post]]="Pre",IF(IF(Table13[[#This Row],[Response]]="Male",0,1)+IF(Table13[[#This Row],[Response]]="Female",0,1)=2,E10,Table13[[#This Row],[Response]]),"")</f>
        <v>Male</v>
      </c>
      <c r="F11" s="1">
        <v>11</v>
      </c>
      <c r="G11" s="1">
        <v>2</v>
      </c>
      <c r="H11" s="1" t="s">
        <v>8</v>
      </c>
      <c r="I1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2" spans="1:11">
      <c r="A12" s="1" t="s">
        <v>24</v>
      </c>
      <c r="B12" s="1" t="s">
        <v>23</v>
      </c>
      <c r="C12" s="1">
        <v>2</v>
      </c>
      <c r="D12" s="1" t="s">
        <v>6</v>
      </c>
      <c r="E12" s="5" t="str">
        <f>IF(Table13[[#This Row],[Pre or Post]]="Pre",IF(IF(Table13[[#This Row],[Response]]="Male",0,1)+IF(Table13[[#This Row],[Response]]="Female",0,1)=2,E11,Table13[[#This Row],[Response]]),"")</f>
        <v>Male</v>
      </c>
      <c r="F12" s="1">
        <v>2</v>
      </c>
      <c r="G12" s="1" t="s">
        <v>7</v>
      </c>
      <c r="H12" s="1" t="s">
        <v>8</v>
      </c>
      <c r="I1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3" spans="1:11">
      <c r="A13" s="1" t="s">
        <v>24</v>
      </c>
      <c r="B13" s="1" t="s">
        <v>23</v>
      </c>
      <c r="C13" s="1">
        <v>2</v>
      </c>
      <c r="D13" s="1" t="s">
        <v>6</v>
      </c>
      <c r="E13" s="5" t="str">
        <f>IF(Table13[[#This Row],[Pre or Post]]="Pre",IF(IF(Table13[[#This Row],[Response]]="Male",0,1)+IF(Table13[[#This Row],[Response]]="Female",0,1)=2,E12,Table13[[#This Row],[Response]]),"")</f>
        <v>Male</v>
      </c>
      <c r="F13" s="1">
        <v>3</v>
      </c>
      <c r="G13" s="1" t="s">
        <v>8</v>
      </c>
      <c r="H13" s="1" t="s">
        <v>8</v>
      </c>
      <c r="I1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4" spans="1:11">
      <c r="A14" s="1" t="s">
        <v>24</v>
      </c>
      <c r="B14" s="1" t="s">
        <v>23</v>
      </c>
      <c r="C14" s="1">
        <v>2</v>
      </c>
      <c r="D14" s="1" t="s">
        <v>6</v>
      </c>
      <c r="E14" s="5" t="str">
        <f>IF(Table13[[#This Row],[Pre or Post]]="Pre",IF(IF(Table13[[#This Row],[Response]]="Male",0,1)+IF(Table13[[#This Row],[Response]]="Female",0,1)=2,E13,Table13[[#This Row],[Response]]),"")</f>
        <v>Male</v>
      </c>
      <c r="F14" s="1">
        <v>4</v>
      </c>
      <c r="G14" s="1" t="s">
        <v>9</v>
      </c>
      <c r="H14" s="1" t="s">
        <v>8</v>
      </c>
      <c r="I1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5" spans="1:11">
      <c r="A15" s="1" t="s">
        <v>24</v>
      </c>
      <c r="B15" s="1" t="s">
        <v>23</v>
      </c>
      <c r="C15" s="1">
        <v>2</v>
      </c>
      <c r="D15" s="1" t="s">
        <v>6</v>
      </c>
      <c r="E15" s="5" t="str">
        <f>IF(Table13[[#This Row],[Pre or Post]]="Pre",IF(IF(Table13[[#This Row],[Response]]="Male",0,1)+IF(Table13[[#This Row],[Response]]="Female",0,1)=2,E14,Table13[[#This Row],[Response]]),"")</f>
        <v>Male</v>
      </c>
      <c r="F15" s="1">
        <v>5</v>
      </c>
      <c r="G15" s="1" t="s">
        <v>8</v>
      </c>
      <c r="H15" s="1" t="s">
        <v>8</v>
      </c>
      <c r="I1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6" spans="1:11">
      <c r="A16" s="1" t="s">
        <v>24</v>
      </c>
      <c r="B16" s="1" t="s">
        <v>23</v>
      </c>
      <c r="C16" s="1">
        <v>2</v>
      </c>
      <c r="D16" s="1" t="s">
        <v>6</v>
      </c>
      <c r="E16" s="5" t="str">
        <f>IF(Table13[[#This Row],[Pre or Post]]="Pre",IF(IF(Table13[[#This Row],[Response]]="Male",0,1)+IF(Table13[[#This Row],[Response]]="Female",0,1)=2,E15,Table13[[#This Row],[Response]]),"")</f>
        <v>Male</v>
      </c>
      <c r="F16" s="1">
        <v>6</v>
      </c>
      <c r="G16" s="1" t="s">
        <v>8</v>
      </c>
      <c r="H16" s="1" t="s">
        <v>8</v>
      </c>
      <c r="I1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7" spans="1:11">
      <c r="A17" s="1" t="s">
        <v>24</v>
      </c>
      <c r="B17" s="1" t="s">
        <v>23</v>
      </c>
      <c r="C17" s="1">
        <v>2</v>
      </c>
      <c r="D17" s="1" t="s">
        <v>6</v>
      </c>
      <c r="E17" s="5" t="str">
        <f>IF(Table13[[#This Row],[Pre or Post]]="Pre",IF(IF(Table13[[#This Row],[Response]]="Male",0,1)+IF(Table13[[#This Row],[Response]]="Female",0,1)=2,E16,Table13[[#This Row],[Response]]),"")</f>
        <v>Male</v>
      </c>
      <c r="F17" s="1">
        <v>7</v>
      </c>
      <c r="G17" s="1" t="s">
        <v>9</v>
      </c>
      <c r="H17" s="1" t="s">
        <v>8</v>
      </c>
      <c r="I1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8" spans="1:11">
      <c r="A18" s="1" t="s">
        <v>24</v>
      </c>
      <c r="B18" s="1" t="s">
        <v>23</v>
      </c>
      <c r="C18" s="1">
        <v>2</v>
      </c>
      <c r="D18" s="1" t="s">
        <v>6</v>
      </c>
      <c r="E18" s="5" t="str">
        <f>IF(Table13[[#This Row],[Pre or Post]]="Pre",IF(IF(Table13[[#This Row],[Response]]="Male",0,1)+IF(Table13[[#This Row],[Response]]="Female",0,1)=2,E17,Table13[[#This Row],[Response]]),"")</f>
        <v>Male</v>
      </c>
      <c r="F18" s="1">
        <v>8</v>
      </c>
      <c r="G18" s="1"/>
      <c r="H18" s="1" t="s">
        <v>8</v>
      </c>
      <c r="I1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9" spans="1:11">
      <c r="A19" s="1" t="s">
        <v>24</v>
      </c>
      <c r="B19" s="1" t="s">
        <v>23</v>
      </c>
      <c r="C19" s="1">
        <v>2</v>
      </c>
      <c r="D19" s="1" t="s">
        <v>6</v>
      </c>
      <c r="E19" s="5" t="str">
        <f>IF(Table13[[#This Row],[Pre or Post]]="Pre",IF(IF(Table13[[#This Row],[Response]]="Male",0,1)+IF(Table13[[#This Row],[Response]]="Female",0,1)=2,E18,Table13[[#This Row],[Response]]),"")</f>
        <v>Male</v>
      </c>
      <c r="F19" s="1">
        <v>9</v>
      </c>
      <c r="G19" s="1">
        <v>1</v>
      </c>
      <c r="H19" s="1" t="s">
        <v>8</v>
      </c>
      <c r="I1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0" spans="1:11">
      <c r="A20" s="1" t="s">
        <v>24</v>
      </c>
      <c r="B20" s="1" t="s">
        <v>23</v>
      </c>
      <c r="C20" s="1">
        <v>2</v>
      </c>
      <c r="D20" s="1" t="s">
        <v>6</v>
      </c>
      <c r="E20" s="5" t="str">
        <f>IF(Table13[[#This Row],[Pre or Post]]="Pre",IF(IF(Table13[[#This Row],[Response]]="Male",0,1)+IF(Table13[[#This Row],[Response]]="Female",0,1)=2,E19,Table13[[#This Row],[Response]]),"")</f>
        <v>Male</v>
      </c>
      <c r="F20" s="1">
        <v>10</v>
      </c>
      <c r="G20" s="1">
        <v>1</v>
      </c>
      <c r="H20" s="1" t="s">
        <v>8</v>
      </c>
      <c r="I2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1" spans="1:11">
      <c r="A21" s="1" t="s">
        <v>24</v>
      </c>
      <c r="B21" s="1" t="s">
        <v>23</v>
      </c>
      <c r="C21" s="1">
        <v>2</v>
      </c>
      <c r="D21" s="1" t="s">
        <v>6</v>
      </c>
      <c r="E21" s="5" t="str">
        <f>IF(Table13[[#This Row],[Pre or Post]]="Pre",IF(IF(Table13[[#This Row],[Response]]="Male",0,1)+IF(Table13[[#This Row],[Response]]="Female",0,1)=2,E20,Table13[[#This Row],[Response]]),"")</f>
        <v>Male</v>
      </c>
      <c r="F21" s="1">
        <v>11</v>
      </c>
      <c r="G21" s="1">
        <v>1</v>
      </c>
      <c r="H21" s="1" t="s">
        <v>8</v>
      </c>
      <c r="I2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2" spans="1:11">
      <c r="A22" s="1" t="s">
        <v>24</v>
      </c>
      <c r="B22" s="1" t="s">
        <v>23</v>
      </c>
      <c r="C22" s="1">
        <v>3</v>
      </c>
      <c r="D22" s="1" t="s">
        <v>6</v>
      </c>
      <c r="E22" s="5" t="str">
        <f>IF(Table13[[#This Row],[Pre or Post]]="Pre",IF(IF(Table13[[#This Row],[Response]]="Male",0,1)+IF(Table13[[#This Row],[Response]]="Female",0,1)=2,E21,Table13[[#This Row],[Response]]),"")</f>
        <v>Male</v>
      </c>
      <c r="F22" s="1">
        <v>2</v>
      </c>
      <c r="G22" s="1" t="s">
        <v>7</v>
      </c>
      <c r="H22" s="1" t="s">
        <v>8</v>
      </c>
      <c r="I2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3" spans="1:11">
      <c r="A23" s="1" t="s">
        <v>24</v>
      </c>
      <c r="B23" s="1" t="s">
        <v>23</v>
      </c>
      <c r="C23" s="1">
        <v>3</v>
      </c>
      <c r="D23" s="1" t="s">
        <v>6</v>
      </c>
      <c r="E23" s="5" t="str">
        <f>IF(Table13[[#This Row],[Pre or Post]]="Pre",IF(IF(Table13[[#This Row],[Response]]="Male",0,1)+IF(Table13[[#This Row],[Response]]="Female",0,1)=2,E22,Table13[[#This Row],[Response]]),"")</f>
        <v>Male</v>
      </c>
      <c r="F23" s="1">
        <v>3</v>
      </c>
      <c r="G23" s="1" t="s">
        <v>8</v>
      </c>
      <c r="H23" s="1" t="s">
        <v>8</v>
      </c>
      <c r="I2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4" spans="1:11">
      <c r="A24" s="1" t="s">
        <v>24</v>
      </c>
      <c r="B24" s="1" t="s">
        <v>23</v>
      </c>
      <c r="C24" s="1">
        <v>3</v>
      </c>
      <c r="D24" s="1" t="s">
        <v>6</v>
      </c>
      <c r="E24" s="5" t="str">
        <f>IF(Table13[[#This Row],[Pre or Post]]="Pre",IF(IF(Table13[[#This Row],[Response]]="Male",0,1)+IF(Table13[[#This Row],[Response]]="Female",0,1)=2,E23,Table13[[#This Row],[Response]]),"")</f>
        <v>Male</v>
      </c>
      <c r="F24" s="1">
        <v>4</v>
      </c>
      <c r="G24" s="1" t="s">
        <v>8</v>
      </c>
      <c r="H24" s="1" t="s">
        <v>8</v>
      </c>
      <c r="I2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5" spans="1:11">
      <c r="A25" s="1" t="s">
        <v>24</v>
      </c>
      <c r="B25" s="1" t="s">
        <v>23</v>
      </c>
      <c r="C25" s="1">
        <v>3</v>
      </c>
      <c r="D25" s="1" t="s">
        <v>6</v>
      </c>
      <c r="E25" s="5" t="str">
        <f>IF(Table13[[#This Row],[Pre or Post]]="Pre",IF(IF(Table13[[#This Row],[Response]]="Male",0,1)+IF(Table13[[#This Row],[Response]]="Female",0,1)=2,E24,Table13[[#This Row],[Response]]),"")</f>
        <v>Male</v>
      </c>
      <c r="F25" s="1">
        <v>5</v>
      </c>
      <c r="G25" s="1" t="s">
        <v>9</v>
      </c>
      <c r="H25" s="1" t="s">
        <v>8</v>
      </c>
      <c r="I2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6" spans="1:11">
      <c r="A26" s="1" t="s">
        <v>24</v>
      </c>
      <c r="B26" s="1" t="s">
        <v>23</v>
      </c>
      <c r="C26" s="1">
        <v>3</v>
      </c>
      <c r="D26" s="1" t="s">
        <v>6</v>
      </c>
      <c r="E26" s="5" t="str">
        <f>IF(Table13[[#This Row],[Pre or Post]]="Pre",IF(IF(Table13[[#This Row],[Response]]="Male",0,1)+IF(Table13[[#This Row],[Response]]="Female",0,1)=2,E25,Table13[[#This Row],[Response]]),"")</f>
        <v>Male</v>
      </c>
      <c r="F26" s="1">
        <v>6</v>
      </c>
      <c r="G26" s="1" t="s">
        <v>9</v>
      </c>
      <c r="H26" s="1" t="s">
        <v>8</v>
      </c>
      <c r="I2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7" spans="1:11">
      <c r="A27" s="1" t="s">
        <v>24</v>
      </c>
      <c r="B27" s="1" t="s">
        <v>23</v>
      </c>
      <c r="C27" s="1">
        <v>3</v>
      </c>
      <c r="D27" s="1" t="s">
        <v>6</v>
      </c>
      <c r="E27" s="5" t="str">
        <f>IF(Table13[[#This Row],[Pre or Post]]="Pre",IF(IF(Table13[[#This Row],[Response]]="Male",0,1)+IF(Table13[[#This Row],[Response]]="Female",0,1)=2,E26,Table13[[#This Row],[Response]]),"")</f>
        <v>Male</v>
      </c>
      <c r="F27" s="1">
        <v>7</v>
      </c>
      <c r="G27" s="1" t="s">
        <v>9</v>
      </c>
      <c r="H27" s="1" t="s">
        <v>8</v>
      </c>
      <c r="I2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8" spans="1:11">
      <c r="A28" s="1" t="s">
        <v>24</v>
      </c>
      <c r="B28" s="1" t="s">
        <v>23</v>
      </c>
      <c r="C28" s="1">
        <v>3</v>
      </c>
      <c r="D28" s="1" t="s">
        <v>6</v>
      </c>
      <c r="E28" s="5" t="str">
        <f>IF(Table13[[#This Row],[Pre or Post]]="Pre",IF(IF(Table13[[#This Row],[Response]]="Male",0,1)+IF(Table13[[#This Row],[Response]]="Female",0,1)=2,E27,Table13[[#This Row],[Response]]),"")</f>
        <v>Male</v>
      </c>
      <c r="F28" s="1">
        <v>8</v>
      </c>
      <c r="G28" s="1"/>
      <c r="H28" s="1" t="s">
        <v>8</v>
      </c>
      <c r="I2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9" spans="1:11">
      <c r="A29" s="1" t="s">
        <v>24</v>
      </c>
      <c r="B29" s="1" t="s">
        <v>23</v>
      </c>
      <c r="C29" s="1">
        <v>3</v>
      </c>
      <c r="D29" s="1" t="s">
        <v>6</v>
      </c>
      <c r="E29" s="5" t="str">
        <f>IF(Table13[[#This Row],[Pre or Post]]="Pre",IF(IF(Table13[[#This Row],[Response]]="Male",0,1)+IF(Table13[[#This Row],[Response]]="Female",0,1)=2,E28,Table13[[#This Row],[Response]]),"")</f>
        <v>Male</v>
      </c>
      <c r="F29" s="1">
        <v>9</v>
      </c>
      <c r="G29" s="1">
        <v>2</v>
      </c>
      <c r="H29" s="1" t="s">
        <v>8</v>
      </c>
      <c r="I2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0" spans="1:11">
      <c r="A30" s="1" t="s">
        <v>24</v>
      </c>
      <c r="B30" s="1" t="s">
        <v>23</v>
      </c>
      <c r="C30" s="1">
        <v>3</v>
      </c>
      <c r="D30" s="1" t="s">
        <v>6</v>
      </c>
      <c r="E30" s="5" t="str">
        <f>IF(Table13[[#This Row],[Pre or Post]]="Pre",IF(IF(Table13[[#This Row],[Response]]="Male",0,1)+IF(Table13[[#This Row],[Response]]="Female",0,1)=2,E29,Table13[[#This Row],[Response]]),"")</f>
        <v>Male</v>
      </c>
      <c r="F30" s="1">
        <v>10</v>
      </c>
      <c r="G30" s="1">
        <v>3</v>
      </c>
      <c r="H30" s="1" t="s">
        <v>8</v>
      </c>
      <c r="I3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1" spans="1:11">
      <c r="A31" s="1" t="s">
        <v>24</v>
      </c>
      <c r="B31" s="1" t="s">
        <v>23</v>
      </c>
      <c r="C31" s="1">
        <v>3</v>
      </c>
      <c r="D31" s="1" t="s">
        <v>6</v>
      </c>
      <c r="E31" s="5" t="str">
        <f>IF(Table13[[#This Row],[Pre or Post]]="Pre",IF(IF(Table13[[#This Row],[Response]]="Male",0,1)+IF(Table13[[#This Row],[Response]]="Female",0,1)=2,E30,Table13[[#This Row],[Response]]),"")</f>
        <v>Male</v>
      </c>
      <c r="F31" s="1">
        <v>11</v>
      </c>
      <c r="G31" s="1">
        <v>3</v>
      </c>
      <c r="H31" s="1" t="s">
        <v>8</v>
      </c>
      <c r="I3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2" spans="1:11">
      <c r="A32" s="1" t="s">
        <v>24</v>
      </c>
      <c r="B32" s="1" t="s">
        <v>23</v>
      </c>
      <c r="C32" s="1">
        <v>4</v>
      </c>
      <c r="D32" s="1" t="s">
        <v>6</v>
      </c>
      <c r="E32" s="5" t="str">
        <f>IF(Table13[[#This Row],[Pre or Post]]="Pre",IF(IF(Table13[[#This Row],[Response]]="Male",0,1)+IF(Table13[[#This Row],[Response]]="Female",0,1)=2,E31,Table13[[#This Row],[Response]]),"")</f>
        <v>Male</v>
      </c>
      <c r="F32" s="1">
        <v>2</v>
      </c>
      <c r="G32" s="1" t="s">
        <v>7</v>
      </c>
      <c r="H32" s="1" t="s">
        <v>8</v>
      </c>
      <c r="I3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3" spans="1:11">
      <c r="A33" s="1" t="s">
        <v>24</v>
      </c>
      <c r="B33" s="1" t="s">
        <v>23</v>
      </c>
      <c r="C33" s="1">
        <v>4</v>
      </c>
      <c r="D33" s="1" t="s">
        <v>6</v>
      </c>
      <c r="E33" s="5" t="str">
        <f>IF(Table13[[#This Row],[Pre or Post]]="Pre",IF(IF(Table13[[#This Row],[Response]]="Male",0,1)+IF(Table13[[#This Row],[Response]]="Female",0,1)=2,E32,Table13[[#This Row],[Response]]),"")</f>
        <v>Male</v>
      </c>
      <c r="F33" s="1">
        <v>3</v>
      </c>
      <c r="G33" s="1" t="s">
        <v>8</v>
      </c>
      <c r="H33" s="1" t="s">
        <v>8</v>
      </c>
      <c r="I3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4" spans="1:11">
      <c r="A34" s="1" t="s">
        <v>24</v>
      </c>
      <c r="B34" s="1" t="s">
        <v>23</v>
      </c>
      <c r="C34" s="1">
        <v>4</v>
      </c>
      <c r="D34" s="1" t="s">
        <v>6</v>
      </c>
      <c r="E34" s="5" t="str">
        <f>IF(Table13[[#This Row],[Pre or Post]]="Pre",IF(IF(Table13[[#This Row],[Response]]="Male",0,1)+IF(Table13[[#This Row],[Response]]="Female",0,1)=2,E33,Table13[[#This Row],[Response]]),"")</f>
        <v>Male</v>
      </c>
      <c r="F34" s="1">
        <v>4</v>
      </c>
      <c r="G34" s="1" t="s">
        <v>8</v>
      </c>
      <c r="H34" s="1" t="s">
        <v>8</v>
      </c>
      <c r="I3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5" spans="1:11">
      <c r="A35" s="1" t="s">
        <v>24</v>
      </c>
      <c r="B35" s="1" t="s">
        <v>23</v>
      </c>
      <c r="C35" s="1">
        <v>4</v>
      </c>
      <c r="D35" s="1" t="s">
        <v>6</v>
      </c>
      <c r="E35" s="5" t="str">
        <f>IF(Table13[[#This Row],[Pre or Post]]="Pre",IF(IF(Table13[[#This Row],[Response]]="Male",0,1)+IF(Table13[[#This Row],[Response]]="Female",0,1)=2,E34,Table13[[#This Row],[Response]]),"")</f>
        <v>Male</v>
      </c>
      <c r="F35" s="1">
        <v>5</v>
      </c>
      <c r="G35" s="1" t="s">
        <v>9</v>
      </c>
      <c r="H35" s="1" t="s">
        <v>8</v>
      </c>
      <c r="I3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6" spans="1:11">
      <c r="A36" s="1" t="s">
        <v>24</v>
      </c>
      <c r="B36" s="1" t="s">
        <v>23</v>
      </c>
      <c r="C36" s="1">
        <v>4</v>
      </c>
      <c r="D36" s="1" t="s">
        <v>6</v>
      </c>
      <c r="E36" s="5" t="str">
        <f>IF(Table13[[#This Row],[Pre or Post]]="Pre",IF(IF(Table13[[#This Row],[Response]]="Male",0,1)+IF(Table13[[#This Row],[Response]]="Female",0,1)=2,E35,Table13[[#This Row],[Response]]),"")</f>
        <v>Male</v>
      </c>
      <c r="F36" s="1">
        <v>6</v>
      </c>
      <c r="G36" s="1" t="s">
        <v>9</v>
      </c>
      <c r="H36" s="1" t="s">
        <v>8</v>
      </c>
      <c r="I3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7" spans="1:11">
      <c r="A37" s="1" t="s">
        <v>24</v>
      </c>
      <c r="B37" s="1" t="s">
        <v>23</v>
      </c>
      <c r="C37" s="1">
        <v>4</v>
      </c>
      <c r="D37" s="1" t="s">
        <v>6</v>
      </c>
      <c r="E37" s="5" t="str">
        <f>IF(Table13[[#This Row],[Pre or Post]]="Pre",IF(IF(Table13[[#This Row],[Response]]="Male",0,1)+IF(Table13[[#This Row],[Response]]="Female",0,1)=2,E36,Table13[[#This Row],[Response]]),"")</f>
        <v>Male</v>
      </c>
      <c r="F37" s="1">
        <v>7</v>
      </c>
      <c r="G37" s="1" t="s">
        <v>9</v>
      </c>
      <c r="H37" s="1" t="s">
        <v>8</v>
      </c>
      <c r="I3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8" spans="1:11">
      <c r="A38" s="1" t="s">
        <v>24</v>
      </c>
      <c r="B38" s="1" t="s">
        <v>23</v>
      </c>
      <c r="C38" s="1">
        <v>4</v>
      </c>
      <c r="D38" s="1" t="s">
        <v>6</v>
      </c>
      <c r="E38" s="5" t="str">
        <f>IF(Table13[[#This Row],[Pre or Post]]="Pre",IF(IF(Table13[[#This Row],[Response]]="Male",0,1)+IF(Table13[[#This Row],[Response]]="Female",0,1)=2,E37,Table13[[#This Row],[Response]]),"")</f>
        <v>Male</v>
      </c>
      <c r="F38" s="1">
        <v>8</v>
      </c>
      <c r="G38" s="1"/>
      <c r="H38" s="1" t="s">
        <v>8</v>
      </c>
      <c r="I3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9" spans="1:11">
      <c r="A39" s="1" t="s">
        <v>24</v>
      </c>
      <c r="B39" s="1" t="s">
        <v>23</v>
      </c>
      <c r="C39" s="1">
        <v>4</v>
      </c>
      <c r="D39" s="1" t="s">
        <v>6</v>
      </c>
      <c r="E39" s="5" t="str">
        <f>IF(Table13[[#This Row],[Pre or Post]]="Pre",IF(IF(Table13[[#This Row],[Response]]="Male",0,1)+IF(Table13[[#This Row],[Response]]="Female",0,1)=2,E38,Table13[[#This Row],[Response]]),"")</f>
        <v>Male</v>
      </c>
      <c r="F39" s="1">
        <v>9</v>
      </c>
      <c r="G39" s="1">
        <v>3</v>
      </c>
      <c r="H39" s="1" t="s">
        <v>8</v>
      </c>
      <c r="I3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40" spans="1:11">
      <c r="A40" s="1" t="s">
        <v>24</v>
      </c>
      <c r="B40" s="1" t="s">
        <v>23</v>
      </c>
      <c r="C40" s="1">
        <v>4</v>
      </c>
      <c r="D40" s="1" t="s">
        <v>6</v>
      </c>
      <c r="E40" s="5" t="str">
        <f>IF(Table13[[#This Row],[Pre or Post]]="Pre",IF(IF(Table13[[#This Row],[Response]]="Male",0,1)+IF(Table13[[#This Row],[Response]]="Female",0,1)=2,E39,Table13[[#This Row],[Response]]),"")</f>
        <v>Male</v>
      </c>
      <c r="F40" s="1">
        <v>10</v>
      </c>
      <c r="G40" s="1">
        <v>2</v>
      </c>
      <c r="H40" s="1" t="s">
        <v>8</v>
      </c>
      <c r="I4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41" spans="1:11">
      <c r="A41" s="1" t="s">
        <v>24</v>
      </c>
      <c r="B41" s="1" t="s">
        <v>23</v>
      </c>
      <c r="C41" s="1">
        <v>4</v>
      </c>
      <c r="D41" s="1" t="s">
        <v>6</v>
      </c>
      <c r="E41" s="5" t="str">
        <f>IF(Table13[[#This Row],[Pre or Post]]="Pre",IF(IF(Table13[[#This Row],[Response]]="Male",0,1)+IF(Table13[[#This Row],[Response]]="Female",0,1)=2,E40,Table13[[#This Row],[Response]]),"")</f>
        <v>Male</v>
      </c>
      <c r="F41" s="1">
        <v>11</v>
      </c>
      <c r="G41" s="1">
        <v>2</v>
      </c>
      <c r="H41" s="1" t="s">
        <v>8</v>
      </c>
      <c r="I4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42" spans="1:11">
      <c r="A42" s="1" t="s">
        <v>24</v>
      </c>
      <c r="B42" s="1" t="s">
        <v>23</v>
      </c>
      <c r="C42" s="1">
        <v>5</v>
      </c>
      <c r="D42" s="1" t="s">
        <v>6</v>
      </c>
      <c r="E42" s="5" t="str">
        <f>IF(Table13[[#This Row],[Pre or Post]]="Pre",IF(IF(Table13[[#This Row],[Response]]="Male",0,1)+IF(Table13[[#This Row],[Response]]="Female",0,1)=2,E41,Table13[[#This Row],[Response]]),"")</f>
        <v>Male</v>
      </c>
      <c r="F42" s="1">
        <v>2</v>
      </c>
      <c r="G42" s="1" t="s">
        <v>7</v>
      </c>
      <c r="H42" s="1" t="s">
        <v>8</v>
      </c>
      <c r="I4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43" spans="1:11">
      <c r="A43" s="1" t="s">
        <v>24</v>
      </c>
      <c r="B43" s="1" t="s">
        <v>23</v>
      </c>
      <c r="C43" s="1">
        <v>5</v>
      </c>
      <c r="D43" s="1" t="s">
        <v>6</v>
      </c>
      <c r="E43" s="5" t="str">
        <f>IF(Table13[[#This Row],[Pre or Post]]="Pre",IF(IF(Table13[[#This Row],[Response]]="Male",0,1)+IF(Table13[[#This Row],[Response]]="Female",0,1)=2,E42,Table13[[#This Row],[Response]]),"")</f>
        <v>Male</v>
      </c>
      <c r="F43" s="1">
        <v>3</v>
      </c>
      <c r="G43" s="1" t="s">
        <v>8</v>
      </c>
      <c r="H43" s="1" t="s">
        <v>8</v>
      </c>
      <c r="I4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44" spans="1:11">
      <c r="A44" s="1" t="s">
        <v>24</v>
      </c>
      <c r="B44" s="1" t="s">
        <v>23</v>
      </c>
      <c r="C44" s="1">
        <v>5</v>
      </c>
      <c r="D44" s="1" t="s">
        <v>6</v>
      </c>
      <c r="E44" s="5" t="str">
        <f>IF(Table13[[#This Row],[Pre or Post]]="Pre",IF(IF(Table13[[#This Row],[Response]]="Male",0,1)+IF(Table13[[#This Row],[Response]]="Female",0,1)=2,E43,Table13[[#This Row],[Response]]),"")</f>
        <v>Male</v>
      </c>
      <c r="F44" s="1">
        <v>4</v>
      </c>
      <c r="G44" s="1" t="s">
        <v>9</v>
      </c>
      <c r="H44" s="1" t="s">
        <v>8</v>
      </c>
      <c r="I4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45" spans="1:11">
      <c r="A45" s="1" t="s">
        <v>24</v>
      </c>
      <c r="B45" s="1" t="s">
        <v>23</v>
      </c>
      <c r="C45" s="1">
        <v>5</v>
      </c>
      <c r="D45" s="1" t="s">
        <v>6</v>
      </c>
      <c r="E45" s="5" t="str">
        <f>IF(Table13[[#This Row],[Pre or Post]]="Pre",IF(IF(Table13[[#This Row],[Response]]="Male",0,1)+IF(Table13[[#This Row],[Response]]="Female",0,1)=2,E44,Table13[[#This Row],[Response]]),"")</f>
        <v>Male</v>
      </c>
      <c r="F45" s="1">
        <v>5</v>
      </c>
      <c r="G45" s="1" t="s">
        <v>8</v>
      </c>
      <c r="H45" s="1" t="s">
        <v>8</v>
      </c>
      <c r="I4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46" spans="1:11">
      <c r="A46" s="1" t="s">
        <v>24</v>
      </c>
      <c r="B46" s="1" t="s">
        <v>23</v>
      </c>
      <c r="C46" s="1">
        <v>5</v>
      </c>
      <c r="D46" s="1" t="s">
        <v>6</v>
      </c>
      <c r="E46" s="5" t="str">
        <f>IF(Table13[[#This Row],[Pre or Post]]="Pre",IF(IF(Table13[[#This Row],[Response]]="Male",0,1)+IF(Table13[[#This Row],[Response]]="Female",0,1)=2,E45,Table13[[#This Row],[Response]]),"")</f>
        <v>Male</v>
      </c>
      <c r="F46" s="1">
        <v>6</v>
      </c>
      <c r="G46" s="1" t="s">
        <v>8</v>
      </c>
      <c r="H46" s="1" t="s">
        <v>8</v>
      </c>
      <c r="I4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47" spans="1:11">
      <c r="A47" s="1" t="s">
        <v>24</v>
      </c>
      <c r="B47" s="1" t="s">
        <v>23</v>
      </c>
      <c r="C47" s="1">
        <v>5</v>
      </c>
      <c r="D47" s="1" t="s">
        <v>6</v>
      </c>
      <c r="E47" s="5" t="str">
        <f>IF(Table13[[#This Row],[Pre or Post]]="Pre",IF(IF(Table13[[#This Row],[Response]]="Male",0,1)+IF(Table13[[#This Row],[Response]]="Female",0,1)=2,E46,Table13[[#This Row],[Response]]),"")</f>
        <v>Male</v>
      </c>
      <c r="F47" s="1">
        <v>7</v>
      </c>
      <c r="G47" s="1" t="s">
        <v>9</v>
      </c>
      <c r="H47" s="1" t="s">
        <v>8</v>
      </c>
      <c r="I4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48" spans="1:11">
      <c r="A48" s="1" t="s">
        <v>24</v>
      </c>
      <c r="B48" s="1" t="s">
        <v>23</v>
      </c>
      <c r="C48" s="1">
        <v>5</v>
      </c>
      <c r="D48" s="1" t="s">
        <v>6</v>
      </c>
      <c r="E48" s="5" t="str">
        <f>IF(Table13[[#This Row],[Pre or Post]]="Pre",IF(IF(Table13[[#This Row],[Response]]="Male",0,1)+IF(Table13[[#This Row],[Response]]="Female",0,1)=2,E47,Table13[[#This Row],[Response]]),"")</f>
        <v>Male</v>
      </c>
      <c r="F48" s="1">
        <v>8</v>
      </c>
      <c r="G48" s="1"/>
      <c r="H48" s="1" t="s">
        <v>8</v>
      </c>
      <c r="I4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49" spans="1:11">
      <c r="A49" s="1" t="s">
        <v>24</v>
      </c>
      <c r="B49" s="1" t="s">
        <v>23</v>
      </c>
      <c r="C49" s="1">
        <v>5</v>
      </c>
      <c r="D49" s="1" t="s">
        <v>6</v>
      </c>
      <c r="E49" s="5" t="str">
        <f>IF(Table13[[#This Row],[Pre or Post]]="Pre",IF(IF(Table13[[#This Row],[Response]]="Male",0,1)+IF(Table13[[#This Row],[Response]]="Female",0,1)=2,E48,Table13[[#This Row],[Response]]),"")</f>
        <v>Male</v>
      </c>
      <c r="F49" s="1">
        <v>9</v>
      </c>
      <c r="G49" s="1">
        <v>2</v>
      </c>
      <c r="H49" s="1" t="s">
        <v>8</v>
      </c>
      <c r="I4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50" spans="1:11">
      <c r="A50" s="1" t="s">
        <v>24</v>
      </c>
      <c r="B50" s="1" t="s">
        <v>23</v>
      </c>
      <c r="C50" s="1">
        <v>5</v>
      </c>
      <c r="D50" s="1" t="s">
        <v>6</v>
      </c>
      <c r="E50" s="5" t="str">
        <f>IF(Table13[[#This Row],[Pre or Post]]="Pre",IF(IF(Table13[[#This Row],[Response]]="Male",0,1)+IF(Table13[[#This Row],[Response]]="Female",0,1)=2,E49,Table13[[#This Row],[Response]]),"")</f>
        <v>Male</v>
      </c>
      <c r="F50" s="1">
        <v>10</v>
      </c>
      <c r="G50" s="1">
        <v>1</v>
      </c>
      <c r="H50" s="1" t="s">
        <v>8</v>
      </c>
      <c r="I5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51" spans="1:11">
      <c r="A51" s="1" t="s">
        <v>24</v>
      </c>
      <c r="B51" s="1" t="s">
        <v>23</v>
      </c>
      <c r="C51" s="1">
        <v>5</v>
      </c>
      <c r="D51" s="1" t="s">
        <v>6</v>
      </c>
      <c r="E51" s="5" t="str">
        <f>IF(Table13[[#This Row],[Pre or Post]]="Pre",IF(IF(Table13[[#This Row],[Response]]="Male",0,1)+IF(Table13[[#This Row],[Response]]="Female",0,1)=2,E50,Table13[[#This Row],[Response]]),"")</f>
        <v>Male</v>
      </c>
      <c r="F51" s="1">
        <v>11</v>
      </c>
      <c r="G51" s="1">
        <v>1</v>
      </c>
      <c r="H51" s="1" t="s">
        <v>8</v>
      </c>
      <c r="I5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52" spans="1:11">
      <c r="A52" s="1" t="s">
        <v>24</v>
      </c>
      <c r="B52" s="1" t="s">
        <v>23</v>
      </c>
      <c r="C52" s="1">
        <v>6</v>
      </c>
      <c r="D52" s="1" t="s">
        <v>6</v>
      </c>
      <c r="E52" s="5" t="str">
        <f>IF(Table13[[#This Row],[Pre or Post]]="Pre",IF(IF(Table13[[#This Row],[Response]]="Male",0,1)+IF(Table13[[#This Row],[Response]]="Female",0,1)=2,E51,Table13[[#This Row],[Response]]),"")</f>
        <v>Male</v>
      </c>
      <c r="F52" s="1">
        <v>2</v>
      </c>
      <c r="G52" s="1" t="s">
        <v>7</v>
      </c>
      <c r="H52" s="1" t="s">
        <v>8</v>
      </c>
      <c r="I5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53" spans="1:11">
      <c r="A53" s="1" t="s">
        <v>24</v>
      </c>
      <c r="B53" s="1" t="s">
        <v>23</v>
      </c>
      <c r="C53" s="1">
        <v>6</v>
      </c>
      <c r="D53" s="1" t="s">
        <v>6</v>
      </c>
      <c r="E53" s="5" t="str">
        <f>IF(Table13[[#This Row],[Pre or Post]]="Pre",IF(IF(Table13[[#This Row],[Response]]="Male",0,1)+IF(Table13[[#This Row],[Response]]="Female",0,1)=2,E52,Table13[[#This Row],[Response]]),"")</f>
        <v>Male</v>
      </c>
      <c r="F53" s="1">
        <v>3</v>
      </c>
      <c r="G53" s="1" t="s">
        <v>8</v>
      </c>
      <c r="H53" s="1" t="s">
        <v>8</v>
      </c>
      <c r="I5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54" spans="1:11">
      <c r="A54" s="1" t="s">
        <v>24</v>
      </c>
      <c r="B54" s="1" t="s">
        <v>23</v>
      </c>
      <c r="C54" s="1">
        <v>6</v>
      </c>
      <c r="D54" s="1" t="s">
        <v>6</v>
      </c>
      <c r="E54" s="5" t="str">
        <f>IF(Table13[[#This Row],[Pre or Post]]="Pre",IF(IF(Table13[[#This Row],[Response]]="Male",0,1)+IF(Table13[[#This Row],[Response]]="Female",0,1)=2,E53,Table13[[#This Row],[Response]]),"")</f>
        <v>Male</v>
      </c>
      <c r="F54" s="1">
        <v>4</v>
      </c>
      <c r="G54" s="1" t="s">
        <v>8</v>
      </c>
      <c r="H54" s="1" t="s">
        <v>8</v>
      </c>
      <c r="I5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55" spans="1:11">
      <c r="A55" s="1" t="s">
        <v>24</v>
      </c>
      <c r="B55" s="1" t="s">
        <v>23</v>
      </c>
      <c r="C55" s="1">
        <v>6</v>
      </c>
      <c r="D55" s="1" t="s">
        <v>6</v>
      </c>
      <c r="E55" s="5" t="str">
        <f>IF(Table13[[#This Row],[Pre or Post]]="Pre",IF(IF(Table13[[#This Row],[Response]]="Male",0,1)+IF(Table13[[#This Row],[Response]]="Female",0,1)=2,E54,Table13[[#This Row],[Response]]),"")</f>
        <v>Male</v>
      </c>
      <c r="F55" s="1">
        <v>5</v>
      </c>
      <c r="G55" s="1" t="s">
        <v>9</v>
      </c>
      <c r="H55" s="1" t="s">
        <v>8</v>
      </c>
      <c r="I5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56" spans="1:11">
      <c r="A56" s="1" t="s">
        <v>24</v>
      </c>
      <c r="B56" s="1" t="s">
        <v>23</v>
      </c>
      <c r="C56" s="1">
        <v>6</v>
      </c>
      <c r="D56" s="1" t="s">
        <v>6</v>
      </c>
      <c r="E56" s="5" t="str">
        <f>IF(Table13[[#This Row],[Pre or Post]]="Pre",IF(IF(Table13[[#This Row],[Response]]="Male",0,1)+IF(Table13[[#This Row],[Response]]="Female",0,1)=2,E55,Table13[[#This Row],[Response]]),"")</f>
        <v>Male</v>
      </c>
      <c r="F56" s="1">
        <v>6</v>
      </c>
      <c r="G56" s="1" t="s">
        <v>8</v>
      </c>
      <c r="H56" s="1" t="s">
        <v>8</v>
      </c>
      <c r="I5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57" spans="1:11">
      <c r="A57" s="1" t="s">
        <v>24</v>
      </c>
      <c r="B57" s="1" t="s">
        <v>23</v>
      </c>
      <c r="C57" s="1">
        <v>6</v>
      </c>
      <c r="D57" s="1" t="s">
        <v>6</v>
      </c>
      <c r="E57" s="5" t="str">
        <f>IF(Table13[[#This Row],[Pre or Post]]="Pre",IF(IF(Table13[[#This Row],[Response]]="Male",0,1)+IF(Table13[[#This Row],[Response]]="Female",0,1)=2,E56,Table13[[#This Row],[Response]]),"")</f>
        <v>Male</v>
      </c>
      <c r="F57" s="1">
        <v>7</v>
      </c>
      <c r="G57" s="1" t="s">
        <v>9</v>
      </c>
      <c r="H57" s="1" t="s">
        <v>8</v>
      </c>
      <c r="I5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58" spans="1:11">
      <c r="A58" s="1" t="s">
        <v>24</v>
      </c>
      <c r="B58" s="1" t="s">
        <v>23</v>
      </c>
      <c r="C58" s="1">
        <v>6</v>
      </c>
      <c r="D58" s="1" t="s">
        <v>6</v>
      </c>
      <c r="E58" s="5" t="str">
        <f>IF(Table13[[#This Row],[Pre or Post]]="Pre",IF(IF(Table13[[#This Row],[Response]]="Male",0,1)+IF(Table13[[#This Row],[Response]]="Female",0,1)=2,E57,Table13[[#This Row],[Response]]),"")</f>
        <v>Male</v>
      </c>
      <c r="F58" s="1">
        <v>8</v>
      </c>
      <c r="G58" s="1"/>
      <c r="H58" s="1" t="s">
        <v>8</v>
      </c>
      <c r="I5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59" spans="1:11">
      <c r="A59" s="1" t="s">
        <v>24</v>
      </c>
      <c r="B59" s="1" t="s">
        <v>23</v>
      </c>
      <c r="C59" s="1">
        <v>6</v>
      </c>
      <c r="D59" s="1" t="s">
        <v>6</v>
      </c>
      <c r="E59" s="5" t="str">
        <f>IF(Table13[[#This Row],[Pre or Post]]="Pre",IF(IF(Table13[[#This Row],[Response]]="Male",0,1)+IF(Table13[[#This Row],[Response]]="Female",0,1)=2,E58,Table13[[#This Row],[Response]]),"")</f>
        <v>Male</v>
      </c>
      <c r="F59" s="1">
        <v>9</v>
      </c>
      <c r="G59" s="1">
        <v>4</v>
      </c>
      <c r="H59" s="1" t="s">
        <v>8</v>
      </c>
      <c r="I5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60" spans="1:11">
      <c r="A60" s="1" t="s">
        <v>24</v>
      </c>
      <c r="B60" s="1" t="s">
        <v>23</v>
      </c>
      <c r="C60" s="1">
        <v>6</v>
      </c>
      <c r="D60" s="1" t="s">
        <v>6</v>
      </c>
      <c r="E60" s="5" t="str">
        <f>IF(Table13[[#This Row],[Pre or Post]]="Pre",IF(IF(Table13[[#This Row],[Response]]="Male",0,1)+IF(Table13[[#This Row],[Response]]="Female",0,1)=2,E59,Table13[[#This Row],[Response]]),"")</f>
        <v>Male</v>
      </c>
      <c r="F60" s="1">
        <v>10</v>
      </c>
      <c r="G60" s="1">
        <v>3</v>
      </c>
      <c r="H60" s="1" t="s">
        <v>8</v>
      </c>
      <c r="I6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61" spans="1:11">
      <c r="A61" s="1" t="s">
        <v>24</v>
      </c>
      <c r="B61" s="1" t="s">
        <v>23</v>
      </c>
      <c r="C61" s="1">
        <v>6</v>
      </c>
      <c r="D61" s="1" t="s">
        <v>6</v>
      </c>
      <c r="E61" s="5" t="str">
        <f>IF(Table13[[#This Row],[Pre or Post]]="Pre",IF(IF(Table13[[#This Row],[Response]]="Male",0,1)+IF(Table13[[#This Row],[Response]]="Female",0,1)=2,E60,Table13[[#This Row],[Response]]),"")</f>
        <v>Male</v>
      </c>
      <c r="F61" s="1">
        <v>11</v>
      </c>
      <c r="G61" s="1">
        <v>2</v>
      </c>
      <c r="H61" s="1" t="s">
        <v>8</v>
      </c>
      <c r="I6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62" spans="1:11">
      <c r="A62" s="1" t="s">
        <v>24</v>
      </c>
      <c r="B62" s="1" t="s">
        <v>23</v>
      </c>
      <c r="C62" s="1">
        <v>7</v>
      </c>
      <c r="D62" s="1" t="s">
        <v>6</v>
      </c>
      <c r="E62" s="5" t="str">
        <f>IF(Table13[[#This Row],[Pre or Post]]="Pre",IF(IF(Table13[[#This Row],[Response]]="Male",0,1)+IF(Table13[[#This Row],[Response]]="Female",0,1)=2,E61,Table13[[#This Row],[Response]]),"")</f>
        <v>Male</v>
      </c>
      <c r="F62" s="1">
        <v>2</v>
      </c>
      <c r="G62" s="1" t="s">
        <v>7</v>
      </c>
      <c r="H62" s="1" t="s">
        <v>8</v>
      </c>
      <c r="I6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63" spans="1:11">
      <c r="A63" s="1" t="s">
        <v>24</v>
      </c>
      <c r="B63" s="1" t="s">
        <v>23</v>
      </c>
      <c r="C63" s="1">
        <v>7</v>
      </c>
      <c r="D63" s="1" t="s">
        <v>6</v>
      </c>
      <c r="E63" s="5" t="str">
        <f>IF(Table13[[#This Row],[Pre or Post]]="Pre",IF(IF(Table13[[#This Row],[Response]]="Male",0,1)+IF(Table13[[#This Row],[Response]]="Female",0,1)=2,E62,Table13[[#This Row],[Response]]),"")</f>
        <v>Male</v>
      </c>
      <c r="F63" s="1">
        <v>3</v>
      </c>
      <c r="G63" s="1" t="s">
        <v>8</v>
      </c>
      <c r="H63" s="1" t="s">
        <v>8</v>
      </c>
      <c r="I6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64" spans="1:11">
      <c r="A64" s="1" t="s">
        <v>24</v>
      </c>
      <c r="B64" s="1" t="s">
        <v>23</v>
      </c>
      <c r="C64" s="1">
        <v>7</v>
      </c>
      <c r="D64" s="1" t="s">
        <v>6</v>
      </c>
      <c r="E64" s="5" t="str">
        <f>IF(Table13[[#This Row],[Pre or Post]]="Pre",IF(IF(Table13[[#This Row],[Response]]="Male",0,1)+IF(Table13[[#This Row],[Response]]="Female",0,1)=2,E63,Table13[[#This Row],[Response]]),"")</f>
        <v>Male</v>
      </c>
      <c r="F64" s="1">
        <v>4</v>
      </c>
      <c r="G64" s="1" t="s">
        <v>9</v>
      </c>
      <c r="H64" s="1" t="s">
        <v>8</v>
      </c>
      <c r="I6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65" spans="1:11">
      <c r="A65" s="1" t="s">
        <v>24</v>
      </c>
      <c r="B65" s="1" t="s">
        <v>23</v>
      </c>
      <c r="C65" s="1">
        <v>7</v>
      </c>
      <c r="D65" s="1" t="s">
        <v>6</v>
      </c>
      <c r="E65" s="5" t="str">
        <f>IF(Table13[[#This Row],[Pre or Post]]="Pre",IF(IF(Table13[[#This Row],[Response]]="Male",0,1)+IF(Table13[[#This Row],[Response]]="Female",0,1)=2,E64,Table13[[#This Row],[Response]]),"")</f>
        <v>Male</v>
      </c>
      <c r="F65" s="1">
        <v>5</v>
      </c>
      <c r="G65" s="1" t="s">
        <v>8</v>
      </c>
      <c r="H65" s="1" t="s">
        <v>8</v>
      </c>
      <c r="I6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66" spans="1:11">
      <c r="A66" s="1" t="s">
        <v>24</v>
      </c>
      <c r="B66" s="1" t="s">
        <v>23</v>
      </c>
      <c r="C66" s="1">
        <v>7</v>
      </c>
      <c r="D66" s="1" t="s">
        <v>6</v>
      </c>
      <c r="E66" s="5" t="str">
        <f>IF(Table13[[#This Row],[Pre or Post]]="Pre",IF(IF(Table13[[#This Row],[Response]]="Male",0,1)+IF(Table13[[#This Row],[Response]]="Female",0,1)=2,E65,Table13[[#This Row],[Response]]),"")</f>
        <v>Male</v>
      </c>
      <c r="F66" s="1">
        <v>6</v>
      </c>
      <c r="G66" s="1" t="s">
        <v>8</v>
      </c>
      <c r="H66" s="1" t="s">
        <v>8</v>
      </c>
      <c r="I6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67" spans="1:11">
      <c r="A67" s="1" t="s">
        <v>24</v>
      </c>
      <c r="B67" s="1" t="s">
        <v>23</v>
      </c>
      <c r="C67" s="1">
        <v>7</v>
      </c>
      <c r="D67" s="1" t="s">
        <v>6</v>
      </c>
      <c r="E67" s="5" t="str">
        <f>IF(Table13[[#This Row],[Pre or Post]]="Pre",IF(IF(Table13[[#This Row],[Response]]="Male",0,1)+IF(Table13[[#This Row],[Response]]="Female",0,1)=2,E66,Table13[[#This Row],[Response]]),"")</f>
        <v>Male</v>
      </c>
      <c r="F67" s="1">
        <v>7</v>
      </c>
      <c r="G67" s="1" t="s">
        <v>9</v>
      </c>
      <c r="H67" s="1" t="s">
        <v>8</v>
      </c>
      <c r="I6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68" spans="1:11">
      <c r="A68" s="1" t="s">
        <v>24</v>
      </c>
      <c r="B68" s="1" t="s">
        <v>23</v>
      </c>
      <c r="C68" s="1">
        <v>7</v>
      </c>
      <c r="D68" s="1" t="s">
        <v>6</v>
      </c>
      <c r="E68" s="5" t="str">
        <f>IF(Table13[[#This Row],[Pre or Post]]="Pre",IF(IF(Table13[[#This Row],[Response]]="Male",0,1)+IF(Table13[[#This Row],[Response]]="Female",0,1)=2,E67,Table13[[#This Row],[Response]]),"")</f>
        <v>Male</v>
      </c>
      <c r="F68" s="1">
        <v>8</v>
      </c>
      <c r="G68" s="1"/>
      <c r="H68" s="1" t="s">
        <v>8</v>
      </c>
      <c r="I6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69" spans="1:11">
      <c r="A69" s="1" t="s">
        <v>24</v>
      </c>
      <c r="B69" s="1" t="s">
        <v>23</v>
      </c>
      <c r="C69" s="1">
        <v>7</v>
      </c>
      <c r="D69" s="1" t="s">
        <v>6</v>
      </c>
      <c r="E69" s="5" t="str">
        <f>IF(Table13[[#This Row],[Pre or Post]]="Pre",IF(IF(Table13[[#This Row],[Response]]="Male",0,1)+IF(Table13[[#This Row],[Response]]="Female",0,1)=2,E68,Table13[[#This Row],[Response]]),"")</f>
        <v>Male</v>
      </c>
      <c r="F69" s="1">
        <v>9</v>
      </c>
      <c r="G69" s="1">
        <v>1</v>
      </c>
      <c r="H69" s="1" t="s">
        <v>8</v>
      </c>
      <c r="I6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70" spans="1:11">
      <c r="A70" s="1" t="s">
        <v>24</v>
      </c>
      <c r="B70" s="1" t="s">
        <v>23</v>
      </c>
      <c r="C70" s="1">
        <v>7</v>
      </c>
      <c r="D70" s="1" t="s">
        <v>6</v>
      </c>
      <c r="E70" s="5" t="str">
        <f>IF(Table13[[#This Row],[Pre or Post]]="Pre",IF(IF(Table13[[#This Row],[Response]]="Male",0,1)+IF(Table13[[#This Row],[Response]]="Female",0,1)=2,E69,Table13[[#This Row],[Response]]),"")</f>
        <v>Male</v>
      </c>
      <c r="F70" s="1">
        <v>10</v>
      </c>
      <c r="G70" s="1">
        <v>1</v>
      </c>
      <c r="H70" s="1" t="s">
        <v>8</v>
      </c>
      <c r="I7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71" spans="1:11">
      <c r="A71" s="1" t="s">
        <v>24</v>
      </c>
      <c r="B71" s="1" t="s">
        <v>23</v>
      </c>
      <c r="C71" s="1">
        <v>7</v>
      </c>
      <c r="D71" s="1" t="s">
        <v>6</v>
      </c>
      <c r="E71" s="5" t="str">
        <f>IF(Table13[[#This Row],[Pre or Post]]="Pre",IF(IF(Table13[[#This Row],[Response]]="Male",0,1)+IF(Table13[[#This Row],[Response]]="Female",0,1)=2,E70,Table13[[#This Row],[Response]]),"")</f>
        <v>Male</v>
      </c>
      <c r="F71" s="1">
        <v>11</v>
      </c>
      <c r="G71" s="1">
        <v>1</v>
      </c>
      <c r="H71" s="1" t="s">
        <v>8</v>
      </c>
      <c r="I7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72" spans="1:11">
      <c r="A72" s="1" t="s">
        <v>24</v>
      </c>
      <c r="B72" s="1" t="s">
        <v>23</v>
      </c>
      <c r="C72" s="1">
        <v>8</v>
      </c>
      <c r="D72" s="1" t="s">
        <v>6</v>
      </c>
      <c r="E72" s="5" t="str">
        <f>IF(Table13[[#This Row],[Pre or Post]]="Pre",IF(IF(Table13[[#This Row],[Response]]="Male",0,1)+IF(Table13[[#This Row],[Response]]="Female",0,1)=2,E71,Table13[[#This Row],[Response]]),"")</f>
        <v>Male</v>
      </c>
      <c r="F72" s="1">
        <v>2</v>
      </c>
      <c r="G72" s="1" t="s">
        <v>7</v>
      </c>
      <c r="H72" s="1" t="s">
        <v>8</v>
      </c>
      <c r="I7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73" spans="1:11">
      <c r="A73" s="1" t="s">
        <v>24</v>
      </c>
      <c r="B73" s="1" t="s">
        <v>23</v>
      </c>
      <c r="C73" s="1">
        <v>8</v>
      </c>
      <c r="D73" s="1" t="s">
        <v>6</v>
      </c>
      <c r="E73" s="5" t="str">
        <f>IF(Table13[[#This Row],[Pre or Post]]="Pre",IF(IF(Table13[[#This Row],[Response]]="Male",0,1)+IF(Table13[[#This Row],[Response]]="Female",0,1)=2,E72,Table13[[#This Row],[Response]]),"")</f>
        <v>Male</v>
      </c>
      <c r="F73" s="1">
        <v>3</v>
      </c>
      <c r="G73" s="1" t="s">
        <v>8</v>
      </c>
      <c r="H73" s="1" t="s">
        <v>8</v>
      </c>
      <c r="I7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74" spans="1:11">
      <c r="A74" s="1" t="s">
        <v>24</v>
      </c>
      <c r="B74" s="1" t="s">
        <v>23</v>
      </c>
      <c r="C74" s="1">
        <v>8</v>
      </c>
      <c r="D74" s="1" t="s">
        <v>6</v>
      </c>
      <c r="E74" s="5" t="str">
        <f>IF(Table13[[#This Row],[Pre or Post]]="Pre",IF(IF(Table13[[#This Row],[Response]]="Male",0,1)+IF(Table13[[#This Row],[Response]]="Female",0,1)=2,E73,Table13[[#This Row],[Response]]),"")</f>
        <v>Male</v>
      </c>
      <c r="F74" s="1">
        <v>4</v>
      </c>
      <c r="G74" s="1" t="s">
        <v>9</v>
      </c>
      <c r="H74" s="1" t="s">
        <v>8</v>
      </c>
      <c r="I7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75" spans="1:11">
      <c r="A75" s="1" t="s">
        <v>24</v>
      </c>
      <c r="B75" s="1" t="s">
        <v>23</v>
      </c>
      <c r="C75" s="1">
        <v>8</v>
      </c>
      <c r="D75" s="1" t="s">
        <v>6</v>
      </c>
      <c r="E75" s="5" t="str">
        <f>IF(Table13[[#This Row],[Pre or Post]]="Pre",IF(IF(Table13[[#This Row],[Response]]="Male",0,1)+IF(Table13[[#This Row],[Response]]="Female",0,1)=2,E74,Table13[[#This Row],[Response]]),"")</f>
        <v>Male</v>
      </c>
      <c r="F75" s="1">
        <v>5</v>
      </c>
      <c r="G75" s="1" t="s">
        <v>8</v>
      </c>
      <c r="H75" s="1" t="s">
        <v>8</v>
      </c>
      <c r="I7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76" spans="1:11">
      <c r="A76" s="1" t="s">
        <v>24</v>
      </c>
      <c r="B76" s="1" t="s">
        <v>23</v>
      </c>
      <c r="C76" s="1">
        <v>8</v>
      </c>
      <c r="D76" s="1" t="s">
        <v>6</v>
      </c>
      <c r="E76" s="5" t="str">
        <f>IF(Table13[[#This Row],[Pre or Post]]="Pre",IF(IF(Table13[[#This Row],[Response]]="Male",0,1)+IF(Table13[[#This Row],[Response]]="Female",0,1)=2,E75,Table13[[#This Row],[Response]]),"")</f>
        <v>Male</v>
      </c>
      <c r="F76" s="1">
        <v>6</v>
      </c>
      <c r="G76" s="1" t="s">
        <v>8</v>
      </c>
      <c r="H76" s="1" t="s">
        <v>8</v>
      </c>
      <c r="I7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77" spans="1:11">
      <c r="A77" s="1" t="s">
        <v>24</v>
      </c>
      <c r="B77" s="1" t="s">
        <v>23</v>
      </c>
      <c r="C77" s="1">
        <v>8</v>
      </c>
      <c r="D77" s="1" t="s">
        <v>6</v>
      </c>
      <c r="E77" s="5" t="str">
        <f>IF(Table13[[#This Row],[Pre or Post]]="Pre",IF(IF(Table13[[#This Row],[Response]]="Male",0,1)+IF(Table13[[#This Row],[Response]]="Female",0,1)=2,E76,Table13[[#This Row],[Response]]),"")</f>
        <v>Male</v>
      </c>
      <c r="F77" s="1">
        <v>7</v>
      </c>
      <c r="G77" s="1" t="s">
        <v>9</v>
      </c>
      <c r="H77" s="1" t="s">
        <v>8</v>
      </c>
      <c r="I7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78" spans="1:11">
      <c r="A78" s="1" t="s">
        <v>24</v>
      </c>
      <c r="B78" s="1" t="s">
        <v>23</v>
      </c>
      <c r="C78" s="1">
        <v>8</v>
      </c>
      <c r="D78" s="1" t="s">
        <v>6</v>
      </c>
      <c r="E78" s="5" t="str">
        <f>IF(Table13[[#This Row],[Pre or Post]]="Pre",IF(IF(Table13[[#This Row],[Response]]="Male",0,1)+IF(Table13[[#This Row],[Response]]="Female",0,1)=2,E77,Table13[[#This Row],[Response]]),"")</f>
        <v>Male</v>
      </c>
      <c r="F78" s="1">
        <v>8</v>
      </c>
      <c r="G78" s="1"/>
      <c r="H78" s="1" t="s">
        <v>8</v>
      </c>
      <c r="I7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79" spans="1:11">
      <c r="A79" s="1" t="s">
        <v>24</v>
      </c>
      <c r="B79" s="1" t="s">
        <v>23</v>
      </c>
      <c r="C79" s="1">
        <v>8</v>
      </c>
      <c r="D79" s="1" t="s">
        <v>6</v>
      </c>
      <c r="E79" s="5" t="str">
        <f>IF(Table13[[#This Row],[Pre or Post]]="Pre",IF(IF(Table13[[#This Row],[Response]]="Male",0,1)+IF(Table13[[#This Row],[Response]]="Female",0,1)=2,E78,Table13[[#This Row],[Response]]),"")</f>
        <v>Male</v>
      </c>
      <c r="F79" s="1">
        <v>9</v>
      </c>
      <c r="G79" s="1">
        <v>3</v>
      </c>
      <c r="H79" s="1" t="s">
        <v>8</v>
      </c>
      <c r="I7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80" spans="1:11">
      <c r="A80" s="1" t="s">
        <v>24</v>
      </c>
      <c r="B80" s="1" t="s">
        <v>23</v>
      </c>
      <c r="C80" s="1">
        <v>8</v>
      </c>
      <c r="D80" s="1" t="s">
        <v>6</v>
      </c>
      <c r="E80" s="5" t="str">
        <f>IF(Table13[[#This Row],[Pre or Post]]="Pre",IF(IF(Table13[[#This Row],[Response]]="Male",0,1)+IF(Table13[[#This Row],[Response]]="Female",0,1)=2,E79,Table13[[#This Row],[Response]]),"")</f>
        <v>Male</v>
      </c>
      <c r="F80" s="1">
        <v>10</v>
      </c>
      <c r="G80" s="1">
        <v>3</v>
      </c>
      <c r="H80" s="1" t="s">
        <v>8</v>
      </c>
      <c r="I8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81" spans="1:11">
      <c r="A81" s="1" t="s">
        <v>24</v>
      </c>
      <c r="B81" s="1" t="s">
        <v>23</v>
      </c>
      <c r="C81" s="1">
        <v>8</v>
      </c>
      <c r="D81" s="1" t="s">
        <v>6</v>
      </c>
      <c r="E81" s="5" t="str">
        <f>IF(Table13[[#This Row],[Pre or Post]]="Pre",IF(IF(Table13[[#This Row],[Response]]="Male",0,1)+IF(Table13[[#This Row],[Response]]="Female",0,1)=2,E80,Table13[[#This Row],[Response]]),"")</f>
        <v>Male</v>
      </c>
      <c r="F81" s="2">
        <v>11</v>
      </c>
      <c r="G81" s="2">
        <v>2</v>
      </c>
      <c r="H81" s="1" t="s">
        <v>8</v>
      </c>
      <c r="I8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82" spans="1:11">
      <c r="A82" s="1" t="s">
        <v>24</v>
      </c>
      <c r="B82" s="1" t="s">
        <v>23</v>
      </c>
      <c r="C82" s="1">
        <v>9</v>
      </c>
      <c r="D82" s="1" t="s">
        <v>6</v>
      </c>
      <c r="E82" s="5" t="str">
        <f>IF(Table13[[#This Row],[Pre or Post]]="Pre",IF(IF(Table13[[#This Row],[Response]]="Male",0,1)+IF(Table13[[#This Row],[Response]]="Female",0,1)=2,E81,Table13[[#This Row],[Response]]),"")</f>
        <v>Male</v>
      </c>
      <c r="F82" s="1">
        <v>2</v>
      </c>
      <c r="G82" s="1" t="s">
        <v>7</v>
      </c>
      <c r="H82" s="1" t="s">
        <v>8</v>
      </c>
      <c r="I8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83" spans="1:11">
      <c r="A83" s="1" t="s">
        <v>24</v>
      </c>
      <c r="B83" s="1" t="s">
        <v>23</v>
      </c>
      <c r="C83" s="1">
        <v>9</v>
      </c>
      <c r="D83" s="1" t="s">
        <v>6</v>
      </c>
      <c r="E83" s="5" t="str">
        <f>IF(Table13[[#This Row],[Pre or Post]]="Pre",IF(IF(Table13[[#This Row],[Response]]="Male",0,1)+IF(Table13[[#This Row],[Response]]="Female",0,1)=2,E82,Table13[[#This Row],[Response]]),"")</f>
        <v>Male</v>
      </c>
      <c r="F83" s="1">
        <v>3</v>
      </c>
      <c r="G83" s="1" t="s">
        <v>8</v>
      </c>
      <c r="H83" s="1" t="s">
        <v>8</v>
      </c>
      <c r="I8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84" spans="1:11">
      <c r="A84" s="1" t="s">
        <v>24</v>
      </c>
      <c r="B84" s="1" t="s">
        <v>23</v>
      </c>
      <c r="C84" s="1">
        <v>9</v>
      </c>
      <c r="D84" s="1" t="s">
        <v>6</v>
      </c>
      <c r="E84" s="5" t="str">
        <f>IF(Table13[[#This Row],[Pre or Post]]="Pre",IF(IF(Table13[[#This Row],[Response]]="Male",0,1)+IF(Table13[[#This Row],[Response]]="Female",0,1)=2,E83,Table13[[#This Row],[Response]]),"")</f>
        <v>Male</v>
      </c>
      <c r="F84" s="1">
        <v>4</v>
      </c>
      <c r="G84" s="1" t="s">
        <v>9</v>
      </c>
      <c r="H84" s="1" t="s">
        <v>8</v>
      </c>
      <c r="I8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85" spans="1:11">
      <c r="A85" s="1" t="s">
        <v>24</v>
      </c>
      <c r="B85" s="1" t="s">
        <v>23</v>
      </c>
      <c r="C85" s="1">
        <v>9</v>
      </c>
      <c r="D85" s="1" t="s">
        <v>6</v>
      </c>
      <c r="E85" s="5" t="str">
        <f>IF(Table13[[#This Row],[Pre or Post]]="Pre",IF(IF(Table13[[#This Row],[Response]]="Male",0,1)+IF(Table13[[#This Row],[Response]]="Female",0,1)=2,E84,Table13[[#This Row],[Response]]),"")</f>
        <v>Male</v>
      </c>
      <c r="F85" s="1">
        <v>5</v>
      </c>
      <c r="G85" s="1" t="s">
        <v>8</v>
      </c>
      <c r="H85" s="1" t="s">
        <v>8</v>
      </c>
      <c r="I8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86" spans="1:11">
      <c r="A86" s="1" t="s">
        <v>24</v>
      </c>
      <c r="B86" s="1" t="s">
        <v>23</v>
      </c>
      <c r="C86" s="1">
        <v>9</v>
      </c>
      <c r="D86" s="1" t="s">
        <v>6</v>
      </c>
      <c r="E86" s="5" t="str">
        <f>IF(Table13[[#This Row],[Pre or Post]]="Pre",IF(IF(Table13[[#This Row],[Response]]="Male",0,1)+IF(Table13[[#This Row],[Response]]="Female",0,1)=2,E85,Table13[[#This Row],[Response]]),"")</f>
        <v>Male</v>
      </c>
      <c r="F86" s="1">
        <v>6</v>
      </c>
      <c r="G86" s="1" t="s">
        <v>8</v>
      </c>
      <c r="H86" s="1" t="s">
        <v>8</v>
      </c>
      <c r="I8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87" spans="1:11">
      <c r="A87" s="1" t="s">
        <v>24</v>
      </c>
      <c r="B87" s="1" t="s">
        <v>23</v>
      </c>
      <c r="C87" s="1">
        <v>9</v>
      </c>
      <c r="D87" s="1" t="s">
        <v>6</v>
      </c>
      <c r="E87" s="5" t="str">
        <f>IF(Table13[[#This Row],[Pre or Post]]="Pre",IF(IF(Table13[[#This Row],[Response]]="Male",0,1)+IF(Table13[[#This Row],[Response]]="Female",0,1)=2,E86,Table13[[#This Row],[Response]]),"")</f>
        <v>Male</v>
      </c>
      <c r="F87" s="1">
        <v>7</v>
      </c>
      <c r="G87" s="1" t="s">
        <v>9</v>
      </c>
      <c r="H87" s="1" t="s">
        <v>8</v>
      </c>
      <c r="I8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88" spans="1:11">
      <c r="A88" s="1" t="s">
        <v>24</v>
      </c>
      <c r="B88" s="1" t="s">
        <v>23</v>
      </c>
      <c r="C88" s="1">
        <v>9</v>
      </c>
      <c r="D88" s="1" t="s">
        <v>6</v>
      </c>
      <c r="E88" s="5" t="str">
        <f>IF(Table13[[#This Row],[Pre or Post]]="Pre",IF(IF(Table13[[#This Row],[Response]]="Male",0,1)+IF(Table13[[#This Row],[Response]]="Female",0,1)=2,E87,Table13[[#This Row],[Response]]),"")</f>
        <v>Male</v>
      </c>
      <c r="F88" s="1">
        <v>8</v>
      </c>
      <c r="G88" s="1"/>
      <c r="H88" s="1" t="s">
        <v>8</v>
      </c>
      <c r="I8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89" spans="1:11">
      <c r="A89" s="1" t="s">
        <v>24</v>
      </c>
      <c r="B89" s="1" t="s">
        <v>23</v>
      </c>
      <c r="C89" s="1">
        <v>9</v>
      </c>
      <c r="D89" s="1" t="s">
        <v>6</v>
      </c>
      <c r="E89" s="5" t="str">
        <f>IF(Table13[[#This Row],[Pre or Post]]="Pre",IF(IF(Table13[[#This Row],[Response]]="Male",0,1)+IF(Table13[[#This Row],[Response]]="Female",0,1)=2,E88,Table13[[#This Row],[Response]]),"")</f>
        <v>Male</v>
      </c>
      <c r="F89" s="1">
        <v>9</v>
      </c>
      <c r="G89" s="1">
        <v>3</v>
      </c>
      <c r="H89" s="1" t="s">
        <v>8</v>
      </c>
      <c r="I8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90" spans="1:11">
      <c r="A90" s="1" t="s">
        <v>24</v>
      </c>
      <c r="B90" s="1" t="s">
        <v>23</v>
      </c>
      <c r="C90" s="1">
        <v>9</v>
      </c>
      <c r="D90" s="1" t="s">
        <v>6</v>
      </c>
      <c r="E90" s="5" t="str">
        <f>IF(Table13[[#This Row],[Pre or Post]]="Pre",IF(IF(Table13[[#This Row],[Response]]="Male",0,1)+IF(Table13[[#This Row],[Response]]="Female",0,1)=2,E89,Table13[[#This Row],[Response]]),"")</f>
        <v>Male</v>
      </c>
      <c r="F90" s="1">
        <v>10</v>
      </c>
      <c r="G90" s="1">
        <v>3</v>
      </c>
      <c r="H90" s="1" t="s">
        <v>8</v>
      </c>
      <c r="I9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91" spans="1:11">
      <c r="A91" s="1" t="s">
        <v>24</v>
      </c>
      <c r="B91" s="1" t="s">
        <v>23</v>
      </c>
      <c r="C91" s="1">
        <v>9</v>
      </c>
      <c r="D91" s="1" t="s">
        <v>6</v>
      </c>
      <c r="E91" s="5" t="str">
        <f>IF(Table13[[#This Row],[Pre or Post]]="Pre",IF(IF(Table13[[#This Row],[Response]]="Male",0,1)+IF(Table13[[#This Row],[Response]]="Female",0,1)=2,E90,Table13[[#This Row],[Response]]),"")</f>
        <v>Male</v>
      </c>
      <c r="F91" s="1">
        <v>11</v>
      </c>
      <c r="G91" s="1">
        <v>2</v>
      </c>
      <c r="H91" s="1" t="s">
        <v>8</v>
      </c>
      <c r="I9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92" spans="1:11">
      <c r="A92" s="1" t="s">
        <v>24</v>
      </c>
      <c r="B92" s="1" t="s">
        <v>23</v>
      </c>
      <c r="C92" s="1">
        <v>10</v>
      </c>
      <c r="D92" s="1" t="s">
        <v>6</v>
      </c>
      <c r="E92" s="5" t="str">
        <f>IF(Table13[[#This Row],[Pre or Post]]="Pre",IF(IF(Table13[[#This Row],[Response]]="Male",0,1)+IF(Table13[[#This Row],[Response]]="Female",0,1)=2,E91,Table13[[#This Row],[Response]]),"")</f>
        <v>Male</v>
      </c>
      <c r="F92" s="1">
        <v>2</v>
      </c>
      <c r="G92" s="1" t="s">
        <v>7</v>
      </c>
      <c r="H92" s="1" t="s">
        <v>8</v>
      </c>
      <c r="I9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93" spans="1:11">
      <c r="A93" s="1" t="s">
        <v>24</v>
      </c>
      <c r="B93" s="1" t="s">
        <v>23</v>
      </c>
      <c r="C93" s="1">
        <v>10</v>
      </c>
      <c r="D93" s="1" t="s">
        <v>6</v>
      </c>
      <c r="E93" s="5" t="str">
        <f>IF(Table13[[#This Row],[Pre or Post]]="Pre",IF(IF(Table13[[#This Row],[Response]]="Male",0,1)+IF(Table13[[#This Row],[Response]]="Female",0,1)=2,E92,Table13[[#This Row],[Response]]),"")</f>
        <v>Male</v>
      </c>
      <c r="F93" s="1">
        <v>3</v>
      </c>
      <c r="G93" s="1" t="s">
        <v>8</v>
      </c>
      <c r="H93" s="1" t="s">
        <v>8</v>
      </c>
      <c r="I9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94" spans="1:11">
      <c r="A94" s="1" t="s">
        <v>24</v>
      </c>
      <c r="B94" s="1" t="s">
        <v>23</v>
      </c>
      <c r="C94" s="1">
        <v>10</v>
      </c>
      <c r="D94" s="1" t="s">
        <v>6</v>
      </c>
      <c r="E94" s="5" t="str">
        <f>IF(Table13[[#This Row],[Pre or Post]]="Pre",IF(IF(Table13[[#This Row],[Response]]="Male",0,1)+IF(Table13[[#This Row],[Response]]="Female",0,1)=2,E93,Table13[[#This Row],[Response]]),"")</f>
        <v>Male</v>
      </c>
      <c r="F94" s="1">
        <v>4</v>
      </c>
      <c r="G94" s="1" t="s">
        <v>9</v>
      </c>
      <c r="H94" s="1" t="s">
        <v>8</v>
      </c>
      <c r="I9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95" spans="1:11">
      <c r="A95" s="1" t="s">
        <v>24</v>
      </c>
      <c r="B95" s="1" t="s">
        <v>23</v>
      </c>
      <c r="C95" s="1">
        <v>10</v>
      </c>
      <c r="D95" s="1" t="s">
        <v>6</v>
      </c>
      <c r="E95" s="5" t="str">
        <f>IF(Table13[[#This Row],[Pre or Post]]="Pre",IF(IF(Table13[[#This Row],[Response]]="Male",0,1)+IF(Table13[[#This Row],[Response]]="Female",0,1)=2,E94,Table13[[#This Row],[Response]]),"")</f>
        <v>Male</v>
      </c>
      <c r="F95" s="1">
        <v>5</v>
      </c>
      <c r="G95" s="1" t="s">
        <v>8</v>
      </c>
      <c r="H95" s="1" t="s">
        <v>8</v>
      </c>
      <c r="I9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96" spans="1:11">
      <c r="A96" s="1" t="s">
        <v>24</v>
      </c>
      <c r="B96" s="1" t="s">
        <v>23</v>
      </c>
      <c r="C96" s="1">
        <v>10</v>
      </c>
      <c r="D96" s="1" t="s">
        <v>6</v>
      </c>
      <c r="E96" s="5" t="str">
        <f>IF(Table13[[#This Row],[Pre or Post]]="Pre",IF(IF(Table13[[#This Row],[Response]]="Male",0,1)+IF(Table13[[#This Row],[Response]]="Female",0,1)=2,E95,Table13[[#This Row],[Response]]),"")</f>
        <v>Male</v>
      </c>
      <c r="F96" s="1">
        <v>6</v>
      </c>
      <c r="G96" s="1" t="s">
        <v>8</v>
      </c>
      <c r="H96" s="1" t="s">
        <v>8</v>
      </c>
      <c r="I9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97" spans="1:11">
      <c r="A97" s="1" t="s">
        <v>24</v>
      </c>
      <c r="B97" s="1" t="s">
        <v>23</v>
      </c>
      <c r="C97" s="1">
        <v>10</v>
      </c>
      <c r="D97" s="1" t="s">
        <v>6</v>
      </c>
      <c r="E97" s="5" t="str">
        <f>IF(Table13[[#This Row],[Pre or Post]]="Pre",IF(IF(Table13[[#This Row],[Response]]="Male",0,1)+IF(Table13[[#This Row],[Response]]="Female",0,1)=2,E96,Table13[[#This Row],[Response]]),"")</f>
        <v>Male</v>
      </c>
      <c r="F97" s="1">
        <v>7</v>
      </c>
      <c r="G97" s="1" t="s">
        <v>9</v>
      </c>
      <c r="H97" s="1" t="s">
        <v>8</v>
      </c>
      <c r="I9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98" spans="1:11">
      <c r="A98" s="1" t="s">
        <v>24</v>
      </c>
      <c r="B98" s="1" t="s">
        <v>23</v>
      </c>
      <c r="C98" s="1">
        <v>10</v>
      </c>
      <c r="D98" s="1" t="s">
        <v>6</v>
      </c>
      <c r="E98" s="5" t="str">
        <f>IF(Table13[[#This Row],[Pre or Post]]="Pre",IF(IF(Table13[[#This Row],[Response]]="Male",0,1)+IF(Table13[[#This Row],[Response]]="Female",0,1)=2,E97,Table13[[#This Row],[Response]]),"")</f>
        <v>Male</v>
      </c>
      <c r="F98" s="1">
        <v>8</v>
      </c>
      <c r="G98" s="1"/>
      <c r="H98" s="1" t="s">
        <v>8</v>
      </c>
      <c r="I9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99" spans="1:11">
      <c r="A99" s="1" t="s">
        <v>24</v>
      </c>
      <c r="B99" s="1" t="s">
        <v>23</v>
      </c>
      <c r="C99" s="1">
        <v>10</v>
      </c>
      <c r="D99" s="1" t="s">
        <v>6</v>
      </c>
      <c r="E99" s="5" t="str">
        <f>IF(Table13[[#This Row],[Pre or Post]]="Pre",IF(IF(Table13[[#This Row],[Response]]="Male",0,1)+IF(Table13[[#This Row],[Response]]="Female",0,1)=2,E98,Table13[[#This Row],[Response]]),"")</f>
        <v>Male</v>
      </c>
      <c r="F99" s="1">
        <v>9</v>
      </c>
      <c r="G99" s="1">
        <v>3</v>
      </c>
      <c r="H99" s="1" t="s">
        <v>8</v>
      </c>
      <c r="I9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00" spans="1:11">
      <c r="A100" s="1" t="s">
        <v>24</v>
      </c>
      <c r="B100" s="1" t="s">
        <v>23</v>
      </c>
      <c r="C100" s="1">
        <v>10</v>
      </c>
      <c r="D100" s="1" t="s">
        <v>6</v>
      </c>
      <c r="E100" s="5" t="str">
        <f>IF(Table13[[#This Row],[Pre or Post]]="Pre",IF(IF(Table13[[#This Row],[Response]]="Male",0,1)+IF(Table13[[#This Row],[Response]]="Female",0,1)=2,E99,Table13[[#This Row],[Response]]),"")</f>
        <v>Male</v>
      </c>
      <c r="F100" s="1">
        <v>10</v>
      </c>
      <c r="G100" s="1">
        <v>2</v>
      </c>
      <c r="H100" s="1" t="s">
        <v>8</v>
      </c>
      <c r="I10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01" spans="1:11">
      <c r="A101" s="1" t="s">
        <v>24</v>
      </c>
      <c r="B101" s="1" t="s">
        <v>23</v>
      </c>
      <c r="C101" s="1">
        <v>10</v>
      </c>
      <c r="D101" s="1" t="s">
        <v>6</v>
      </c>
      <c r="E101" s="5" t="str">
        <f>IF(Table13[[#This Row],[Pre or Post]]="Pre",IF(IF(Table13[[#This Row],[Response]]="Male",0,1)+IF(Table13[[#This Row],[Response]]="Female",0,1)=2,E100,Table13[[#This Row],[Response]]),"")</f>
        <v>Male</v>
      </c>
      <c r="F101" s="1">
        <v>11</v>
      </c>
      <c r="G101" s="1">
        <v>1</v>
      </c>
      <c r="H101" s="1" t="s">
        <v>8</v>
      </c>
      <c r="I10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02" spans="1:11">
      <c r="A102" s="1" t="s">
        <v>24</v>
      </c>
      <c r="B102" s="1" t="s">
        <v>23</v>
      </c>
      <c r="C102" s="1">
        <v>11</v>
      </c>
      <c r="D102" s="1" t="s">
        <v>6</v>
      </c>
      <c r="E102" s="5" t="str">
        <f>IF(Table13[[#This Row],[Pre or Post]]="Pre",IF(IF(Table13[[#This Row],[Response]]="Male",0,1)+IF(Table13[[#This Row],[Response]]="Female",0,1)=2,E101,Table13[[#This Row],[Response]]),"")</f>
        <v>Male</v>
      </c>
      <c r="F102" s="1">
        <v>2</v>
      </c>
      <c r="G102" s="1" t="s">
        <v>7</v>
      </c>
      <c r="H102" s="1" t="s">
        <v>8</v>
      </c>
      <c r="I10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03" spans="1:11">
      <c r="A103" s="1" t="s">
        <v>24</v>
      </c>
      <c r="B103" s="1" t="s">
        <v>23</v>
      </c>
      <c r="C103" s="1">
        <v>11</v>
      </c>
      <c r="D103" s="1" t="s">
        <v>6</v>
      </c>
      <c r="E103" s="5" t="str">
        <f>IF(Table13[[#This Row],[Pre or Post]]="Pre",IF(IF(Table13[[#This Row],[Response]]="Male",0,1)+IF(Table13[[#This Row],[Response]]="Female",0,1)=2,E102,Table13[[#This Row],[Response]]),"")</f>
        <v>Male</v>
      </c>
      <c r="F103" s="1">
        <v>3</v>
      </c>
      <c r="G103" s="1" t="s">
        <v>8</v>
      </c>
      <c r="H103" s="1" t="s">
        <v>8</v>
      </c>
      <c r="I10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04" spans="1:11">
      <c r="A104" s="1" t="s">
        <v>24</v>
      </c>
      <c r="B104" s="1" t="s">
        <v>23</v>
      </c>
      <c r="C104" s="1">
        <v>11</v>
      </c>
      <c r="D104" s="1" t="s">
        <v>6</v>
      </c>
      <c r="E104" s="5" t="str">
        <f>IF(Table13[[#This Row],[Pre or Post]]="Pre",IF(IF(Table13[[#This Row],[Response]]="Male",0,1)+IF(Table13[[#This Row],[Response]]="Female",0,1)=2,E103,Table13[[#This Row],[Response]]),"")</f>
        <v>Male</v>
      </c>
      <c r="F104" s="1">
        <v>4</v>
      </c>
      <c r="G104" s="1" t="s">
        <v>9</v>
      </c>
      <c r="H104" s="1" t="s">
        <v>8</v>
      </c>
      <c r="I10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05" spans="1:11">
      <c r="A105" s="1" t="s">
        <v>24</v>
      </c>
      <c r="B105" s="1" t="s">
        <v>23</v>
      </c>
      <c r="C105" s="1">
        <v>11</v>
      </c>
      <c r="D105" s="1" t="s">
        <v>6</v>
      </c>
      <c r="E105" s="5" t="str">
        <f>IF(Table13[[#This Row],[Pre or Post]]="Pre",IF(IF(Table13[[#This Row],[Response]]="Male",0,1)+IF(Table13[[#This Row],[Response]]="Female",0,1)=2,E104,Table13[[#This Row],[Response]]),"")</f>
        <v>Male</v>
      </c>
      <c r="F105" s="1">
        <v>5</v>
      </c>
      <c r="G105" s="1" t="s">
        <v>8</v>
      </c>
      <c r="H105" s="1" t="s">
        <v>8</v>
      </c>
      <c r="I10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06" spans="1:11">
      <c r="A106" s="1" t="s">
        <v>24</v>
      </c>
      <c r="B106" s="1" t="s">
        <v>23</v>
      </c>
      <c r="C106" s="1">
        <v>11</v>
      </c>
      <c r="D106" s="1" t="s">
        <v>6</v>
      </c>
      <c r="E106" s="5" t="str">
        <f>IF(Table13[[#This Row],[Pre or Post]]="Pre",IF(IF(Table13[[#This Row],[Response]]="Male",0,1)+IF(Table13[[#This Row],[Response]]="Female",0,1)=2,E105,Table13[[#This Row],[Response]]),"")</f>
        <v>Male</v>
      </c>
      <c r="F106" s="1">
        <v>6</v>
      </c>
      <c r="G106" s="1" t="s">
        <v>8</v>
      </c>
      <c r="H106" s="1" t="s">
        <v>8</v>
      </c>
      <c r="I10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07" spans="1:11">
      <c r="A107" s="1" t="s">
        <v>24</v>
      </c>
      <c r="B107" s="1" t="s">
        <v>23</v>
      </c>
      <c r="C107" s="1">
        <v>11</v>
      </c>
      <c r="D107" s="1" t="s">
        <v>6</v>
      </c>
      <c r="E107" s="5" t="str">
        <f>IF(Table13[[#This Row],[Pre or Post]]="Pre",IF(IF(Table13[[#This Row],[Response]]="Male",0,1)+IF(Table13[[#This Row],[Response]]="Female",0,1)=2,E106,Table13[[#This Row],[Response]]),"")</f>
        <v>Male</v>
      </c>
      <c r="F107" s="1">
        <v>7</v>
      </c>
      <c r="G107" s="1" t="s">
        <v>9</v>
      </c>
      <c r="H107" s="1" t="s">
        <v>8</v>
      </c>
      <c r="I10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08" spans="1:11">
      <c r="A108" s="1" t="s">
        <v>24</v>
      </c>
      <c r="B108" s="1" t="s">
        <v>23</v>
      </c>
      <c r="C108" s="1">
        <v>11</v>
      </c>
      <c r="D108" s="1" t="s">
        <v>6</v>
      </c>
      <c r="E108" s="5" t="str">
        <f>IF(Table13[[#This Row],[Pre or Post]]="Pre",IF(IF(Table13[[#This Row],[Response]]="Male",0,1)+IF(Table13[[#This Row],[Response]]="Female",0,1)=2,E107,Table13[[#This Row],[Response]]),"")</f>
        <v>Male</v>
      </c>
      <c r="F108" s="1">
        <v>8</v>
      </c>
      <c r="G108" s="1"/>
      <c r="H108" s="1" t="s">
        <v>8</v>
      </c>
      <c r="I10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09" spans="1:11">
      <c r="A109" s="1" t="s">
        <v>24</v>
      </c>
      <c r="B109" s="1" t="s">
        <v>23</v>
      </c>
      <c r="C109" s="1">
        <v>11</v>
      </c>
      <c r="D109" s="1" t="s">
        <v>6</v>
      </c>
      <c r="E109" s="5" t="str">
        <f>IF(Table13[[#This Row],[Pre or Post]]="Pre",IF(IF(Table13[[#This Row],[Response]]="Male",0,1)+IF(Table13[[#This Row],[Response]]="Female",0,1)=2,E108,Table13[[#This Row],[Response]]),"")</f>
        <v>Male</v>
      </c>
      <c r="F109" s="1">
        <v>9</v>
      </c>
      <c r="G109" s="1">
        <v>4</v>
      </c>
      <c r="H109" s="1" t="s">
        <v>8</v>
      </c>
      <c r="I10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10" spans="1:11">
      <c r="A110" s="1" t="s">
        <v>24</v>
      </c>
      <c r="B110" s="1" t="s">
        <v>23</v>
      </c>
      <c r="C110" s="1">
        <v>11</v>
      </c>
      <c r="D110" s="1" t="s">
        <v>6</v>
      </c>
      <c r="E110" s="5" t="str">
        <f>IF(Table13[[#This Row],[Pre or Post]]="Pre",IF(IF(Table13[[#This Row],[Response]]="Male",0,1)+IF(Table13[[#This Row],[Response]]="Female",0,1)=2,E109,Table13[[#This Row],[Response]]),"")</f>
        <v>Male</v>
      </c>
      <c r="F110" s="1">
        <v>10</v>
      </c>
      <c r="G110" s="1">
        <v>2</v>
      </c>
      <c r="H110" s="1" t="s">
        <v>8</v>
      </c>
      <c r="I11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11" spans="1:11">
      <c r="A111" s="1" t="s">
        <v>24</v>
      </c>
      <c r="B111" s="1" t="s">
        <v>23</v>
      </c>
      <c r="C111" s="1">
        <v>11</v>
      </c>
      <c r="D111" s="1" t="s">
        <v>6</v>
      </c>
      <c r="E111" s="5" t="str">
        <f>IF(Table13[[#This Row],[Pre or Post]]="Pre",IF(IF(Table13[[#This Row],[Response]]="Male",0,1)+IF(Table13[[#This Row],[Response]]="Female",0,1)=2,E110,Table13[[#This Row],[Response]]),"")</f>
        <v>Male</v>
      </c>
      <c r="F111" s="1">
        <v>11</v>
      </c>
      <c r="G111" s="1">
        <v>2</v>
      </c>
      <c r="H111" s="1" t="s">
        <v>8</v>
      </c>
      <c r="I11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12" spans="1:11">
      <c r="A112" s="1" t="s">
        <v>24</v>
      </c>
      <c r="B112" s="1" t="s">
        <v>23</v>
      </c>
      <c r="C112" s="1">
        <v>12</v>
      </c>
      <c r="D112" s="1" t="s">
        <v>6</v>
      </c>
      <c r="E112" s="5" t="str">
        <f>IF(Table13[[#This Row],[Pre or Post]]="Pre",IF(IF(Table13[[#This Row],[Response]]="Male",0,1)+IF(Table13[[#This Row],[Response]]="Female",0,1)=2,E111,Table13[[#This Row],[Response]]),"")</f>
        <v>Male</v>
      </c>
      <c r="F112" s="1">
        <v>2</v>
      </c>
      <c r="G112" s="1" t="s">
        <v>7</v>
      </c>
      <c r="H112" s="1" t="s">
        <v>8</v>
      </c>
      <c r="I11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13" spans="1:11">
      <c r="A113" s="1" t="s">
        <v>24</v>
      </c>
      <c r="B113" s="1" t="s">
        <v>23</v>
      </c>
      <c r="C113" s="1">
        <v>12</v>
      </c>
      <c r="D113" s="1" t="s">
        <v>6</v>
      </c>
      <c r="E113" s="5" t="str">
        <f>IF(Table13[[#This Row],[Pre or Post]]="Pre",IF(IF(Table13[[#This Row],[Response]]="Male",0,1)+IF(Table13[[#This Row],[Response]]="Female",0,1)=2,E112,Table13[[#This Row],[Response]]),"")</f>
        <v>Male</v>
      </c>
      <c r="F113" s="1">
        <v>3</v>
      </c>
      <c r="G113" s="1" t="s">
        <v>8</v>
      </c>
      <c r="H113" s="1" t="s">
        <v>8</v>
      </c>
      <c r="I11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14" spans="1:11">
      <c r="A114" s="1" t="s">
        <v>24</v>
      </c>
      <c r="B114" s="1" t="s">
        <v>23</v>
      </c>
      <c r="C114" s="1">
        <v>12</v>
      </c>
      <c r="D114" s="1" t="s">
        <v>6</v>
      </c>
      <c r="E114" s="5" t="str">
        <f>IF(Table13[[#This Row],[Pre or Post]]="Pre",IF(IF(Table13[[#This Row],[Response]]="Male",0,1)+IF(Table13[[#This Row],[Response]]="Female",0,1)=2,E113,Table13[[#This Row],[Response]]),"")</f>
        <v>Male</v>
      </c>
      <c r="F114" s="1">
        <v>4</v>
      </c>
      <c r="G114" s="1" t="s">
        <v>9</v>
      </c>
      <c r="H114" s="1" t="s">
        <v>8</v>
      </c>
      <c r="I11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15" spans="1:11">
      <c r="A115" s="1" t="s">
        <v>24</v>
      </c>
      <c r="B115" s="1" t="s">
        <v>23</v>
      </c>
      <c r="C115" s="1">
        <v>12</v>
      </c>
      <c r="D115" s="1" t="s">
        <v>6</v>
      </c>
      <c r="E115" s="5" t="str">
        <f>IF(Table13[[#This Row],[Pre or Post]]="Pre",IF(IF(Table13[[#This Row],[Response]]="Male",0,1)+IF(Table13[[#This Row],[Response]]="Female",0,1)=2,E114,Table13[[#This Row],[Response]]),"")</f>
        <v>Male</v>
      </c>
      <c r="F115" s="1">
        <v>5</v>
      </c>
      <c r="G115" s="1" t="s">
        <v>8</v>
      </c>
      <c r="H115" s="1" t="s">
        <v>8</v>
      </c>
      <c r="I11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16" spans="1:11">
      <c r="A116" s="1" t="s">
        <v>24</v>
      </c>
      <c r="B116" s="1" t="s">
        <v>23</v>
      </c>
      <c r="C116" s="1">
        <v>12</v>
      </c>
      <c r="D116" s="1" t="s">
        <v>6</v>
      </c>
      <c r="E116" s="5" t="str">
        <f>IF(Table13[[#This Row],[Pre or Post]]="Pre",IF(IF(Table13[[#This Row],[Response]]="Male",0,1)+IF(Table13[[#This Row],[Response]]="Female",0,1)=2,E115,Table13[[#This Row],[Response]]),"")</f>
        <v>Male</v>
      </c>
      <c r="F116" s="1">
        <v>6</v>
      </c>
      <c r="G116" s="1" t="s">
        <v>8</v>
      </c>
      <c r="H116" s="1" t="s">
        <v>8</v>
      </c>
      <c r="I11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17" spans="1:11">
      <c r="A117" s="1" t="s">
        <v>24</v>
      </c>
      <c r="B117" s="1" t="s">
        <v>23</v>
      </c>
      <c r="C117" s="1">
        <v>12</v>
      </c>
      <c r="D117" s="1" t="s">
        <v>6</v>
      </c>
      <c r="E117" s="5" t="str">
        <f>IF(Table13[[#This Row],[Pre or Post]]="Pre",IF(IF(Table13[[#This Row],[Response]]="Male",0,1)+IF(Table13[[#This Row],[Response]]="Female",0,1)=2,E116,Table13[[#This Row],[Response]]),"")</f>
        <v>Male</v>
      </c>
      <c r="F117" s="1">
        <v>7</v>
      </c>
      <c r="G117" s="1" t="s">
        <v>9</v>
      </c>
      <c r="H117" s="1" t="s">
        <v>8</v>
      </c>
      <c r="I11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18" spans="1:11">
      <c r="A118" s="1" t="s">
        <v>24</v>
      </c>
      <c r="B118" s="1" t="s">
        <v>23</v>
      </c>
      <c r="C118" s="1">
        <v>12</v>
      </c>
      <c r="D118" s="1" t="s">
        <v>6</v>
      </c>
      <c r="E118" s="5" t="str">
        <f>IF(Table13[[#This Row],[Pre or Post]]="Pre",IF(IF(Table13[[#This Row],[Response]]="Male",0,1)+IF(Table13[[#This Row],[Response]]="Female",0,1)=2,E117,Table13[[#This Row],[Response]]),"")</f>
        <v>Male</v>
      </c>
      <c r="F118" s="1">
        <v>8</v>
      </c>
      <c r="G118" s="1"/>
      <c r="H118" s="1" t="s">
        <v>8</v>
      </c>
      <c r="I11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19" spans="1:11">
      <c r="A119" s="1" t="s">
        <v>24</v>
      </c>
      <c r="B119" s="1" t="s">
        <v>23</v>
      </c>
      <c r="C119" s="1">
        <v>12</v>
      </c>
      <c r="D119" s="1" t="s">
        <v>6</v>
      </c>
      <c r="E119" s="5" t="str">
        <f>IF(Table13[[#This Row],[Pre or Post]]="Pre",IF(IF(Table13[[#This Row],[Response]]="Male",0,1)+IF(Table13[[#This Row],[Response]]="Female",0,1)=2,E118,Table13[[#This Row],[Response]]),"")</f>
        <v>Male</v>
      </c>
      <c r="F119" s="1">
        <v>9</v>
      </c>
      <c r="G119" s="1">
        <v>3</v>
      </c>
      <c r="H119" s="1" t="s">
        <v>8</v>
      </c>
      <c r="I11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20" spans="1:11">
      <c r="A120" s="1" t="s">
        <v>24</v>
      </c>
      <c r="B120" s="1" t="s">
        <v>23</v>
      </c>
      <c r="C120" s="1">
        <v>12</v>
      </c>
      <c r="D120" s="1" t="s">
        <v>6</v>
      </c>
      <c r="E120" s="5" t="str">
        <f>IF(Table13[[#This Row],[Pre or Post]]="Pre",IF(IF(Table13[[#This Row],[Response]]="Male",0,1)+IF(Table13[[#This Row],[Response]]="Female",0,1)=2,E119,Table13[[#This Row],[Response]]),"")</f>
        <v>Male</v>
      </c>
      <c r="F120" s="1">
        <v>10</v>
      </c>
      <c r="G120" s="1">
        <v>2</v>
      </c>
      <c r="H120" s="1" t="s">
        <v>8</v>
      </c>
      <c r="I12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21" spans="1:11">
      <c r="A121" s="1" t="s">
        <v>24</v>
      </c>
      <c r="B121" s="1" t="s">
        <v>23</v>
      </c>
      <c r="C121" s="1">
        <v>12</v>
      </c>
      <c r="D121" s="1" t="s">
        <v>6</v>
      </c>
      <c r="E121" s="5" t="str">
        <f>IF(Table13[[#This Row],[Pre or Post]]="Pre",IF(IF(Table13[[#This Row],[Response]]="Male",0,1)+IF(Table13[[#This Row],[Response]]="Female",0,1)=2,E120,Table13[[#This Row],[Response]]),"")</f>
        <v>Male</v>
      </c>
      <c r="F121" s="1">
        <v>11</v>
      </c>
      <c r="G121" s="1">
        <v>3</v>
      </c>
      <c r="H121" s="1" t="s">
        <v>8</v>
      </c>
      <c r="I12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22" spans="1:11">
      <c r="A122" s="1" t="s">
        <v>24</v>
      </c>
      <c r="B122" s="1" t="s">
        <v>23</v>
      </c>
      <c r="C122" s="1">
        <v>13</v>
      </c>
      <c r="D122" s="1" t="s">
        <v>6</v>
      </c>
      <c r="E122" s="5" t="str">
        <f>IF(Table13[[#This Row],[Pre or Post]]="Pre",IF(IF(Table13[[#This Row],[Response]]="Male",0,1)+IF(Table13[[#This Row],[Response]]="Female",0,1)=2,E121,Table13[[#This Row],[Response]]),"")</f>
        <v>Male</v>
      </c>
      <c r="F122" s="1">
        <v>2</v>
      </c>
      <c r="G122" s="1" t="s">
        <v>7</v>
      </c>
      <c r="H122" s="1" t="s">
        <v>8</v>
      </c>
      <c r="I12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23" spans="1:11">
      <c r="A123" s="1" t="s">
        <v>24</v>
      </c>
      <c r="B123" s="1" t="s">
        <v>23</v>
      </c>
      <c r="C123" s="1">
        <v>13</v>
      </c>
      <c r="D123" s="1" t="s">
        <v>6</v>
      </c>
      <c r="E123" s="5" t="str">
        <f>IF(Table13[[#This Row],[Pre or Post]]="Pre",IF(IF(Table13[[#This Row],[Response]]="Male",0,1)+IF(Table13[[#This Row],[Response]]="Female",0,1)=2,E122,Table13[[#This Row],[Response]]),"")</f>
        <v>Male</v>
      </c>
      <c r="F123" s="1">
        <v>3</v>
      </c>
      <c r="G123" s="1" t="s">
        <v>8</v>
      </c>
      <c r="H123" s="1" t="s">
        <v>8</v>
      </c>
      <c r="I12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24" spans="1:11">
      <c r="A124" s="1" t="s">
        <v>24</v>
      </c>
      <c r="B124" s="1" t="s">
        <v>23</v>
      </c>
      <c r="C124" s="1">
        <v>13</v>
      </c>
      <c r="D124" s="1" t="s">
        <v>6</v>
      </c>
      <c r="E124" s="5" t="str">
        <f>IF(Table13[[#This Row],[Pre or Post]]="Pre",IF(IF(Table13[[#This Row],[Response]]="Male",0,1)+IF(Table13[[#This Row],[Response]]="Female",0,1)=2,E123,Table13[[#This Row],[Response]]),"")</f>
        <v>Male</v>
      </c>
      <c r="F124" s="1">
        <v>4</v>
      </c>
      <c r="G124" s="1" t="s">
        <v>8</v>
      </c>
      <c r="H124" s="1" t="s">
        <v>8</v>
      </c>
      <c r="I12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25" spans="1:11">
      <c r="A125" s="1" t="s">
        <v>24</v>
      </c>
      <c r="B125" s="1" t="s">
        <v>23</v>
      </c>
      <c r="C125" s="1">
        <v>13</v>
      </c>
      <c r="D125" s="1" t="s">
        <v>6</v>
      </c>
      <c r="E125" s="5" t="str">
        <f>IF(Table13[[#This Row],[Pre or Post]]="Pre",IF(IF(Table13[[#This Row],[Response]]="Male",0,1)+IF(Table13[[#This Row],[Response]]="Female",0,1)=2,E124,Table13[[#This Row],[Response]]),"")</f>
        <v>Male</v>
      </c>
      <c r="F125" s="1">
        <v>5</v>
      </c>
      <c r="G125" s="1" t="s">
        <v>8</v>
      </c>
      <c r="H125" s="1" t="s">
        <v>8</v>
      </c>
      <c r="I12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26" spans="1:11">
      <c r="A126" s="1" t="s">
        <v>24</v>
      </c>
      <c r="B126" s="1" t="s">
        <v>23</v>
      </c>
      <c r="C126" s="1">
        <v>13</v>
      </c>
      <c r="D126" s="1" t="s">
        <v>6</v>
      </c>
      <c r="E126" s="5" t="str">
        <f>IF(Table13[[#This Row],[Pre or Post]]="Pre",IF(IF(Table13[[#This Row],[Response]]="Male",0,1)+IF(Table13[[#This Row],[Response]]="Female",0,1)=2,E125,Table13[[#This Row],[Response]]),"")</f>
        <v>Male</v>
      </c>
      <c r="F126" s="1">
        <v>6</v>
      </c>
      <c r="G126" s="1" t="s">
        <v>8</v>
      </c>
      <c r="H126" s="1" t="s">
        <v>8</v>
      </c>
      <c r="I12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27" spans="1:11">
      <c r="A127" s="1" t="s">
        <v>24</v>
      </c>
      <c r="B127" s="1" t="s">
        <v>23</v>
      </c>
      <c r="C127" s="1">
        <v>13</v>
      </c>
      <c r="D127" s="1" t="s">
        <v>6</v>
      </c>
      <c r="E127" s="5" t="str">
        <f>IF(Table13[[#This Row],[Pre or Post]]="Pre",IF(IF(Table13[[#This Row],[Response]]="Male",0,1)+IF(Table13[[#This Row],[Response]]="Female",0,1)=2,E126,Table13[[#This Row],[Response]]),"")</f>
        <v>Male</v>
      </c>
      <c r="F127" s="1">
        <v>7</v>
      </c>
      <c r="G127" s="1" t="s">
        <v>9</v>
      </c>
      <c r="H127" s="1" t="s">
        <v>8</v>
      </c>
      <c r="I12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28" spans="1:11">
      <c r="A128" s="1" t="s">
        <v>24</v>
      </c>
      <c r="B128" s="1" t="s">
        <v>23</v>
      </c>
      <c r="C128" s="1">
        <v>13</v>
      </c>
      <c r="D128" s="1" t="s">
        <v>6</v>
      </c>
      <c r="E128" s="5" t="str">
        <f>IF(Table13[[#This Row],[Pre or Post]]="Pre",IF(IF(Table13[[#This Row],[Response]]="Male",0,1)+IF(Table13[[#This Row],[Response]]="Female",0,1)=2,E127,Table13[[#This Row],[Response]]),"")</f>
        <v>Male</v>
      </c>
      <c r="F128" s="1">
        <v>8</v>
      </c>
      <c r="G128" s="1"/>
      <c r="H128" s="1" t="s">
        <v>8</v>
      </c>
      <c r="I12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29" spans="1:11">
      <c r="A129" s="1" t="s">
        <v>24</v>
      </c>
      <c r="B129" s="1" t="s">
        <v>23</v>
      </c>
      <c r="C129" s="1">
        <v>13</v>
      </c>
      <c r="D129" s="1" t="s">
        <v>6</v>
      </c>
      <c r="E129" s="5" t="str">
        <f>IF(Table13[[#This Row],[Pre or Post]]="Pre",IF(IF(Table13[[#This Row],[Response]]="Male",0,1)+IF(Table13[[#This Row],[Response]]="Female",0,1)=2,E128,Table13[[#This Row],[Response]]),"")</f>
        <v>Male</v>
      </c>
      <c r="F129" s="1">
        <v>9</v>
      </c>
      <c r="G129" s="1">
        <v>3</v>
      </c>
      <c r="H129" s="1" t="s">
        <v>8</v>
      </c>
      <c r="I12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30" spans="1:11">
      <c r="A130" s="1" t="s">
        <v>24</v>
      </c>
      <c r="B130" s="1" t="s">
        <v>23</v>
      </c>
      <c r="C130" s="1">
        <v>13</v>
      </c>
      <c r="D130" s="1" t="s">
        <v>6</v>
      </c>
      <c r="E130" s="5" t="str">
        <f>IF(Table13[[#This Row],[Pre or Post]]="Pre",IF(IF(Table13[[#This Row],[Response]]="Male",0,1)+IF(Table13[[#This Row],[Response]]="Female",0,1)=2,E129,Table13[[#This Row],[Response]]),"")</f>
        <v>Male</v>
      </c>
      <c r="F130" s="1">
        <v>10</v>
      </c>
      <c r="G130" s="1">
        <v>2</v>
      </c>
      <c r="H130" s="1" t="s">
        <v>8</v>
      </c>
      <c r="I13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31" spans="1:11">
      <c r="A131" s="1" t="s">
        <v>24</v>
      </c>
      <c r="B131" s="1" t="s">
        <v>23</v>
      </c>
      <c r="C131" s="1">
        <v>13</v>
      </c>
      <c r="D131" s="1" t="s">
        <v>6</v>
      </c>
      <c r="E131" s="5" t="str">
        <f>IF(Table13[[#This Row],[Pre or Post]]="Pre",IF(IF(Table13[[#This Row],[Response]]="Male",0,1)+IF(Table13[[#This Row],[Response]]="Female",0,1)=2,E130,Table13[[#This Row],[Response]]),"")</f>
        <v>Male</v>
      </c>
      <c r="F131" s="1">
        <v>11</v>
      </c>
      <c r="G131" s="1">
        <v>4</v>
      </c>
      <c r="H131" s="1" t="s">
        <v>8</v>
      </c>
      <c r="I13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32" spans="1:11">
      <c r="A132" s="1" t="s">
        <v>24</v>
      </c>
      <c r="B132" s="1" t="s">
        <v>23</v>
      </c>
      <c r="C132" s="1">
        <v>14</v>
      </c>
      <c r="D132" s="1" t="s">
        <v>6</v>
      </c>
      <c r="E132" s="5" t="str">
        <f>IF(Table13[[#This Row],[Pre or Post]]="Pre",IF(IF(Table13[[#This Row],[Response]]="Male",0,1)+IF(Table13[[#This Row],[Response]]="Female",0,1)=2,E131,Table13[[#This Row],[Response]]),"")</f>
        <v>Male</v>
      </c>
      <c r="F132" s="1">
        <v>2</v>
      </c>
      <c r="G132" s="1" t="s">
        <v>7</v>
      </c>
      <c r="H132" s="1" t="s">
        <v>8</v>
      </c>
      <c r="I13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33" spans="1:11">
      <c r="A133" s="1" t="s">
        <v>24</v>
      </c>
      <c r="B133" s="1" t="s">
        <v>23</v>
      </c>
      <c r="C133" s="1">
        <v>14</v>
      </c>
      <c r="D133" s="1" t="s">
        <v>6</v>
      </c>
      <c r="E133" s="5" t="str">
        <f>IF(Table13[[#This Row],[Pre or Post]]="Pre",IF(IF(Table13[[#This Row],[Response]]="Male",0,1)+IF(Table13[[#This Row],[Response]]="Female",0,1)=2,E132,Table13[[#This Row],[Response]]),"")</f>
        <v>Male</v>
      </c>
      <c r="F133" s="1">
        <v>3</v>
      </c>
      <c r="G133" s="1" t="s">
        <v>8</v>
      </c>
      <c r="H133" s="1" t="s">
        <v>8</v>
      </c>
      <c r="I13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34" spans="1:11">
      <c r="A134" s="1" t="s">
        <v>24</v>
      </c>
      <c r="B134" s="1" t="s">
        <v>23</v>
      </c>
      <c r="C134" s="1">
        <v>14</v>
      </c>
      <c r="D134" s="1" t="s">
        <v>6</v>
      </c>
      <c r="E134" s="5" t="str">
        <f>IF(Table13[[#This Row],[Pre or Post]]="Pre",IF(IF(Table13[[#This Row],[Response]]="Male",0,1)+IF(Table13[[#This Row],[Response]]="Female",0,1)=2,E133,Table13[[#This Row],[Response]]),"")</f>
        <v>Male</v>
      </c>
      <c r="F134" s="1">
        <v>4</v>
      </c>
      <c r="G134" s="1" t="s">
        <v>9</v>
      </c>
      <c r="H134" s="1" t="s">
        <v>8</v>
      </c>
      <c r="I13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35" spans="1:11">
      <c r="A135" s="1" t="s">
        <v>24</v>
      </c>
      <c r="B135" s="1" t="s">
        <v>23</v>
      </c>
      <c r="C135" s="1">
        <v>14</v>
      </c>
      <c r="D135" s="1" t="s">
        <v>6</v>
      </c>
      <c r="E135" s="5" t="str">
        <f>IF(Table13[[#This Row],[Pre or Post]]="Pre",IF(IF(Table13[[#This Row],[Response]]="Male",0,1)+IF(Table13[[#This Row],[Response]]="Female",0,1)=2,E134,Table13[[#This Row],[Response]]),"")</f>
        <v>Male</v>
      </c>
      <c r="F135" s="1">
        <v>5</v>
      </c>
      <c r="G135" s="1" t="s">
        <v>8</v>
      </c>
      <c r="H135" s="1" t="s">
        <v>8</v>
      </c>
      <c r="I13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36" spans="1:11">
      <c r="A136" s="1" t="s">
        <v>24</v>
      </c>
      <c r="B136" s="1" t="s">
        <v>23</v>
      </c>
      <c r="C136" s="1">
        <v>14</v>
      </c>
      <c r="D136" s="1" t="s">
        <v>6</v>
      </c>
      <c r="E136" s="5" t="str">
        <f>IF(Table13[[#This Row],[Pre or Post]]="Pre",IF(IF(Table13[[#This Row],[Response]]="Male",0,1)+IF(Table13[[#This Row],[Response]]="Female",0,1)=2,E135,Table13[[#This Row],[Response]]),"")</f>
        <v>Male</v>
      </c>
      <c r="F136" s="1">
        <v>6</v>
      </c>
      <c r="G136" s="1" t="s">
        <v>8</v>
      </c>
      <c r="H136" s="1" t="s">
        <v>8</v>
      </c>
      <c r="I13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37" spans="1:11">
      <c r="A137" s="1" t="s">
        <v>24</v>
      </c>
      <c r="B137" s="1" t="s">
        <v>23</v>
      </c>
      <c r="C137" s="1">
        <v>14</v>
      </c>
      <c r="D137" s="1" t="s">
        <v>6</v>
      </c>
      <c r="E137" s="5" t="str">
        <f>IF(Table13[[#This Row],[Pre or Post]]="Pre",IF(IF(Table13[[#This Row],[Response]]="Male",0,1)+IF(Table13[[#This Row],[Response]]="Female",0,1)=2,E136,Table13[[#This Row],[Response]]),"")</f>
        <v>Male</v>
      </c>
      <c r="F137" s="1">
        <v>7</v>
      </c>
      <c r="G137" s="1" t="s">
        <v>9</v>
      </c>
      <c r="H137" s="1" t="s">
        <v>8</v>
      </c>
      <c r="I13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38" spans="1:11">
      <c r="A138" s="1" t="s">
        <v>24</v>
      </c>
      <c r="B138" s="1" t="s">
        <v>23</v>
      </c>
      <c r="C138" s="1">
        <v>14</v>
      </c>
      <c r="D138" s="1" t="s">
        <v>6</v>
      </c>
      <c r="E138" s="5" t="str">
        <f>IF(Table13[[#This Row],[Pre or Post]]="Pre",IF(IF(Table13[[#This Row],[Response]]="Male",0,1)+IF(Table13[[#This Row],[Response]]="Female",0,1)=2,E137,Table13[[#This Row],[Response]]),"")</f>
        <v>Male</v>
      </c>
      <c r="F138" s="1">
        <v>8</v>
      </c>
      <c r="G138" s="1"/>
      <c r="H138" s="1" t="s">
        <v>8</v>
      </c>
      <c r="I13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39" spans="1:11">
      <c r="A139" s="1" t="s">
        <v>24</v>
      </c>
      <c r="B139" s="1" t="s">
        <v>23</v>
      </c>
      <c r="C139" s="1">
        <v>14</v>
      </c>
      <c r="D139" s="1" t="s">
        <v>6</v>
      </c>
      <c r="E139" s="5" t="str">
        <f>IF(Table13[[#This Row],[Pre or Post]]="Pre",IF(IF(Table13[[#This Row],[Response]]="Male",0,1)+IF(Table13[[#This Row],[Response]]="Female",0,1)=2,E138,Table13[[#This Row],[Response]]),"")</f>
        <v>Male</v>
      </c>
      <c r="F139" s="1">
        <v>9</v>
      </c>
      <c r="G139" s="1">
        <v>2</v>
      </c>
      <c r="H139" s="1" t="s">
        <v>8</v>
      </c>
      <c r="I13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40" spans="1:11">
      <c r="A140" s="1" t="s">
        <v>24</v>
      </c>
      <c r="B140" s="1" t="s">
        <v>23</v>
      </c>
      <c r="C140" s="1">
        <v>14</v>
      </c>
      <c r="D140" s="1" t="s">
        <v>6</v>
      </c>
      <c r="E140" s="5" t="str">
        <f>IF(Table13[[#This Row],[Pre or Post]]="Pre",IF(IF(Table13[[#This Row],[Response]]="Male",0,1)+IF(Table13[[#This Row],[Response]]="Female",0,1)=2,E139,Table13[[#This Row],[Response]]),"")</f>
        <v>Male</v>
      </c>
      <c r="F140" s="1">
        <v>10</v>
      </c>
      <c r="G140" s="1">
        <v>1</v>
      </c>
      <c r="H140" s="1" t="s">
        <v>8</v>
      </c>
      <c r="I14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41" spans="1:11">
      <c r="A141" s="1" t="s">
        <v>24</v>
      </c>
      <c r="B141" s="1" t="s">
        <v>23</v>
      </c>
      <c r="C141" s="1">
        <v>14</v>
      </c>
      <c r="D141" s="1" t="s">
        <v>6</v>
      </c>
      <c r="E141" s="5" t="str">
        <f>IF(Table13[[#This Row],[Pre or Post]]="Pre",IF(IF(Table13[[#This Row],[Response]]="Male",0,1)+IF(Table13[[#This Row],[Response]]="Female",0,1)=2,E140,Table13[[#This Row],[Response]]),"")</f>
        <v>Male</v>
      </c>
      <c r="F141" s="1">
        <v>11</v>
      </c>
      <c r="G141" s="1">
        <v>1</v>
      </c>
      <c r="H141" s="1" t="s">
        <v>8</v>
      </c>
      <c r="I14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42" spans="1:11">
      <c r="A142" s="1" t="s">
        <v>24</v>
      </c>
      <c r="B142" s="1" t="s">
        <v>23</v>
      </c>
      <c r="C142" s="1">
        <v>15</v>
      </c>
      <c r="D142" s="1" t="s">
        <v>6</v>
      </c>
      <c r="E142" s="5" t="str">
        <f>IF(Table13[[#This Row],[Pre or Post]]="Pre",IF(IF(Table13[[#This Row],[Response]]="Male",0,1)+IF(Table13[[#This Row],[Response]]="Female",0,1)=2,E141,Table13[[#This Row],[Response]]),"")</f>
        <v>Male</v>
      </c>
      <c r="F142" s="1">
        <v>2</v>
      </c>
      <c r="G142" s="1" t="s">
        <v>7</v>
      </c>
      <c r="H142" s="1" t="s">
        <v>8</v>
      </c>
      <c r="I14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43" spans="1:11">
      <c r="A143" s="1" t="s">
        <v>24</v>
      </c>
      <c r="B143" s="1" t="s">
        <v>23</v>
      </c>
      <c r="C143" s="1">
        <v>15</v>
      </c>
      <c r="D143" s="1" t="s">
        <v>6</v>
      </c>
      <c r="E143" s="5" t="str">
        <f>IF(Table13[[#This Row],[Pre or Post]]="Pre",IF(IF(Table13[[#This Row],[Response]]="Male",0,1)+IF(Table13[[#This Row],[Response]]="Female",0,1)=2,E142,Table13[[#This Row],[Response]]),"")</f>
        <v>Male</v>
      </c>
      <c r="F143" s="1">
        <v>3</v>
      </c>
      <c r="G143" s="1" t="s">
        <v>8</v>
      </c>
      <c r="H143" s="1" t="s">
        <v>8</v>
      </c>
      <c r="I14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44" spans="1:11">
      <c r="A144" s="1" t="s">
        <v>24</v>
      </c>
      <c r="B144" s="1" t="s">
        <v>23</v>
      </c>
      <c r="C144" s="1">
        <v>15</v>
      </c>
      <c r="D144" s="1" t="s">
        <v>6</v>
      </c>
      <c r="E144" s="5" t="str">
        <f>IF(Table13[[#This Row],[Pre or Post]]="Pre",IF(IF(Table13[[#This Row],[Response]]="Male",0,1)+IF(Table13[[#This Row],[Response]]="Female",0,1)=2,E143,Table13[[#This Row],[Response]]),"")</f>
        <v>Male</v>
      </c>
      <c r="F144" s="1">
        <v>4</v>
      </c>
      <c r="G144" s="1" t="s">
        <v>9</v>
      </c>
      <c r="H144" s="1" t="s">
        <v>8</v>
      </c>
      <c r="I14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45" spans="1:11">
      <c r="A145" s="1" t="s">
        <v>24</v>
      </c>
      <c r="B145" s="1" t="s">
        <v>23</v>
      </c>
      <c r="C145" s="1">
        <v>15</v>
      </c>
      <c r="D145" s="1" t="s">
        <v>6</v>
      </c>
      <c r="E145" s="5" t="str">
        <f>IF(Table13[[#This Row],[Pre or Post]]="Pre",IF(IF(Table13[[#This Row],[Response]]="Male",0,1)+IF(Table13[[#This Row],[Response]]="Female",0,1)=2,E144,Table13[[#This Row],[Response]]),"")</f>
        <v>Male</v>
      </c>
      <c r="F145" s="1">
        <v>5</v>
      </c>
      <c r="G145" s="1" t="s">
        <v>8</v>
      </c>
      <c r="H145" s="1" t="s">
        <v>8</v>
      </c>
      <c r="I14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46" spans="1:11">
      <c r="A146" s="1" t="s">
        <v>24</v>
      </c>
      <c r="B146" s="1" t="s">
        <v>23</v>
      </c>
      <c r="C146" s="1">
        <v>15</v>
      </c>
      <c r="D146" s="1" t="s">
        <v>6</v>
      </c>
      <c r="E146" s="5" t="str">
        <f>IF(Table13[[#This Row],[Pre or Post]]="Pre",IF(IF(Table13[[#This Row],[Response]]="Male",0,1)+IF(Table13[[#This Row],[Response]]="Female",0,1)=2,E145,Table13[[#This Row],[Response]]),"")</f>
        <v>Male</v>
      </c>
      <c r="F146" s="1">
        <v>6</v>
      </c>
      <c r="G146" s="1" t="s">
        <v>8</v>
      </c>
      <c r="H146" s="1" t="s">
        <v>8</v>
      </c>
      <c r="I14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47" spans="1:11">
      <c r="A147" s="1" t="s">
        <v>24</v>
      </c>
      <c r="B147" s="1" t="s">
        <v>23</v>
      </c>
      <c r="C147" s="1">
        <v>15</v>
      </c>
      <c r="D147" s="1" t="s">
        <v>6</v>
      </c>
      <c r="E147" s="5" t="str">
        <f>IF(Table13[[#This Row],[Pre or Post]]="Pre",IF(IF(Table13[[#This Row],[Response]]="Male",0,1)+IF(Table13[[#This Row],[Response]]="Female",0,1)=2,E146,Table13[[#This Row],[Response]]),"")</f>
        <v>Male</v>
      </c>
      <c r="F147" s="1">
        <v>7</v>
      </c>
      <c r="G147" s="1" t="s">
        <v>9</v>
      </c>
      <c r="H147" s="1" t="s">
        <v>8</v>
      </c>
      <c r="I14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48" spans="1:11">
      <c r="A148" s="1" t="s">
        <v>24</v>
      </c>
      <c r="B148" s="1" t="s">
        <v>23</v>
      </c>
      <c r="C148" s="1">
        <v>15</v>
      </c>
      <c r="D148" s="1" t="s">
        <v>6</v>
      </c>
      <c r="E148" s="5" t="str">
        <f>IF(Table13[[#This Row],[Pre or Post]]="Pre",IF(IF(Table13[[#This Row],[Response]]="Male",0,1)+IF(Table13[[#This Row],[Response]]="Female",0,1)=2,E147,Table13[[#This Row],[Response]]),"")</f>
        <v>Male</v>
      </c>
      <c r="F148" s="1">
        <v>8</v>
      </c>
      <c r="G148" s="1"/>
      <c r="H148" s="1" t="s">
        <v>8</v>
      </c>
      <c r="I14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49" spans="1:11">
      <c r="A149" s="1" t="s">
        <v>24</v>
      </c>
      <c r="B149" s="1" t="s">
        <v>23</v>
      </c>
      <c r="C149" s="1">
        <v>15</v>
      </c>
      <c r="D149" s="1" t="s">
        <v>6</v>
      </c>
      <c r="E149" s="5" t="str">
        <f>IF(Table13[[#This Row],[Pre or Post]]="Pre",IF(IF(Table13[[#This Row],[Response]]="Male",0,1)+IF(Table13[[#This Row],[Response]]="Female",0,1)=2,E148,Table13[[#This Row],[Response]]),"")</f>
        <v>Male</v>
      </c>
      <c r="F149" s="1">
        <v>9</v>
      </c>
      <c r="G149" s="1">
        <v>4</v>
      </c>
      <c r="H149" s="1" t="s">
        <v>8</v>
      </c>
      <c r="I14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50" spans="1:11">
      <c r="A150" s="1" t="s">
        <v>24</v>
      </c>
      <c r="B150" s="1" t="s">
        <v>23</v>
      </c>
      <c r="C150" s="1">
        <v>15</v>
      </c>
      <c r="D150" s="1" t="s">
        <v>6</v>
      </c>
      <c r="E150" s="5" t="str">
        <f>IF(Table13[[#This Row],[Pre or Post]]="Pre",IF(IF(Table13[[#This Row],[Response]]="Male",0,1)+IF(Table13[[#This Row],[Response]]="Female",0,1)=2,E149,Table13[[#This Row],[Response]]),"")</f>
        <v>Male</v>
      </c>
      <c r="F150" s="1">
        <v>10</v>
      </c>
      <c r="G150" s="1">
        <v>2</v>
      </c>
      <c r="H150" s="1" t="s">
        <v>8</v>
      </c>
      <c r="I15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51" spans="1:11">
      <c r="A151" s="1" t="s">
        <v>24</v>
      </c>
      <c r="B151" s="1" t="s">
        <v>23</v>
      </c>
      <c r="C151" s="1">
        <v>15</v>
      </c>
      <c r="D151" s="1" t="s">
        <v>6</v>
      </c>
      <c r="E151" s="5" t="str">
        <f>IF(Table13[[#This Row],[Pre or Post]]="Pre",IF(IF(Table13[[#This Row],[Response]]="Male",0,1)+IF(Table13[[#This Row],[Response]]="Female",0,1)=2,E150,Table13[[#This Row],[Response]]),"")</f>
        <v>Male</v>
      </c>
      <c r="F151" s="1">
        <v>11</v>
      </c>
      <c r="G151" s="1">
        <v>1</v>
      </c>
      <c r="H151" s="1" t="s">
        <v>8</v>
      </c>
      <c r="I15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52" spans="1:11">
      <c r="A152" s="1" t="s">
        <v>24</v>
      </c>
      <c r="B152" s="1" t="s">
        <v>23</v>
      </c>
      <c r="C152" s="1">
        <v>16</v>
      </c>
      <c r="D152" s="1" t="s">
        <v>6</v>
      </c>
      <c r="E152" s="5" t="str">
        <f>IF(Table13[[#This Row],[Pre or Post]]="Pre",IF(IF(Table13[[#This Row],[Response]]="Male",0,1)+IF(Table13[[#This Row],[Response]]="Female",0,1)=2,E151,Table13[[#This Row],[Response]]),"")</f>
        <v>Male</v>
      </c>
      <c r="F152" s="1">
        <v>2</v>
      </c>
      <c r="G152" s="1" t="s">
        <v>7</v>
      </c>
      <c r="H152" s="1" t="s">
        <v>8</v>
      </c>
      <c r="I15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53" spans="1:11">
      <c r="A153" s="1" t="s">
        <v>24</v>
      </c>
      <c r="B153" s="1" t="s">
        <v>23</v>
      </c>
      <c r="C153" s="1">
        <v>16</v>
      </c>
      <c r="D153" s="1" t="s">
        <v>6</v>
      </c>
      <c r="E153" s="5" t="str">
        <f>IF(Table13[[#This Row],[Pre or Post]]="Pre",IF(IF(Table13[[#This Row],[Response]]="Male",0,1)+IF(Table13[[#This Row],[Response]]="Female",0,1)=2,E152,Table13[[#This Row],[Response]]),"")</f>
        <v>Male</v>
      </c>
      <c r="F153" s="1">
        <v>3</v>
      </c>
      <c r="G153" s="1" t="s">
        <v>8</v>
      </c>
      <c r="H153" s="1" t="s">
        <v>8</v>
      </c>
      <c r="I15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54" spans="1:11">
      <c r="A154" s="1" t="s">
        <v>24</v>
      </c>
      <c r="B154" s="1" t="s">
        <v>23</v>
      </c>
      <c r="C154" s="1">
        <v>16</v>
      </c>
      <c r="D154" s="1" t="s">
        <v>6</v>
      </c>
      <c r="E154" s="5" t="str">
        <f>IF(Table13[[#This Row],[Pre or Post]]="Pre",IF(IF(Table13[[#This Row],[Response]]="Male",0,1)+IF(Table13[[#This Row],[Response]]="Female",0,1)=2,E153,Table13[[#This Row],[Response]]),"")</f>
        <v>Male</v>
      </c>
      <c r="F154" s="1">
        <v>4</v>
      </c>
      <c r="G154" s="1" t="s">
        <v>8</v>
      </c>
      <c r="H154" s="1" t="s">
        <v>8</v>
      </c>
      <c r="I15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55" spans="1:11">
      <c r="A155" s="1" t="s">
        <v>24</v>
      </c>
      <c r="B155" s="1" t="s">
        <v>23</v>
      </c>
      <c r="C155" s="1">
        <v>16</v>
      </c>
      <c r="D155" s="1" t="s">
        <v>6</v>
      </c>
      <c r="E155" s="5" t="str">
        <f>IF(Table13[[#This Row],[Pre or Post]]="Pre",IF(IF(Table13[[#This Row],[Response]]="Male",0,1)+IF(Table13[[#This Row],[Response]]="Female",0,1)=2,E154,Table13[[#This Row],[Response]]),"")</f>
        <v>Male</v>
      </c>
      <c r="F155" s="1">
        <v>5</v>
      </c>
      <c r="G155" s="1" t="s">
        <v>8</v>
      </c>
      <c r="H155" s="1" t="s">
        <v>8</v>
      </c>
      <c r="I15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56" spans="1:11">
      <c r="A156" s="1" t="s">
        <v>24</v>
      </c>
      <c r="B156" s="1" t="s">
        <v>23</v>
      </c>
      <c r="C156" s="1">
        <v>16</v>
      </c>
      <c r="D156" s="1" t="s">
        <v>6</v>
      </c>
      <c r="E156" s="5" t="str">
        <f>IF(Table13[[#This Row],[Pre or Post]]="Pre",IF(IF(Table13[[#This Row],[Response]]="Male",0,1)+IF(Table13[[#This Row],[Response]]="Female",0,1)=2,E155,Table13[[#This Row],[Response]]),"")</f>
        <v>Male</v>
      </c>
      <c r="F156" s="1">
        <v>6</v>
      </c>
      <c r="G156" s="1" t="s">
        <v>8</v>
      </c>
      <c r="H156" s="1" t="s">
        <v>8</v>
      </c>
      <c r="I15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57" spans="1:11">
      <c r="A157" s="1" t="s">
        <v>24</v>
      </c>
      <c r="B157" s="1" t="s">
        <v>23</v>
      </c>
      <c r="C157" s="1">
        <v>16</v>
      </c>
      <c r="D157" s="1" t="s">
        <v>6</v>
      </c>
      <c r="E157" s="5" t="str">
        <f>IF(Table13[[#This Row],[Pre or Post]]="Pre",IF(IF(Table13[[#This Row],[Response]]="Male",0,1)+IF(Table13[[#This Row],[Response]]="Female",0,1)=2,E156,Table13[[#This Row],[Response]]),"")</f>
        <v>Male</v>
      </c>
      <c r="F157" s="1">
        <v>7</v>
      </c>
      <c r="G157" s="1" t="s">
        <v>9</v>
      </c>
      <c r="H157" s="1" t="s">
        <v>8</v>
      </c>
      <c r="I15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58" spans="1:11">
      <c r="A158" s="1" t="s">
        <v>24</v>
      </c>
      <c r="B158" s="1" t="s">
        <v>23</v>
      </c>
      <c r="C158" s="1">
        <v>16</v>
      </c>
      <c r="D158" s="1" t="s">
        <v>6</v>
      </c>
      <c r="E158" s="5" t="str">
        <f>IF(Table13[[#This Row],[Pre or Post]]="Pre",IF(IF(Table13[[#This Row],[Response]]="Male",0,1)+IF(Table13[[#This Row],[Response]]="Female",0,1)=2,E157,Table13[[#This Row],[Response]]),"")</f>
        <v>Male</v>
      </c>
      <c r="F158" s="1">
        <v>8</v>
      </c>
      <c r="G158" s="1"/>
      <c r="H158" s="1" t="s">
        <v>8</v>
      </c>
      <c r="I15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59" spans="1:11">
      <c r="A159" s="1" t="s">
        <v>24</v>
      </c>
      <c r="B159" s="1" t="s">
        <v>23</v>
      </c>
      <c r="C159" s="1">
        <v>16</v>
      </c>
      <c r="D159" s="1" t="s">
        <v>6</v>
      </c>
      <c r="E159" s="5" t="str">
        <f>IF(Table13[[#This Row],[Pre or Post]]="Pre",IF(IF(Table13[[#This Row],[Response]]="Male",0,1)+IF(Table13[[#This Row],[Response]]="Female",0,1)=2,E158,Table13[[#This Row],[Response]]),"")</f>
        <v>Male</v>
      </c>
      <c r="F159" s="1">
        <v>9</v>
      </c>
      <c r="G159" s="1">
        <v>3</v>
      </c>
      <c r="H159" s="1" t="s">
        <v>8</v>
      </c>
      <c r="I15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60" spans="1:11">
      <c r="A160" s="1" t="s">
        <v>24</v>
      </c>
      <c r="B160" s="1" t="s">
        <v>23</v>
      </c>
      <c r="C160" s="1">
        <v>16</v>
      </c>
      <c r="D160" s="1" t="s">
        <v>6</v>
      </c>
      <c r="E160" s="5" t="str">
        <f>IF(Table13[[#This Row],[Pre or Post]]="Pre",IF(IF(Table13[[#This Row],[Response]]="Male",0,1)+IF(Table13[[#This Row],[Response]]="Female",0,1)=2,E159,Table13[[#This Row],[Response]]),"")</f>
        <v>Male</v>
      </c>
      <c r="F160" s="1">
        <v>10</v>
      </c>
      <c r="G160" s="1">
        <v>2</v>
      </c>
      <c r="H160" s="1" t="s">
        <v>8</v>
      </c>
      <c r="I16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61" spans="1:11">
      <c r="A161" s="1" t="s">
        <v>24</v>
      </c>
      <c r="B161" s="1" t="s">
        <v>23</v>
      </c>
      <c r="C161" s="1">
        <v>16</v>
      </c>
      <c r="D161" s="1" t="s">
        <v>6</v>
      </c>
      <c r="E161" s="5" t="str">
        <f>IF(Table13[[#This Row],[Pre or Post]]="Pre",IF(IF(Table13[[#This Row],[Response]]="Male",0,1)+IF(Table13[[#This Row],[Response]]="Female",0,1)=2,E160,Table13[[#This Row],[Response]]),"")</f>
        <v>Male</v>
      </c>
      <c r="F161" s="2">
        <v>11</v>
      </c>
      <c r="G161" s="2">
        <v>2</v>
      </c>
      <c r="H161" s="1" t="s">
        <v>8</v>
      </c>
      <c r="I16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62" spans="1:11">
      <c r="A162" s="1" t="s">
        <v>24</v>
      </c>
      <c r="B162" s="1" t="s">
        <v>23</v>
      </c>
      <c r="C162" s="1">
        <v>1</v>
      </c>
      <c r="D162" s="1" t="s">
        <v>16</v>
      </c>
      <c r="E162" s="5" t="str">
        <f>IF(Table13[[#This Row],[Pre or Post]]="Pre",IF(IF(Table13[[#This Row],[Response]]="Male",0,1)+IF(Table13[[#This Row],[Response]]="Female",0,1)=2,E161,Table13[[#This Row],[Response]]),"")</f>
        <v/>
      </c>
      <c r="F162" s="1">
        <v>2</v>
      </c>
      <c r="G162" s="1">
        <v>2</v>
      </c>
      <c r="H162" s="1" t="s">
        <v>8</v>
      </c>
      <c r="I16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63" spans="1:11">
      <c r="A163" s="1" t="s">
        <v>24</v>
      </c>
      <c r="B163" s="1" t="s">
        <v>23</v>
      </c>
      <c r="C163" s="1">
        <v>1</v>
      </c>
      <c r="D163" s="1" t="s">
        <v>16</v>
      </c>
      <c r="E163" s="5" t="str">
        <f>IF(Table13[[#This Row],[Pre or Post]]="Pre",IF(IF(Table13[[#This Row],[Response]]="Male",0,1)+IF(Table13[[#This Row],[Response]]="Female",0,1)=2,E162,Table13[[#This Row],[Response]]),"")</f>
        <v/>
      </c>
      <c r="F163" s="1">
        <v>3</v>
      </c>
      <c r="G163" s="1">
        <v>4</v>
      </c>
      <c r="H163" s="1" t="s">
        <v>8</v>
      </c>
      <c r="I16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64" spans="1:11">
      <c r="A164" s="1" t="s">
        <v>24</v>
      </c>
      <c r="B164" s="1" t="s">
        <v>23</v>
      </c>
      <c r="C164" s="1">
        <v>1</v>
      </c>
      <c r="D164" s="1" t="s">
        <v>16</v>
      </c>
      <c r="E164" s="5" t="str">
        <f>IF(Table13[[#This Row],[Pre or Post]]="Pre",IF(IF(Table13[[#This Row],[Response]]="Male",0,1)+IF(Table13[[#This Row],[Response]]="Female",0,1)=2,E163,Table13[[#This Row],[Response]]),"")</f>
        <v/>
      </c>
      <c r="F164" s="1">
        <v>4</v>
      </c>
      <c r="G164" s="1">
        <v>3</v>
      </c>
      <c r="H164" s="1" t="s">
        <v>8</v>
      </c>
      <c r="I16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65" spans="1:11">
      <c r="A165" s="1" t="s">
        <v>24</v>
      </c>
      <c r="B165" s="1" t="s">
        <v>23</v>
      </c>
      <c r="C165" s="1">
        <v>1</v>
      </c>
      <c r="D165" s="1" t="s">
        <v>16</v>
      </c>
      <c r="E165" s="5" t="str">
        <f>IF(Table13[[#This Row],[Pre or Post]]="Pre",IF(IF(Table13[[#This Row],[Response]]="Male",0,1)+IF(Table13[[#This Row],[Response]]="Female",0,1)=2,E164,Table13[[#This Row],[Response]]),"")</f>
        <v/>
      </c>
      <c r="F165" s="1">
        <v>5</v>
      </c>
      <c r="G165" s="1">
        <v>4</v>
      </c>
      <c r="H165" s="1" t="s">
        <v>8</v>
      </c>
      <c r="I16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66" spans="1:11">
      <c r="A166" s="1" t="s">
        <v>24</v>
      </c>
      <c r="B166" s="1" t="s">
        <v>23</v>
      </c>
      <c r="C166" s="1">
        <v>1</v>
      </c>
      <c r="D166" s="1" t="s">
        <v>16</v>
      </c>
      <c r="E166" s="5" t="str">
        <f>IF(Table13[[#This Row],[Pre or Post]]="Pre",IF(IF(Table13[[#This Row],[Response]]="Male",0,1)+IF(Table13[[#This Row],[Response]]="Female",0,1)=2,E165,Table13[[#This Row],[Response]]),"")</f>
        <v/>
      </c>
      <c r="F166" s="1">
        <v>6</v>
      </c>
      <c r="G166" s="1">
        <v>3</v>
      </c>
      <c r="H166" s="1" t="s">
        <v>8</v>
      </c>
      <c r="I16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67" spans="1:11">
      <c r="A167" s="1" t="s">
        <v>24</v>
      </c>
      <c r="B167" s="1" t="s">
        <v>23</v>
      </c>
      <c r="C167" s="1">
        <v>1</v>
      </c>
      <c r="D167" s="1" t="s">
        <v>16</v>
      </c>
      <c r="E167" s="5" t="str">
        <f>IF(Table13[[#This Row],[Pre or Post]]="Pre",IF(IF(Table13[[#This Row],[Response]]="Male",0,1)+IF(Table13[[#This Row],[Response]]="Female",0,1)=2,E166,Table13[[#This Row],[Response]]),"")</f>
        <v/>
      </c>
      <c r="F167" s="1">
        <v>7</v>
      </c>
      <c r="G167" s="1">
        <v>4</v>
      </c>
      <c r="H167" s="1" t="s">
        <v>8</v>
      </c>
      <c r="I16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68" spans="1:11">
      <c r="A168" s="1" t="s">
        <v>24</v>
      </c>
      <c r="B168" s="1" t="s">
        <v>23</v>
      </c>
      <c r="C168" s="1">
        <v>1</v>
      </c>
      <c r="D168" s="1" t="s">
        <v>16</v>
      </c>
      <c r="E168" s="5" t="str">
        <f>IF(Table13[[#This Row],[Pre or Post]]="Pre",IF(IF(Table13[[#This Row],[Response]]="Male",0,1)+IF(Table13[[#This Row],[Response]]="Female",0,1)=2,E167,Table13[[#This Row],[Response]]),"")</f>
        <v/>
      </c>
      <c r="F168" s="1">
        <v>8</v>
      </c>
      <c r="G168" s="1" t="s">
        <v>8</v>
      </c>
      <c r="H168" s="1" t="s">
        <v>8</v>
      </c>
      <c r="I16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69" spans="1:11">
      <c r="A169" s="1" t="s">
        <v>24</v>
      </c>
      <c r="B169" s="1" t="s">
        <v>23</v>
      </c>
      <c r="C169" s="1">
        <v>1</v>
      </c>
      <c r="D169" s="1" t="s">
        <v>16</v>
      </c>
      <c r="E169" s="5" t="str">
        <f>IF(Table13[[#This Row],[Pre or Post]]="Pre",IF(IF(Table13[[#This Row],[Response]]="Male",0,1)+IF(Table13[[#This Row],[Response]]="Female",0,1)=2,E168,Table13[[#This Row],[Response]]),"")</f>
        <v/>
      </c>
      <c r="F169" s="1">
        <v>9</v>
      </c>
      <c r="G169" s="1" t="s">
        <v>17</v>
      </c>
      <c r="H169" s="1" t="s">
        <v>8</v>
      </c>
      <c r="I16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70" spans="1:11">
      <c r="A170" s="1" t="s">
        <v>24</v>
      </c>
      <c r="B170" s="1" t="s">
        <v>23</v>
      </c>
      <c r="C170" s="1">
        <v>1</v>
      </c>
      <c r="D170" s="1" t="s">
        <v>16</v>
      </c>
      <c r="E170" s="5" t="str">
        <f>IF(Table13[[#This Row],[Pre or Post]]="Pre",IF(IF(Table13[[#This Row],[Response]]="Male",0,1)+IF(Table13[[#This Row],[Response]]="Female",0,1)=2,E169,Table13[[#This Row],[Response]]),"")</f>
        <v/>
      </c>
      <c r="F170" s="1">
        <v>10</v>
      </c>
      <c r="G170" s="1" t="s">
        <v>18</v>
      </c>
      <c r="H170" s="1" t="s">
        <v>8</v>
      </c>
      <c r="I17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71" spans="1:11">
      <c r="A171" s="1" t="s">
        <v>24</v>
      </c>
      <c r="B171" s="1" t="s">
        <v>23</v>
      </c>
      <c r="C171" s="1">
        <v>1</v>
      </c>
      <c r="D171" s="1" t="s">
        <v>16</v>
      </c>
      <c r="E171" s="5" t="str">
        <f>IF(Table13[[#This Row],[Pre or Post]]="Pre",IF(IF(Table13[[#This Row],[Response]]="Male",0,1)+IF(Table13[[#This Row],[Response]]="Female",0,1)=2,E170,Table13[[#This Row],[Response]]),"")</f>
        <v/>
      </c>
      <c r="F171" s="1">
        <v>11</v>
      </c>
      <c r="G171" s="1" t="s">
        <v>9</v>
      </c>
      <c r="H171" s="1" t="s">
        <v>8</v>
      </c>
      <c r="I17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72" spans="1:11">
      <c r="A172" s="1" t="s">
        <v>24</v>
      </c>
      <c r="B172" s="1" t="s">
        <v>23</v>
      </c>
      <c r="C172" s="1">
        <v>2</v>
      </c>
      <c r="D172" s="1" t="s">
        <v>16</v>
      </c>
      <c r="E172" s="5" t="str">
        <f>IF(Table13[[#This Row],[Pre or Post]]="Pre",IF(IF(Table13[[#This Row],[Response]]="Male",0,1)+IF(Table13[[#This Row],[Response]]="Female",0,1)=2,E171,Table13[[#This Row],[Response]]),"")</f>
        <v/>
      </c>
      <c r="F172" s="1">
        <v>2</v>
      </c>
      <c r="G172" s="1">
        <v>1</v>
      </c>
      <c r="H172" s="1" t="s">
        <v>8</v>
      </c>
      <c r="I17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73" spans="1:11">
      <c r="A173" s="1" t="s">
        <v>24</v>
      </c>
      <c r="B173" s="1" t="s">
        <v>23</v>
      </c>
      <c r="C173" s="1">
        <v>2</v>
      </c>
      <c r="D173" s="1" t="s">
        <v>16</v>
      </c>
      <c r="E173" s="5" t="str">
        <f>IF(Table13[[#This Row],[Pre or Post]]="Pre",IF(IF(Table13[[#This Row],[Response]]="Male",0,1)+IF(Table13[[#This Row],[Response]]="Female",0,1)=2,E172,Table13[[#This Row],[Response]]),"")</f>
        <v/>
      </c>
      <c r="F173" s="1">
        <v>3</v>
      </c>
      <c r="G173" s="1">
        <v>1</v>
      </c>
      <c r="H173" s="1" t="s">
        <v>8</v>
      </c>
      <c r="I17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74" spans="1:11">
      <c r="A174" s="1" t="s">
        <v>24</v>
      </c>
      <c r="B174" s="1" t="s">
        <v>23</v>
      </c>
      <c r="C174" s="1">
        <v>2</v>
      </c>
      <c r="D174" s="1" t="s">
        <v>16</v>
      </c>
      <c r="E174" s="5" t="str">
        <f>IF(Table13[[#This Row],[Pre or Post]]="Pre",IF(IF(Table13[[#This Row],[Response]]="Male",0,1)+IF(Table13[[#This Row],[Response]]="Female",0,1)=2,E173,Table13[[#This Row],[Response]]),"")</f>
        <v/>
      </c>
      <c r="F174" s="1">
        <v>4</v>
      </c>
      <c r="G174" s="1">
        <v>1</v>
      </c>
      <c r="H174" s="1" t="s">
        <v>8</v>
      </c>
      <c r="I17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75" spans="1:11">
      <c r="A175" s="1" t="s">
        <v>24</v>
      </c>
      <c r="B175" s="1" t="s">
        <v>23</v>
      </c>
      <c r="C175" s="1">
        <v>2</v>
      </c>
      <c r="D175" s="1" t="s">
        <v>16</v>
      </c>
      <c r="E175" s="5" t="str">
        <f>IF(Table13[[#This Row],[Pre or Post]]="Pre",IF(IF(Table13[[#This Row],[Response]]="Male",0,1)+IF(Table13[[#This Row],[Response]]="Female",0,1)=2,E174,Table13[[#This Row],[Response]]),"")</f>
        <v/>
      </c>
      <c r="F175" s="1">
        <v>5</v>
      </c>
      <c r="G175" s="1">
        <v>1</v>
      </c>
      <c r="H175" s="1" t="s">
        <v>8</v>
      </c>
      <c r="I17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76" spans="1:11">
      <c r="A176" s="1" t="s">
        <v>24</v>
      </c>
      <c r="B176" s="1" t="s">
        <v>23</v>
      </c>
      <c r="C176" s="1">
        <v>2</v>
      </c>
      <c r="D176" s="1" t="s">
        <v>16</v>
      </c>
      <c r="E176" s="5" t="str">
        <f>IF(Table13[[#This Row],[Pre or Post]]="Pre",IF(IF(Table13[[#This Row],[Response]]="Male",0,1)+IF(Table13[[#This Row],[Response]]="Female",0,1)=2,E175,Table13[[#This Row],[Response]]),"")</f>
        <v/>
      </c>
      <c r="F176" s="1">
        <v>6</v>
      </c>
      <c r="G176" s="1">
        <v>5</v>
      </c>
      <c r="H176" s="1" t="s">
        <v>8</v>
      </c>
      <c r="I17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77" spans="1:11">
      <c r="A177" s="1" t="s">
        <v>24</v>
      </c>
      <c r="B177" s="1" t="s">
        <v>23</v>
      </c>
      <c r="C177" s="1">
        <v>2</v>
      </c>
      <c r="D177" s="1" t="s">
        <v>16</v>
      </c>
      <c r="E177" s="5" t="str">
        <f>IF(Table13[[#This Row],[Pre or Post]]="Pre",IF(IF(Table13[[#This Row],[Response]]="Male",0,1)+IF(Table13[[#This Row],[Response]]="Female",0,1)=2,E176,Table13[[#This Row],[Response]]),"")</f>
        <v/>
      </c>
      <c r="F177" s="1">
        <v>7</v>
      </c>
      <c r="G177" s="1">
        <v>1</v>
      </c>
      <c r="H177" s="1" t="s">
        <v>8</v>
      </c>
      <c r="I17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78" spans="1:11">
      <c r="A178" s="1" t="s">
        <v>24</v>
      </c>
      <c r="B178" s="1" t="s">
        <v>23</v>
      </c>
      <c r="C178" s="1">
        <v>2</v>
      </c>
      <c r="D178" s="1" t="s">
        <v>16</v>
      </c>
      <c r="E178" s="5" t="str">
        <f>IF(Table13[[#This Row],[Pre or Post]]="Pre",IF(IF(Table13[[#This Row],[Response]]="Male",0,1)+IF(Table13[[#This Row],[Response]]="Female",0,1)=2,E177,Table13[[#This Row],[Response]]),"")</f>
        <v/>
      </c>
      <c r="F178" s="1">
        <v>8</v>
      </c>
      <c r="G178" s="1" t="s">
        <v>9</v>
      </c>
      <c r="H178" s="1" t="s">
        <v>8</v>
      </c>
      <c r="I17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79" spans="1:11">
      <c r="A179" s="1" t="s">
        <v>24</v>
      </c>
      <c r="B179" s="1" t="s">
        <v>23</v>
      </c>
      <c r="C179" s="1">
        <v>2</v>
      </c>
      <c r="D179" s="1" t="s">
        <v>16</v>
      </c>
      <c r="E179" s="5" t="str">
        <f>IF(Table13[[#This Row],[Pre or Post]]="Pre",IF(IF(Table13[[#This Row],[Response]]="Male",0,1)+IF(Table13[[#This Row],[Response]]="Female",0,1)=2,E178,Table13[[#This Row],[Response]]),"")</f>
        <v/>
      </c>
      <c r="F179" s="1">
        <v>9</v>
      </c>
      <c r="G179" s="1" t="s">
        <v>17</v>
      </c>
      <c r="H179" s="1" t="s">
        <v>8</v>
      </c>
      <c r="I17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80" spans="1:11">
      <c r="A180" s="1" t="s">
        <v>24</v>
      </c>
      <c r="B180" s="1" t="s">
        <v>23</v>
      </c>
      <c r="C180" s="1">
        <v>2</v>
      </c>
      <c r="D180" s="1" t="s">
        <v>16</v>
      </c>
      <c r="E180" s="5" t="str">
        <f>IF(Table13[[#This Row],[Pre or Post]]="Pre",IF(IF(Table13[[#This Row],[Response]]="Male",0,1)+IF(Table13[[#This Row],[Response]]="Female",0,1)=2,E179,Table13[[#This Row],[Response]]),"")</f>
        <v/>
      </c>
      <c r="F180" s="1">
        <v>10</v>
      </c>
      <c r="G180" s="1" t="s">
        <v>18</v>
      </c>
      <c r="H180" s="1" t="s">
        <v>8</v>
      </c>
      <c r="I18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81" spans="1:11">
      <c r="A181" s="1" t="s">
        <v>24</v>
      </c>
      <c r="B181" s="1" t="s">
        <v>23</v>
      </c>
      <c r="C181" s="1">
        <v>2</v>
      </c>
      <c r="D181" s="1" t="s">
        <v>16</v>
      </c>
      <c r="E181" s="5" t="str">
        <f>IF(Table13[[#This Row],[Pre or Post]]="Pre",IF(IF(Table13[[#This Row],[Response]]="Male",0,1)+IF(Table13[[#This Row],[Response]]="Female",0,1)=2,E180,Table13[[#This Row],[Response]]),"")</f>
        <v/>
      </c>
      <c r="F181" s="1">
        <v>11</v>
      </c>
      <c r="G181" s="1" t="s">
        <v>9</v>
      </c>
      <c r="H181" s="1" t="s">
        <v>8</v>
      </c>
      <c r="I18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82" spans="1:11">
      <c r="A182" s="1" t="s">
        <v>24</v>
      </c>
      <c r="B182" s="1" t="s">
        <v>23</v>
      </c>
      <c r="C182" s="1">
        <v>3</v>
      </c>
      <c r="D182" s="1" t="s">
        <v>16</v>
      </c>
      <c r="E182" s="5" t="str">
        <f>IF(Table13[[#This Row],[Pre or Post]]="Pre",IF(IF(Table13[[#This Row],[Response]]="Male",0,1)+IF(Table13[[#This Row],[Response]]="Female",0,1)=2,E181,Table13[[#This Row],[Response]]),"")</f>
        <v/>
      </c>
      <c r="F182" s="1">
        <v>2</v>
      </c>
      <c r="G182" s="1">
        <v>3</v>
      </c>
      <c r="H182" s="1" t="s">
        <v>8</v>
      </c>
      <c r="I18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83" spans="1:11">
      <c r="A183" s="1" t="s">
        <v>24</v>
      </c>
      <c r="B183" s="1" t="s">
        <v>23</v>
      </c>
      <c r="C183" s="1">
        <v>3</v>
      </c>
      <c r="D183" s="1" t="s">
        <v>16</v>
      </c>
      <c r="E183" s="5" t="str">
        <f>IF(Table13[[#This Row],[Pre or Post]]="Pre",IF(IF(Table13[[#This Row],[Response]]="Male",0,1)+IF(Table13[[#This Row],[Response]]="Female",0,1)=2,E182,Table13[[#This Row],[Response]]),"")</f>
        <v/>
      </c>
      <c r="F183" s="1">
        <v>3</v>
      </c>
      <c r="G183" s="1">
        <v>3</v>
      </c>
      <c r="H183" s="1" t="s">
        <v>8</v>
      </c>
      <c r="I18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84" spans="1:11">
      <c r="A184" s="1" t="s">
        <v>24</v>
      </c>
      <c r="B184" s="1" t="s">
        <v>23</v>
      </c>
      <c r="C184" s="1">
        <v>3</v>
      </c>
      <c r="D184" s="1" t="s">
        <v>16</v>
      </c>
      <c r="E184" s="5" t="str">
        <f>IF(Table13[[#This Row],[Pre or Post]]="Pre",IF(IF(Table13[[#This Row],[Response]]="Male",0,1)+IF(Table13[[#This Row],[Response]]="Female",0,1)=2,E183,Table13[[#This Row],[Response]]),"")</f>
        <v/>
      </c>
      <c r="F184" s="1">
        <v>4</v>
      </c>
      <c r="G184" s="1">
        <v>3</v>
      </c>
      <c r="H184" s="1" t="s">
        <v>8</v>
      </c>
      <c r="I18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85" spans="1:11">
      <c r="A185" s="1" t="s">
        <v>24</v>
      </c>
      <c r="B185" s="1" t="s">
        <v>23</v>
      </c>
      <c r="C185" s="1">
        <v>3</v>
      </c>
      <c r="D185" s="1" t="s">
        <v>16</v>
      </c>
      <c r="E185" s="5" t="str">
        <f>IF(Table13[[#This Row],[Pre or Post]]="Pre",IF(IF(Table13[[#This Row],[Response]]="Male",0,1)+IF(Table13[[#This Row],[Response]]="Female",0,1)=2,E184,Table13[[#This Row],[Response]]),"")</f>
        <v/>
      </c>
      <c r="F185" s="1">
        <v>5</v>
      </c>
      <c r="G185" s="1">
        <v>3</v>
      </c>
      <c r="H185" s="1" t="s">
        <v>8</v>
      </c>
      <c r="I18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86" spans="1:11">
      <c r="A186" s="1" t="s">
        <v>24</v>
      </c>
      <c r="B186" s="1" t="s">
        <v>23</v>
      </c>
      <c r="C186" s="1">
        <v>3</v>
      </c>
      <c r="D186" s="1" t="s">
        <v>16</v>
      </c>
      <c r="E186" s="5" t="str">
        <f>IF(Table13[[#This Row],[Pre or Post]]="Pre",IF(IF(Table13[[#This Row],[Response]]="Male",0,1)+IF(Table13[[#This Row],[Response]]="Female",0,1)=2,E185,Table13[[#This Row],[Response]]),"")</f>
        <v/>
      </c>
      <c r="F186" s="1">
        <v>6</v>
      </c>
      <c r="G186" s="1">
        <v>5</v>
      </c>
      <c r="H186" s="1" t="s">
        <v>8</v>
      </c>
      <c r="I18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87" spans="1:11">
      <c r="A187" s="1" t="s">
        <v>24</v>
      </c>
      <c r="B187" s="1" t="s">
        <v>23</v>
      </c>
      <c r="C187" s="1">
        <v>3</v>
      </c>
      <c r="D187" s="1" t="s">
        <v>16</v>
      </c>
      <c r="E187" s="5" t="str">
        <f>IF(Table13[[#This Row],[Pre or Post]]="Pre",IF(IF(Table13[[#This Row],[Response]]="Male",0,1)+IF(Table13[[#This Row],[Response]]="Female",0,1)=2,E186,Table13[[#This Row],[Response]]),"")</f>
        <v/>
      </c>
      <c r="F187" s="1">
        <v>7</v>
      </c>
      <c r="G187" s="1">
        <v>4</v>
      </c>
      <c r="H187" s="1" t="s">
        <v>8</v>
      </c>
      <c r="I18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88" spans="1:11">
      <c r="A188" s="1" t="s">
        <v>24</v>
      </c>
      <c r="B188" s="1" t="s">
        <v>23</v>
      </c>
      <c r="C188" s="1">
        <v>3</v>
      </c>
      <c r="D188" s="1" t="s">
        <v>16</v>
      </c>
      <c r="E188" s="5" t="str">
        <f>IF(Table13[[#This Row],[Pre or Post]]="Pre",IF(IF(Table13[[#This Row],[Response]]="Male",0,1)+IF(Table13[[#This Row],[Response]]="Female",0,1)=2,E187,Table13[[#This Row],[Response]]),"")</f>
        <v/>
      </c>
      <c r="F188" s="1">
        <v>8</v>
      </c>
      <c r="G188" s="1" t="s">
        <v>8</v>
      </c>
      <c r="H188" s="1" t="s">
        <v>8</v>
      </c>
      <c r="I18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89" spans="1:11">
      <c r="A189" s="1" t="s">
        <v>24</v>
      </c>
      <c r="B189" s="1" t="s">
        <v>23</v>
      </c>
      <c r="C189" s="1">
        <v>3</v>
      </c>
      <c r="D189" s="1" t="s">
        <v>16</v>
      </c>
      <c r="E189" s="5" t="str">
        <f>IF(Table13[[#This Row],[Pre or Post]]="Pre",IF(IF(Table13[[#This Row],[Response]]="Male",0,1)+IF(Table13[[#This Row],[Response]]="Female",0,1)=2,E188,Table13[[#This Row],[Response]]),"")</f>
        <v/>
      </c>
      <c r="F189" s="1">
        <v>9</v>
      </c>
      <c r="G189" s="1" t="s">
        <v>17</v>
      </c>
      <c r="H189" s="1" t="s">
        <v>8</v>
      </c>
      <c r="I18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90" spans="1:11">
      <c r="A190" s="1" t="s">
        <v>24</v>
      </c>
      <c r="B190" s="1" t="s">
        <v>23</v>
      </c>
      <c r="C190" s="1">
        <v>3</v>
      </c>
      <c r="D190" s="1" t="s">
        <v>16</v>
      </c>
      <c r="E190" s="5" t="str">
        <f>IF(Table13[[#This Row],[Pre or Post]]="Pre",IF(IF(Table13[[#This Row],[Response]]="Male",0,1)+IF(Table13[[#This Row],[Response]]="Female",0,1)=2,E189,Table13[[#This Row],[Response]]),"")</f>
        <v/>
      </c>
      <c r="F190" s="1">
        <v>10</v>
      </c>
      <c r="G190" s="1" t="s">
        <v>18</v>
      </c>
      <c r="H190" s="1" t="s">
        <v>8</v>
      </c>
      <c r="I19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91" spans="1:11">
      <c r="A191" s="1" t="s">
        <v>24</v>
      </c>
      <c r="B191" s="1" t="s">
        <v>23</v>
      </c>
      <c r="C191" s="1">
        <v>3</v>
      </c>
      <c r="D191" s="1" t="s">
        <v>16</v>
      </c>
      <c r="E191" s="5" t="str">
        <f>IF(Table13[[#This Row],[Pre or Post]]="Pre",IF(IF(Table13[[#This Row],[Response]]="Male",0,1)+IF(Table13[[#This Row],[Response]]="Female",0,1)=2,E190,Table13[[#This Row],[Response]]),"")</f>
        <v/>
      </c>
      <c r="F191" s="1">
        <v>11</v>
      </c>
      <c r="G191" s="1" t="s">
        <v>9</v>
      </c>
      <c r="H191" s="1" t="s">
        <v>8</v>
      </c>
      <c r="I19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92" spans="1:11">
      <c r="A192" s="1" t="s">
        <v>24</v>
      </c>
      <c r="B192" s="1" t="s">
        <v>23</v>
      </c>
      <c r="C192" s="1">
        <v>4</v>
      </c>
      <c r="D192" s="1" t="s">
        <v>16</v>
      </c>
      <c r="E192" s="5" t="str">
        <f>IF(Table13[[#This Row],[Pre or Post]]="Pre",IF(IF(Table13[[#This Row],[Response]]="Male",0,1)+IF(Table13[[#This Row],[Response]]="Female",0,1)=2,E191,Table13[[#This Row],[Response]]),"")</f>
        <v/>
      </c>
      <c r="F192" s="1">
        <v>2</v>
      </c>
      <c r="G192" s="1">
        <v>3</v>
      </c>
      <c r="H192" s="1" t="s">
        <v>8</v>
      </c>
      <c r="I19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93" spans="1:11">
      <c r="A193" s="1" t="s">
        <v>24</v>
      </c>
      <c r="B193" s="1" t="s">
        <v>23</v>
      </c>
      <c r="C193" s="1">
        <v>4</v>
      </c>
      <c r="D193" s="1" t="s">
        <v>16</v>
      </c>
      <c r="E193" s="5" t="str">
        <f>IF(Table13[[#This Row],[Pre or Post]]="Pre",IF(IF(Table13[[#This Row],[Response]]="Male",0,1)+IF(Table13[[#This Row],[Response]]="Female",0,1)=2,E192,Table13[[#This Row],[Response]]),"")</f>
        <v/>
      </c>
      <c r="F193" s="1">
        <v>3</v>
      </c>
      <c r="G193" s="1">
        <v>4</v>
      </c>
      <c r="H193" s="1" t="s">
        <v>8</v>
      </c>
      <c r="I19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94" spans="1:11">
      <c r="A194" s="1" t="s">
        <v>24</v>
      </c>
      <c r="B194" s="1" t="s">
        <v>23</v>
      </c>
      <c r="C194" s="1">
        <v>4</v>
      </c>
      <c r="D194" s="1" t="s">
        <v>16</v>
      </c>
      <c r="E194" s="5" t="str">
        <f>IF(Table13[[#This Row],[Pre or Post]]="Pre",IF(IF(Table13[[#This Row],[Response]]="Male",0,1)+IF(Table13[[#This Row],[Response]]="Female",0,1)=2,E193,Table13[[#This Row],[Response]]),"")</f>
        <v/>
      </c>
      <c r="F194" s="1">
        <v>4</v>
      </c>
      <c r="G194" s="1">
        <v>3</v>
      </c>
      <c r="H194" s="1" t="s">
        <v>8</v>
      </c>
      <c r="I19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95" spans="1:11">
      <c r="A195" s="1" t="s">
        <v>24</v>
      </c>
      <c r="B195" s="1" t="s">
        <v>23</v>
      </c>
      <c r="C195" s="1">
        <v>4</v>
      </c>
      <c r="D195" s="1" t="s">
        <v>16</v>
      </c>
      <c r="E195" s="5" t="str">
        <f>IF(Table13[[#This Row],[Pre or Post]]="Pre",IF(IF(Table13[[#This Row],[Response]]="Male",0,1)+IF(Table13[[#This Row],[Response]]="Female",0,1)=2,E194,Table13[[#This Row],[Response]]),"")</f>
        <v/>
      </c>
      <c r="F195" s="1">
        <v>5</v>
      </c>
      <c r="G195" s="1">
        <v>4</v>
      </c>
      <c r="H195" s="1" t="s">
        <v>8</v>
      </c>
      <c r="I19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96" spans="1:11">
      <c r="A196" s="1" t="s">
        <v>24</v>
      </c>
      <c r="B196" s="1" t="s">
        <v>23</v>
      </c>
      <c r="C196" s="1">
        <v>4</v>
      </c>
      <c r="D196" s="1" t="s">
        <v>16</v>
      </c>
      <c r="E196" s="5" t="str">
        <f>IF(Table13[[#This Row],[Pre or Post]]="Pre",IF(IF(Table13[[#This Row],[Response]]="Male",0,1)+IF(Table13[[#This Row],[Response]]="Female",0,1)=2,E195,Table13[[#This Row],[Response]]),"")</f>
        <v/>
      </c>
      <c r="F196" s="1">
        <v>6</v>
      </c>
      <c r="G196" s="1">
        <v>5</v>
      </c>
      <c r="H196" s="1" t="s">
        <v>8</v>
      </c>
      <c r="I19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97" spans="1:11">
      <c r="A197" s="1" t="s">
        <v>24</v>
      </c>
      <c r="B197" s="1" t="s">
        <v>23</v>
      </c>
      <c r="C197" s="1">
        <v>4</v>
      </c>
      <c r="D197" s="1" t="s">
        <v>16</v>
      </c>
      <c r="E197" s="5" t="str">
        <f>IF(Table13[[#This Row],[Pre or Post]]="Pre",IF(IF(Table13[[#This Row],[Response]]="Male",0,1)+IF(Table13[[#This Row],[Response]]="Female",0,1)=2,E196,Table13[[#This Row],[Response]]),"")</f>
        <v/>
      </c>
      <c r="F197" s="1">
        <v>7</v>
      </c>
      <c r="G197" s="1">
        <v>5</v>
      </c>
      <c r="H197" s="1" t="s">
        <v>8</v>
      </c>
      <c r="I19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98" spans="1:11">
      <c r="A198" s="1" t="s">
        <v>24</v>
      </c>
      <c r="B198" s="1" t="s">
        <v>23</v>
      </c>
      <c r="C198" s="1">
        <v>4</v>
      </c>
      <c r="D198" s="1" t="s">
        <v>16</v>
      </c>
      <c r="E198" s="5" t="str">
        <f>IF(Table13[[#This Row],[Pre or Post]]="Pre",IF(IF(Table13[[#This Row],[Response]]="Male",0,1)+IF(Table13[[#This Row],[Response]]="Female",0,1)=2,E197,Table13[[#This Row],[Response]]),"")</f>
        <v/>
      </c>
      <c r="F198" s="1">
        <v>8</v>
      </c>
      <c r="G198" s="1" t="s">
        <v>8</v>
      </c>
      <c r="H198" s="1" t="s">
        <v>8</v>
      </c>
      <c r="I19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199" spans="1:11">
      <c r="A199" s="1" t="s">
        <v>24</v>
      </c>
      <c r="B199" s="1" t="s">
        <v>23</v>
      </c>
      <c r="C199" s="1">
        <v>4</v>
      </c>
      <c r="D199" s="1" t="s">
        <v>16</v>
      </c>
      <c r="E199" s="5" t="str">
        <f>IF(Table13[[#This Row],[Pre or Post]]="Pre",IF(IF(Table13[[#This Row],[Response]]="Male",0,1)+IF(Table13[[#This Row],[Response]]="Female",0,1)=2,E198,Table13[[#This Row],[Response]]),"")</f>
        <v/>
      </c>
      <c r="F199" s="1">
        <v>9</v>
      </c>
      <c r="G199" s="1" t="s">
        <v>17</v>
      </c>
      <c r="H199" s="1" t="s">
        <v>8</v>
      </c>
      <c r="I19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1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00" spans="1:11">
      <c r="A200" s="1" t="s">
        <v>24</v>
      </c>
      <c r="B200" s="1" t="s">
        <v>23</v>
      </c>
      <c r="C200" s="1">
        <v>4</v>
      </c>
      <c r="D200" s="1" t="s">
        <v>16</v>
      </c>
      <c r="E200" s="5" t="str">
        <f>IF(Table13[[#This Row],[Pre or Post]]="Pre",IF(IF(Table13[[#This Row],[Response]]="Male",0,1)+IF(Table13[[#This Row],[Response]]="Female",0,1)=2,E199,Table13[[#This Row],[Response]]),"")</f>
        <v/>
      </c>
      <c r="F200" s="1">
        <v>10</v>
      </c>
      <c r="G200" s="1" t="s">
        <v>18</v>
      </c>
      <c r="H200" s="1" t="s">
        <v>8</v>
      </c>
      <c r="I20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01" spans="1:11">
      <c r="A201" s="1" t="s">
        <v>24</v>
      </c>
      <c r="B201" s="1" t="s">
        <v>23</v>
      </c>
      <c r="C201" s="1">
        <v>4</v>
      </c>
      <c r="D201" s="1" t="s">
        <v>16</v>
      </c>
      <c r="E201" s="5" t="str">
        <f>IF(Table13[[#This Row],[Pre or Post]]="Pre",IF(IF(Table13[[#This Row],[Response]]="Male",0,1)+IF(Table13[[#This Row],[Response]]="Female",0,1)=2,E200,Table13[[#This Row],[Response]]),"")</f>
        <v/>
      </c>
      <c r="F201" s="1">
        <v>11</v>
      </c>
      <c r="G201" s="1" t="s">
        <v>9</v>
      </c>
      <c r="H201" s="1" t="s">
        <v>8</v>
      </c>
      <c r="I20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02" spans="1:11">
      <c r="A202" s="1" t="s">
        <v>24</v>
      </c>
      <c r="B202" s="1" t="s">
        <v>23</v>
      </c>
      <c r="C202" s="1">
        <v>5</v>
      </c>
      <c r="D202" s="1" t="s">
        <v>16</v>
      </c>
      <c r="E202" s="5" t="str">
        <f>IF(Table13[[#This Row],[Pre or Post]]="Pre",IF(IF(Table13[[#This Row],[Response]]="Male",0,1)+IF(Table13[[#This Row],[Response]]="Female",0,1)=2,E201,Table13[[#This Row],[Response]]),"")</f>
        <v/>
      </c>
      <c r="F202" s="1">
        <v>2</v>
      </c>
      <c r="G202" s="1">
        <v>4</v>
      </c>
      <c r="H202" s="1" t="s">
        <v>8</v>
      </c>
      <c r="I20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03" spans="1:11">
      <c r="A203" s="1" t="s">
        <v>24</v>
      </c>
      <c r="B203" s="1" t="s">
        <v>23</v>
      </c>
      <c r="C203" s="1">
        <v>5</v>
      </c>
      <c r="D203" s="1" t="s">
        <v>16</v>
      </c>
      <c r="E203" s="5" t="str">
        <f>IF(Table13[[#This Row],[Pre or Post]]="Pre",IF(IF(Table13[[#This Row],[Response]]="Male",0,1)+IF(Table13[[#This Row],[Response]]="Female",0,1)=2,E202,Table13[[#This Row],[Response]]),"")</f>
        <v/>
      </c>
      <c r="F203" s="1">
        <v>3</v>
      </c>
      <c r="G203" s="1">
        <v>3</v>
      </c>
      <c r="H203" s="1" t="s">
        <v>8</v>
      </c>
      <c r="I20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04" spans="1:11">
      <c r="A204" s="1" t="s">
        <v>24</v>
      </c>
      <c r="B204" s="1" t="s">
        <v>23</v>
      </c>
      <c r="C204" s="1">
        <v>5</v>
      </c>
      <c r="D204" s="1" t="s">
        <v>16</v>
      </c>
      <c r="E204" s="5" t="str">
        <f>IF(Table13[[#This Row],[Pre or Post]]="Pre",IF(IF(Table13[[#This Row],[Response]]="Male",0,1)+IF(Table13[[#This Row],[Response]]="Female",0,1)=2,E203,Table13[[#This Row],[Response]]),"")</f>
        <v/>
      </c>
      <c r="F204" s="1">
        <v>4</v>
      </c>
      <c r="G204" s="1">
        <v>4</v>
      </c>
      <c r="H204" s="1" t="s">
        <v>8</v>
      </c>
      <c r="I20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05" spans="1:11">
      <c r="A205" s="1" t="s">
        <v>24</v>
      </c>
      <c r="B205" s="1" t="s">
        <v>23</v>
      </c>
      <c r="C205" s="1">
        <v>5</v>
      </c>
      <c r="D205" s="1" t="s">
        <v>16</v>
      </c>
      <c r="E205" s="5" t="str">
        <f>IF(Table13[[#This Row],[Pre or Post]]="Pre",IF(IF(Table13[[#This Row],[Response]]="Male",0,1)+IF(Table13[[#This Row],[Response]]="Female",0,1)=2,E204,Table13[[#This Row],[Response]]),"")</f>
        <v/>
      </c>
      <c r="F205" s="1">
        <v>5</v>
      </c>
      <c r="G205" s="1">
        <v>5</v>
      </c>
      <c r="H205" s="1" t="s">
        <v>8</v>
      </c>
      <c r="I20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06" spans="1:11">
      <c r="A206" s="1" t="s">
        <v>24</v>
      </c>
      <c r="B206" s="1" t="s">
        <v>23</v>
      </c>
      <c r="C206" s="1">
        <v>5</v>
      </c>
      <c r="D206" s="1" t="s">
        <v>16</v>
      </c>
      <c r="E206" s="5" t="str">
        <f>IF(Table13[[#This Row],[Pre or Post]]="Pre",IF(IF(Table13[[#This Row],[Response]]="Male",0,1)+IF(Table13[[#This Row],[Response]]="Female",0,1)=2,E205,Table13[[#This Row],[Response]]),"")</f>
        <v/>
      </c>
      <c r="F206" s="1">
        <v>6</v>
      </c>
      <c r="G206" s="1">
        <v>4</v>
      </c>
      <c r="H206" s="1" t="s">
        <v>8</v>
      </c>
      <c r="I20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07" spans="1:11">
      <c r="A207" s="1" t="s">
        <v>24</v>
      </c>
      <c r="B207" s="1" t="s">
        <v>23</v>
      </c>
      <c r="C207" s="1">
        <v>5</v>
      </c>
      <c r="D207" s="1" t="s">
        <v>16</v>
      </c>
      <c r="E207" s="5" t="str">
        <f>IF(Table13[[#This Row],[Pre or Post]]="Pre",IF(IF(Table13[[#This Row],[Response]]="Male",0,1)+IF(Table13[[#This Row],[Response]]="Female",0,1)=2,E206,Table13[[#This Row],[Response]]),"")</f>
        <v/>
      </c>
      <c r="F207" s="1">
        <v>7</v>
      </c>
      <c r="G207" s="1">
        <v>4</v>
      </c>
      <c r="H207" s="1" t="s">
        <v>8</v>
      </c>
      <c r="I20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08" spans="1:11">
      <c r="A208" s="1" t="s">
        <v>24</v>
      </c>
      <c r="B208" s="1" t="s">
        <v>23</v>
      </c>
      <c r="C208" s="1">
        <v>5</v>
      </c>
      <c r="D208" s="1" t="s">
        <v>16</v>
      </c>
      <c r="E208" s="5" t="str">
        <f>IF(Table13[[#This Row],[Pre or Post]]="Pre",IF(IF(Table13[[#This Row],[Response]]="Male",0,1)+IF(Table13[[#This Row],[Response]]="Female",0,1)=2,E207,Table13[[#This Row],[Response]]),"")</f>
        <v/>
      </c>
      <c r="F208" s="1">
        <v>8</v>
      </c>
      <c r="G208" s="1" t="s">
        <v>8</v>
      </c>
      <c r="H208" s="1" t="s">
        <v>8</v>
      </c>
      <c r="I20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09" spans="1:11">
      <c r="A209" s="1" t="s">
        <v>24</v>
      </c>
      <c r="B209" s="1" t="s">
        <v>23</v>
      </c>
      <c r="C209" s="1">
        <v>5</v>
      </c>
      <c r="D209" s="1" t="s">
        <v>16</v>
      </c>
      <c r="E209" s="5" t="str">
        <f>IF(Table13[[#This Row],[Pre or Post]]="Pre",IF(IF(Table13[[#This Row],[Response]]="Male",0,1)+IF(Table13[[#This Row],[Response]]="Female",0,1)=2,E208,Table13[[#This Row],[Response]]),"")</f>
        <v/>
      </c>
      <c r="F209" s="1">
        <v>9</v>
      </c>
      <c r="G209" s="1" t="s">
        <v>17</v>
      </c>
      <c r="H209" s="1" t="s">
        <v>8</v>
      </c>
      <c r="I20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10" spans="1:11">
      <c r="A210" s="1" t="s">
        <v>24</v>
      </c>
      <c r="B210" s="1" t="s">
        <v>23</v>
      </c>
      <c r="C210" s="1">
        <v>5</v>
      </c>
      <c r="D210" s="1" t="s">
        <v>16</v>
      </c>
      <c r="E210" s="5" t="str">
        <f>IF(Table13[[#This Row],[Pre or Post]]="Pre",IF(IF(Table13[[#This Row],[Response]]="Male",0,1)+IF(Table13[[#This Row],[Response]]="Female",0,1)=2,E209,Table13[[#This Row],[Response]]),"")</f>
        <v/>
      </c>
      <c r="F210" s="1">
        <v>10</v>
      </c>
      <c r="G210" s="1" t="s">
        <v>18</v>
      </c>
      <c r="H210" s="1" t="s">
        <v>8</v>
      </c>
      <c r="I21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11" spans="1:11">
      <c r="A211" s="1" t="s">
        <v>24</v>
      </c>
      <c r="B211" s="1" t="s">
        <v>23</v>
      </c>
      <c r="C211" s="1">
        <v>5</v>
      </c>
      <c r="D211" s="1" t="s">
        <v>16</v>
      </c>
      <c r="E211" s="5" t="str">
        <f>IF(Table13[[#This Row],[Pre or Post]]="Pre",IF(IF(Table13[[#This Row],[Response]]="Male",0,1)+IF(Table13[[#This Row],[Response]]="Female",0,1)=2,E210,Table13[[#This Row],[Response]]),"")</f>
        <v/>
      </c>
      <c r="F211" s="1">
        <v>11</v>
      </c>
      <c r="G211" s="1" t="s">
        <v>9</v>
      </c>
      <c r="H211" s="1" t="s">
        <v>8</v>
      </c>
      <c r="I21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12" spans="1:11">
      <c r="A212" s="1" t="s">
        <v>24</v>
      </c>
      <c r="B212" s="1" t="s">
        <v>23</v>
      </c>
      <c r="C212" s="1">
        <v>6</v>
      </c>
      <c r="D212" s="1" t="s">
        <v>16</v>
      </c>
      <c r="E212" s="5" t="str">
        <f>IF(Table13[[#This Row],[Pre or Post]]="Pre",IF(IF(Table13[[#This Row],[Response]]="Male",0,1)+IF(Table13[[#This Row],[Response]]="Female",0,1)=2,E211,Table13[[#This Row],[Response]]),"")</f>
        <v/>
      </c>
      <c r="F212" s="1">
        <v>2</v>
      </c>
      <c r="G212" s="1">
        <v>4</v>
      </c>
      <c r="H212" s="1" t="s">
        <v>8</v>
      </c>
      <c r="I21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13" spans="1:11">
      <c r="A213" s="1" t="s">
        <v>24</v>
      </c>
      <c r="B213" s="1" t="s">
        <v>23</v>
      </c>
      <c r="C213" s="1">
        <v>6</v>
      </c>
      <c r="D213" s="1" t="s">
        <v>16</v>
      </c>
      <c r="E213" s="5" t="str">
        <f>IF(Table13[[#This Row],[Pre or Post]]="Pre",IF(IF(Table13[[#This Row],[Response]]="Male",0,1)+IF(Table13[[#This Row],[Response]]="Female",0,1)=2,E212,Table13[[#This Row],[Response]]),"")</f>
        <v/>
      </c>
      <c r="F213" s="1">
        <v>3</v>
      </c>
      <c r="G213" s="1">
        <v>3</v>
      </c>
      <c r="H213" s="1" t="s">
        <v>8</v>
      </c>
      <c r="I21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14" spans="1:11">
      <c r="A214" s="1" t="s">
        <v>24</v>
      </c>
      <c r="B214" s="1" t="s">
        <v>23</v>
      </c>
      <c r="C214" s="1">
        <v>6</v>
      </c>
      <c r="D214" s="1" t="s">
        <v>16</v>
      </c>
      <c r="E214" s="5" t="str">
        <f>IF(Table13[[#This Row],[Pre or Post]]="Pre",IF(IF(Table13[[#This Row],[Response]]="Male",0,1)+IF(Table13[[#This Row],[Response]]="Female",0,1)=2,E213,Table13[[#This Row],[Response]]),"")</f>
        <v/>
      </c>
      <c r="F214" s="1">
        <v>4</v>
      </c>
      <c r="G214" s="1">
        <v>3</v>
      </c>
      <c r="H214" s="1" t="s">
        <v>8</v>
      </c>
      <c r="I21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15" spans="1:11">
      <c r="A215" s="1" t="s">
        <v>24</v>
      </c>
      <c r="B215" s="1" t="s">
        <v>23</v>
      </c>
      <c r="C215" s="1">
        <v>6</v>
      </c>
      <c r="D215" s="1" t="s">
        <v>16</v>
      </c>
      <c r="E215" s="5" t="str">
        <f>IF(Table13[[#This Row],[Pre or Post]]="Pre",IF(IF(Table13[[#This Row],[Response]]="Male",0,1)+IF(Table13[[#This Row],[Response]]="Female",0,1)=2,E214,Table13[[#This Row],[Response]]),"")</f>
        <v/>
      </c>
      <c r="F215" s="1">
        <v>5</v>
      </c>
      <c r="G215" s="1">
        <v>4</v>
      </c>
      <c r="H215" s="1" t="s">
        <v>8</v>
      </c>
      <c r="I21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16" spans="1:11">
      <c r="A216" s="1" t="s">
        <v>24</v>
      </c>
      <c r="B216" s="1" t="s">
        <v>23</v>
      </c>
      <c r="C216" s="1">
        <v>6</v>
      </c>
      <c r="D216" s="1" t="s">
        <v>16</v>
      </c>
      <c r="E216" s="5" t="str">
        <f>IF(Table13[[#This Row],[Pre or Post]]="Pre",IF(IF(Table13[[#This Row],[Response]]="Male",0,1)+IF(Table13[[#This Row],[Response]]="Female",0,1)=2,E215,Table13[[#This Row],[Response]]),"")</f>
        <v/>
      </c>
      <c r="F216" s="1">
        <v>6</v>
      </c>
      <c r="G216" s="1">
        <v>4</v>
      </c>
      <c r="H216" s="1" t="s">
        <v>8</v>
      </c>
      <c r="I21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17" spans="1:11">
      <c r="A217" s="1" t="s">
        <v>24</v>
      </c>
      <c r="B217" s="1" t="s">
        <v>23</v>
      </c>
      <c r="C217" s="1">
        <v>6</v>
      </c>
      <c r="D217" s="1" t="s">
        <v>16</v>
      </c>
      <c r="E217" s="5" t="str">
        <f>IF(Table13[[#This Row],[Pre or Post]]="Pre",IF(IF(Table13[[#This Row],[Response]]="Male",0,1)+IF(Table13[[#This Row],[Response]]="Female",0,1)=2,E216,Table13[[#This Row],[Response]]),"")</f>
        <v/>
      </c>
      <c r="F217" s="1">
        <v>7</v>
      </c>
      <c r="G217" s="1">
        <v>3</v>
      </c>
      <c r="H217" s="1" t="s">
        <v>8</v>
      </c>
      <c r="I21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18" spans="1:11">
      <c r="A218" s="1" t="s">
        <v>24</v>
      </c>
      <c r="B218" s="1" t="s">
        <v>23</v>
      </c>
      <c r="C218" s="1">
        <v>6</v>
      </c>
      <c r="D218" s="1" t="s">
        <v>16</v>
      </c>
      <c r="E218" s="5" t="str">
        <f>IF(Table13[[#This Row],[Pre or Post]]="Pre",IF(IF(Table13[[#This Row],[Response]]="Male",0,1)+IF(Table13[[#This Row],[Response]]="Female",0,1)=2,E217,Table13[[#This Row],[Response]]),"")</f>
        <v/>
      </c>
      <c r="F218" s="1">
        <v>8</v>
      </c>
      <c r="G218" s="1" t="s">
        <v>8</v>
      </c>
      <c r="H218" s="1" t="s">
        <v>8</v>
      </c>
      <c r="I21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19" spans="1:11">
      <c r="A219" s="1" t="s">
        <v>24</v>
      </c>
      <c r="B219" s="1" t="s">
        <v>23</v>
      </c>
      <c r="C219" s="1">
        <v>6</v>
      </c>
      <c r="D219" s="1" t="s">
        <v>16</v>
      </c>
      <c r="E219" s="5" t="str">
        <f>IF(Table13[[#This Row],[Pre or Post]]="Pre",IF(IF(Table13[[#This Row],[Response]]="Male",0,1)+IF(Table13[[#This Row],[Response]]="Female",0,1)=2,E218,Table13[[#This Row],[Response]]),"")</f>
        <v/>
      </c>
      <c r="F219" s="1">
        <v>9</v>
      </c>
      <c r="G219" s="1" t="s">
        <v>17</v>
      </c>
      <c r="H219" s="1" t="s">
        <v>8</v>
      </c>
      <c r="I21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20" spans="1:11">
      <c r="A220" s="1" t="s">
        <v>24</v>
      </c>
      <c r="B220" s="1" t="s">
        <v>23</v>
      </c>
      <c r="C220" s="1">
        <v>6</v>
      </c>
      <c r="D220" s="1" t="s">
        <v>16</v>
      </c>
      <c r="E220" s="5" t="str">
        <f>IF(Table13[[#This Row],[Pre or Post]]="Pre",IF(IF(Table13[[#This Row],[Response]]="Male",0,1)+IF(Table13[[#This Row],[Response]]="Female",0,1)=2,E219,Table13[[#This Row],[Response]]),"")</f>
        <v/>
      </c>
      <c r="F220" s="1">
        <v>10</v>
      </c>
      <c r="G220" s="1" t="s">
        <v>18</v>
      </c>
      <c r="H220" s="1" t="s">
        <v>8</v>
      </c>
      <c r="I22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21" spans="1:11">
      <c r="A221" s="1" t="s">
        <v>24</v>
      </c>
      <c r="B221" s="1" t="s">
        <v>23</v>
      </c>
      <c r="C221" s="1">
        <v>6</v>
      </c>
      <c r="D221" s="1" t="s">
        <v>16</v>
      </c>
      <c r="E221" s="5" t="str">
        <f>IF(Table13[[#This Row],[Pre or Post]]="Pre",IF(IF(Table13[[#This Row],[Response]]="Male",0,1)+IF(Table13[[#This Row],[Response]]="Female",0,1)=2,E220,Table13[[#This Row],[Response]]),"")</f>
        <v/>
      </c>
      <c r="F221" s="1">
        <v>11</v>
      </c>
      <c r="G221" s="1" t="s">
        <v>9</v>
      </c>
      <c r="H221" s="1" t="s">
        <v>8</v>
      </c>
      <c r="I22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22" spans="1:11">
      <c r="A222" s="1" t="s">
        <v>24</v>
      </c>
      <c r="B222" s="1" t="s">
        <v>23</v>
      </c>
      <c r="C222" s="1">
        <v>7</v>
      </c>
      <c r="D222" s="1" t="s">
        <v>16</v>
      </c>
      <c r="E222" s="5" t="str">
        <f>IF(Table13[[#This Row],[Pre or Post]]="Pre",IF(IF(Table13[[#This Row],[Response]]="Male",0,1)+IF(Table13[[#This Row],[Response]]="Female",0,1)=2,E221,Table13[[#This Row],[Response]]),"")</f>
        <v/>
      </c>
      <c r="F222" s="1">
        <v>2</v>
      </c>
      <c r="G222" s="1">
        <v>1</v>
      </c>
      <c r="H222" s="1" t="s">
        <v>8</v>
      </c>
      <c r="I22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23" spans="1:11">
      <c r="A223" s="1" t="s">
        <v>24</v>
      </c>
      <c r="B223" s="1" t="s">
        <v>23</v>
      </c>
      <c r="C223" s="1">
        <v>7</v>
      </c>
      <c r="D223" s="1" t="s">
        <v>16</v>
      </c>
      <c r="E223" s="5" t="str">
        <f>IF(Table13[[#This Row],[Pre or Post]]="Pre",IF(IF(Table13[[#This Row],[Response]]="Male",0,1)+IF(Table13[[#This Row],[Response]]="Female",0,1)=2,E222,Table13[[#This Row],[Response]]),"")</f>
        <v/>
      </c>
      <c r="F223" s="1">
        <v>3</v>
      </c>
      <c r="G223" s="1">
        <v>1</v>
      </c>
      <c r="H223" s="1" t="s">
        <v>8</v>
      </c>
      <c r="I22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24" spans="1:11">
      <c r="A224" s="1" t="s">
        <v>24</v>
      </c>
      <c r="B224" s="1" t="s">
        <v>23</v>
      </c>
      <c r="C224" s="1">
        <v>7</v>
      </c>
      <c r="D224" s="1" t="s">
        <v>16</v>
      </c>
      <c r="E224" s="5" t="str">
        <f>IF(Table13[[#This Row],[Pre or Post]]="Pre",IF(IF(Table13[[#This Row],[Response]]="Male",0,1)+IF(Table13[[#This Row],[Response]]="Female",0,1)=2,E223,Table13[[#This Row],[Response]]),"")</f>
        <v/>
      </c>
      <c r="F224" s="1">
        <v>4</v>
      </c>
      <c r="G224" s="1">
        <v>1</v>
      </c>
      <c r="H224" s="1" t="s">
        <v>8</v>
      </c>
      <c r="I22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25" spans="1:11">
      <c r="A225" s="1" t="s">
        <v>24</v>
      </c>
      <c r="B225" s="1" t="s">
        <v>23</v>
      </c>
      <c r="C225" s="1">
        <v>7</v>
      </c>
      <c r="D225" s="1" t="s">
        <v>16</v>
      </c>
      <c r="E225" s="5" t="str">
        <f>IF(Table13[[#This Row],[Pre or Post]]="Pre",IF(IF(Table13[[#This Row],[Response]]="Male",0,1)+IF(Table13[[#This Row],[Response]]="Female",0,1)=2,E224,Table13[[#This Row],[Response]]),"")</f>
        <v/>
      </c>
      <c r="F225" s="1">
        <v>5</v>
      </c>
      <c r="G225" s="1">
        <v>3</v>
      </c>
      <c r="H225" s="1" t="s">
        <v>8</v>
      </c>
      <c r="I22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26" spans="1:11">
      <c r="A226" s="1" t="s">
        <v>24</v>
      </c>
      <c r="B226" s="1" t="s">
        <v>23</v>
      </c>
      <c r="C226" s="1">
        <v>7</v>
      </c>
      <c r="D226" s="1" t="s">
        <v>16</v>
      </c>
      <c r="E226" s="5" t="str">
        <f>IF(Table13[[#This Row],[Pre or Post]]="Pre",IF(IF(Table13[[#This Row],[Response]]="Male",0,1)+IF(Table13[[#This Row],[Response]]="Female",0,1)=2,E225,Table13[[#This Row],[Response]]),"")</f>
        <v/>
      </c>
      <c r="F226" s="1">
        <v>6</v>
      </c>
      <c r="G226" s="1">
        <v>4</v>
      </c>
      <c r="H226" s="1" t="s">
        <v>8</v>
      </c>
      <c r="I22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27" spans="1:11">
      <c r="A227" s="1" t="s">
        <v>24</v>
      </c>
      <c r="B227" s="1" t="s">
        <v>23</v>
      </c>
      <c r="C227" s="1">
        <v>7</v>
      </c>
      <c r="D227" s="1" t="s">
        <v>16</v>
      </c>
      <c r="E227" s="5" t="str">
        <f>IF(Table13[[#This Row],[Pre or Post]]="Pre",IF(IF(Table13[[#This Row],[Response]]="Male",0,1)+IF(Table13[[#This Row],[Response]]="Female",0,1)=2,E226,Table13[[#This Row],[Response]]),"")</f>
        <v/>
      </c>
      <c r="F227" s="1">
        <v>7</v>
      </c>
      <c r="G227" s="1">
        <v>3</v>
      </c>
      <c r="H227" s="1" t="s">
        <v>8</v>
      </c>
      <c r="I22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28" spans="1:11">
      <c r="A228" s="1" t="s">
        <v>24</v>
      </c>
      <c r="B228" s="1" t="s">
        <v>23</v>
      </c>
      <c r="C228" s="1">
        <v>7</v>
      </c>
      <c r="D228" s="1" t="s">
        <v>16</v>
      </c>
      <c r="E228" s="5" t="str">
        <f>IF(Table13[[#This Row],[Pre or Post]]="Pre",IF(IF(Table13[[#This Row],[Response]]="Male",0,1)+IF(Table13[[#This Row],[Response]]="Female",0,1)=2,E227,Table13[[#This Row],[Response]]),"")</f>
        <v/>
      </c>
      <c r="F228" s="1">
        <v>8</v>
      </c>
      <c r="G228" s="1" t="s">
        <v>8</v>
      </c>
      <c r="H228" s="1" t="s">
        <v>8</v>
      </c>
      <c r="I22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29" spans="1:11">
      <c r="A229" s="1" t="s">
        <v>24</v>
      </c>
      <c r="B229" s="1" t="s">
        <v>23</v>
      </c>
      <c r="C229" s="1">
        <v>7</v>
      </c>
      <c r="D229" s="1" t="s">
        <v>16</v>
      </c>
      <c r="E229" s="5" t="str">
        <f>IF(Table13[[#This Row],[Pre or Post]]="Pre",IF(IF(Table13[[#This Row],[Response]]="Male",0,1)+IF(Table13[[#This Row],[Response]]="Female",0,1)=2,E228,Table13[[#This Row],[Response]]),"")</f>
        <v/>
      </c>
      <c r="F229" s="1">
        <v>9</v>
      </c>
      <c r="G229" s="1" t="s">
        <v>17</v>
      </c>
      <c r="H229" s="1" t="s">
        <v>8</v>
      </c>
      <c r="I22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30" spans="1:11">
      <c r="A230" s="1" t="s">
        <v>24</v>
      </c>
      <c r="B230" s="1" t="s">
        <v>23</v>
      </c>
      <c r="C230" s="1">
        <v>7</v>
      </c>
      <c r="D230" s="1" t="s">
        <v>16</v>
      </c>
      <c r="E230" s="5" t="str">
        <f>IF(Table13[[#This Row],[Pre or Post]]="Pre",IF(IF(Table13[[#This Row],[Response]]="Male",0,1)+IF(Table13[[#This Row],[Response]]="Female",0,1)=2,E229,Table13[[#This Row],[Response]]),"")</f>
        <v/>
      </c>
      <c r="F230" s="1">
        <v>10</v>
      </c>
      <c r="G230" s="1" t="s">
        <v>18</v>
      </c>
      <c r="H230" s="1" t="s">
        <v>8</v>
      </c>
      <c r="I23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31" spans="1:11">
      <c r="A231" s="1" t="s">
        <v>24</v>
      </c>
      <c r="B231" s="1" t="s">
        <v>23</v>
      </c>
      <c r="C231" s="1">
        <v>7</v>
      </c>
      <c r="D231" s="1" t="s">
        <v>16</v>
      </c>
      <c r="E231" s="5" t="str">
        <f>IF(Table13[[#This Row],[Pre or Post]]="Pre",IF(IF(Table13[[#This Row],[Response]]="Male",0,1)+IF(Table13[[#This Row],[Response]]="Female",0,1)=2,E230,Table13[[#This Row],[Response]]),"")</f>
        <v/>
      </c>
      <c r="F231" s="1">
        <v>11</v>
      </c>
      <c r="G231" s="1" t="s">
        <v>9</v>
      </c>
      <c r="H231" s="1" t="s">
        <v>8</v>
      </c>
      <c r="I23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32" spans="1:11">
      <c r="A232" s="1" t="s">
        <v>24</v>
      </c>
      <c r="B232" s="1" t="s">
        <v>23</v>
      </c>
      <c r="C232" s="1">
        <v>8</v>
      </c>
      <c r="D232" s="1" t="s">
        <v>16</v>
      </c>
      <c r="E232" s="5" t="str">
        <f>IF(Table13[[#This Row],[Pre or Post]]="Pre",IF(IF(Table13[[#This Row],[Response]]="Male",0,1)+IF(Table13[[#This Row],[Response]]="Female",0,1)=2,E231,Table13[[#This Row],[Response]]),"")</f>
        <v/>
      </c>
      <c r="F232" s="1">
        <v>2</v>
      </c>
      <c r="G232" s="1">
        <v>3</v>
      </c>
      <c r="H232" s="1" t="s">
        <v>8</v>
      </c>
      <c r="I23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33" spans="1:11">
      <c r="A233" s="1" t="s">
        <v>24</v>
      </c>
      <c r="B233" s="1" t="s">
        <v>23</v>
      </c>
      <c r="C233" s="1">
        <v>8</v>
      </c>
      <c r="D233" s="1" t="s">
        <v>16</v>
      </c>
      <c r="E233" s="5" t="str">
        <f>IF(Table13[[#This Row],[Pre or Post]]="Pre",IF(IF(Table13[[#This Row],[Response]]="Male",0,1)+IF(Table13[[#This Row],[Response]]="Female",0,1)=2,E232,Table13[[#This Row],[Response]]),"")</f>
        <v/>
      </c>
      <c r="F233" s="1">
        <v>3</v>
      </c>
      <c r="G233" s="1">
        <v>3</v>
      </c>
      <c r="H233" s="1" t="s">
        <v>8</v>
      </c>
      <c r="I23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34" spans="1:11">
      <c r="A234" s="1" t="s">
        <v>24</v>
      </c>
      <c r="B234" s="1" t="s">
        <v>23</v>
      </c>
      <c r="C234" s="1">
        <v>8</v>
      </c>
      <c r="D234" s="1" t="s">
        <v>16</v>
      </c>
      <c r="E234" s="5" t="str">
        <f>IF(Table13[[#This Row],[Pre or Post]]="Pre",IF(IF(Table13[[#This Row],[Response]]="Male",0,1)+IF(Table13[[#This Row],[Response]]="Female",0,1)=2,E233,Table13[[#This Row],[Response]]),"")</f>
        <v/>
      </c>
      <c r="F234" s="1">
        <v>4</v>
      </c>
      <c r="G234" s="1">
        <v>3</v>
      </c>
      <c r="H234" s="1" t="s">
        <v>8</v>
      </c>
      <c r="I23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35" spans="1:11">
      <c r="A235" s="1" t="s">
        <v>24</v>
      </c>
      <c r="B235" s="1" t="s">
        <v>23</v>
      </c>
      <c r="C235" s="1">
        <v>8</v>
      </c>
      <c r="D235" s="1" t="s">
        <v>16</v>
      </c>
      <c r="E235" s="5" t="str">
        <f>IF(Table13[[#This Row],[Pre or Post]]="Pre",IF(IF(Table13[[#This Row],[Response]]="Male",0,1)+IF(Table13[[#This Row],[Response]]="Female",0,1)=2,E234,Table13[[#This Row],[Response]]),"")</f>
        <v/>
      </c>
      <c r="F235" s="1">
        <v>5</v>
      </c>
      <c r="G235" s="1">
        <v>3</v>
      </c>
      <c r="H235" s="1" t="s">
        <v>8</v>
      </c>
      <c r="I23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36" spans="1:11">
      <c r="A236" s="1" t="s">
        <v>24</v>
      </c>
      <c r="B236" s="1" t="s">
        <v>23</v>
      </c>
      <c r="C236" s="1">
        <v>8</v>
      </c>
      <c r="D236" s="1" t="s">
        <v>16</v>
      </c>
      <c r="E236" s="5" t="str">
        <f>IF(Table13[[#This Row],[Pre or Post]]="Pre",IF(IF(Table13[[#This Row],[Response]]="Male",0,1)+IF(Table13[[#This Row],[Response]]="Female",0,1)=2,E235,Table13[[#This Row],[Response]]),"")</f>
        <v/>
      </c>
      <c r="F236" s="1">
        <v>6</v>
      </c>
      <c r="G236" s="1">
        <v>3</v>
      </c>
      <c r="H236" s="1" t="s">
        <v>8</v>
      </c>
      <c r="I23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37" spans="1:11">
      <c r="A237" s="1" t="s">
        <v>24</v>
      </c>
      <c r="B237" s="1" t="s">
        <v>23</v>
      </c>
      <c r="C237" s="1">
        <v>8</v>
      </c>
      <c r="D237" s="1" t="s">
        <v>16</v>
      </c>
      <c r="E237" s="5" t="str">
        <f>IF(Table13[[#This Row],[Pre or Post]]="Pre",IF(IF(Table13[[#This Row],[Response]]="Male",0,1)+IF(Table13[[#This Row],[Response]]="Female",0,1)=2,E236,Table13[[#This Row],[Response]]),"")</f>
        <v/>
      </c>
      <c r="F237" s="1">
        <v>7</v>
      </c>
      <c r="G237" s="1">
        <v>3</v>
      </c>
      <c r="H237" s="1" t="s">
        <v>8</v>
      </c>
      <c r="I23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38" spans="1:11">
      <c r="A238" s="1" t="s">
        <v>24</v>
      </c>
      <c r="B238" s="1" t="s">
        <v>23</v>
      </c>
      <c r="C238" s="1">
        <v>8</v>
      </c>
      <c r="D238" s="1" t="s">
        <v>16</v>
      </c>
      <c r="E238" s="5" t="str">
        <f>IF(Table13[[#This Row],[Pre or Post]]="Pre",IF(IF(Table13[[#This Row],[Response]]="Male",0,1)+IF(Table13[[#This Row],[Response]]="Female",0,1)=2,E237,Table13[[#This Row],[Response]]),"")</f>
        <v/>
      </c>
      <c r="F238" s="1">
        <v>8</v>
      </c>
      <c r="G238" s="1" t="s">
        <v>8</v>
      </c>
      <c r="H238" s="1" t="s">
        <v>8</v>
      </c>
      <c r="I23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39" spans="1:11">
      <c r="A239" s="1" t="s">
        <v>24</v>
      </c>
      <c r="B239" s="1" t="s">
        <v>23</v>
      </c>
      <c r="C239" s="1">
        <v>8</v>
      </c>
      <c r="D239" s="1" t="s">
        <v>16</v>
      </c>
      <c r="E239" s="5" t="str">
        <f>IF(Table13[[#This Row],[Pre or Post]]="Pre",IF(IF(Table13[[#This Row],[Response]]="Male",0,1)+IF(Table13[[#This Row],[Response]]="Female",0,1)=2,E238,Table13[[#This Row],[Response]]),"")</f>
        <v/>
      </c>
      <c r="F239" s="1">
        <v>9</v>
      </c>
      <c r="G239" s="1" t="s">
        <v>17</v>
      </c>
      <c r="H239" s="1" t="s">
        <v>8</v>
      </c>
      <c r="I23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40" spans="1:11">
      <c r="A240" s="1" t="s">
        <v>24</v>
      </c>
      <c r="B240" s="1" t="s">
        <v>23</v>
      </c>
      <c r="C240" s="1">
        <v>8</v>
      </c>
      <c r="D240" s="1" t="s">
        <v>16</v>
      </c>
      <c r="E240" s="5" t="str">
        <f>IF(Table13[[#This Row],[Pre or Post]]="Pre",IF(IF(Table13[[#This Row],[Response]]="Male",0,1)+IF(Table13[[#This Row],[Response]]="Female",0,1)=2,E239,Table13[[#This Row],[Response]]),"")</f>
        <v/>
      </c>
      <c r="F240" s="1">
        <v>10</v>
      </c>
      <c r="G240" s="1" t="s">
        <v>18</v>
      </c>
      <c r="H240" s="1" t="s">
        <v>8</v>
      </c>
      <c r="I24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41" spans="1:11">
      <c r="A241" s="1" t="s">
        <v>24</v>
      </c>
      <c r="B241" s="1" t="s">
        <v>23</v>
      </c>
      <c r="C241" s="1">
        <v>8</v>
      </c>
      <c r="D241" s="1" t="s">
        <v>16</v>
      </c>
      <c r="E241" s="5" t="str">
        <f>IF(Table13[[#This Row],[Pre or Post]]="Pre",IF(IF(Table13[[#This Row],[Response]]="Male",0,1)+IF(Table13[[#This Row],[Response]]="Female",0,1)=2,E240,Table13[[#This Row],[Response]]),"")</f>
        <v/>
      </c>
      <c r="F241" s="2">
        <v>11</v>
      </c>
      <c r="G241" s="2" t="s">
        <v>9</v>
      </c>
      <c r="H241" s="1" t="s">
        <v>8</v>
      </c>
      <c r="I24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42" spans="1:11">
      <c r="A242" s="1" t="s">
        <v>24</v>
      </c>
      <c r="B242" s="1" t="s">
        <v>23</v>
      </c>
      <c r="C242" s="1">
        <v>9</v>
      </c>
      <c r="D242" s="1" t="s">
        <v>16</v>
      </c>
      <c r="E242" s="5" t="str">
        <f>IF(Table13[[#This Row],[Pre or Post]]="Pre",IF(IF(Table13[[#This Row],[Response]]="Male",0,1)+IF(Table13[[#This Row],[Response]]="Female",0,1)=2,E241,Table13[[#This Row],[Response]]),"")</f>
        <v/>
      </c>
      <c r="F242" s="1">
        <v>2</v>
      </c>
      <c r="G242" s="1">
        <v>3</v>
      </c>
      <c r="H242" s="1" t="s">
        <v>8</v>
      </c>
      <c r="I24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43" spans="1:11">
      <c r="A243" s="1" t="s">
        <v>24</v>
      </c>
      <c r="B243" s="1" t="s">
        <v>23</v>
      </c>
      <c r="C243" s="1">
        <v>9</v>
      </c>
      <c r="D243" s="1" t="s">
        <v>16</v>
      </c>
      <c r="E243" s="5" t="str">
        <f>IF(Table13[[#This Row],[Pre or Post]]="Pre",IF(IF(Table13[[#This Row],[Response]]="Male",0,1)+IF(Table13[[#This Row],[Response]]="Female",0,1)=2,E242,Table13[[#This Row],[Response]]),"")</f>
        <v/>
      </c>
      <c r="F243" s="1">
        <v>3</v>
      </c>
      <c r="G243" s="1">
        <v>3</v>
      </c>
      <c r="H243" s="1" t="s">
        <v>8</v>
      </c>
      <c r="I24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44" spans="1:11">
      <c r="A244" s="1" t="s">
        <v>24</v>
      </c>
      <c r="B244" s="1" t="s">
        <v>23</v>
      </c>
      <c r="C244" s="1">
        <v>9</v>
      </c>
      <c r="D244" s="1" t="s">
        <v>16</v>
      </c>
      <c r="E244" s="5" t="str">
        <f>IF(Table13[[#This Row],[Pre or Post]]="Pre",IF(IF(Table13[[#This Row],[Response]]="Male",0,1)+IF(Table13[[#This Row],[Response]]="Female",0,1)=2,E243,Table13[[#This Row],[Response]]),"")</f>
        <v/>
      </c>
      <c r="F244" s="1">
        <v>4</v>
      </c>
      <c r="G244" s="1">
        <v>3</v>
      </c>
      <c r="H244" s="1" t="s">
        <v>8</v>
      </c>
      <c r="I24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45" spans="1:11">
      <c r="A245" s="1" t="s">
        <v>24</v>
      </c>
      <c r="B245" s="1" t="s">
        <v>23</v>
      </c>
      <c r="C245" s="1">
        <v>9</v>
      </c>
      <c r="D245" s="1" t="s">
        <v>16</v>
      </c>
      <c r="E245" s="5" t="str">
        <f>IF(Table13[[#This Row],[Pre or Post]]="Pre",IF(IF(Table13[[#This Row],[Response]]="Male",0,1)+IF(Table13[[#This Row],[Response]]="Female",0,1)=2,E244,Table13[[#This Row],[Response]]),"")</f>
        <v/>
      </c>
      <c r="F245" s="1">
        <v>5</v>
      </c>
      <c r="G245" s="1">
        <v>3</v>
      </c>
      <c r="H245" s="1" t="s">
        <v>8</v>
      </c>
      <c r="I24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46" spans="1:11">
      <c r="A246" s="1" t="s">
        <v>24</v>
      </c>
      <c r="B246" s="1" t="s">
        <v>23</v>
      </c>
      <c r="C246" s="1">
        <v>9</v>
      </c>
      <c r="D246" s="1" t="s">
        <v>16</v>
      </c>
      <c r="E246" s="5" t="str">
        <f>IF(Table13[[#This Row],[Pre or Post]]="Pre",IF(IF(Table13[[#This Row],[Response]]="Male",0,1)+IF(Table13[[#This Row],[Response]]="Female",0,1)=2,E245,Table13[[#This Row],[Response]]),"")</f>
        <v/>
      </c>
      <c r="F246" s="1">
        <v>6</v>
      </c>
      <c r="G246" s="1">
        <v>3</v>
      </c>
      <c r="H246" s="1" t="s">
        <v>8</v>
      </c>
      <c r="I24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47" spans="1:11">
      <c r="A247" s="1" t="s">
        <v>24</v>
      </c>
      <c r="B247" s="1" t="s">
        <v>23</v>
      </c>
      <c r="C247" s="1">
        <v>9</v>
      </c>
      <c r="D247" s="1" t="s">
        <v>16</v>
      </c>
      <c r="E247" s="5" t="str">
        <f>IF(Table13[[#This Row],[Pre or Post]]="Pre",IF(IF(Table13[[#This Row],[Response]]="Male",0,1)+IF(Table13[[#This Row],[Response]]="Female",0,1)=2,E246,Table13[[#This Row],[Response]]),"")</f>
        <v/>
      </c>
      <c r="F247" s="1">
        <v>7</v>
      </c>
      <c r="G247" s="1">
        <v>2</v>
      </c>
      <c r="H247" s="1" t="s">
        <v>8</v>
      </c>
      <c r="I24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48" spans="1:11">
      <c r="A248" s="1" t="s">
        <v>24</v>
      </c>
      <c r="B248" s="1" t="s">
        <v>23</v>
      </c>
      <c r="C248" s="1">
        <v>9</v>
      </c>
      <c r="D248" s="1" t="s">
        <v>16</v>
      </c>
      <c r="E248" s="5" t="str">
        <f>IF(Table13[[#This Row],[Pre or Post]]="Pre",IF(IF(Table13[[#This Row],[Response]]="Male",0,1)+IF(Table13[[#This Row],[Response]]="Female",0,1)=2,E247,Table13[[#This Row],[Response]]),"")</f>
        <v/>
      </c>
      <c r="F248" s="1">
        <v>8</v>
      </c>
      <c r="G248" s="1" t="s">
        <v>8</v>
      </c>
      <c r="H248" s="1" t="s">
        <v>8</v>
      </c>
      <c r="I24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49" spans="1:11">
      <c r="A249" s="1" t="s">
        <v>24</v>
      </c>
      <c r="B249" s="1" t="s">
        <v>23</v>
      </c>
      <c r="C249" s="1">
        <v>9</v>
      </c>
      <c r="D249" s="1" t="s">
        <v>16</v>
      </c>
      <c r="E249" s="5" t="str">
        <f>IF(Table13[[#This Row],[Pre or Post]]="Pre",IF(IF(Table13[[#This Row],[Response]]="Male",0,1)+IF(Table13[[#This Row],[Response]]="Female",0,1)=2,E248,Table13[[#This Row],[Response]]),"")</f>
        <v/>
      </c>
      <c r="F249" s="1">
        <v>9</v>
      </c>
      <c r="G249" s="1" t="s">
        <v>17</v>
      </c>
      <c r="H249" s="1" t="s">
        <v>8</v>
      </c>
      <c r="I24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50" spans="1:11">
      <c r="A250" s="1" t="s">
        <v>24</v>
      </c>
      <c r="B250" s="1" t="s">
        <v>23</v>
      </c>
      <c r="C250" s="1">
        <v>9</v>
      </c>
      <c r="D250" s="1" t="s">
        <v>16</v>
      </c>
      <c r="E250" s="5" t="str">
        <f>IF(Table13[[#This Row],[Pre or Post]]="Pre",IF(IF(Table13[[#This Row],[Response]]="Male",0,1)+IF(Table13[[#This Row],[Response]]="Female",0,1)=2,E249,Table13[[#This Row],[Response]]),"")</f>
        <v/>
      </c>
      <c r="F250" s="1">
        <v>10</v>
      </c>
      <c r="G250" s="1" t="s">
        <v>18</v>
      </c>
      <c r="H250" s="1" t="s">
        <v>8</v>
      </c>
      <c r="I25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51" spans="1:11">
      <c r="A251" s="1" t="s">
        <v>24</v>
      </c>
      <c r="B251" s="1" t="s">
        <v>23</v>
      </c>
      <c r="C251" s="1">
        <v>9</v>
      </c>
      <c r="D251" s="1" t="s">
        <v>16</v>
      </c>
      <c r="E251" s="5" t="str">
        <f>IF(Table13[[#This Row],[Pre or Post]]="Pre",IF(IF(Table13[[#This Row],[Response]]="Male",0,1)+IF(Table13[[#This Row],[Response]]="Female",0,1)=2,E250,Table13[[#This Row],[Response]]),"")</f>
        <v/>
      </c>
      <c r="F251" s="1">
        <v>11</v>
      </c>
      <c r="G251" s="1" t="s">
        <v>9</v>
      </c>
      <c r="H251" s="1" t="s">
        <v>8</v>
      </c>
      <c r="I25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52" spans="1:11">
      <c r="A252" s="1" t="s">
        <v>24</v>
      </c>
      <c r="B252" s="1" t="s">
        <v>23</v>
      </c>
      <c r="C252" s="1">
        <v>10</v>
      </c>
      <c r="D252" s="1" t="s">
        <v>16</v>
      </c>
      <c r="E252" s="5" t="str">
        <f>IF(Table13[[#This Row],[Pre or Post]]="Pre",IF(IF(Table13[[#This Row],[Response]]="Male",0,1)+IF(Table13[[#This Row],[Response]]="Female",0,1)=2,E251,Table13[[#This Row],[Response]]),"")</f>
        <v/>
      </c>
      <c r="F252" s="1">
        <v>2</v>
      </c>
      <c r="G252" s="1">
        <v>4</v>
      </c>
      <c r="H252" s="1" t="s">
        <v>8</v>
      </c>
      <c r="I25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53" spans="1:11">
      <c r="A253" s="1" t="s">
        <v>24</v>
      </c>
      <c r="B253" s="1" t="s">
        <v>23</v>
      </c>
      <c r="C253" s="1">
        <v>10</v>
      </c>
      <c r="D253" s="1" t="s">
        <v>16</v>
      </c>
      <c r="E253" s="5" t="str">
        <f>IF(Table13[[#This Row],[Pre or Post]]="Pre",IF(IF(Table13[[#This Row],[Response]]="Male",0,1)+IF(Table13[[#This Row],[Response]]="Female",0,1)=2,E252,Table13[[#This Row],[Response]]),"")</f>
        <v/>
      </c>
      <c r="F253" s="1">
        <v>3</v>
      </c>
      <c r="G253" s="1">
        <v>3</v>
      </c>
      <c r="H253" s="1" t="s">
        <v>8</v>
      </c>
      <c r="I25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54" spans="1:11">
      <c r="A254" s="1" t="s">
        <v>24</v>
      </c>
      <c r="B254" s="1" t="s">
        <v>23</v>
      </c>
      <c r="C254" s="1">
        <v>10</v>
      </c>
      <c r="D254" s="1" t="s">
        <v>16</v>
      </c>
      <c r="E254" s="5" t="str">
        <f>IF(Table13[[#This Row],[Pre or Post]]="Pre",IF(IF(Table13[[#This Row],[Response]]="Male",0,1)+IF(Table13[[#This Row],[Response]]="Female",0,1)=2,E253,Table13[[#This Row],[Response]]),"")</f>
        <v/>
      </c>
      <c r="F254" s="1">
        <v>4</v>
      </c>
      <c r="G254" s="1">
        <v>5</v>
      </c>
      <c r="H254" s="1" t="s">
        <v>8</v>
      </c>
      <c r="I25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55" spans="1:11">
      <c r="A255" s="1" t="s">
        <v>24</v>
      </c>
      <c r="B255" s="1" t="s">
        <v>23</v>
      </c>
      <c r="C255" s="1">
        <v>10</v>
      </c>
      <c r="D255" s="1" t="s">
        <v>16</v>
      </c>
      <c r="E255" s="5" t="str">
        <f>IF(Table13[[#This Row],[Pre or Post]]="Pre",IF(IF(Table13[[#This Row],[Response]]="Male",0,1)+IF(Table13[[#This Row],[Response]]="Female",0,1)=2,E254,Table13[[#This Row],[Response]]),"")</f>
        <v/>
      </c>
      <c r="F255" s="1">
        <v>5</v>
      </c>
      <c r="G255" s="1">
        <v>5</v>
      </c>
      <c r="H255" s="1" t="s">
        <v>8</v>
      </c>
      <c r="I25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56" spans="1:11">
      <c r="A256" s="1" t="s">
        <v>24</v>
      </c>
      <c r="B256" s="1" t="s">
        <v>23</v>
      </c>
      <c r="C256" s="1">
        <v>10</v>
      </c>
      <c r="D256" s="1" t="s">
        <v>16</v>
      </c>
      <c r="E256" s="5" t="str">
        <f>IF(Table13[[#This Row],[Pre or Post]]="Pre",IF(IF(Table13[[#This Row],[Response]]="Male",0,1)+IF(Table13[[#This Row],[Response]]="Female",0,1)=2,E255,Table13[[#This Row],[Response]]),"")</f>
        <v/>
      </c>
      <c r="F256" s="1">
        <v>6</v>
      </c>
      <c r="G256" s="1">
        <v>5</v>
      </c>
      <c r="H256" s="1" t="s">
        <v>8</v>
      </c>
      <c r="I25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57" spans="1:11">
      <c r="A257" s="1" t="s">
        <v>24</v>
      </c>
      <c r="B257" s="1" t="s">
        <v>23</v>
      </c>
      <c r="C257" s="1">
        <v>10</v>
      </c>
      <c r="D257" s="1" t="s">
        <v>16</v>
      </c>
      <c r="E257" s="5" t="str">
        <f>IF(Table13[[#This Row],[Pre or Post]]="Pre",IF(IF(Table13[[#This Row],[Response]]="Male",0,1)+IF(Table13[[#This Row],[Response]]="Female",0,1)=2,E256,Table13[[#This Row],[Response]]),"")</f>
        <v/>
      </c>
      <c r="F257" s="1">
        <v>7</v>
      </c>
      <c r="G257" s="1">
        <v>4</v>
      </c>
      <c r="H257" s="1" t="s">
        <v>8</v>
      </c>
      <c r="I25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58" spans="1:11">
      <c r="A258" s="1" t="s">
        <v>24</v>
      </c>
      <c r="B258" s="1" t="s">
        <v>23</v>
      </c>
      <c r="C258" s="1">
        <v>10</v>
      </c>
      <c r="D258" s="1" t="s">
        <v>16</v>
      </c>
      <c r="E258" s="5" t="str">
        <f>IF(Table13[[#This Row],[Pre or Post]]="Pre",IF(IF(Table13[[#This Row],[Response]]="Male",0,1)+IF(Table13[[#This Row],[Response]]="Female",0,1)=2,E257,Table13[[#This Row],[Response]]),"")</f>
        <v/>
      </c>
      <c r="F258" s="1">
        <v>8</v>
      </c>
      <c r="G258" s="1" t="s">
        <v>8</v>
      </c>
      <c r="H258" s="1" t="s">
        <v>8</v>
      </c>
      <c r="I25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59" spans="1:11">
      <c r="A259" s="1" t="s">
        <v>24</v>
      </c>
      <c r="B259" s="1" t="s">
        <v>23</v>
      </c>
      <c r="C259" s="1">
        <v>10</v>
      </c>
      <c r="D259" s="1" t="s">
        <v>16</v>
      </c>
      <c r="E259" s="5" t="str">
        <f>IF(Table13[[#This Row],[Pre or Post]]="Pre",IF(IF(Table13[[#This Row],[Response]]="Male",0,1)+IF(Table13[[#This Row],[Response]]="Female",0,1)=2,E258,Table13[[#This Row],[Response]]),"")</f>
        <v/>
      </c>
      <c r="F259" s="1">
        <v>9</v>
      </c>
      <c r="G259" s="1" t="s">
        <v>17</v>
      </c>
      <c r="H259" s="1" t="s">
        <v>8</v>
      </c>
      <c r="I25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60" spans="1:11">
      <c r="A260" s="1" t="s">
        <v>24</v>
      </c>
      <c r="B260" s="1" t="s">
        <v>23</v>
      </c>
      <c r="C260" s="1">
        <v>10</v>
      </c>
      <c r="D260" s="1" t="s">
        <v>16</v>
      </c>
      <c r="E260" s="5" t="str">
        <f>IF(Table13[[#This Row],[Pre or Post]]="Pre",IF(IF(Table13[[#This Row],[Response]]="Male",0,1)+IF(Table13[[#This Row],[Response]]="Female",0,1)=2,E259,Table13[[#This Row],[Response]]),"")</f>
        <v/>
      </c>
      <c r="F260" s="1">
        <v>10</v>
      </c>
      <c r="G260" s="1" t="s">
        <v>18</v>
      </c>
      <c r="H260" s="1" t="s">
        <v>8</v>
      </c>
      <c r="I26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61" spans="1:11">
      <c r="A261" s="1" t="s">
        <v>24</v>
      </c>
      <c r="B261" s="1" t="s">
        <v>23</v>
      </c>
      <c r="C261" s="1">
        <v>10</v>
      </c>
      <c r="D261" s="1" t="s">
        <v>16</v>
      </c>
      <c r="E261" s="5" t="str">
        <f>IF(Table13[[#This Row],[Pre or Post]]="Pre",IF(IF(Table13[[#This Row],[Response]]="Male",0,1)+IF(Table13[[#This Row],[Response]]="Female",0,1)=2,E260,Table13[[#This Row],[Response]]),"")</f>
        <v/>
      </c>
      <c r="F261" s="1">
        <v>11</v>
      </c>
      <c r="G261" s="1" t="s">
        <v>9</v>
      </c>
      <c r="H261" s="1" t="s">
        <v>8</v>
      </c>
      <c r="I26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62" spans="1:11">
      <c r="A262" s="1" t="s">
        <v>24</v>
      </c>
      <c r="B262" s="1" t="s">
        <v>23</v>
      </c>
      <c r="C262" s="1">
        <v>11</v>
      </c>
      <c r="D262" s="1" t="s">
        <v>16</v>
      </c>
      <c r="E262" s="5" t="str">
        <f>IF(Table13[[#This Row],[Pre or Post]]="Pre",IF(IF(Table13[[#This Row],[Response]]="Male",0,1)+IF(Table13[[#This Row],[Response]]="Female",0,1)=2,E261,Table13[[#This Row],[Response]]),"")</f>
        <v/>
      </c>
      <c r="F262" s="1">
        <v>2</v>
      </c>
      <c r="G262" s="1">
        <v>4</v>
      </c>
      <c r="H262" s="1" t="s">
        <v>8</v>
      </c>
      <c r="I26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63" spans="1:11">
      <c r="A263" s="1" t="s">
        <v>24</v>
      </c>
      <c r="B263" s="1" t="s">
        <v>23</v>
      </c>
      <c r="C263" s="1">
        <v>11</v>
      </c>
      <c r="D263" s="1" t="s">
        <v>16</v>
      </c>
      <c r="E263" s="5" t="str">
        <f>IF(Table13[[#This Row],[Pre or Post]]="Pre",IF(IF(Table13[[#This Row],[Response]]="Male",0,1)+IF(Table13[[#This Row],[Response]]="Female",0,1)=2,E262,Table13[[#This Row],[Response]]),"")</f>
        <v/>
      </c>
      <c r="F263" s="1">
        <v>3</v>
      </c>
      <c r="G263" s="1">
        <v>3</v>
      </c>
      <c r="H263" s="1" t="s">
        <v>8</v>
      </c>
      <c r="I26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64" spans="1:11">
      <c r="A264" s="1" t="s">
        <v>24</v>
      </c>
      <c r="B264" s="1" t="s">
        <v>23</v>
      </c>
      <c r="C264" s="1">
        <v>11</v>
      </c>
      <c r="D264" s="1" t="s">
        <v>16</v>
      </c>
      <c r="E264" s="5" t="str">
        <f>IF(Table13[[#This Row],[Pre or Post]]="Pre",IF(IF(Table13[[#This Row],[Response]]="Male",0,1)+IF(Table13[[#This Row],[Response]]="Female",0,1)=2,E263,Table13[[#This Row],[Response]]),"")</f>
        <v/>
      </c>
      <c r="F264" s="1">
        <v>4</v>
      </c>
      <c r="G264" s="1">
        <v>5</v>
      </c>
      <c r="H264" s="1" t="s">
        <v>8</v>
      </c>
      <c r="I26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65" spans="1:11">
      <c r="A265" s="1" t="s">
        <v>24</v>
      </c>
      <c r="B265" s="1" t="s">
        <v>23</v>
      </c>
      <c r="C265" s="1">
        <v>11</v>
      </c>
      <c r="D265" s="1" t="s">
        <v>16</v>
      </c>
      <c r="E265" s="5" t="str">
        <f>IF(Table13[[#This Row],[Pre or Post]]="Pre",IF(IF(Table13[[#This Row],[Response]]="Male",0,1)+IF(Table13[[#This Row],[Response]]="Female",0,1)=2,E264,Table13[[#This Row],[Response]]),"")</f>
        <v/>
      </c>
      <c r="F265" s="1">
        <v>5</v>
      </c>
      <c r="G265" s="1">
        <v>3</v>
      </c>
      <c r="H265" s="1" t="s">
        <v>8</v>
      </c>
      <c r="I26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66" spans="1:11">
      <c r="A266" s="1" t="s">
        <v>24</v>
      </c>
      <c r="B266" s="1" t="s">
        <v>23</v>
      </c>
      <c r="C266" s="1">
        <v>11</v>
      </c>
      <c r="D266" s="1" t="s">
        <v>16</v>
      </c>
      <c r="E266" s="5" t="str">
        <f>IF(Table13[[#This Row],[Pre or Post]]="Pre",IF(IF(Table13[[#This Row],[Response]]="Male",0,1)+IF(Table13[[#This Row],[Response]]="Female",0,1)=2,E265,Table13[[#This Row],[Response]]),"")</f>
        <v/>
      </c>
      <c r="F266" s="1">
        <v>6</v>
      </c>
      <c r="G266" s="1">
        <v>5</v>
      </c>
      <c r="H266" s="1" t="s">
        <v>8</v>
      </c>
      <c r="I26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67" spans="1:11">
      <c r="A267" s="1" t="s">
        <v>24</v>
      </c>
      <c r="B267" s="1" t="s">
        <v>23</v>
      </c>
      <c r="C267" s="1">
        <v>11</v>
      </c>
      <c r="D267" s="1" t="s">
        <v>16</v>
      </c>
      <c r="E267" s="5" t="str">
        <f>IF(Table13[[#This Row],[Pre or Post]]="Pre",IF(IF(Table13[[#This Row],[Response]]="Male",0,1)+IF(Table13[[#This Row],[Response]]="Female",0,1)=2,E266,Table13[[#This Row],[Response]]),"")</f>
        <v/>
      </c>
      <c r="F267" s="1">
        <v>7</v>
      </c>
      <c r="G267" s="1">
        <v>4</v>
      </c>
      <c r="H267" s="1" t="s">
        <v>8</v>
      </c>
      <c r="I26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68" spans="1:11">
      <c r="A268" s="1" t="s">
        <v>24</v>
      </c>
      <c r="B268" s="1" t="s">
        <v>23</v>
      </c>
      <c r="C268" s="1">
        <v>11</v>
      </c>
      <c r="D268" s="1" t="s">
        <v>16</v>
      </c>
      <c r="E268" s="5" t="str">
        <f>IF(Table13[[#This Row],[Pre or Post]]="Pre",IF(IF(Table13[[#This Row],[Response]]="Male",0,1)+IF(Table13[[#This Row],[Response]]="Female",0,1)=2,E267,Table13[[#This Row],[Response]]),"")</f>
        <v/>
      </c>
      <c r="F268" s="1">
        <v>8</v>
      </c>
      <c r="G268" s="1" t="s">
        <v>8</v>
      </c>
      <c r="H268" s="1" t="s">
        <v>8</v>
      </c>
      <c r="I26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69" spans="1:11">
      <c r="A269" s="1" t="s">
        <v>24</v>
      </c>
      <c r="B269" s="1" t="s">
        <v>23</v>
      </c>
      <c r="C269" s="1">
        <v>11</v>
      </c>
      <c r="D269" s="1" t="s">
        <v>16</v>
      </c>
      <c r="E269" s="5" t="str">
        <f>IF(Table13[[#This Row],[Pre or Post]]="Pre",IF(IF(Table13[[#This Row],[Response]]="Male",0,1)+IF(Table13[[#This Row],[Response]]="Female",0,1)=2,E268,Table13[[#This Row],[Response]]),"")</f>
        <v/>
      </c>
      <c r="F269" s="1">
        <v>9</v>
      </c>
      <c r="G269" s="1" t="s">
        <v>17</v>
      </c>
      <c r="H269" s="1" t="s">
        <v>8</v>
      </c>
      <c r="I26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70" spans="1:11">
      <c r="A270" s="1" t="s">
        <v>24</v>
      </c>
      <c r="B270" s="1" t="s">
        <v>23</v>
      </c>
      <c r="C270" s="1">
        <v>11</v>
      </c>
      <c r="D270" s="1" t="s">
        <v>16</v>
      </c>
      <c r="E270" s="5" t="str">
        <f>IF(Table13[[#This Row],[Pre or Post]]="Pre",IF(IF(Table13[[#This Row],[Response]]="Male",0,1)+IF(Table13[[#This Row],[Response]]="Female",0,1)=2,E269,Table13[[#This Row],[Response]]),"")</f>
        <v/>
      </c>
      <c r="F270" s="1">
        <v>10</v>
      </c>
      <c r="G270" s="1" t="s">
        <v>18</v>
      </c>
      <c r="H270" s="1" t="s">
        <v>8</v>
      </c>
      <c r="I27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71" spans="1:11">
      <c r="A271" s="1" t="s">
        <v>24</v>
      </c>
      <c r="B271" s="1" t="s">
        <v>23</v>
      </c>
      <c r="C271" s="1">
        <v>11</v>
      </c>
      <c r="D271" s="1" t="s">
        <v>16</v>
      </c>
      <c r="E271" s="5" t="str">
        <f>IF(Table13[[#This Row],[Pre or Post]]="Pre",IF(IF(Table13[[#This Row],[Response]]="Male",0,1)+IF(Table13[[#This Row],[Response]]="Female",0,1)=2,E270,Table13[[#This Row],[Response]]),"")</f>
        <v/>
      </c>
      <c r="F271" s="1">
        <v>11</v>
      </c>
      <c r="G271" s="1" t="s">
        <v>9</v>
      </c>
      <c r="H271" s="1" t="s">
        <v>8</v>
      </c>
      <c r="I27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72" spans="1:11">
      <c r="A272" s="1" t="s">
        <v>24</v>
      </c>
      <c r="B272" s="1" t="s">
        <v>23</v>
      </c>
      <c r="C272" s="1">
        <v>12</v>
      </c>
      <c r="D272" s="1" t="s">
        <v>16</v>
      </c>
      <c r="E272" s="5" t="str">
        <f>IF(Table13[[#This Row],[Pre or Post]]="Pre",IF(IF(Table13[[#This Row],[Response]]="Male",0,1)+IF(Table13[[#This Row],[Response]]="Female",0,1)=2,E271,Table13[[#This Row],[Response]]),"")</f>
        <v/>
      </c>
      <c r="F272" s="1">
        <v>2</v>
      </c>
      <c r="G272" s="1">
        <v>3</v>
      </c>
      <c r="H272" s="1" t="s">
        <v>8</v>
      </c>
      <c r="I27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73" spans="1:11">
      <c r="A273" s="1" t="s">
        <v>24</v>
      </c>
      <c r="B273" s="1" t="s">
        <v>23</v>
      </c>
      <c r="C273" s="1">
        <v>12</v>
      </c>
      <c r="D273" s="1" t="s">
        <v>16</v>
      </c>
      <c r="E273" s="5" t="str">
        <f>IF(Table13[[#This Row],[Pre or Post]]="Pre",IF(IF(Table13[[#This Row],[Response]]="Male",0,1)+IF(Table13[[#This Row],[Response]]="Female",0,1)=2,E272,Table13[[#This Row],[Response]]),"")</f>
        <v/>
      </c>
      <c r="F273" s="1">
        <v>3</v>
      </c>
      <c r="G273" s="1">
        <v>3</v>
      </c>
      <c r="H273" s="1" t="s">
        <v>8</v>
      </c>
      <c r="I27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74" spans="1:11">
      <c r="A274" s="1" t="s">
        <v>24</v>
      </c>
      <c r="B274" s="1" t="s">
        <v>23</v>
      </c>
      <c r="C274" s="1">
        <v>12</v>
      </c>
      <c r="D274" s="1" t="s">
        <v>16</v>
      </c>
      <c r="E274" s="5" t="str">
        <f>IF(Table13[[#This Row],[Pre or Post]]="Pre",IF(IF(Table13[[#This Row],[Response]]="Male",0,1)+IF(Table13[[#This Row],[Response]]="Female",0,1)=2,E273,Table13[[#This Row],[Response]]),"")</f>
        <v/>
      </c>
      <c r="F274" s="1">
        <v>4</v>
      </c>
      <c r="G274" s="1">
        <v>5</v>
      </c>
      <c r="H274" s="1" t="s">
        <v>8</v>
      </c>
      <c r="I27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75" spans="1:11">
      <c r="A275" s="1" t="s">
        <v>24</v>
      </c>
      <c r="B275" s="1" t="s">
        <v>23</v>
      </c>
      <c r="C275" s="1">
        <v>12</v>
      </c>
      <c r="D275" s="1" t="s">
        <v>16</v>
      </c>
      <c r="E275" s="5" t="str">
        <f>IF(Table13[[#This Row],[Pre or Post]]="Pre",IF(IF(Table13[[#This Row],[Response]]="Male",0,1)+IF(Table13[[#This Row],[Response]]="Female",0,1)=2,E274,Table13[[#This Row],[Response]]),"")</f>
        <v/>
      </c>
      <c r="F275" s="1">
        <v>5</v>
      </c>
      <c r="G275" s="1">
        <v>3</v>
      </c>
      <c r="H275" s="1" t="s">
        <v>8</v>
      </c>
      <c r="I27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76" spans="1:11">
      <c r="A276" s="1" t="s">
        <v>24</v>
      </c>
      <c r="B276" s="1" t="s">
        <v>23</v>
      </c>
      <c r="C276" s="1">
        <v>12</v>
      </c>
      <c r="D276" s="1" t="s">
        <v>16</v>
      </c>
      <c r="E276" s="5" t="str">
        <f>IF(Table13[[#This Row],[Pre or Post]]="Pre",IF(IF(Table13[[#This Row],[Response]]="Male",0,1)+IF(Table13[[#This Row],[Response]]="Female",0,1)=2,E275,Table13[[#This Row],[Response]]),"")</f>
        <v/>
      </c>
      <c r="F276" s="1">
        <v>6</v>
      </c>
      <c r="G276" s="1">
        <v>5</v>
      </c>
      <c r="H276" s="1" t="s">
        <v>8</v>
      </c>
      <c r="I27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77" spans="1:11">
      <c r="A277" s="1" t="s">
        <v>24</v>
      </c>
      <c r="B277" s="1" t="s">
        <v>23</v>
      </c>
      <c r="C277" s="1">
        <v>12</v>
      </c>
      <c r="D277" s="1" t="s">
        <v>16</v>
      </c>
      <c r="E277" s="5" t="str">
        <f>IF(Table13[[#This Row],[Pre or Post]]="Pre",IF(IF(Table13[[#This Row],[Response]]="Male",0,1)+IF(Table13[[#This Row],[Response]]="Female",0,1)=2,E276,Table13[[#This Row],[Response]]),"")</f>
        <v/>
      </c>
      <c r="F277" s="1">
        <v>7</v>
      </c>
      <c r="G277" s="1">
        <v>4</v>
      </c>
      <c r="H277" s="1" t="s">
        <v>8</v>
      </c>
      <c r="I27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78" spans="1:11">
      <c r="A278" s="1" t="s">
        <v>24</v>
      </c>
      <c r="B278" s="1" t="s">
        <v>23</v>
      </c>
      <c r="C278" s="1">
        <v>12</v>
      </c>
      <c r="D278" s="1" t="s">
        <v>16</v>
      </c>
      <c r="E278" s="5" t="str">
        <f>IF(Table13[[#This Row],[Pre or Post]]="Pre",IF(IF(Table13[[#This Row],[Response]]="Male",0,1)+IF(Table13[[#This Row],[Response]]="Female",0,1)=2,E277,Table13[[#This Row],[Response]]),"")</f>
        <v/>
      </c>
      <c r="F278" s="1">
        <v>8</v>
      </c>
      <c r="G278" s="1"/>
      <c r="H278" s="1" t="s">
        <v>8</v>
      </c>
      <c r="I27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79" spans="1:11">
      <c r="A279" s="1" t="s">
        <v>24</v>
      </c>
      <c r="B279" s="1" t="s">
        <v>23</v>
      </c>
      <c r="C279" s="1">
        <v>12</v>
      </c>
      <c r="D279" s="1" t="s">
        <v>16</v>
      </c>
      <c r="E279" s="5" t="str">
        <f>IF(Table13[[#This Row],[Pre or Post]]="Pre",IF(IF(Table13[[#This Row],[Response]]="Male",0,1)+IF(Table13[[#This Row],[Response]]="Female",0,1)=2,E278,Table13[[#This Row],[Response]]),"")</f>
        <v/>
      </c>
      <c r="F279" s="1">
        <v>9</v>
      </c>
      <c r="G279" s="1" t="s">
        <v>17</v>
      </c>
      <c r="H279" s="1" t="s">
        <v>8</v>
      </c>
      <c r="I27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80" spans="1:11">
      <c r="A280" s="1" t="s">
        <v>24</v>
      </c>
      <c r="B280" s="1" t="s">
        <v>23</v>
      </c>
      <c r="C280" s="1">
        <v>12</v>
      </c>
      <c r="D280" s="1" t="s">
        <v>16</v>
      </c>
      <c r="E280" s="5" t="str">
        <f>IF(Table13[[#This Row],[Pre or Post]]="Pre",IF(IF(Table13[[#This Row],[Response]]="Male",0,1)+IF(Table13[[#This Row],[Response]]="Female",0,1)=2,E279,Table13[[#This Row],[Response]]),"")</f>
        <v/>
      </c>
      <c r="F280" s="1">
        <v>10</v>
      </c>
      <c r="G280" s="1" t="s">
        <v>18</v>
      </c>
      <c r="H280" s="1" t="s">
        <v>8</v>
      </c>
      <c r="I28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81" spans="1:11">
      <c r="A281" s="1" t="s">
        <v>24</v>
      </c>
      <c r="B281" s="1" t="s">
        <v>23</v>
      </c>
      <c r="C281" s="1">
        <v>12</v>
      </c>
      <c r="D281" s="1" t="s">
        <v>16</v>
      </c>
      <c r="E281" s="5" t="str">
        <f>IF(Table13[[#This Row],[Pre or Post]]="Pre",IF(IF(Table13[[#This Row],[Response]]="Male",0,1)+IF(Table13[[#This Row],[Response]]="Female",0,1)=2,E280,Table13[[#This Row],[Response]]),"")</f>
        <v/>
      </c>
      <c r="F281" s="1">
        <v>11</v>
      </c>
      <c r="G281" s="1" t="s">
        <v>9</v>
      </c>
      <c r="H281" s="1" t="s">
        <v>8</v>
      </c>
      <c r="I28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82" spans="1:11">
      <c r="A282" s="1" t="s">
        <v>24</v>
      </c>
      <c r="B282" s="1" t="s">
        <v>23</v>
      </c>
      <c r="C282" s="1">
        <v>13</v>
      </c>
      <c r="D282" s="1" t="s">
        <v>16</v>
      </c>
      <c r="E282" s="5" t="str">
        <f>IF(Table13[[#This Row],[Pre or Post]]="Pre",IF(IF(Table13[[#This Row],[Response]]="Male",0,1)+IF(Table13[[#This Row],[Response]]="Female",0,1)=2,E281,Table13[[#This Row],[Response]]),"")</f>
        <v/>
      </c>
      <c r="F282" s="1">
        <v>2</v>
      </c>
      <c r="G282" s="1">
        <v>3</v>
      </c>
      <c r="H282" s="1" t="s">
        <v>8</v>
      </c>
      <c r="I28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83" spans="1:11">
      <c r="A283" s="1" t="s">
        <v>24</v>
      </c>
      <c r="B283" s="1" t="s">
        <v>23</v>
      </c>
      <c r="C283" s="1">
        <v>13</v>
      </c>
      <c r="D283" s="1" t="s">
        <v>16</v>
      </c>
      <c r="E283" s="5" t="str">
        <f>IF(Table13[[#This Row],[Pre or Post]]="Pre",IF(IF(Table13[[#This Row],[Response]]="Male",0,1)+IF(Table13[[#This Row],[Response]]="Female",0,1)=2,E282,Table13[[#This Row],[Response]]),"")</f>
        <v/>
      </c>
      <c r="F283" s="1">
        <v>3</v>
      </c>
      <c r="G283" s="1">
        <v>2</v>
      </c>
      <c r="H283" s="1" t="s">
        <v>8</v>
      </c>
      <c r="I28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84" spans="1:11">
      <c r="A284" s="1" t="s">
        <v>24</v>
      </c>
      <c r="B284" s="1" t="s">
        <v>23</v>
      </c>
      <c r="C284" s="1">
        <v>13</v>
      </c>
      <c r="D284" s="1" t="s">
        <v>16</v>
      </c>
      <c r="E284" s="5" t="str">
        <f>IF(Table13[[#This Row],[Pre or Post]]="Pre",IF(IF(Table13[[#This Row],[Response]]="Male",0,1)+IF(Table13[[#This Row],[Response]]="Female",0,1)=2,E283,Table13[[#This Row],[Response]]),"")</f>
        <v/>
      </c>
      <c r="F284" s="1">
        <v>4</v>
      </c>
      <c r="G284" s="1">
        <v>4</v>
      </c>
      <c r="H284" s="1" t="s">
        <v>8</v>
      </c>
      <c r="I28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85" spans="1:11">
      <c r="A285" s="1" t="s">
        <v>24</v>
      </c>
      <c r="B285" s="1" t="s">
        <v>23</v>
      </c>
      <c r="C285" s="1">
        <v>13</v>
      </c>
      <c r="D285" s="1" t="s">
        <v>16</v>
      </c>
      <c r="E285" s="5" t="str">
        <f>IF(Table13[[#This Row],[Pre or Post]]="Pre",IF(IF(Table13[[#This Row],[Response]]="Male",0,1)+IF(Table13[[#This Row],[Response]]="Female",0,1)=2,E284,Table13[[#This Row],[Response]]),"")</f>
        <v/>
      </c>
      <c r="F285" s="1">
        <v>5</v>
      </c>
      <c r="G285" s="1">
        <v>4</v>
      </c>
      <c r="H285" s="1" t="s">
        <v>8</v>
      </c>
      <c r="I28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86" spans="1:11">
      <c r="A286" s="1" t="s">
        <v>24</v>
      </c>
      <c r="B286" s="1" t="s">
        <v>23</v>
      </c>
      <c r="C286" s="1">
        <v>13</v>
      </c>
      <c r="D286" s="1" t="s">
        <v>16</v>
      </c>
      <c r="E286" s="5" t="str">
        <f>IF(Table13[[#This Row],[Pre or Post]]="Pre",IF(IF(Table13[[#This Row],[Response]]="Male",0,1)+IF(Table13[[#This Row],[Response]]="Female",0,1)=2,E285,Table13[[#This Row],[Response]]),"")</f>
        <v/>
      </c>
      <c r="F286" s="1">
        <v>6</v>
      </c>
      <c r="G286" s="1">
        <v>5</v>
      </c>
      <c r="H286" s="1" t="s">
        <v>8</v>
      </c>
      <c r="I28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87" spans="1:11">
      <c r="A287" s="1" t="s">
        <v>24</v>
      </c>
      <c r="B287" s="1" t="s">
        <v>23</v>
      </c>
      <c r="C287" s="1">
        <v>13</v>
      </c>
      <c r="D287" s="1" t="s">
        <v>16</v>
      </c>
      <c r="E287" s="5" t="str">
        <f>IF(Table13[[#This Row],[Pre or Post]]="Pre",IF(IF(Table13[[#This Row],[Response]]="Male",0,1)+IF(Table13[[#This Row],[Response]]="Female",0,1)=2,E286,Table13[[#This Row],[Response]]),"")</f>
        <v/>
      </c>
      <c r="F287" s="1">
        <v>7</v>
      </c>
      <c r="G287" s="1">
        <v>3</v>
      </c>
      <c r="H287" s="1" t="s">
        <v>8</v>
      </c>
      <c r="I28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88" spans="1:11">
      <c r="A288" s="1" t="s">
        <v>24</v>
      </c>
      <c r="B288" s="1" t="s">
        <v>23</v>
      </c>
      <c r="C288" s="1">
        <v>13</v>
      </c>
      <c r="D288" s="1" t="s">
        <v>16</v>
      </c>
      <c r="E288" s="5" t="str">
        <f>IF(Table13[[#This Row],[Pre or Post]]="Pre",IF(IF(Table13[[#This Row],[Response]]="Male",0,1)+IF(Table13[[#This Row],[Response]]="Female",0,1)=2,E287,Table13[[#This Row],[Response]]),"")</f>
        <v/>
      </c>
      <c r="F288" s="1">
        <v>8</v>
      </c>
      <c r="G288" s="1" t="s">
        <v>8</v>
      </c>
      <c r="H288" s="1" t="s">
        <v>8</v>
      </c>
      <c r="I28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89" spans="1:11">
      <c r="A289" s="1" t="s">
        <v>24</v>
      </c>
      <c r="B289" s="1" t="s">
        <v>23</v>
      </c>
      <c r="C289" s="1">
        <v>13</v>
      </c>
      <c r="D289" s="1" t="s">
        <v>16</v>
      </c>
      <c r="E289" s="5" t="str">
        <f>IF(Table13[[#This Row],[Pre or Post]]="Pre",IF(IF(Table13[[#This Row],[Response]]="Male",0,1)+IF(Table13[[#This Row],[Response]]="Female",0,1)=2,E288,Table13[[#This Row],[Response]]),"")</f>
        <v/>
      </c>
      <c r="F289" s="1">
        <v>9</v>
      </c>
      <c r="G289" s="1" t="s">
        <v>17</v>
      </c>
      <c r="H289" s="1" t="s">
        <v>8</v>
      </c>
      <c r="I28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90" spans="1:11">
      <c r="A290" s="1" t="s">
        <v>24</v>
      </c>
      <c r="B290" s="1" t="s">
        <v>23</v>
      </c>
      <c r="C290" s="1">
        <v>13</v>
      </c>
      <c r="D290" s="1" t="s">
        <v>16</v>
      </c>
      <c r="E290" s="5" t="str">
        <f>IF(Table13[[#This Row],[Pre or Post]]="Pre",IF(IF(Table13[[#This Row],[Response]]="Male",0,1)+IF(Table13[[#This Row],[Response]]="Female",0,1)=2,E289,Table13[[#This Row],[Response]]),"")</f>
        <v/>
      </c>
      <c r="F290" s="1">
        <v>10</v>
      </c>
      <c r="G290" s="1" t="s">
        <v>18</v>
      </c>
      <c r="H290" s="1" t="s">
        <v>8</v>
      </c>
      <c r="I29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91" spans="1:11">
      <c r="A291" s="1" t="s">
        <v>24</v>
      </c>
      <c r="B291" s="1" t="s">
        <v>23</v>
      </c>
      <c r="C291" s="1">
        <v>13</v>
      </c>
      <c r="D291" s="1" t="s">
        <v>16</v>
      </c>
      <c r="E291" s="5" t="str">
        <f>IF(Table13[[#This Row],[Pre or Post]]="Pre",IF(IF(Table13[[#This Row],[Response]]="Male",0,1)+IF(Table13[[#This Row],[Response]]="Female",0,1)=2,E290,Table13[[#This Row],[Response]]),"")</f>
        <v/>
      </c>
      <c r="F291" s="1">
        <v>11</v>
      </c>
      <c r="G291" s="1" t="s">
        <v>9</v>
      </c>
      <c r="H291" s="1" t="s">
        <v>8</v>
      </c>
      <c r="I29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92" spans="1:11">
      <c r="A292" s="1" t="s">
        <v>24</v>
      </c>
      <c r="B292" s="1" t="s">
        <v>23</v>
      </c>
      <c r="C292" s="1">
        <v>14</v>
      </c>
      <c r="D292" s="1" t="s">
        <v>16</v>
      </c>
      <c r="E292" s="5" t="str">
        <f>IF(Table13[[#This Row],[Pre or Post]]="Pre",IF(IF(Table13[[#This Row],[Response]]="Male",0,1)+IF(Table13[[#This Row],[Response]]="Female",0,1)=2,E291,Table13[[#This Row],[Response]]),"")</f>
        <v/>
      </c>
      <c r="F292" s="1">
        <v>2</v>
      </c>
      <c r="G292" s="1">
        <v>3</v>
      </c>
      <c r="H292" s="1" t="s">
        <v>8</v>
      </c>
      <c r="I29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93" spans="1:11">
      <c r="A293" s="1" t="s">
        <v>24</v>
      </c>
      <c r="B293" s="1" t="s">
        <v>23</v>
      </c>
      <c r="C293" s="1">
        <v>14</v>
      </c>
      <c r="D293" s="1" t="s">
        <v>16</v>
      </c>
      <c r="E293" s="5" t="str">
        <f>IF(Table13[[#This Row],[Pre or Post]]="Pre",IF(IF(Table13[[#This Row],[Response]]="Male",0,1)+IF(Table13[[#This Row],[Response]]="Female",0,1)=2,E292,Table13[[#This Row],[Response]]),"")</f>
        <v/>
      </c>
      <c r="F293" s="1">
        <v>3</v>
      </c>
      <c r="G293" s="1">
        <v>4</v>
      </c>
      <c r="H293" s="1" t="s">
        <v>8</v>
      </c>
      <c r="I29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94" spans="1:11">
      <c r="A294" s="1" t="s">
        <v>24</v>
      </c>
      <c r="B294" s="1" t="s">
        <v>23</v>
      </c>
      <c r="C294" s="1">
        <v>14</v>
      </c>
      <c r="D294" s="1" t="s">
        <v>16</v>
      </c>
      <c r="E294" s="5" t="str">
        <f>IF(Table13[[#This Row],[Pre or Post]]="Pre",IF(IF(Table13[[#This Row],[Response]]="Male",0,1)+IF(Table13[[#This Row],[Response]]="Female",0,1)=2,E293,Table13[[#This Row],[Response]]),"")</f>
        <v/>
      </c>
      <c r="F294" s="1">
        <v>4</v>
      </c>
      <c r="G294" s="1">
        <v>3</v>
      </c>
      <c r="H294" s="1" t="s">
        <v>8</v>
      </c>
      <c r="I29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95" spans="1:11">
      <c r="A295" s="1" t="s">
        <v>24</v>
      </c>
      <c r="B295" s="1" t="s">
        <v>23</v>
      </c>
      <c r="C295" s="1">
        <v>14</v>
      </c>
      <c r="D295" s="1" t="s">
        <v>16</v>
      </c>
      <c r="E295" s="5" t="str">
        <f>IF(Table13[[#This Row],[Pre or Post]]="Pre",IF(IF(Table13[[#This Row],[Response]]="Male",0,1)+IF(Table13[[#This Row],[Response]]="Female",0,1)=2,E294,Table13[[#This Row],[Response]]),"")</f>
        <v/>
      </c>
      <c r="F295" s="1">
        <v>5</v>
      </c>
      <c r="G295" s="1">
        <v>4</v>
      </c>
      <c r="H295" s="1" t="s">
        <v>8</v>
      </c>
      <c r="I29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96" spans="1:11">
      <c r="A296" s="1" t="s">
        <v>24</v>
      </c>
      <c r="B296" s="1" t="s">
        <v>23</v>
      </c>
      <c r="C296" s="1">
        <v>14</v>
      </c>
      <c r="D296" s="1" t="s">
        <v>16</v>
      </c>
      <c r="E296" s="5" t="str">
        <f>IF(Table13[[#This Row],[Pre or Post]]="Pre",IF(IF(Table13[[#This Row],[Response]]="Male",0,1)+IF(Table13[[#This Row],[Response]]="Female",0,1)=2,E295,Table13[[#This Row],[Response]]),"")</f>
        <v/>
      </c>
      <c r="F296" s="1">
        <v>6</v>
      </c>
      <c r="G296" s="1">
        <v>4</v>
      </c>
      <c r="H296" s="1" t="s">
        <v>8</v>
      </c>
      <c r="I29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97" spans="1:11">
      <c r="A297" s="1" t="s">
        <v>24</v>
      </c>
      <c r="B297" s="1" t="s">
        <v>23</v>
      </c>
      <c r="C297" s="1">
        <v>14</v>
      </c>
      <c r="D297" s="1" t="s">
        <v>16</v>
      </c>
      <c r="E297" s="5" t="str">
        <f>IF(Table13[[#This Row],[Pre or Post]]="Pre",IF(IF(Table13[[#This Row],[Response]]="Male",0,1)+IF(Table13[[#This Row],[Response]]="Female",0,1)=2,E296,Table13[[#This Row],[Response]]),"")</f>
        <v/>
      </c>
      <c r="F297" s="1">
        <v>7</v>
      </c>
      <c r="G297" s="1">
        <v>4</v>
      </c>
      <c r="H297" s="1" t="s">
        <v>8</v>
      </c>
      <c r="I29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98" spans="1:11">
      <c r="A298" s="1" t="s">
        <v>24</v>
      </c>
      <c r="B298" s="1" t="s">
        <v>23</v>
      </c>
      <c r="C298" s="1">
        <v>14</v>
      </c>
      <c r="D298" s="1" t="s">
        <v>16</v>
      </c>
      <c r="E298" s="5" t="str">
        <f>IF(Table13[[#This Row],[Pre or Post]]="Pre",IF(IF(Table13[[#This Row],[Response]]="Male",0,1)+IF(Table13[[#This Row],[Response]]="Female",0,1)=2,E297,Table13[[#This Row],[Response]]),"")</f>
        <v/>
      </c>
      <c r="F298" s="1">
        <v>8</v>
      </c>
      <c r="G298" s="1" t="s">
        <v>8</v>
      </c>
      <c r="H298" s="1" t="s">
        <v>8</v>
      </c>
      <c r="I29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299" spans="1:11">
      <c r="A299" s="1" t="s">
        <v>24</v>
      </c>
      <c r="B299" s="1" t="s">
        <v>23</v>
      </c>
      <c r="C299" s="1">
        <v>14</v>
      </c>
      <c r="D299" s="1" t="s">
        <v>16</v>
      </c>
      <c r="E299" s="5" t="str">
        <f>IF(Table13[[#This Row],[Pre or Post]]="Pre",IF(IF(Table13[[#This Row],[Response]]="Male",0,1)+IF(Table13[[#This Row],[Response]]="Female",0,1)=2,E298,Table13[[#This Row],[Response]]),"")</f>
        <v/>
      </c>
      <c r="F299" s="1">
        <v>9</v>
      </c>
      <c r="G299" s="1" t="s">
        <v>17</v>
      </c>
      <c r="H299" s="1" t="s">
        <v>8</v>
      </c>
      <c r="I29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2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2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00" spans="1:11">
      <c r="A300" s="1" t="s">
        <v>24</v>
      </c>
      <c r="B300" s="1" t="s">
        <v>23</v>
      </c>
      <c r="C300" s="1">
        <v>14</v>
      </c>
      <c r="D300" s="1" t="s">
        <v>16</v>
      </c>
      <c r="E300" s="5" t="str">
        <f>IF(Table13[[#This Row],[Pre or Post]]="Pre",IF(IF(Table13[[#This Row],[Response]]="Male",0,1)+IF(Table13[[#This Row],[Response]]="Female",0,1)=2,E299,Table13[[#This Row],[Response]]),"")</f>
        <v/>
      </c>
      <c r="F300" s="1">
        <v>10</v>
      </c>
      <c r="G300" s="1" t="s">
        <v>19</v>
      </c>
      <c r="H300" s="1" t="s">
        <v>8</v>
      </c>
      <c r="I30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01" spans="1:11">
      <c r="A301" s="1" t="s">
        <v>24</v>
      </c>
      <c r="B301" s="1" t="s">
        <v>23</v>
      </c>
      <c r="C301" s="1">
        <v>14</v>
      </c>
      <c r="D301" s="1" t="s">
        <v>16</v>
      </c>
      <c r="E301" s="5" t="str">
        <f>IF(Table13[[#This Row],[Pre or Post]]="Pre",IF(IF(Table13[[#This Row],[Response]]="Male",0,1)+IF(Table13[[#This Row],[Response]]="Female",0,1)=2,E300,Table13[[#This Row],[Response]]),"")</f>
        <v/>
      </c>
      <c r="F301" s="1">
        <v>11</v>
      </c>
      <c r="G301" s="1" t="s">
        <v>9</v>
      </c>
      <c r="H301" s="1" t="s">
        <v>8</v>
      </c>
      <c r="I30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02" spans="1:11">
      <c r="A302" s="1" t="s">
        <v>24</v>
      </c>
      <c r="B302" s="1" t="s">
        <v>23</v>
      </c>
      <c r="C302" s="1">
        <v>15</v>
      </c>
      <c r="D302" s="1" t="s">
        <v>16</v>
      </c>
      <c r="E302" s="5" t="str">
        <f>IF(Table13[[#This Row],[Pre or Post]]="Pre",IF(IF(Table13[[#This Row],[Response]]="Male",0,1)+IF(Table13[[#This Row],[Response]]="Female",0,1)=2,E301,Table13[[#This Row],[Response]]),"")</f>
        <v/>
      </c>
      <c r="F302" s="1">
        <v>2</v>
      </c>
      <c r="G302" s="1">
        <v>4</v>
      </c>
      <c r="H302" s="1" t="s">
        <v>8</v>
      </c>
      <c r="I30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03" spans="1:11">
      <c r="A303" s="1" t="s">
        <v>24</v>
      </c>
      <c r="B303" s="1" t="s">
        <v>23</v>
      </c>
      <c r="C303" s="1">
        <v>15</v>
      </c>
      <c r="D303" s="1" t="s">
        <v>16</v>
      </c>
      <c r="E303" s="5" t="str">
        <f>IF(Table13[[#This Row],[Pre or Post]]="Pre",IF(IF(Table13[[#This Row],[Response]]="Male",0,1)+IF(Table13[[#This Row],[Response]]="Female",0,1)=2,E302,Table13[[#This Row],[Response]]),"")</f>
        <v/>
      </c>
      <c r="F303" s="1">
        <v>3</v>
      </c>
      <c r="G303" s="1">
        <v>3</v>
      </c>
      <c r="H303" s="1" t="s">
        <v>8</v>
      </c>
      <c r="I30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04" spans="1:11">
      <c r="A304" s="1" t="s">
        <v>24</v>
      </c>
      <c r="B304" s="1" t="s">
        <v>23</v>
      </c>
      <c r="C304" s="1">
        <v>15</v>
      </c>
      <c r="D304" s="1" t="s">
        <v>16</v>
      </c>
      <c r="E304" s="5" t="str">
        <f>IF(Table13[[#This Row],[Pre or Post]]="Pre",IF(IF(Table13[[#This Row],[Response]]="Male",0,1)+IF(Table13[[#This Row],[Response]]="Female",0,1)=2,E303,Table13[[#This Row],[Response]]),"")</f>
        <v/>
      </c>
      <c r="F304" s="1">
        <v>4</v>
      </c>
      <c r="G304" s="1">
        <v>5</v>
      </c>
      <c r="H304" s="1" t="s">
        <v>8</v>
      </c>
      <c r="I30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05" spans="1:11">
      <c r="A305" s="1" t="s">
        <v>24</v>
      </c>
      <c r="B305" s="1" t="s">
        <v>23</v>
      </c>
      <c r="C305" s="1">
        <v>15</v>
      </c>
      <c r="D305" s="1" t="s">
        <v>16</v>
      </c>
      <c r="E305" s="5" t="str">
        <f>IF(Table13[[#This Row],[Pre or Post]]="Pre",IF(IF(Table13[[#This Row],[Response]]="Male",0,1)+IF(Table13[[#This Row],[Response]]="Female",0,1)=2,E304,Table13[[#This Row],[Response]]),"")</f>
        <v/>
      </c>
      <c r="F305" s="1">
        <v>5</v>
      </c>
      <c r="G305" s="1">
        <v>5</v>
      </c>
      <c r="H305" s="1" t="s">
        <v>8</v>
      </c>
      <c r="I30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06" spans="1:11">
      <c r="A306" s="1" t="s">
        <v>24</v>
      </c>
      <c r="B306" s="1" t="s">
        <v>23</v>
      </c>
      <c r="C306" s="1">
        <v>15</v>
      </c>
      <c r="D306" s="1" t="s">
        <v>16</v>
      </c>
      <c r="E306" s="5" t="str">
        <f>IF(Table13[[#This Row],[Pre or Post]]="Pre",IF(IF(Table13[[#This Row],[Response]]="Male",0,1)+IF(Table13[[#This Row],[Response]]="Female",0,1)=2,E305,Table13[[#This Row],[Response]]),"")</f>
        <v/>
      </c>
      <c r="F306" s="1">
        <v>6</v>
      </c>
      <c r="G306" s="1">
        <v>5</v>
      </c>
      <c r="H306" s="1" t="s">
        <v>8</v>
      </c>
      <c r="I30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07" spans="1:11">
      <c r="A307" s="1" t="s">
        <v>24</v>
      </c>
      <c r="B307" s="1" t="s">
        <v>23</v>
      </c>
      <c r="C307" s="1">
        <v>15</v>
      </c>
      <c r="D307" s="1" t="s">
        <v>16</v>
      </c>
      <c r="E307" s="5" t="str">
        <f>IF(Table13[[#This Row],[Pre or Post]]="Pre",IF(IF(Table13[[#This Row],[Response]]="Male",0,1)+IF(Table13[[#This Row],[Response]]="Female",0,1)=2,E306,Table13[[#This Row],[Response]]),"")</f>
        <v/>
      </c>
      <c r="F307" s="1">
        <v>7</v>
      </c>
      <c r="G307" s="1">
        <v>4</v>
      </c>
      <c r="H307" s="1" t="s">
        <v>8</v>
      </c>
      <c r="I30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08" spans="1:11">
      <c r="A308" s="1" t="s">
        <v>24</v>
      </c>
      <c r="B308" s="1" t="s">
        <v>23</v>
      </c>
      <c r="C308" s="1">
        <v>15</v>
      </c>
      <c r="D308" s="1" t="s">
        <v>16</v>
      </c>
      <c r="E308" s="5" t="str">
        <f>IF(Table13[[#This Row],[Pre or Post]]="Pre",IF(IF(Table13[[#This Row],[Response]]="Male",0,1)+IF(Table13[[#This Row],[Response]]="Female",0,1)=2,E307,Table13[[#This Row],[Response]]),"")</f>
        <v/>
      </c>
      <c r="F308" s="1">
        <v>8</v>
      </c>
      <c r="G308" s="1" t="s">
        <v>8</v>
      </c>
      <c r="H308" s="1" t="s">
        <v>8</v>
      </c>
      <c r="I30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09" spans="1:11">
      <c r="A309" s="1" t="s">
        <v>24</v>
      </c>
      <c r="B309" s="1" t="s">
        <v>23</v>
      </c>
      <c r="C309" s="1">
        <v>15</v>
      </c>
      <c r="D309" s="1" t="s">
        <v>16</v>
      </c>
      <c r="E309" s="5" t="str">
        <f>IF(Table13[[#This Row],[Pre or Post]]="Pre",IF(IF(Table13[[#This Row],[Response]]="Male",0,1)+IF(Table13[[#This Row],[Response]]="Female",0,1)=2,E308,Table13[[#This Row],[Response]]),"")</f>
        <v/>
      </c>
      <c r="F309" s="1">
        <v>9</v>
      </c>
      <c r="G309" s="1" t="s">
        <v>17</v>
      </c>
      <c r="H309" s="1" t="s">
        <v>8</v>
      </c>
      <c r="I30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10" spans="1:11">
      <c r="A310" s="1" t="s">
        <v>24</v>
      </c>
      <c r="B310" s="1" t="s">
        <v>23</v>
      </c>
      <c r="C310" s="1">
        <v>15</v>
      </c>
      <c r="D310" s="1" t="s">
        <v>16</v>
      </c>
      <c r="E310" s="5" t="str">
        <f>IF(Table13[[#This Row],[Pre or Post]]="Pre",IF(IF(Table13[[#This Row],[Response]]="Male",0,1)+IF(Table13[[#This Row],[Response]]="Female",0,1)=2,E309,Table13[[#This Row],[Response]]),"")</f>
        <v/>
      </c>
      <c r="F310" s="1">
        <v>10</v>
      </c>
      <c r="G310" s="1" t="s">
        <v>18</v>
      </c>
      <c r="H310" s="1" t="s">
        <v>8</v>
      </c>
      <c r="I31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11" spans="1:11">
      <c r="A311" s="1" t="s">
        <v>24</v>
      </c>
      <c r="B311" s="1" t="s">
        <v>23</v>
      </c>
      <c r="C311" s="1">
        <v>15</v>
      </c>
      <c r="D311" s="1" t="s">
        <v>16</v>
      </c>
      <c r="E311" s="5" t="str">
        <f>IF(Table13[[#This Row],[Pre or Post]]="Pre",IF(IF(Table13[[#This Row],[Response]]="Male",0,1)+IF(Table13[[#This Row],[Response]]="Female",0,1)=2,E310,Table13[[#This Row],[Response]]),"")</f>
        <v/>
      </c>
      <c r="F311" s="1">
        <v>11</v>
      </c>
      <c r="G311" s="1" t="s">
        <v>9</v>
      </c>
      <c r="H311" s="1" t="s">
        <v>8</v>
      </c>
      <c r="I31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12" spans="1:11">
      <c r="A312" s="1" t="s">
        <v>24</v>
      </c>
      <c r="B312" s="1" t="s">
        <v>23</v>
      </c>
      <c r="C312" s="1">
        <v>16</v>
      </c>
      <c r="D312" s="1" t="s">
        <v>16</v>
      </c>
      <c r="E312" s="5" t="str">
        <f>IF(Table13[[#This Row],[Pre or Post]]="Pre",IF(IF(Table13[[#This Row],[Response]]="Male",0,1)+IF(Table13[[#This Row],[Response]]="Female",0,1)=2,E311,Table13[[#This Row],[Response]]),"")</f>
        <v/>
      </c>
      <c r="F312" s="1">
        <v>2</v>
      </c>
      <c r="G312" s="1">
        <v>3</v>
      </c>
      <c r="H312" s="1" t="s">
        <v>8</v>
      </c>
      <c r="I31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13" spans="1:11">
      <c r="A313" s="1" t="s">
        <v>24</v>
      </c>
      <c r="B313" s="1" t="s">
        <v>23</v>
      </c>
      <c r="C313" s="1">
        <v>16</v>
      </c>
      <c r="D313" s="1" t="s">
        <v>16</v>
      </c>
      <c r="E313" s="5" t="str">
        <f>IF(Table13[[#This Row],[Pre or Post]]="Pre",IF(IF(Table13[[#This Row],[Response]]="Male",0,1)+IF(Table13[[#This Row],[Response]]="Female",0,1)=2,E312,Table13[[#This Row],[Response]]),"")</f>
        <v/>
      </c>
      <c r="F313" s="1">
        <v>3</v>
      </c>
      <c r="G313" s="1">
        <v>3</v>
      </c>
      <c r="H313" s="1" t="s">
        <v>8</v>
      </c>
      <c r="I31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14" spans="1:11">
      <c r="A314" s="1" t="s">
        <v>24</v>
      </c>
      <c r="B314" s="1" t="s">
        <v>23</v>
      </c>
      <c r="C314" s="1">
        <v>16</v>
      </c>
      <c r="D314" s="1" t="s">
        <v>16</v>
      </c>
      <c r="E314" s="5" t="str">
        <f>IF(Table13[[#This Row],[Pre or Post]]="Pre",IF(IF(Table13[[#This Row],[Response]]="Male",0,1)+IF(Table13[[#This Row],[Response]]="Female",0,1)=2,E313,Table13[[#This Row],[Response]]),"")</f>
        <v/>
      </c>
      <c r="F314" s="1">
        <v>4</v>
      </c>
      <c r="G314" s="1">
        <v>3</v>
      </c>
      <c r="H314" s="1" t="s">
        <v>8</v>
      </c>
      <c r="I31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15" spans="1:11">
      <c r="A315" s="1" t="s">
        <v>24</v>
      </c>
      <c r="B315" s="1" t="s">
        <v>23</v>
      </c>
      <c r="C315" s="1">
        <v>16</v>
      </c>
      <c r="D315" s="1" t="s">
        <v>16</v>
      </c>
      <c r="E315" s="5" t="str">
        <f>IF(Table13[[#This Row],[Pre or Post]]="Pre",IF(IF(Table13[[#This Row],[Response]]="Male",0,1)+IF(Table13[[#This Row],[Response]]="Female",0,1)=2,E314,Table13[[#This Row],[Response]]),"")</f>
        <v/>
      </c>
      <c r="F315" s="1">
        <v>5</v>
      </c>
      <c r="G315" s="1">
        <v>4</v>
      </c>
      <c r="H315" s="1" t="s">
        <v>8</v>
      </c>
      <c r="I31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16" spans="1:11">
      <c r="A316" s="1" t="s">
        <v>24</v>
      </c>
      <c r="B316" s="1" t="s">
        <v>23</v>
      </c>
      <c r="C316" s="1">
        <v>16</v>
      </c>
      <c r="D316" s="1" t="s">
        <v>16</v>
      </c>
      <c r="E316" s="5" t="str">
        <f>IF(Table13[[#This Row],[Pre or Post]]="Pre",IF(IF(Table13[[#This Row],[Response]]="Male",0,1)+IF(Table13[[#This Row],[Response]]="Female",0,1)=2,E315,Table13[[#This Row],[Response]]),"")</f>
        <v/>
      </c>
      <c r="F316" s="1">
        <v>6</v>
      </c>
      <c r="G316" s="1">
        <v>3</v>
      </c>
      <c r="H316" s="1" t="s">
        <v>8</v>
      </c>
      <c r="I31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17" spans="1:11">
      <c r="A317" s="1" t="s">
        <v>24</v>
      </c>
      <c r="B317" s="1" t="s">
        <v>23</v>
      </c>
      <c r="C317" s="1">
        <v>16</v>
      </c>
      <c r="D317" s="1" t="s">
        <v>16</v>
      </c>
      <c r="E317" s="5" t="str">
        <f>IF(Table13[[#This Row],[Pre or Post]]="Pre",IF(IF(Table13[[#This Row],[Response]]="Male",0,1)+IF(Table13[[#This Row],[Response]]="Female",0,1)=2,E316,Table13[[#This Row],[Response]]),"")</f>
        <v/>
      </c>
      <c r="F317" s="1">
        <v>7</v>
      </c>
      <c r="G317" s="1">
        <v>3</v>
      </c>
      <c r="H317" s="1" t="s">
        <v>8</v>
      </c>
      <c r="I31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18" spans="1:11">
      <c r="A318" s="1" t="s">
        <v>24</v>
      </c>
      <c r="B318" s="1" t="s">
        <v>23</v>
      </c>
      <c r="C318" s="1">
        <v>16</v>
      </c>
      <c r="D318" s="1" t="s">
        <v>16</v>
      </c>
      <c r="E318" s="5" t="str">
        <f>IF(Table13[[#This Row],[Pre or Post]]="Pre",IF(IF(Table13[[#This Row],[Response]]="Male",0,1)+IF(Table13[[#This Row],[Response]]="Female",0,1)=2,E317,Table13[[#This Row],[Response]]),"")</f>
        <v/>
      </c>
      <c r="F318" s="1">
        <v>8</v>
      </c>
      <c r="G318" s="1" t="s">
        <v>8</v>
      </c>
      <c r="H318" s="1" t="s">
        <v>8</v>
      </c>
      <c r="I31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19" spans="1:11">
      <c r="A319" s="1" t="s">
        <v>24</v>
      </c>
      <c r="B319" s="1" t="s">
        <v>23</v>
      </c>
      <c r="C319" s="1">
        <v>16</v>
      </c>
      <c r="D319" s="1" t="s">
        <v>16</v>
      </c>
      <c r="E319" s="5" t="str">
        <f>IF(Table13[[#This Row],[Pre or Post]]="Pre",IF(IF(Table13[[#This Row],[Response]]="Male",0,1)+IF(Table13[[#This Row],[Response]]="Female",0,1)=2,E318,Table13[[#This Row],[Response]]),"")</f>
        <v/>
      </c>
      <c r="F319" s="1">
        <v>9</v>
      </c>
      <c r="G319" s="1" t="s">
        <v>17</v>
      </c>
      <c r="H319" s="1" t="s">
        <v>8</v>
      </c>
      <c r="I31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20" spans="1:11">
      <c r="A320" s="1" t="s">
        <v>24</v>
      </c>
      <c r="B320" s="1" t="s">
        <v>23</v>
      </c>
      <c r="C320" s="1">
        <v>16</v>
      </c>
      <c r="D320" s="1" t="s">
        <v>16</v>
      </c>
      <c r="E320" s="5" t="str">
        <f>IF(Table13[[#This Row],[Pre or Post]]="Pre",IF(IF(Table13[[#This Row],[Response]]="Male",0,1)+IF(Table13[[#This Row],[Response]]="Female",0,1)=2,E319,Table13[[#This Row],[Response]]),"")</f>
        <v/>
      </c>
      <c r="F320" s="1">
        <v>10</v>
      </c>
      <c r="G320" s="1" t="s">
        <v>18</v>
      </c>
      <c r="H320" s="1" t="s">
        <v>8</v>
      </c>
      <c r="I32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21" spans="1:11">
      <c r="A321" s="1" t="s">
        <v>24</v>
      </c>
      <c r="B321" s="1" t="s">
        <v>23</v>
      </c>
      <c r="C321" s="1">
        <v>16</v>
      </c>
      <c r="D321" s="1" t="s">
        <v>16</v>
      </c>
      <c r="E321" s="5" t="str">
        <f>IF(Table13[[#This Row],[Pre or Post]]="Pre",IF(IF(Table13[[#This Row],[Response]]="Male",0,1)+IF(Table13[[#This Row],[Response]]="Female",0,1)=2,E320,Table13[[#This Row],[Response]]),"")</f>
        <v/>
      </c>
      <c r="F321" s="2">
        <v>11</v>
      </c>
      <c r="G321" s="1" t="s">
        <v>9</v>
      </c>
      <c r="H321" s="1" t="s">
        <v>8</v>
      </c>
      <c r="I32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3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9:30AM</v>
      </c>
      <c r="K3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Gemma</v>
      </c>
    </row>
    <row r="322" spans="1:11">
      <c r="A322" s="1" t="s">
        <v>24</v>
      </c>
      <c r="B322" s="1" t="s">
        <v>25</v>
      </c>
      <c r="C322" s="1">
        <v>1</v>
      </c>
      <c r="D322" s="1" t="s">
        <v>6</v>
      </c>
      <c r="E322" s="5" t="str">
        <f>IF(Table13[[#This Row],[Pre or Post]]="Pre",IF(IF(Table13[[#This Row],[Response]]="Male",0,1)+IF(Table13[[#This Row],[Response]]="Female",0,1)=2,E321,Table13[[#This Row],[Response]]),"")</f>
        <v>Male</v>
      </c>
      <c r="F322" s="1">
        <v>2</v>
      </c>
      <c r="G322" s="1" t="s">
        <v>7</v>
      </c>
      <c r="H322" s="1" t="s">
        <v>8</v>
      </c>
      <c r="I32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23" spans="1:11">
      <c r="A323" s="1" t="s">
        <v>24</v>
      </c>
      <c r="B323" s="1" t="s">
        <v>25</v>
      </c>
      <c r="C323" s="1">
        <v>1</v>
      </c>
      <c r="D323" s="1" t="s">
        <v>6</v>
      </c>
      <c r="E323" s="5" t="str">
        <f>IF(Table13[[#This Row],[Pre or Post]]="Pre",IF(IF(Table13[[#This Row],[Response]]="Male",0,1)+IF(Table13[[#This Row],[Response]]="Female",0,1)=2,E322,Table13[[#This Row],[Response]]),"")</f>
        <v>Male</v>
      </c>
      <c r="F323" s="1">
        <v>3</v>
      </c>
      <c r="G323" s="1" t="s">
        <v>8</v>
      </c>
      <c r="H323" s="1" t="s">
        <v>8</v>
      </c>
      <c r="I32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24" spans="1:11">
      <c r="A324" s="1" t="s">
        <v>24</v>
      </c>
      <c r="B324" s="1" t="s">
        <v>25</v>
      </c>
      <c r="C324" s="1">
        <v>1</v>
      </c>
      <c r="D324" s="1" t="s">
        <v>6</v>
      </c>
      <c r="E324" s="5" t="str">
        <f>IF(Table13[[#This Row],[Pre or Post]]="Pre",IF(IF(Table13[[#This Row],[Response]]="Male",0,1)+IF(Table13[[#This Row],[Response]]="Female",0,1)=2,E323,Table13[[#This Row],[Response]]),"")</f>
        <v>Male</v>
      </c>
      <c r="F324" s="1">
        <v>4</v>
      </c>
      <c r="G324" s="1" t="s">
        <v>9</v>
      </c>
      <c r="H324" s="1" t="s">
        <v>8</v>
      </c>
      <c r="I32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25" spans="1:11">
      <c r="A325" s="1" t="s">
        <v>24</v>
      </c>
      <c r="B325" s="1" t="s">
        <v>25</v>
      </c>
      <c r="C325" s="1">
        <v>1</v>
      </c>
      <c r="D325" s="1" t="s">
        <v>6</v>
      </c>
      <c r="E325" s="5" t="str">
        <f>IF(Table13[[#This Row],[Pre or Post]]="Pre",IF(IF(Table13[[#This Row],[Response]]="Male",0,1)+IF(Table13[[#This Row],[Response]]="Female",0,1)=2,E324,Table13[[#This Row],[Response]]),"")</f>
        <v>Male</v>
      </c>
      <c r="F325" s="1">
        <v>5</v>
      </c>
      <c r="G325" s="1" t="s">
        <v>8</v>
      </c>
      <c r="H325" s="1" t="s">
        <v>8</v>
      </c>
      <c r="I32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26" spans="1:11">
      <c r="A326" s="1" t="s">
        <v>24</v>
      </c>
      <c r="B326" s="1" t="s">
        <v>25</v>
      </c>
      <c r="C326" s="1">
        <v>1</v>
      </c>
      <c r="D326" s="1" t="s">
        <v>6</v>
      </c>
      <c r="E326" s="5" t="str">
        <f>IF(Table13[[#This Row],[Pre or Post]]="Pre",IF(IF(Table13[[#This Row],[Response]]="Male",0,1)+IF(Table13[[#This Row],[Response]]="Female",0,1)=2,E325,Table13[[#This Row],[Response]]),"")</f>
        <v>Male</v>
      </c>
      <c r="F326" s="1">
        <v>6</v>
      </c>
      <c r="G326" s="1" t="s">
        <v>8</v>
      </c>
      <c r="H326" s="1" t="s">
        <v>8</v>
      </c>
      <c r="I32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27" spans="1:11">
      <c r="A327" s="1" t="s">
        <v>24</v>
      </c>
      <c r="B327" s="1" t="s">
        <v>25</v>
      </c>
      <c r="C327" s="1">
        <v>1</v>
      </c>
      <c r="D327" s="1" t="s">
        <v>6</v>
      </c>
      <c r="E327" s="5" t="str">
        <f>IF(Table13[[#This Row],[Pre or Post]]="Pre",IF(IF(Table13[[#This Row],[Response]]="Male",0,1)+IF(Table13[[#This Row],[Response]]="Female",0,1)=2,E326,Table13[[#This Row],[Response]]),"")</f>
        <v>Male</v>
      </c>
      <c r="F327" s="1">
        <v>7</v>
      </c>
      <c r="G327" s="1" t="s">
        <v>9</v>
      </c>
      <c r="H327" s="1" t="s">
        <v>8</v>
      </c>
      <c r="I32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28" spans="1:11">
      <c r="A328" s="1" t="s">
        <v>24</v>
      </c>
      <c r="B328" s="1" t="s">
        <v>25</v>
      </c>
      <c r="C328" s="1">
        <v>1</v>
      </c>
      <c r="D328" s="1" t="s">
        <v>6</v>
      </c>
      <c r="E328" s="5" t="str">
        <f>IF(Table13[[#This Row],[Pre or Post]]="Pre",IF(IF(Table13[[#This Row],[Response]]="Male",0,1)+IF(Table13[[#This Row],[Response]]="Female",0,1)=2,E327,Table13[[#This Row],[Response]]),"")</f>
        <v>Male</v>
      </c>
      <c r="F328" s="1">
        <v>8</v>
      </c>
      <c r="G328" s="1"/>
      <c r="H328" s="1" t="s">
        <v>8</v>
      </c>
      <c r="I32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29" spans="1:11">
      <c r="A329" s="1" t="s">
        <v>24</v>
      </c>
      <c r="B329" s="1" t="s">
        <v>25</v>
      </c>
      <c r="C329" s="1">
        <v>1</v>
      </c>
      <c r="D329" s="1" t="s">
        <v>6</v>
      </c>
      <c r="E329" s="5" t="str">
        <f>IF(Table13[[#This Row],[Pre or Post]]="Pre",IF(IF(Table13[[#This Row],[Response]]="Male",0,1)+IF(Table13[[#This Row],[Response]]="Female",0,1)=2,E328,Table13[[#This Row],[Response]]),"")</f>
        <v>Male</v>
      </c>
      <c r="F329" s="1">
        <v>9</v>
      </c>
      <c r="G329" s="1">
        <v>3</v>
      </c>
      <c r="H329" s="1" t="s">
        <v>8</v>
      </c>
      <c r="I32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30" spans="1:11">
      <c r="A330" s="1" t="s">
        <v>24</v>
      </c>
      <c r="B330" s="1" t="s">
        <v>25</v>
      </c>
      <c r="C330" s="1">
        <v>1</v>
      </c>
      <c r="D330" s="1" t="s">
        <v>6</v>
      </c>
      <c r="E330" s="5" t="str">
        <f>IF(Table13[[#This Row],[Pre or Post]]="Pre",IF(IF(Table13[[#This Row],[Response]]="Male",0,1)+IF(Table13[[#This Row],[Response]]="Female",0,1)=2,E329,Table13[[#This Row],[Response]]),"")</f>
        <v>Male</v>
      </c>
      <c r="F330" s="1">
        <v>10</v>
      </c>
      <c r="G330" s="1">
        <v>4</v>
      </c>
      <c r="H330" s="1" t="s">
        <v>8</v>
      </c>
      <c r="I33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31" spans="1:11">
      <c r="A331" s="1" t="s">
        <v>24</v>
      </c>
      <c r="B331" s="1" t="s">
        <v>25</v>
      </c>
      <c r="C331" s="1">
        <v>1</v>
      </c>
      <c r="D331" s="1" t="s">
        <v>6</v>
      </c>
      <c r="E331" s="5" t="str">
        <f>IF(Table13[[#This Row],[Pre or Post]]="Pre",IF(IF(Table13[[#This Row],[Response]]="Male",0,1)+IF(Table13[[#This Row],[Response]]="Female",0,1)=2,E330,Table13[[#This Row],[Response]]),"")</f>
        <v>Male</v>
      </c>
      <c r="F331" s="1">
        <v>11</v>
      </c>
      <c r="G331" s="1">
        <v>2</v>
      </c>
      <c r="H331" s="1" t="s">
        <v>8</v>
      </c>
      <c r="I33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32" spans="1:11">
      <c r="A332" s="1" t="s">
        <v>24</v>
      </c>
      <c r="B332" s="1" t="s">
        <v>25</v>
      </c>
      <c r="C332" s="1">
        <v>2</v>
      </c>
      <c r="D332" s="1" t="s">
        <v>6</v>
      </c>
      <c r="E332" s="5" t="str">
        <f>IF(Table13[[#This Row],[Pre or Post]]="Pre",IF(IF(Table13[[#This Row],[Response]]="Male",0,1)+IF(Table13[[#This Row],[Response]]="Female",0,1)=2,E331,Table13[[#This Row],[Response]]),"")</f>
        <v>Male</v>
      </c>
      <c r="F332" s="1">
        <v>2</v>
      </c>
      <c r="G332" s="1" t="s">
        <v>7</v>
      </c>
      <c r="H332" s="1" t="s">
        <v>8</v>
      </c>
      <c r="I33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33" spans="1:11">
      <c r="A333" s="1" t="s">
        <v>24</v>
      </c>
      <c r="B333" s="1" t="s">
        <v>25</v>
      </c>
      <c r="C333" s="1">
        <v>2</v>
      </c>
      <c r="D333" s="1" t="s">
        <v>6</v>
      </c>
      <c r="E333" s="5" t="str">
        <f>IF(Table13[[#This Row],[Pre or Post]]="Pre",IF(IF(Table13[[#This Row],[Response]]="Male",0,1)+IF(Table13[[#This Row],[Response]]="Female",0,1)=2,E332,Table13[[#This Row],[Response]]),"")</f>
        <v>Male</v>
      </c>
      <c r="F333" s="1">
        <v>3</v>
      </c>
      <c r="G333" s="1" t="s">
        <v>8</v>
      </c>
      <c r="H333" s="1" t="s">
        <v>8</v>
      </c>
      <c r="I33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34" spans="1:11">
      <c r="A334" s="1" t="s">
        <v>24</v>
      </c>
      <c r="B334" s="1" t="s">
        <v>25</v>
      </c>
      <c r="C334" s="1">
        <v>2</v>
      </c>
      <c r="D334" s="1" t="s">
        <v>6</v>
      </c>
      <c r="E334" s="5" t="str">
        <f>IF(Table13[[#This Row],[Pre or Post]]="Pre",IF(IF(Table13[[#This Row],[Response]]="Male",0,1)+IF(Table13[[#This Row],[Response]]="Female",0,1)=2,E333,Table13[[#This Row],[Response]]),"")</f>
        <v>Male</v>
      </c>
      <c r="F334" s="1">
        <v>4</v>
      </c>
      <c r="G334" s="1" t="s">
        <v>9</v>
      </c>
      <c r="H334" s="1" t="s">
        <v>8</v>
      </c>
      <c r="I33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35" spans="1:11">
      <c r="A335" s="1" t="s">
        <v>24</v>
      </c>
      <c r="B335" s="1" t="s">
        <v>25</v>
      </c>
      <c r="C335" s="1">
        <v>2</v>
      </c>
      <c r="D335" s="1" t="s">
        <v>6</v>
      </c>
      <c r="E335" s="5" t="str">
        <f>IF(Table13[[#This Row],[Pre or Post]]="Pre",IF(IF(Table13[[#This Row],[Response]]="Male",0,1)+IF(Table13[[#This Row],[Response]]="Female",0,1)=2,E334,Table13[[#This Row],[Response]]),"")</f>
        <v>Male</v>
      </c>
      <c r="F335" s="1">
        <v>5</v>
      </c>
      <c r="G335" s="1" t="s">
        <v>8</v>
      </c>
      <c r="H335" s="1" t="s">
        <v>8</v>
      </c>
      <c r="I33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36" spans="1:11">
      <c r="A336" s="1" t="s">
        <v>24</v>
      </c>
      <c r="B336" s="1" t="s">
        <v>25</v>
      </c>
      <c r="C336" s="1">
        <v>2</v>
      </c>
      <c r="D336" s="1" t="s">
        <v>6</v>
      </c>
      <c r="E336" s="5" t="str">
        <f>IF(Table13[[#This Row],[Pre or Post]]="Pre",IF(IF(Table13[[#This Row],[Response]]="Male",0,1)+IF(Table13[[#This Row],[Response]]="Female",0,1)=2,E335,Table13[[#This Row],[Response]]),"")</f>
        <v>Male</v>
      </c>
      <c r="F336" s="1">
        <v>6</v>
      </c>
      <c r="G336" s="1" t="s">
        <v>8</v>
      </c>
      <c r="H336" s="1" t="s">
        <v>8</v>
      </c>
      <c r="I33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37" spans="1:11">
      <c r="A337" s="1" t="s">
        <v>24</v>
      </c>
      <c r="B337" s="1" t="s">
        <v>25</v>
      </c>
      <c r="C337" s="1">
        <v>2</v>
      </c>
      <c r="D337" s="1" t="s">
        <v>6</v>
      </c>
      <c r="E337" s="5" t="str">
        <f>IF(Table13[[#This Row],[Pre or Post]]="Pre",IF(IF(Table13[[#This Row],[Response]]="Male",0,1)+IF(Table13[[#This Row],[Response]]="Female",0,1)=2,E336,Table13[[#This Row],[Response]]),"")</f>
        <v>Male</v>
      </c>
      <c r="F337" s="1">
        <v>7</v>
      </c>
      <c r="G337" s="1" t="s">
        <v>8</v>
      </c>
      <c r="H337" s="1" t="s">
        <v>8</v>
      </c>
      <c r="I33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38" spans="1:11">
      <c r="A338" s="1" t="s">
        <v>24</v>
      </c>
      <c r="B338" s="1" t="s">
        <v>25</v>
      </c>
      <c r="C338" s="1">
        <v>2</v>
      </c>
      <c r="D338" s="1" t="s">
        <v>6</v>
      </c>
      <c r="E338" s="5" t="str">
        <f>IF(Table13[[#This Row],[Pre or Post]]="Pre",IF(IF(Table13[[#This Row],[Response]]="Male",0,1)+IF(Table13[[#This Row],[Response]]="Female",0,1)=2,E337,Table13[[#This Row],[Response]]),"")</f>
        <v>Male</v>
      </c>
      <c r="F338" s="1">
        <v>8</v>
      </c>
      <c r="G338" s="1"/>
      <c r="H338" s="1" t="s">
        <v>8</v>
      </c>
      <c r="I33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39" spans="1:11">
      <c r="A339" s="1" t="s">
        <v>24</v>
      </c>
      <c r="B339" s="1" t="s">
        <v>25</v>
      </c>
      <c r="C339" s="1">
        <v>2</v>
      </c>
      <c r="D339" s="1" t="s">
        <v>6</v>
      </c>
      <c r="E339" s="5" t="str">
        <f>IF(Table13[[#This Row],[Pre or Post]]="Pre",IF(IF(Table13[[#This Row],[Response]]="Male",0,1)+IF(Table13[[#This Row],[Response]]="Female",0,1)=2,E338,Table13[[#This Row],[Response]]),"")</f>
        <v>Male</v>
      </c>
      <c r="F339" s="1">
        <v>9</v>
      </c>
      <c r="G339" s="1">
        <v>3</v>
      </c>
      <c r="H339" s="1" t="s">
        <v>8</v>
      </c>
      <c r="I33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40" spans="1:11">
      <c r="A340" s="1" t="s">
        <v>24</v>
      </c>
      <c r="B340" s="1" t="s">
        <v>25</v>
      </c>
      <c r="C340" s="1">
        <v>2</v>
      </c>
      <c r="D340" s="1" t="s">
        <v>6</v>
      </c>
      <c r="E340" s="5" t="str">
        <f>IF(Table13[[#This Row],[Pre or Post]]="Pre",IF(IF(Table13[[#This Row],[Response]]="Male",0,1)+IF(Table13[[#This Row],[Response]]="Female",0,1)=2,E339,Table13[[#This Row],[Response]]),"")</f>
        <v>Male</v>
      </c>
      <c r="F340" s="1">
        <v>10</v>
      </c>
      <c r="G340" s="1">
        <v>2</v>
      </c>
      <c r="H340" s="1" t="s">
        <v>8</v>
      </c>
      <c r="I34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41" spans="1:11">
      <c r="A341" s="1" t="s">
        <v>24</v>
      </c>
      <c r="B341" s="1" t="s">
        <v>25</v>
      </c>
      <c r="C341" s="1">
        <v>2</v>
      </c>
      <c r="D341" s="1" t="s">
        <v>6</v>
      </c>
      <c r="E341" s="5" t="str">
        <f>IF(Table13[[#This Row],[Pre or Post]]="Pre",IF(IF(Table13[[#This Row],[Response]]="Male",0,1)+IF(Table13[[#This Row],[Response]]="Female",0,1)=2,E340,Table13[[#This Row],[Response]]),"")</f>
        <v>Male</v>
      </c>
      <c r="F341" s="1">
        <v>11</v>
      </c>
      <c r="G341" s="1">
        <v>1</v>
      </c>
      <c r="H341" s="1" t="s">
        <v>8</v>
      </c>
      <c r="I34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42" spans="1:11">
      <c r="A342" s="1" t="s">
        <v>24</v>
      </c>
      <c r="B342" s="1" t="s">
        <v>25</v>
      </c>
      <c r="C342" s="1">
        <v>3</v>
      </c>
      <c r="D342" s="1" t="s">
        <v>6</v>
      </c>
      <c r="E342" s="5" t="str">
        <f>IF(Table13[[#This Row],[Pre or Post]]="Pre",IF(IF(Table13[[#This Row],[Response]]="Male",0,1)+IF(Table13[[#This Row],[Response]]="Female",0,1)=2,E341,Table13[[#This Row],[Response]]),"")</f>
        <v>Female</v>
      </c>
      <c r="F342" s="1">
        <v>2</v>
      </c>
      <c r="G342" s="1" t="s">
        <v>13</v>
      </c>
      <c r="H342" s="1" t="s">
        <v>8</v>
      </c>
      <c r="I34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43" spans="1:11">
      <c r="A343" s="1" t="s">
        <v>24</v>
      </c>
      <c r="B343" s="1" t="s">
        <v>25</v>
      </c>
      <c r="C343" s="1">
        <v>3</v>
      </c>
      <c r="D343" s="1" t="s">
        <v>6</v>
      </c>
      <c r="E343" s="5" t="str">
        <f>IF(Table13[[#This Row],[Pre or Post]]="Pre",IF(IF(Table13[[#This Row],[Response]]="Male",0,1)+IF(Table13[[#This Row],[Response]]="Female",0,1)=2,E342,Table13[[#This Row],[Response]]),"")</f>
        <v>Female</v>
      </c>
      <c r="F343" s="1">
        <v>3</v>
      </c>
      <c r="G343" s="1" t="s">
        <v>8</v>
      </c>
      <c r="H343" s="1" t="s">
        <v>8</v>
      </c>
      <c r="I34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44" spans="1:11">
      <c r="A344" s="1" t="s">
        <v>24</v>
      </c>
      <c r="B344" s="1" t="s">
        <v>25</v>
      </c>
      <c r="C344" s="1">
        <v>3</v>
      </c>
      <c r="D344" s="1" t="s">
        <v>6</v>
      </c>
      <c r="E344" s="5" t="str">
        <f>IF(Table13[[#This Row],[Pre or Post]]="Pre",IF(IF(Table13[[#This Row],[Response]]="Male",0,1)+IF(Table13[[#This Row],[Response]]="Female",0,1)=2,E343,Table13[[#This Row],[Response]]),"")</f>
        <v>Female</v>
      </c>
      <c r="F344" s="1">
        <v>4</v>
      </c>
      <c r="G344" s="1" t="s">
        <v>8</v>
      </c>
      <c r="H344" s="1" t="s">
        <v>8</v>
      </c>
      <c r="I34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45" spans="1:11">
      <c r="A345" s="1" t="s">
        <v>24</v>
      </c>
      <c r="B345" s="1" t="s">
        <v>25</v>
      </c>
      <c r="C345" s="1">
        <v>3</v>
      </c>
      <c r="D345" s="1" t="s">
        <v>6</v>
      </c>
      <c r="E345" s="5" t="str">
        <f>IF(Table13[[#This Row],[Pre or Post]]="Pre",IF(IF(Table13[[#This Row],[Response]]="Male",0,1)+IF(Table13[[#This Row],[Response]]="Female",0,1)=2,E344,Table13[[#This Row],[Response]]),"")</f>
        <v>Female</v>
      </c>
      <c r="F345" s="1">
        <v>5</v>
      </c>
      <c r="G345" s="1" t="s">
        <v>8</v>
      </c>
      <c r="H345" s="1" t="s">
        <v>8</v>
      </c>
      <c r="I34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46" spans="1:11">
      <c r="A346" s="1" t="s">
        <v>24</v>
      </c>
      <c r="B346" s="1" t="s">
        <v>25</v>
      </c>
      <c r="C346" s="1">
        <v>3</v>
      </c>
      <c r="D346" s="1" t="s">
        <v>6</v>
      </c>
      <c r="E346" s="5" t="str">
        <f>IF(Table13[[#This Row],[Pre or Post]]="Pre",IF(IF(Table13[[#This Row],[Response]]="Male",0,1)+IF(Table13[[#This Row],[Response]]="Female",0,1)=2,E345,Table13[[#This Row],[Response]]),"")</f>
        <v>Female</v>
      </c>
      <c r="F346" s="1">
        <v>6</v>
      </c>
      <c r="G346" s="1" t="s">
        <v>8</v>
      </c>
      <c r="H346" s="1" t="s">
        <v>8</v>
      </c>
      <c r="I34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47" spans="1:11">
      <c r="A347" s="1" t="s">
        <v>24</v>
      </c>
      <c r="B347" s="1" t="s">
        <v>25</v>
      </c>
      <c r="C347" s="1">
        <v>3</v>
      </c>
      <c r="D347" s="1" t="s">
        <v>6</v>
      </c>
      <c r="E347" s="5" t="str">
        <f>IF(Table13[[#This Row],[Pre or Post]]="Pre",IF(IF(Table13[[#This Row],[Response]]="Male",0,1)+IF(Table13[[#This Row],[Response]]="Female",0,1)=2,E346,Table13[[#This Row],[Response]]),"")</f>
        <v>Female</v>
      </c>
      <c r="F347" s="1">
        <v>7</v>
      </c>
      <c r="G347" s="1" t="s">
        <v>8</v>
      </c>
      <c r="H347" s="1" t="s">
        <v>8</v>
      </c>
      <c r="I34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48" spans="1:11">
      <c r="A348" s="1" t="s">
        <v>24</v>
      </c>
      <c r="B348" s="1" t="s">
        <v>25</v>
      </c>
      <c r="C348" s="1">
        <v>3</v>
      </c>
      <c r="D348" s="1" t="s">
        <v>6</v>
      </c>
      <c r="E348" s="5" t="str">
        <f>IF(Table13[[#This Row],[Pre or Post]]="Pre",IF(IF(Table13[[#This Row],[Response]]="Male",0,1)+IF(Table13[[#This Row],[Response]]="Female",0,1)=2,E347,Table13[[#This Row],[Response]]),"")</f>
        <v>Female</v>
      </c>
      <c r="F348" s="1">
        <v>8</v>
      </c>
      <c r="G348" s="1"/>
      <c r="H348" s="1" t="s">
        <v>8</v>
      </c>
      <c r="I34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49" spans="1:11">
      <c r="A349" s="1" t="s">
        <v>24</v>
      </c>
      <c r="B349" s="1" t="s">
        <v>25</v>
      </c>
      <c r="C349" s="1">
        <v>3</v>
      </c>
      <c r="D349" s="1" t="s">
        <v>6</v>
      </c>
      <c r="E349" s="5" t="str">
        <f>IF(Table13[[#This Row],[Pre or Post]]="Pre",IF(IF(Table13[[#This Row],[Response]]="Male",0,1)+IF(Table13[[#This Row],[Response]]="Female",0,1)=2,E348,Table13[[#This Row],[Response]]),"")</f>
        <v>Female</v>
      </c>
      <c r="F349" s="1">
        <v>9</v>
      </c>
      <c r="G349" s="1">
        <v>3</v>
      </c>
      <c r="H349" s="1" t="s">
        <v>8</v>
      </c>
      <c r="I34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50" spans="1:11">
      <c r="A350" s="1" t="s">
        <v>24</v>
      </c>
      <c r="B350" s="1" t="s">
        <v>25</v>
      </c>
      <c r="C350" s="1">
        <v>3</v>
      </c>
      <c r="D350" s="1" t="s">
        <v>6</v>
      </c>
      <c r="E350" s="5" t="str">
        <f>IF(Table13[[#This Row],[Pre or Post]]="Pre",IF(IF(Table13[[#This Row],[Response]]="Male",0,1)+IF(Table13[[#This Row],[Response]]="Female",0,1)=2,E349,Table13[[#This Row],[Response]]),"")</f>
        <v>Female</v>
      </c>
      <c r="F350" s="1">
        <v>10</v>
      </c>
      <c r="G350" s="1">
        <v>3</v>
      </c>
      <c r="H350" s="1" t="s">
        <v>8</v>
      </c>
      <c r="I35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51" spans="1:11">
      <c r="A351" s="1" t="s">
        <v>24</v>
      </c>
      <c r="B351" s="1" t="s">
        <v>25</v>
      </c>
      <c r="C351" s="1">
        <v>3</v>
      </c>
      <c r="D351" s="1" t="s">
        <v>6</v>
      </c>
      <c r="E351" s="5" t="str">
        <f>IF(Table13[[#This Row],[Pre or Post]]="Pre",IF(IF(Table13[[#This Row],[Response]]="Male",0,1)+IF(Table13[[#This Row],[Response]]="Female",0,1)=2,E350,Table13[[#This Row],[Response]]),"")</f>
        <v>Female</v>
      </c>
      <c r="F351" s="1">
        <v>11</v>
      </c>
      <c r="G351" s="1">
        <v>4</v>
      </c>
      <c r="H351" s="1" t="s">
        <v>8</v>
      </c>
      <c r="I35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52" spans="1:11">
      <c r="A352" s="1" t="s">
        <v>24</v>
      </c>
      <c r="B352" s="1" t="s">
        <v>25</v>
      </c>
      <c r="C352" s="1">
        <v>4</v>
      </c>
      <c r="D352" s="1" t="s">
        <v>6</v>
      </c>
      <c r="E352" s="5" t="str">
        <f>IF(Table13[[#This Row],[Pre or Post]]="Pre",IF(IF(Table13[[#This Row],[Response]]="Male",0,1)+IF(Table13[[#This Row],[Response]]="Female",0,1)=2,E351,Table13[[#This Row],[Response]]),"")</f>
        <v>Male</v>
      </c>
      <c r="F352" s="1">
        <v>2</v>
      </c>
      <c r="G352" s="2" t="s">
        <v>7</v>
      </c>
      <c r="H352" s="1" t="s">
        <v>8</v>
      </c>
      <c r="I35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53" spans="1:11">
      <c r="A353" s="1" t="s">
        <v>24</v>
      </c>
      <c r="B353" s="1" t="s">
        <v>25</v>
      </c>
      <c r="C353" s="1">
        <v>4</v>
      </c>
      <c r="D353" s="1" t="s">
        <v>6</v>
      </c>
      <c r="E353" s="5" t="str">
        <f>IF(Table13[[#This Row],[Pre or Post]]="Pre",IF(IF(Table13[[#This Row],[Response]]="Male",0,1)+IF(Table13[[#This Row],[Response]]="Female",0,1)=2,E352,Table13[[#This Row],[Response]]),"")</f>
        <v>Male</v>
      </c>
      <c r="F353" s="1">
        <v>3</v>
      </c>
      <c r="G353" s="1" t="s">
        <v>9</v>
      </c>
      <c r="H353" s="1" t="s">
        <v>8</v>
      </c>
      <c r="I35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54" spans="1:11">
      <c r="A354" s="1" t="s">
        <v>24</v>
      </c>
      <c r="B354" s="1" t="s">
        <v>25</v>
      </c>
      <c r="C354" s="1">
        <v>4</v>
      </c>
      <c r="D354" s="1" t="s">
        <v>6</v>
      </c>
      <c r="E354" s="5" t="str">
        <f>IF(Table13[[#This Row],[Pre or Post]]="Pre",IF(IF(Table13[[#This Row],[Response]]="Male",0,1)+IF(Table13[[#This Row],[Response]]="Female",0,1)=2,E353,Table13[[#This Row],[Response]]),"")</f>
        <v>Male</v>
      </c>
      <c r="F354" s="1">
        <v>4</v>
      </c>
      <c r="G354" s="1" t="s">
        <v>8</v>
      </c>
      <c r="H354" s="1" t="s">
        <v>8</v>
      </c>
      <c r="I35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55" spans="1:11">
      <c r="A355" s="1" t="s">
        <v>24</v>
      </c>
      <c r="B355" s="1" t="s">
        <v>25</v>
      </c>
      <c r="C355" s="1">
        <v>4</v>
      </c>
      <c r="D355" s="1" t="s">
        <v>6</v>
      </c>
      <c r="E355" s="5" t="str">
        <f>IF(Table13[[#This Row],[Pre or Post]]="Pre",IF(IF(Table13[[#This Row],[Response]]="Male",0,1)+IF(Table13[[#This Row],[Response]]="Female",0,1)=2,E354,Table13[[#This Row],[Response]]),"")</f>
        <v>Male</v>
      </c>
      <c r="F355" s="1">
        <v>5</v>
      </c>
      <c r="G355" s="1" t="s">
        <v>8</v>
      </c>
      <c r="H355" s="1" t="s">
        <v>8</v>
      </c>
      <c r="I35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56" spans="1:11">
      <c r="A356" s="1" t="s">
        <v>24</v>
      </c>
      <c r="B356" s="1" t="s">
        <v>25</v>
      </c>
      <c r="C356" s="1">
        <v>4</v>
      </c>
      <c r="D356" s="1" t="s">
        <v>6</v>
      </c>
      <c r="E356" s="5" t="str">
        <f>IF(Table13[[#This Row],[Pre or Post]]="Pre",IF(IF(Table13[[#This Row],[Response]]="Male",0,1)+IF(Table13[[#This Row],[Response]]="Female",0,1)=2,E355,Table13[[#This Row],[Response]]),"")</f>
        <v>Male</v>
      </c>
      <c r="F356" s="1">
        <v>6</v>
      </c>
      <c r="G356" s="1" t="s">
        <v>8</v>
      </c>
      <c r="H356" s="1" t="s">
        <v>8</v>
      </c>
      <c r="I35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57" spans="1:11">
      <c r="A357" s="1" t="s">
        <v>24</v>
      </c>
      <c r="B357" s="1" t="s">
        <v>25</v>
      </c>
      <c r="C357" s="1">
        <v>4</v>
      </c>
      <c r="D357" s="1" t="s">
        <v>6</v>
      </c>
      <c r="E357" s="5" t="str">
        <f>IF(Table13[[#This Row],[Pre or Post]]="Pre",IF(IF(Table13[[#This Row],[Response]]="Male",0,1)+IF(Table13[[#This Row],[Response]]="Female",0,1)=2,E356,Table13[[#This Row],[Response]]),"")</f>
        <v>Male</v>
      </c>
      <c r="F357" s="1">
        <v>7</v>
      </c>
      <c r="G357" s="1" t="s">
        <v>9</v>
      </c>
      <c r="H357" s="1" t="s">
        <v>8</v>
      </c>
      <c r="I35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58" spans="1:11">
      <c r="A358" s="1" t="s">
        <v>24</v>
      </c>
      <c r="B358" s="1" t="s">
        <v>25</v>
      </c>
      <c r="C358" s="1">
        <v>4</v>
      </c>
      <c r="D358" s="1" t="s">
        <v>6</v>
      </c>
      <c r="E358" s="5" t="str">
        <f>IF(Table13[[#This Row],[Pre or Post]]="Pre",IF(IF(Table13[[#This Row],[Response]]="Male",0,1)+IF(Table13[[#This Row],[Response]]="Female",0,1)=2,E357,Table13[[#This Row],[Response]]),"")</f>
        <v>Male</v>
      </c>
      <c r="F358" s="1">
        <v>8</v>
      </c>
      <c r="G358" s="1"/>
      <c r="H358" s="1" t="s">
        <v>8</v>
      </c>
      <c r="I35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59" spans="1:11">
      <c r="A359" s="1" t="s">
        <v>24</v>
      </c>
      <c r="B359" s="1" t="s">
        <v>25</v>
      </c>
      <c r="C359" s="1">
        <v>4</v>
      </c>
      <c r="D359" s="1" t="s">
        <v>6</v>
      </c>
      <c r="E359" s="5" t="str">
        <f>IF(Table13[[#This Row],[Pre or Post]]="Pre",IF(IF(Table13[[#This Row],[Response]]="Male",0,1)+IF(Table13[[#This Row],[Response]]="Female",0,1)=2,E358,Table13[[#This Row],[Response]]),"")</f>
        <v>Male</v>
      </c>
      <c r="F359" s="1">
        <v>9</v>
      </c>
      <c r="G359" s="1">
        <v>3</v>
      </c>
      <c r="H359" s="1" t="s">
        <v>8</v>
      </c>
      <c r="I35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60" spans="1:11">
      <c r="A360" s="1" t="s">
        <v>24</v>
      </c>
      <c r="B360" s="1" t="s">
        <v>25</v>
      </c>
      <c r="C360" s="1">
        <v>4</v>
      </c>
      <c r="D360" s="1" t="s">
        <v>6</v>
      </c>
      <c r="E360" s="5" t="str">
        <f>IF(Table13[[#This Row],[Pre or Post]]="Pre",IF(IF(Table13[[#This Row],[Response]]="Male",0,1)+IF(Table13[[#This Row],[Response]]="Female",0,1)=2,E359,Table13[[#This Row],[Response]]),"")</f>
        <v>Male</v>
      </c>
      <c r="F360" s="1">
        <v>10</v>
      </c>
      <c r="G360" s="1">
        <v>2</v>
      </c>
      <c r="H360" s="1" t="s">
        <v>8</v>
      </c>
      <c r="I36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61" spans="1:11">
      <c r="A361" s="1" t="s">
        <v>24</v>
      </c>
      <c r="B361" s="1" t="s">
        <v>25</v>
      </c>
      <c r="C361" s="1">
        <v>4</v>
      </c>
      <c r="D361" s="1" t="s">
        <v>6</v>
      </c>
      <c r="E361" s="5" t="str">
        <f>IF(Table13[[#This Row],[Pre or Post]]="Pre",IF(IF(Table13[[#This Row],[Response]]="Male",0,1)+IF(Table13[[#This Row],[Response]]="Female",0,1)=2,E360,Table13[[#This Row],[Response]]),"")</f>
        <v>Male</v>
      </c>
      <c r="F361" s="1">
        <v>11</v>
      </c>
      <c r="G361" s="1">
        <v>1</v>
      </c>
      <c r="H361" s="1" t="s">
        <v>8</v>
      </c>
      <c r="I36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62" spans="1:11">
      <c r="A362" s="1" t="s">
        <v>24</v>
      </c>
      <c r="B362" s="1" t="s">
        <v>25</v>
      </c>
      <c r="C362" s="1">
        <v>5</v>
      </c>
      <c r="D362" s="1" t="s">
        <v>6</v>
      </c>
      <c r="E362" s="5" t="str">
        <f>IF(Table13[[#This Row],[Pre or Post]]="Pre",IF(IF(Table13[[#This Row],[Response]]="Male",0,1)+IF(Table13[[#This Row],[Response]]="Female",0,1)=2,E361,Table13[[#This Row],[Response]]),"")</f>
        <v>Male</v>
      </c>
      <c r="F362" s="1">
        <v>2</v>
      </c>
      <c r="G362" s="1" t="s">
        <v>7</v>
      </c>
      <c r="H362" s="1" t="s">
        <v>8</v>
      </c>
      <c r="I36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63" spans="1:11">
      <c r="A363" s="1" t="s">
        <v>24</v>
      </c>
      <c r="B363" s="1" t="s">
        <v>25</v>
      </c>
      <c r="C363" s="1">
        <v>5</v>
      </c>
      <c r="D363" s="1" t="s">
        <v>6</v>
      </c>
      <c r="E363" s="5" t="str">
        <f>IF(Table13[[#This Row],[Pre or Post]]="Pre",IF(IF(Table13[[#This Row],[Response]]="Male",0,1)+IF(Table13[[#This Row],[Response]]="Female",0,1)=2,E362,Table13[[#This Row],[Response]]),"")</f>
        <v>Male</v>
      </c>
      <c r="F363" s="1">
        <v>3</v>
      </c>
      <c r="G363" s="1" t="s">
        <v>9</v>
      </c>
      <c r="H363" s="1" t="s">
        <v>8</v>
      </c>
      <c r="I36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64" spans="1:11">
      <c r="A364" s="1" t="s">
        <v>24</v>
      </c>
      <c r="B364" s="1" t="s">
        <v>25</v>
      </c>
      <c r="C364" s="1">
        <v>5</v>
      </c>
      <c r="D364" s="1" t="s">
        <v>6</v>
      </c>
      <c r="E364" s="5" t="str">
        <f>IF(Table13[[#This Row],[Pre or Post]]="Pre",IF(IF(Table13[[#This Row],[Response]]="Male",0,1)+IF(Table13[[#This Row],[Response]]="Female",0,1)=2,E363,Table13[[#This Row],[Response]]),"")</f>
        <v>Male</v>
      </c>
      <c r="F364" s="1">
        <v>4</v>
      </c>
      <c r="G364" s="1" t="s">
        <v>8</v>
      </c>
      <c r="H364" s="1" t="s">
        <v>8</v>
      </c>
      <c r="I36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65" spans="1:11">
      <c r="A365" s="1" t="s">
        <v>24</v>
      </c>
      <c r="B365" s="1" t="s">
        <v>25</v>
      </c>
      <c r="C365" s="1">
        <v>5</v>
      </c>
      <c r="D365" s="1" t="s">
        <v>6</v>
      </c>
      <c r="E365" s="5" t="str">
        <f>IF(Table13[[#This Row],[Pre or Post]]="Pre",IF(IF(Table13[[#This Row],[Response]]="Male",0,1)+IF(Table13[[#This Row],[Response]]="Female",0,1)=2,E364,Table13[[#This Row],[Response]]),"")</f>
        <v>Male</v>
      </c>
      <c r="F365" s="1">
        <v>5</v>
      </c>
      <c r="G365" s="1" t="s">
        <v>8</v>
      </c>
      <c r="H365" s="1" t="s">
        <v>8</v>
      </c>
      <c r="I36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66" spans="1:11">
      <c r="A366" s="1" t="s">
        <v>24</v>
      </c>
      <c r="B366" s="1" t="s">
        <v>25</v>
      </c>
      <c r="C366" s="1">
        <v>5</v>
      </c>
      <c r="D366" s="1" t="s">
        <v>6</v>
      </c>
      <c r="E366" s="5" t="str">
        <f>IF(Table13[[#This Row],[Pre or Post]]="Pre",IF(IF(Table13[[#This Row],[Response]]="Male",0,1)+IF(Table13[[#This Row],[Response]]="Female",0,1)=2,E365,Table13[[#This Row],[Response]]),"")</f>
        <v>Male</v>
      </c>
      <c r="F366" s="1">
        <v>6</v>
      </c>
      <c r="G366" s="1" t="s">
        <v>8</v>
      </c>
      <c r="H366" s="1" t="s">
        <v>8</v>
      </c>
      <c r="I36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67" spans="1:11">
      <c r="A367" s="1" t="s">
        <v>24</v>
      </c>
      <c r="B367" s="1" t="s">
        <v>25</v>
      </c>
      <c r="C367" s="1">
        <v>5</v>
      </c>
      <c r="D367" s="1" t="s">
        <v>6</v>
      </c>
      <c r="E367" s="5" t="str">
        <f>IF(Table13[[#This Row],[Pre or Post]]="Pre",IF(IF(Table13[[#This Row],[Response]]="Male",0,1)+IF(Table13[[#This Row],[Response]]="Female",0,1)=2,E366,Table13[[#This Row],[Response]]),"")</f>
        <v>Male</v>
      </c>
      <c r="F367" s="1">
        <v>7</v>
      </c>
      <c r="G367" s="1" t="s">
        <v>9</v>
      </c>
      <c r="H367" s="1" t="s">
        <v>8</v>
      </c>
      <c r="I36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68" spans="1:11">
      <c r="A368" s="1" t="s">
        <v>24</v>
      </c>
      <c r="B368" s="1" t="s">
        <v>25</v>
      </c>
      <c r="C368" s="1">
        <v>5</v>
      </c>
      <c r="D368" s="1" t="s">
        <v>6</v>
      </c>
      <c r="E368" s="5" t="str">
        <f>IF(Table13[[#This Row],[Pre or Post]]="Pre",IF(IF(Table13[[#This Row],[Response]]="Male",0,1)+IF(Table13[[#This Row],[Response]]="Female",0,1)=2,E367,Table13[[#This Row],[Response]]),"")</f>
        <v>Male</v>
      </c>
      <c r="F368" s="1">
        <v>8</v>
      </c>
      <c r="G368" s="1"/>
      <c r="H368" s="1" t="s">
        <v>8</v>
      </c>
      <c r="I36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69" spans="1:11">
      <c r="A369" s="1" t="s">
        <v>24</v>
      </c>
      <c r="B369" s="1" t="s">
        <v>25</v>
      </c>
      <c r="C369" s="1">
        <v>5</v>
      </c>
      <c r="D369" s="1" t="s">
        <v>6</v>
      </c>
      <c r="E369" s="5" t="str">
        <f>IF(Table13[[#This Row],[Pre or Post]]="Pre",IF(IF(Table13[[#This Row],[Response]]="Male",0,1)+IF(Table13[[#This Row],[Response]]="Female",0,1)=2,E368,Table13[[#This Row],[Response]]),"")</f>
        <v>Male</v>
      </c>
      <c r="F369" s="1">
        <v>9</v>
      </c>
      <c r="G369" s="1">
        <v>3</v>
      </c>
      <c r="H369" s="1" t="s">
        <v>8</v>
      </c>
      <c r="I36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70" spans="1:11">
      <c r="A370" s="1" t="s">
        <v>24</v>
      </c>
      <c r="B370" s="1" t="s">
        <v>25</v>
      </c>
      <c r="C370" s="1">
        <v>5</v>
      </c>
      <c r="D370" s="1" t="s">
        <v>6</v>
      </c>
      <c r="E370" s="5" t="str">
        <f>IF(Table13[[#This Row],[Pre or Post]]="Pre",IF(IF(Table13[[#This Row],[Response]]="Male",0,1)+IF(Table13[[#This Row],[Response]]="Female",0,1)=2,E369,Table13[[#This Row],[Response]]),"")</f>
        <v>Male</v>
      </c>
      <c r="F370" s="1">
        <v>10</v>
      </c>
      <c r="G370" s="1">
        <v>2</v>
      </c>
      <c r="H370" s="1" t="s">
        <v>8</v>
      </c>
      <c r="I37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71" spans="1:11">
      <c r="A371" s="1" t="s">
        <v>24</v>
      </c>
      <c r="B371" s="1" t="s">
        <v>25</v>
      </c>
      <c r="C371" s="1">
        <v>5</v>
      </c>
      <c r="D371" s="1" t="s">
        <v>6</v>
      </c>
      <c r="E371" s="5" t="str">
        <f>IF(Table13[[#This Row],[Pre or Post]]="Pre",IF(IF(Table13[[#This Row],[Response]]="Male",0,1)+IF(Table13[[#This Row],[Response]]="Female",0,1)=2,E370,Table13[[#This Row],[Response]]),"")</f>
        <v>Male</v>
      </c>
      <c r="F371" s="1">
        <v>11</v>
      </c>
      <c r="G371" s="1">
        <v>1</v>
      </c>
      <c r="H371" s="1" t="s">
        <v>8</v>
      </c>
      <c r="I37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72" spans="1:11">
      <c r="A372" s="1" t="s">
        <v>24</v>
      </c>
      <c r="B372" s="1" t="s">
        <v>25</v>
      </c>
      <c r="C372" s="1">
        <v>6</v>
      </c>
      <c r="D372" s="1" t="s">
        <v>6</v>
      </c>
      <c r="E372" s="5" t="str">
        <f>IF(Table13[[#This Row],[Pre or Post]]="Pre",IF(IF(Table13[[#This Row],[Response]]="Male",0,1)+IF(Table13[[#This Row],[Response]]="Female",0,1)=2,E371,Table13[[#This Row],[Response]]),"")</f>
        <v>Female</v>
      </c>
      <c r="F372" s="1">
        <v>2</v>
      </c>
      <c r="G372" s="1" t="s">
        <v>13</v>
      </c>
      <c r="H372" s="1" t="s">
        <v>8</v>
      </c>
      <c r="I37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73" spans="1:11">
      <c r="A373" s="1" t="s">
        <v>24</v>
      </c>
      <c r="B373" s="1" t="s">
        <v>25</v>
      </c>
      <c r="C373" s="1">
        <v>6</v>
      </c>
      <c r="D373" s="1" t="s">
        <v>6</v>
      </c>
      <c r="E373" s="5" t="str">
        <f>IF(Table13[[#This Row],[Pre or Post]]="Pre",IF(IF(Table13[[#This Row],[Response]]="Male",0,1)+IF(Table13[[#This Row],[Response]]="Female",0,1)=2,E372,Table13[[#This Row],[Response]]),"")</f>
        <v>Female</v>
      </c>
      <c r="F373" s="1">
        <v>3</v>
      </c>
      <c r="G373" s="1" t="s">
        <v>8</v>
      </c>
      <c r="H373" s="1" t="s">
        <v>8</v>
      </c>
      <c r="I37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74" spans="1:11">
      <c r="A374" s="1" t="s">
        <v>24</v>
      </c>
      <c r="B374" s="1" t="s">
        <v>25</v>
      </c>
      <c r="C374" s="1">
        <v>6</v>
      </c>
      <c r="D374" s="1" t="s">
        <v>6</v>
      </c>
      <c r="E374" s="5" t="str">
        <f>IF(Table13[[#This Row],[Pre or Post]]="Pre",IF(IF(Table13[[#This Row],[Response]]="Male",0,1)+IF(Table13[[#This Row],[Response]]="Female",0,1)=2,E373,Table13[[#This Row],[Response]]),"")</f>
        <v>Female</v>
      </c>
      <c r="F374" s="1">
        <v>4</v>
      </c>
      <c r="G374" s="1" t="s">
        <v>9</v>
      </c>
      <c r="H374" s="1" t="s">
        <v>8</v>
      </c>
      <c r="I37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75" spans="1:11">
      <c r="A375" s="1" t="s">
        <v>24</v>
      </c>
      <c r="B375" s="1" t="s">
        <v>25</v>
      </c>
      <c r="C375" s="1">
        <v>6</v>
      </c>
      <c r="D375" s="1" t="s">
        <v>6</v>
      </c>
      <c r="E375" s="5" t="str">
        <f>IF(Table13[[#This Row],[Pre or Post]]="Pre",IF(IF(Table13[[#This Row],[Response]]="Male",0,1)+IF(Table13[[#This Row],[Response]]="Female",0,1)=2,E374,Table13[[#This Row],[Response]]),"")</f>
        <v>Female</v>
      </c>
      <c r="F375" s="1">
        <v>5</v>
      </c>
      <c r="G375" s="1" t="s">
        <v>8</v>
      </c>
      <c r="H375" s="1" t="s">
        <v>8</v>
      </c>
      <c r="I37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76" spans="1:11">
      <c r="A376" s="1" t="s">
        <v>24</v>
      </c>
      <c r="B376" s="1" t="s">
        <v>25</v>
      </c>
      <c r="C376" s="1">
        <v>6</v>
      </c>
      <c r="D376" s="1" t="s">
        <v>6</v>
      </c>
      <c r="E376" s="5" t="str">
        <f>IF(Table13[[#This Row],[Pre or Post]]="Pre",IF(IF(Table13[[#This Row],[Response]]="Male",0,1)+IF(Table13[[#This Row],[Response]]="Female",0,1)=2,E375,Table13[[#This Row],[Response]]),"")</f>
        <v>Female</v>
      </c>
      <c r="F376" s="1">
        <v>6</v>
      </c>
      <c r="G376" s="1" t="s">
        <v>8</v>
      </c>
      <c r="H376" s="1" t="s">
        <v>8</v>
      </c>
      <c r="I37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77" spans="1:11">
      <c r="A377" s="1" t="s">
        <v>24</v>
      </c>
      <c r="B377" s="1" t="s">
        <v>25</v>
      </c>
      <c r="C377" s="1">
        <v>6</v>
      </c>
      <c r="D377" s="1" t="s">
        <v>6</v>
      </c>
      <c r="E377" s="5" t="str">
        <f>IF(Table13[[#This Row],[Pre or Post]]="Pre",IF(IF(Table13[[#This Row],[Response]]="Male",0,1)+IF(Table13[[#This Row],[Response]]="Female",0,1)=2,E376,Table13[[#This Row],[Response]]),"")</f>
        <v>Female</v>
      </c>
      <c r="F377" s="1">
        <v>7</v>
      </c>
      <c r="G377" s="1" t="s">
        <v>9</v>
      </c>
      <c r="H377" s="1" t="s">
        <v>8</v>
      </c>
      <c r="I37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78" spans="1:11">
      <c r="A378" s="1" t="s">
        <v>24</v>
      </c>
      <c r="B378" s="1" t="s">
        <v>25</v>
      </c>
      <c r="C378" s="1">
        <v>6</v>
      </c>
      <c r="D378" s="1" t="s">
        <v>6</v>
      </c>
      <c r="E378" s="5" t="str">
        <f>IF(Table13[[#This Row],[Pre or Post]]="Pre",IF(IF(Table13[[#This Row],[Response]]="Male",0,1)+IF(Table13[[#This Row],[Response]]="Female",0,1)=2,E377,Table13[[#This Row],[Response]]),"")</f>
        <v>Female</v>
      </c>
      <c r="F378" s="1">
        <v>8</v>
      </c>
      <c r="G378" s="1"/>
      <c r="H378" s="1" t="s">
        <v>8</v>
      </c>
      <c r="I37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79" spans="1:11">
      <c r="A379" s="1" t="s">
        <v>24</v>
      </c>
      <c r="B379" s="1" t="s">
        <v>25</v>
      </c>
      <c r="C379" s="1">
        <v>6</v>
      </c>
      <c r="D379" s="1" t="s">
        <v>6</v>
      </c>
      <c r="E379" s="5" t="str">
        <f>IF(Table13[[#This Row],[Pre or Post]]="Pre",IF(IF(Table13[[#This Row],[Response]]="Male",0,1)+IF(Table13[[#This Row],[Response]]="Female",0,1)=2,E378,Table13[[#This Row],[Response]]),"")</f>
        <v>Female</v>
      </c>
      <c r="F379" s="1">
        <v>9</v>
      </c>
      <c r="G379" s="1">
        <v>3</v>
      </c>
      <c r="H379" s="1" t="s">
        <v>8</v>
      </c>
      <c r="I37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80" spans="1:11">
      <c r="A380" s="1" t="s">
        <v>24</v>
      </c>
      <c r="B380" s="1" t="s">
        <v>25</v>
      </c>
      <c r="C380" s="1">
        <v>6</v>
      </c>
      <c r="D380" s="1" t="s">
        <v>6</v>
      </c>
      <c r="E380" s="5" t="str">
        <f>IF(Table13[[#This Row],[Pre or Post]]="Pre",IF(IF(Table13[[#This Row],[Response]]="Male",0,1)+IF(Table13[[#This Row],[Response]]="Female",0,1)=2,E379,Table13[[#This Row],[Response]]),"")</f>
        <v>Female</v>
      </c>
      <c r="F380" s="1">
        <v>10</v>
      </c>
      <c r="G380" s="1">
        <v>4</v>
      </c>
      <c r="H380" s="1" t="s">
        <v>8</v>
      </c>
      <c r="I38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81" spans="1:11">
      <c r="A381" s="1" t="s">
        <v>24</v>
      </c>
      <c r="B381" s="1" t="s">
        <v>25</v>
      </c>
      <c r="C381" s="1">
        <v>6</v>
      </c>
      <c r="D381" s="1" t="s">
        <v>6</v>
      </c>
      <c r="E381" s="5" t="str">
        <f>IF(Table13[[#This Row],[Pre or Post]]="Pre",IF(IF(Table13[[#This Row],[Response]]="Male",0,1)+IF(Table13[[#This Row],[Response]]="Female",0,1)=2,E380,Table13[[#This Row],[Response]]),"")</f>
        <v>Female</v>
      </c>
      <c r="F381" s="1">
        <v>11</v>
      </c>
      <c r="G381" s="1">
        <v>2</v>
      </c>
      <c r="H381" s="1" t="s">
        <v>8</v>
      </c>
      <c r="I38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82" spans="1:11">
      <c r="A382" s="1" t="s">
        <v>24</v>
      </c>
      <c r="B382" s="1" t="s">
        <v>25</v>
      </c>
      <c r="C382" s="1">
        <v>7</v>
      </c>
      <c r="D382" s="1" t="s">
        <v>6</v>
      </c>
      <c r="E382" s="5" t="str">
        <f>IF(Table13[[#This Row],[Pre or Post]]="Pre",IF(IF(Table13[[#This Row],[Response]]="Male",0,1)+IF(Table13[[#This Row],[Response]]="Female",0,1)=2,E381,Table13[[#This Row],[Response]]),"")</f>
        <v>Male</v>
      </c>
      <c r="F382" s="1">
        <v>2</v>
      </c>
      <c r="G382" s="1" t="s">
        <v>7</v>
      </c>
      <c r="H382" s="1" t="s">
        <v>8</v>
      </c>
      <c r="I38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83" spans="1:11">
      <c r="A383" s="1" t="s">
        <v>24</v>
      </c>
      <c r="B383" s="1" t="s">
        <v>25</v>
      </c>
      <c r="C383" s="1">
        <v>7</v>
      </c>
      <c r="D383" s="1" t="s">
        <v>6</v>
      </c>
      <c r="E383" s="5" t="str">
        <f>IF(Table13[[#This Row],[Pre or Post]]="Pre",IF(IF(Table13[[#This Row],[Response]]="Male",0,1)+IF(Table13[[#This Row],[Response]]="Female",0,1)=2,E382,Table13[[#This Row],[Response]]),"")</f>
        <v>Male</v>
      </c>
      <c r="F383" s="1">
        <v>3</v>
      </c>
      <c r="G383" s="1" t="s">
        <v>8</v>
      </c>
      <c r="H383" s="1" t="s">
        <v>8</v>
      </c>
      <c r="I38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84" spans="1:11">
      <c r="A384" s="1" t="s">
        <v>24</v>
      </c>
      <c r="B384" s="1" t="s">
        <v>25</v>
      </c>
      <c r="C384" s="1">
        <v>7</v>
      </c>
      <c r="D384" s="1" t="s">
        <v>6</v>
      </c>
      <c r="E384" s="5" t="str">
        <f>IF(Table13[[#This Row],[Pre or Post]]="Pre",IF(IF(Table13[[#This Row],[Response]]="Male",0,1)+IF(Table13[[#This Row],[Response]]="Female",0,1)=2,E383,Table13[[#This Row],[Response]]),"")</f>
        <v>Male</v>
      </c>
      <c r="F384" s="1">
        <v>4</v>
      </c>
      <c r="G384" s="1" t="s">
        <v>9</v>
      </c>
      <c r="H384" s="1" t="s">
        <v>8</v>
      </c>
      <c r="I38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85" spans="1:11">
      <c r="A385" s="1" t="s">
        <v>24</v>
      </c>
      <c r="B385" s="1" t="s">
        <v>25</v>
      </c>
      <c r="C385" s="1">
        <v>7</v>
      </c>
      <c r="D385" s="1" t="s">
        <v>6</v>
      </c>
      <c r="E385" s="5" t="str">
        <f>IF(Table13[[#This Row],[Pre or Post]]="Pre",IF(IF(Table13[[#This Row],[Response]]="Male",0,1)+IF(Table13[[#This Row],[Response]]="Female",0,1)=2,E384,Table13[[#This Row],[Response]]),"")</f>
        <v>Male</v>
      </c>
      <c r="F385" s="1">
        <v>5</v>
      </c>
      <c r="G385" s="1" t="s">
        <v>8</v>
      </c>
      <c r="H385" s="1" t="s">
        <v>8</v>
      </c>
      <c r="I38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86" spans="1:11">
      <c r="A386" s="1" t="s">
        <v>24</v>
      </c>
      <c r="B386" s="1" t="s">
        <v>25</v>
      </c>
      <c r="C386" s="1">
        <v>7</v>
      </c>
      <c r="D386" s="1" t="s">
        <v>6</v>
      </c>
      <c r="E386" s="5" t="str">
        <f>IF(Table13[[#This Row],[Pre or Post]]="Pre",IF(IF(Table13[[#This Row],[Response]]="Male",0,1)+IF(Table13[[#This Row],[Response]]="Female",0,1)=2,E385,Table13[[#This Row],[Response]]),"")</f>
        <v>Male</v>
      </c>
      <c r="F386" s="1">
        <v>6</v>
      </c>
      <c r="G386" s="1" t="s">
        <v>8</v>
      </c>
      <c r="H386" s="1" t="s">
        <v>8</v>
      </c>
      <c r="I38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87" spans="1:11">
      <c r="A387" s="1" t="s">
        <v>24</v>
      </c>
      <c r="B387" s="1" t="s">
        <v>25</v>
      </c>
      <c r="C387" s="1">
        <v>7</v>
      </c>
      <c r="D387" s="1" t="s">
        <v>6</v>
      </c>
      <c r="E387" s="5" t="str">
        <f>IF(Table13[[#This Row],[Pre or Post]]="Pre",IF(IF(Table13[[#This Row],[Response]]="Male",0,1)+IF(Table13[[#This Row],[Response]]="Female",0,1)=2,E386,Table13[[#This Row],[Response]]),"")</f>
        <v>Male</v>
      </c>
      <c r="F387" s="1">
        <v>7</v>
      </c>
      <c r="G387" s="1" t="s">
        <v>8</v>
      </c>
      <c r="H387" s="1" t="s">
        <v>8</v>
      </c>
      <c r="I38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88" spans="1:11">
      <c r="A388" s="1" t="s">
        <v>24</v>
      </c>
      <c r="B388" s="1" t="s">
        <v>25</v>
      </c>
      <c r="C388" s="1">
        <v>7</v>
      </c>
      <c r="D388" s="1" t="s">
        <v>6</v>
      </c>
      <c r="E388" s="5" t="str">
        <f>IF(Table13[[#This Row],[Pre or Post]]="Pre",IF(IF(Table13[[#This Row],[Response]]="Male",0,1)+IF(Table13[[#This Row],[Response]]="Female",0,1)=2,E387,Table13[[#This Row],[Response]]),"")</f>
        <v>Male</v>
      </c>
      <c r="F388" s="1">
        <v>8</v>
      </c>
      <c r="G388" s="1"/>
      <c r="H388" s="1" t="s">
        <v>8</v>
      </c>
      <c r="I38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89" spans="1:11">
      <c r="A389" s="1" t="s">
        <v>24</v>
      </c>
      <c r="B389" s="1" t="s">
        <v>25</v>
      </c>
      <c r="C389" s="1">
        <v>7</v>
      </c>
      <c r="D389" s="1" t="s">
        <v>6</v>
      </c>
      <c r="E389" s="5" t="str">
        <f>IF(Table13[[#This Row],[Pre or Post]]="Pre",IF(IF(Table13[[#This Row],[Response]]="Male",0,1)+IF(Table13[[#This Row],[Response]]="Female",0,1)=2,E388,Table13[[#This Row],[Response]]),"")</f>
        <v>Male</v>
      </c>
      <c r="F389" s="1">
        <v>9</v>
      </c>
      <c r="G389" s="1">
        <v>3</v>
      </c>
      <c r="H389" s="1" t="s">
        <v>8</v>
      </c>
      <c r="I38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90" spans="1:11">
      <c r="A390" s="1" t="s">
        <v>24</v>
      </c>
      <c r="B390" s="1" t="s">
        <v>25</v>
      </c>
      <c r="C390" s="1">
        <v>7</v>
      </c>
      <c r="D390" s="1" t="s">
        <v>6</v>
      </c>
      <c r="E390" s="5" t="str">
        <f>IF(Table13[[#This Row],[Pre or Post]]="Pre",IF(IF(Table13[[#This Row],[Response]]="Male",0,1)+IF(Table13[[#This Row],[Response]]="Female",0,1)=2,E389,Table13[[#This Row],[Response]]),"")</f>
        <v>Male</v>
      </c>
      <c r="F390" s="1">
        <v>10</v>
      </c>
      <c r="G390" s="1">
        <v>3</v>
      </c>
      <c r="H390" s="1" t="s">
        <v>8</v>
      </c>
      <c r="I39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91" spans="1:11">
      <c r="A391" s="1" t="s">
        <v>24</v>
      </c>
      <c r="B391" s="1" t="s">
        <v>25</v>
      </c>
      <c r="C391" s="1">
        <v>7</v>
      </c>
      <c r="D391" s="1" t="s">
        <v>6</v>
      </c>
      <c r="E391" s="5" t="str">
        <f>IF(Table13[[#This Row],[Pre or Post]]="Pre",IF(IF(Table13[[#This Row],[Response]]="Male",0,1)+IF(Table13[[#This Row],[Response]]="Female",0,1)=2,E390,Table13[[#This Row],[Response]]),"")</f>
        <v>Male</v>
      </c>
      <c r="F391" s="1">
        <v>11</v>
      </c>
      <c r="G391" s="1">
        <v>2</v>
      </c>
      <c r="H391" s="1" t="s">
        <v>8</v>
      </c>
      <c r="I39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92" spans="1:11">
      <c r="A392" s="1" t="s">
        <v>24</v>
      </c>
      <c r="B392" s="1" t="s">
        <v>25</v>
      </c>
      <c r="C392" s="1">
        <v>8</v>
      </c>
      <c r="D392" s="1" t="s">
        <v>6</v>
      </c>
      <c r="E392" s="5" t="str">
        <f>IF(Table13[[#This Row],[Pre or Post]]="Pre",IF(IF(Table13[[#This Row],[Response]]="Male",0,1)+IF(Table13[[#This Row],[Response]]="Female",0,1)=2,E391,Table13[[#This Row],[Response]]),"")</f>
        <v>Male</v>
      </c>
      <c r="F392" s="1">
        <v>2</v>
      </c>
      <c r="G392" s="1" t="s">
        <v>7</v>
      </c>
      <c r="H392" s="1" t="s">
        <v>8</v>
      </c>
      <c r="I39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93" spans="1:11">
      <c r="A393" s="1" t="s">
        <v>24</v>
      </c>
      <c r="B393" s="1" t="s">
        <v>25</v>
      </c>
      <c r="C393" s="1">
        <v>8</v>
      </c>
      <c r="D393" s="1" t="s">
        <v>6</v>
      </c>
      <c r="E393" s="5" t="str">
        <f>IF(Table13[[#This Row],[Pre or Post]]="Pre",IF(IF(Table13[[#This Row],[Response]]="Male",0,1)+IF(Table13[[#This Row],[Response]]="Female",0,1)=2,E392,Table13[[#This Row],[Response]]),"")</f>
        <v>Male</v>
      </c>
      <c r="F393" s="1">
        <v>3</v>
      </c>
      <c r="G393" s="1" t="s">
        <v>8</v>
      </c>
      <c r="H393" s="1" t="s">
        <v>8</v>
      </c>
      <c r="I39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94" spans="1:11">
      <c r="A394" s="1" t="s">
        <v>24</v>
      </c>
      <c r="B394" s="1" t="s">
        <v>25</v>
      </c>
      <c r="C394" s="1">
        <v>8</v>
      </c>
      <c r="D394" s="1" t="s">
        <v>6</v>
      </c>
      <c r="E394" s="5" t="str">
        <f>IF(Table13[[#This Row],[Pre or Post]]="Pre",IF(IF(Table13[[#This Row],[Response]]="Male",0,1)+IF(Table13[[#This Row],[Response]]="Female",0,1)=2,E393,Table13[[#This Row],[Response]]),"")</f>
        <v>Male</v>
      </c>
      <c r="F394" s="1">
        <v>4</v>
      </c>
      <c r="G394" s="1" t="s">
        <v>8</v>
      </c>
      <c r="H394" s="1" t="s">
        <v>8</v>
      </c>
      <c r="I39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95" spans="1:11">
      <c r="A395" s="1" t="s">
        <v>24</v>
      </c>
      <c r="B395" s="1" t="s">
        <v>25</v>
      </c>
      <c r="C395" s="1">
        <v>8</v>
      </c>
      <c r="D395" s="1" t="s">
        <v>6</v>
      </c>
      <c r="E395" s="5" t="str">
        <f>IF(Table13[[#This Row],[Pre or Post]]="Pre",IF(IF(Table13[[#This Row],[Response]]="Male",0,1)+IF(Table13[[#This Row],[Response]]="Female",0,1)=2,E394,Table13[[#This Row],[Response]]),"")</f>
        <v>Male</v>
      </c>
      <c r="F395" s="1">
        <v>5</v>
      </c>
      <c r="G395" s="1" t="s">
        <v>8</v>
      </c>
      <c r="H395" s="1" t="s">
        <v>8</v>
      </c>
      <c r="I39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96" spans="1:11">
      <c r="A396" s="1" t="s">
        <v>24</v>
      </c>
      <c r="B396" s="1" t="s">
        <v>25</v>
      </c>
      <c r="C396" s="1">
        <v>8</v>
      </c>
      <c r="D396" s="1" t="s">
        <v>6</v>
      </c>
      <c r="E396" s="5" t="str">
        <f>IF(Table13[[#This Row],[Pre or Post]]="Pre",IF(IF(Table13[[#This Row],[Response]]="Male",0,1)+IF(Table13[[#This Row],[Response]]="Female",0,1)=2,E395,Table13[[#This Row],[Response]]),"")</f>
        <v>Male</v>
      </c>
      <c r="F396" s="1">
        <v>6</v>
      </c>
      <c r="G396" s="1" t="s">
        <v>8</v>
      </c>
      <c r="H396" s="1" t="s">
        <v>8</v>
      </c>
      <c r="I39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97" spans="1:11">
      <c r="A397" s="1" t="s">
        <v>24</v>
      </c>
      <c r="B397" s="1" t="s">
        <v>25</v>
      </c>
      <c r="C397" s="1">
        <v>8</v>
      </c>
      <c r="D397" s="1" t="s">
        <v>6</v>
      </c>
      <c r="E397" s="5" t="str">
        <f>IF(Table13[[#This Row],[Pre or Post]]="Pre",IF(IF(Table13[[#This Row],[Response]]="Male",0,1)+IF(Table13[[#This Row],[Response]]="Female",0,1)=2,E396,Table13[[#This Row],[Response]]),"")</f>
        <v>Male</v>
      </c>
      <c r="F397" s="1">
        <v>7</v>
      </c>
      <c r="G397" s="1" t="s">
        <v>9</v>
      </c>
      <c r="H397" s="1" t="s">
        <v>8</v>
      </c>
      <c r="I39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98" spans="1:11">
      <c r="A398" s="1" t="s">
        <v>24</v>
      </c>
      <c r="B398" s="1" t="s">
        <v>25</v>
      </c>
      <c r="C398" s="1">
        <v>8</v>
      </c>
      <c r="D398" s="1" t="s">
        <v>6</v>
      </c>
      <c r="E398" s="5" t="str">
        <f>IF(Table13[[#This Row],[Pre or Post]]="Pre",IF(IF(Table13[[#This Row],[Response]]="Male",0,1)+IF(Table13[[#This Row],[Response]]="Female",0,1)=2,E397,Table13[[#This Row],[Response]]),"")</f>
        <v>Male</v>
      </c>
      <c r="F398" s="1">
        <v>8</v>
      </c>
      <c r="G398" s="1"/>
      <c r="H398" s="1" t="s">
        <v>8</v>
      </c>
      <c r="I39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399" spans="1:11">
      <c r="A399" s="1" t="s">
        <v>24</v>
      </c>
      <c r="B399" s="1" t="s">
        <v>25</v>
      </c>
      <c r="C399" s="1">
        <v>8</v>
      </c>
      <c r="D399" s="1" t="s">
        <v>6</v>
      </c>
      <c r="E399" s="5" t="str">
        <f>IF(Table13[[#This Row],[Pre or Post]]="Pre",IF(IF(Table13[[#This Row],[Response]]="Male",0,1)+IF(Table13[[#This Row],[Response]]="Female",0,1)=2,E398,Table13[[#This Row],[Response]]),"")</f>
        <v>Male</v>
      </c>
      <c r="F399" s="1">
        <v>9</v>
      </c>
      <c r="G399" s="1">
        <v>1</v>
      </c>
      <c r="H399" s="1" t="s">
        <v>8</v>
      </c>
      <c r="I39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3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3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00" spans="1:11">
      <c r="A400" s="1" t="s">
        <v>24</v>
      </c>
      <c r="B400" s="1" t="s">
        <v>25</v>
      </c>
      <c r="C400" s="1">
        <v>8</v>
      </c>
      <c r="D400" s="1" t="s">
        <v>6</v>
      </c>
      <c r="E400" s="5" t="str">
        <f>IF(Table13[[#This Row],[Pre or Post]]="Pre",IF(IF(Table13[[#This Row],[Response]]="Male",0,1)+IF(Table13[[#This Row],[Response]]="Female",0,1)=2,E399,Table13[[#This Row],[Response]]),"")</f>
        <v>Male</v>
      </c>
      <c r="F400" s="1">
        <v>10</v>
      </c>
      <c r="G400" s="1">
        <v>2</v>
      </c>
      <c r="H400" s="1" t="s">
        <v>8</v>
      </c>
      <c r="I40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01" spans="1:11">
      <c r="A401" s="1" t="s">
        <v>24</v>
      </c>
      <c r="B401" s="1" t="s">
        <v>25</v>
      </c>
      <c r="C401" s="1">
        <v>8</v>
      </c>
      <c r="D401" s="1" t="s">
        <v>6</v>
      </c>
      <c r="E401" s="5" t="str">
        <f>IF(Table13[[#This Row],[Pre or Post]]="Pre",IF(IF(Table13[[#This Row],[Response]]="Male",0,1)+IF(Table13[[#This Row],[Response]]="Female",0,1)=2,E400,Table13[[#This Row],[Response]]),"")</f>
        <v>Male</v>
      </c>
      <c r="F401" s="2">
        <v>11</v>
      </c>
      <c r="G401" s="1">
        <v>2</v>
      </c>
      <c r="H401" s="1" t="s">
        <v>8</v>
      </c>
      <c r="I40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02" spans="1:11">
      <c r="A402" s="1" t="s">
        <v>24</v>
      </c>
      <c r="B402" s="1" t="s">
        <v>25</v>
      </c>
      <c r="C402" s="1">
        <v>9</v>
      </c>
      <c r="D402" s="1" t="s">
        <v>6</v>
      </c>
      <c r="E402" s="5" t="str">
        <f>IF(Table13[[#This Row],[Pre or Post]]="Pre",IF(IF(Table13[[#This Row],[Response]]="Male",0,1)+IF(Table13[[#This Row],[Response]]="Female",0,1)=2,E401,Table13[[#This Row],[Response]]),"")</f>
        <v>Female</v>
      </c>
      <c r="F402" s="1">
        <v>2</v>
      </c>
      <c r="G402" s="1" t="s">
        <v>13</v>
      </c>
      <c r="H402" s="1" t="s">
        <v>8</v>
      </c>
      <c r="I40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03" spans="1:11">
      <c r="A403" s="1" t="s">
        <v>24</v>
      </c>
      <c r="B403" s="1" t="s">
        <v>25</v>
      </c>
      <c r="C403" s="1">
        <v>9</v>
      </c>
      <c r="D403" s="1" t="s">
        <v>6</v>
      </c>
      <c r="E403" s="5" t="str">
        <f>IF(Table13[[#This Row],[Pre or Post]]="Pre",IF(IF(Table13[[#This Row],[Response]]="Male",0,1)+IF(Table13[[#This Row],[Response]]="Female",0,1)=2,E402,Table13[[#This Row],[Response]]),"")</f>
        <v>Female</v>
      </c>
      <c r="F403" s="1">
        <v>3</v>
      </c>
      <c r="G403" s="1" t="s">
        <v>8</v>
      </c>
      <c r="H403" s="1" t="s">
        <v>8</v>
      </c>
      <c r="I40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04" spans="1:11">
      <c r="A404" s="1" t="s">
        <v>24</v>
      </c>
      <c r="B404" s="1" t="s">
        <v>25</v>
      </c>
      <c r="C404" s="1">
        <v>9</v>
      </c>
      <c r="D404" s="1" t="s">
        <v>6</v>
      </c>
      <c r="E404" s="5" t="str">
        <f>IF(Table13[[#This Row],[Pre or Post]]="Pre",IF(IF(Table13[[#This Row],[Response]]="Male",0,1)+IF(Table13[[#This Row],[Response]]="Female",0,1)=2,E403,Table13[[#This Row],[Response]]),"")</f>
        <v>Female</v>
      </c>
      <c r="F404" s="1">
        <v>4</v>
      </c>
      <c r="G404" s="1" t="s">
        <v>8</v>
      </c>
      <c r="H404" s="1" t="s">
        <v>8</v>
      </c>
      <c r="I40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05" spans="1:11">
      <c r="A405" s="1" t="s">
        <v>24</v>
      </c>
      <c r="B405" s="1" t="s">
        <v>25</v>
      </c>
      <c r="C405" s="1">
        <v>9</v>
      </c>
      <c r="D405" s="1" t="s">
        <v>6</v>
      </c>
      <c r="E405" s="5" t="str">
        <f>IF(Table13[[#This Row],[Pre or Post]]="Pre",IF(IF(Table13[[#This Row],[Response]]="Male",0,1)+IF(Table13[[#This Row],[Response]]="Female",0,1)=2,E404,Table13[[#This Row],[Response]]),"")</f>
        <v>Female</v>
      </c>
      <c r="F405" s="1">
        <v>5</v>
      </c>
      <c r="G405" s="1" t="s">
        <v>8</v>
      </c>
      <c r="H405" s="1" t="s">
        <v>8</v>
      </c>
      <c r="I40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06" spans="1:11">
      <c r="A406" s="1" t="s">
        <v>24</v>
      </c>
      <c r="B406" s="1" t="s">
        <v>25</v>
      </c>
      <c r="C406" s="1">
        <v>9</v>
      </c>
      <c r="D406" s="1" t="s">
        <v>6</v>
      </c>
      <c r="E406" s="5" t="str">
        <f>IF(Table13[[#This Row],[Pre or Post]]="Pre",IF(IF(Table13[[#This Row],[Response]]="Male",0,1)+IF(Table13[[#This Row],[Response]]="Female",0,1)=2,E405,Table13[[#This Row],[Response]]),"")</f>
        <v>Female</v>
      </c>
      <c r="F406" s="1">
        <v>6</v>
      </c>
      <c r="G406" s="1" t="s">
        <v>8</v>
      </c>
      <c r="H406" s="1" t="s">
        <v>8</v>
      </c>
      <c r="I40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07" spans="1:11">
      <c r="A407" s="1" t="s">
        <v>24</v>
      </c>
      <c r="B407" s="1" t="s">
        <v>25</v>
      </c>
      <c r="C407" s="1">
        <v>9</v>
      </c>
      <c r="D407" s="1" t="s">
        <v>6</v>
      </c>
      <c r="E407" s="5" t="str">
        <f>IF(Table13[[#This Row],[Pre or Post]]="Pre",IF(IF(Table13[[#This Row],[Response]]="Male",0,1)+IF(Table13[[#This Row],[Response]]="Female",0,1)=2,E406,Table13[[#This Row],[Response]]),"")</f>
        <v>Female</v>
      </c>
      <c r="F407" s="1">
        <v>7</v>
      </c>
      <c r="G407" s="1" t="s">
        <v>9</v>
      </c>
      <c r="H407" s="1" t="s">
        <v>8</v>
      </c>
      <c r="I40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08" spans="1:11">
      <c r="A408" s="1" t="s">
        <v>24</v>
      </c>
      <c r="B408" s="1" t="s">
        <v>25</v>
      </c>
      <c r="C408" s="1">
        <v>9</v>
      </c>
      <c r="D408" s="1" t="s">
        <v>6</v>
      </c>
      <c r="E408" s="5" t="str">
        <f>IF(Table13[[#This Row],[Pre or Post]]="Pre",IF(IF(Table13[[#This Row],[Response]]="Male",0,1)+IF(Table13[[#This Row],[Response]]="Female",0,1)=2,E407,Table13[[#This Row],[Response]]),"")</f>
        <v>Female</v>
      </c>
      <c r="F408" s="1">
        <v>8</v>
      </c>
      <c r="G408" s="1"/>
      <c r="H408" s="1" t="s">
        <v>8</v>
      </c>
      <c r="I40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09" spans="1:11">
      <c r="A409" s="1" t="s">
        <v>24</v>
      </c>
      <c r="B409" s="1" t="s">
        <v>25</v>
      </c>
      <c r="C409" s="1">
        <v>9</v>
      </c>
      <c r="D409" s="1" t="s">
        <v>6</v>
      </c>
      <c r="E409" s="5" t="str">
        <f>IF(Table13[[#This Row],[Pre or Post]]="Pre",IF(IF(Table13[[#This Row],[Response]]="Male",0,1)+IF(Table13[[#This Row],[Response]]="Female",0,1)=2,E408,Table13[[#This Row],[Response]]),"")</f>
        <v>Female</v>
      </c>
      <c r="F409" s="1">
        <v>9</v>
      </c>
      <c r="G409" s="1">
        <v>1</v>
      </c>
      <c r="H409" s="1" t="s">
        <v>8</v>
      </c>
      <c r="I40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10" spans="1:11">
      <c r="A410" s="1" t="s">
        <v>24</v>
      </c>
      <c r="B410" s="1" t="s">
        <v>25</v>
      </c>
      <c r="C410" s="1">
        <v>9</v>
      </c>
      <c r="D410" s="1" t="s">
        <v>6</v>
      </c>
      <c r="E410" s="5" t="str">
        <f>IF(Table13[[#This Row],[Pre or Post]]="Pre",IF(IF(Table13[[#This Row],[Response]]="Male",0,1)+IF(Table13[[#This Row],[Response]]="Female",0,1)=2,E409,Table13[[#This Row],[Response]]),"")</f>
        <v>Female</v>
      </c>
      <c r="F410" s="1">
        <v>10</v>
      </c>
      <c r="G410" s="1">
        <v>1</v>
      </c>
      <c r="H410" s="1" t="s">
        <v>8</v>
      </c>
      <c r="I41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11" spans="1:11">
      <c r="A411" s="1" t="s">
        <v>24</v>
      </c>
      <c r="B411" s="1" t="s">
        <v>25</v>
      </c>
      <c r="C411" s="1">
        <v>9</v>
      </c>
      <c r="D411" s="1" t="s">
        <v>6</v>
      </c>
      <c r="E411" s="5" t="str">
        <f>IF(Table13[[#This Row],[Pre or Post]]="Pre",IF(IF(Table13[[#This Row],[Response]]="Male",0,1)+IF(Table13[[#This Row],[Response]]="Female",0,1)=2,E410,Table13[[#This Row],[Response]]),"")</f>
        <v>Female</v>
      </c>
      <c r="F411" s="1">
        <v>11</v>
      </c>
      <c r="G411" s="1">
        <v>1</v>
      </c>
      <c r="H411" s="1" t="s">
        <v>8</v>
      </c>
      <c r="I41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12" spans="1:11">
      <c r="A412" s="1" t="s">
        <v>24</v>
      </c>
      <c r="B412" s="1" t="s">
        <v>25</v>
      </c>
      <c r="C412" s="1">
        <v>10</v>
      </c>
      <c r="D412" s="1" t="s">
        <v>6</v>
      </c>
      <c r="E412" s="5" t="str">
        <f>IF(Table13[[#This Row],[Pre or Post]]="Pre",IF(IF(Table13[[#This Row],[Response]]="Male",0,1)+IF(Table13[[#This Row],[Response]]="Female",0,1)=2,E411,Table13[[#This Row],[Response]]),"")</f>
        <v>Female</v>
      </c>
      <c r="F412" s="1">
        <v>2</v>
      </c>
      <c r="G412" s="1" t="s">
        <v>13</v>
      </c>
      <c r="H412" s="1" t="s">
        <v>8</v>
      </c>
      <c r="I41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13" spans="1:11">
      <c r="A413" s="1" t="s">
        <v>24</v>
      </c>
      <c r="B413" s="1" t="s">
        <v>25</v>
      </c>
      <c r="C413" s="1">
        <v>10</v>
      </c>
      <c r="D413" s="1" t="s">
        <v>6</v>
      </c>
      <c r="E413" s="5" t="str">
        <f>IF(Table13[[#This Row],[Pre or Post]]="Pre",IF(IF(Table13[[#This Row],[Response]]="Male",0,1)+IF(Table13[[#This Row],[Response]]="Female",0,1)=2,E412,Table13[[#This Row],[Response]]),"")</f>
        <v>Female</v>
      </c>
      <c r="F413" s="1">
        <v>3</v>
      </c>
      <c r="G413" s="1" t="s">
        <v>8</v>
      </c>
      <c r="H413" s="1" t="s">
        <v>8</v>
      </c>
      <c r="I41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14" spans="1:11">
      <c r="A414" s="1" t="s">
        <v>24</v>
      </c>
      <c r="B414" s="1" t="s">
        <v>25</v>
      </c>
      <c r="C414" s="1">
        <v>10</v>
      </c>
      <c r="D414" s="1" t="s">
        <v>6</v>
      </c>
      <c r="E414" s="5" t="str">
        <f>IF(Table13[[#This Row],[Pre or Post]]="Pre",IF(IF(Table13[[#This Row],[Response]]="Male",0,1)+IF(Table13[[#This Row],[Response]]="Female",0,1)=2,E413,Table13[[#This Row],[Response]]),"")</f>
        <v>Female</v>
      </c>
      <c r="F414" s="1">
        <v>4</v>
      </c>
      <c r="G414" s="1" t="s">
        <v>9</v>
      </c>
      <c r="H414" s="1" t="s">
        <v>8</v>
      </c>
      <c r="I41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15" spans="1:11">
      <c r="A415" s="1" t="s">
        <v>24</v>
      </c>
      <c r="B415" s="1" t="s">
        <v>25</v>
      </c>
      <c r="C415" s="1">
        <v>10</v>
      </c>
      <c r="D415" s="1" t="s">
        <v>6</v>
      </c>
      <c r="E415" s="5" t="str">
        <f>IF(Table13[[#This Row],[Pre or Post]]="Pre",IF(IF(Table13[[#This Row],[Response]]="Male",0,1)+IF(Table13[[#This Row],[Response]]="Female",0,1)=2,E414,Table13[[#This Row],[Response]]),"")</f>
        <v>Female</v>
      </c>
      <c r="F415" s="1">
        <v>5</v>
      </c>
      <c r="G415" s="1" t="s">
        <v>8</v>
      </c>
      <c r="H415" s="1" t="s">
        <v>8</v>
      </c>
      <c r="I41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16" spans="1:11">
      <c r="A416" s="1" t="s">
        <v>24</v>
      </c>
      <c r="B416" s="1" t="s">
        <v>25</v>
      </c>
      <c r="C416" s="1">
        <v>10</v>
      </c>
      <c r="D416" s="1" t="s">
        <v>6</v>
      </c>
      <c r="E416" s="5" t="str">
        <f>IF(Table13[[#This Row],[Pre or Post]]="Pre",IF(IF(Table13[[#This Row],[Response]]="Male",0,1)+IF(Table13[[#This Row],[Response]]="Female",0,1)=2,E415,Table13[[#This Row],[Response]]),"")</f>
        <v>Female</v>
      </c>
      <c r="F416" s="1">
        <v>6</v>
      </c>
      <c r="G416" s="1" t="s">
        <v>8</v>
      </c>
      <c r="H416" s="1" t="s">
        <v>8</v>
      </c>
      <c r="I41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17" spans="1:11">
      <c r="A417" s="1" t="s">
        <v>24</v>
      </c>
      <c r="B417" s="1" t="s">
        <v>25</v>
      </c>
      <c r="C417" s="1">
        <v>10</v>
      </c>
      <c r="D417" s="1" t="s">
        <v>6</v>
      </c>
      <c r="E417" s="5" t="str">
        <f>IF(Table13[[#This Row],[Pre or Post]]="Pre",IF(IF(Table13[[#This Row],[Response]]="Male",0,1)+IF(Table13[[#This Row],[Response]]="Female",0,1)=2,E416,Table13[[#This Row],[Response]]),"")</f>
        <v>Female</v>
      </c>
      <c r="F417" s="1">
        <v>7</v>
      </c>
      <c r="G417" s="1" t="s">
        <v>9</v>
      </c>
      <c r="H417" s="1" t="s">
        <v>8</v>
      </c>
      <c r="I41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18" spans="1:11">
      <c r="A418" s="1" t="s">
        <v>24</v>
      </c>
      <c r="B418" s="1" t="s">
        <v>25</v>
      </c>
      <c r="C418" s="1">
        <v>10</v>
      </c>
      <c r="D418" s="1" t="s">
        <v>6</v>
      </c>
      <c r="E418" s="5" t="str">
        <f>IF(Table13[[#This Row],[Pre or Post]]="Pre",IF(IF(Table13[[#This Row],[Response]]="Male",0,1)+IF(Table13[[#This Row],[Response]]="Female",0,1)=2,E417,Table13[[#This Row],[Response]]),"")</f>
        <v>Female</v>
      </c>
      <c r="F418" s="1">
        <v>8</v>
      </c>
      <c r="G418" s="1"/>
      <c r="H418" s="1" t="s">
        <v>8</v>
      </c>
      <c r="I41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19" spans="1:11">
      <c r="A419" s="1" t="s">
        <v>24</v>
      </c>
      <c r="B419" s="1" t="s">
        <v>25</v>
      </c>
      <c r="C419" s="1">
        <v>10</v>
      </c>
      <c r="D419" s="1" t="s">
        <v>6</v>
      </c>
      <c r="E419" s="5" t="str">
        <f>IF(Table13[[#This Row],[Pre or Post]]="Pre",IF(IF(Table13[[#This Row],[Response]]="Male",0,1)+IF(Table13[[#This Row],[Response]]="Female",0,1)=2,E418,Table13[[#This Row],[Response]]),"")</f>
        <v>Female</v>
      </c>
      <c r="F419" s="1">
        <v>9</v>
      </c>
      <c r="G419" s="1">
        <v>1</v>
      </c>
      <c r="H419" s="1" t="s">
        <v>8</v>
      </c>
      <c r="I41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20" spans="1:11">
      <c r="A420" s="1" t="s">
        <v>24</v>
      </c>
      <c r="B420" s="1" t="s">
        <v>25</v>
      </c>
      <c r="C420" s="1">
        <v>10</v>
      </c>
      <c r="D420" s="1" t="s">
        <v>6</v>
      </c>
      <c r="E420" s="5" t="str">
        <f>IF(Table13[[#This Row],[Pre or Post]]="Pre",IF(IF(Table13[[#This Row],[Response]]="Male",0,1)+IF(Table13[[#This Row],[Response]]="Female",0,1)=2,E419,Table13[[#This Row],[Response]]),"")</f>
        <v>Female</v>
      </c>
      <c r="F420" s="1">
        <v>10</v>
      </c>
      <c r="G420" s="1">
        <v>1</v>
      </c>
      <c r="H420" s="1" t="s">
        <v>8</v>
      </c>
      <c r="I42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21" spans="1:11">
      <c r="A421" s="1" t="s">
        <v>24</v>
      </c>
      <c r="B421" s="1" t="s">
        <v>25</v>
      </c>
      <c r="C421" s="1">
        <v>10</v>
      </c>
      <c r="D421" s="1" t="s">
        <v>6</v>
      </c>
      <c r="E421" s="5" t="str">
        <f>IF(Table13[[#This Row],[Pre or Post]]="Pre",IF(IF(Table13[[#This Row],[Response]]="Male",0,1)+IF(Table13[[#This Row],[Response]]="Female",0,1)=2,E420,Table13[[#This Row],[Response]]),"")</f>
        <v>Female</v>
      </c>
      <c r="F421" s="1">
        <v>11</v>
      </c>
      <c r="G421" s="1">
        <v>2</v>
      </c>
      <c r="H421" s="1" t="s">
        <v>8</v>
      </c>
      <c r="I42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22" spans="1:11">
      <c r="A422" s="1" t="s">
        <v>24</v>
      </c>
      <c r="B422" s="1" t="s">
        <v>25</v>
      </c>
      <c r="C422" s="1">
        <v>11</v>
      </c>
      <c r="D422" s="1" t="s">
        <v>6</v>
      </c>
      <c r="E422" s="5" t="str">
        <f>IF(Table13[[#This Row],[Pre or Post]]="Pre",IF(IF(Table13[[#This Row],[Response]]="Male",0,1)+IF(Table13[[#This Row],[Response]]="Female",0,1)=2,E421,Table13[[#This Row],[Response]]),"")</f>
        <v>Male</v>
      </c>
      <c r="F422" s="1">
        <v>2</v>
      </c>
      <c r="G422" s="1" t="s">
        <v>7</v>
      </c>
      <c r="H422" s="1" t="s">
        <v>8</v>
      </c>
      <c r="I42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23" spans="1:11">
      <c r="A423" s="1" t="s">
        <v>24</v>
      </c>
      <c r="B423" s="1" t="s">
        <v>25</v>
      </c>
      <c r="C423" s="1">
        <v>11</v>
      </c>
      <c r="D423" s="1" t="s">
        <v>6</v>
      </c>
      <c r="E423" s="5" t="str">
        <f>IF(Table13[[#This Row],[Pre or Post]]="Pre",IF(IF(Table13[[#This Row],[Response]]="Male",0,1)+IF(Table13[[#This Row],[Response]]="Female",0,1)=2,E422,Table13[[#This Row],[Response]]),"")</f>
        <v>Male</v>
      </c>
      <c r="F423" s="1">
        <v>3</v>
      </c>
      <c r="G423" s="1" t="s">
        <v>8</v>
      </c>
      <c r="H423" s="1" t="s">
        <v>8</v>
      </c>
      <c r="I42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24" spans="1:11">
      <c r="A424" s="1" t="s">
        <v>24</v>
      </c>
      <c r="B424" s="1" t="s">
        <v>25</v>
      </c>
      <c r="C424" s="1">
        <v>11</v>
      </c>
      <c r="D424" s="1" t="s">
        <v>6</v>
      </c>
      <c r="E424" s="5" t="str">
        <f>IF(Table13[[#This Row],[Pre or Post]]="Pre",IF(IF(Table13[[#This Row],[Response]]="Male",0,1)+IF(Table13[[#This Row],[Response]]="Female",0,1)=2,E423,Table13[[#This Row],[Response]]),"")</f>
        <v>Male</v>
      </c>
      <c r="F424" s="1">
        <v>4</v>
      </c>
      <c r="G424" s="1" t="s">
        <v>8</v>
      </c>
      <c r="H424" s="1" t="s">
        <v>8</v>
      </c>
      <c r="I42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25" spans="1:11">
      <c r="A425" s="1" t="s">
        <v>24</v>
      </c>
      <c r="B425" s="1" t="s">
        <v>25</v>
      </c>
      <c r="C425" s="1">
        <v>11</v>
      </c>
      <c r="D425" s="1" t="s">
        <v>6</v>
      </c>
      <c r="E425" s="5" t="str">
        <f>IF(Table13[[#This Row],[Pre or Post]]="Pre",IF(IF(Table13[[#This Row],[Response]]="Male",0,1)+IF(Table13[[#This Row],[Response]]="Female",0,1)=2,E424,Table13[[#This Row],[Response]]),"")</f>
        <v>Male</v>
      </c>
      <c r="F425" s="1">
        <v>5</v>
      </c>
      <c r="G425" s="1" t="s">
        <v>8</v>
      </c>
      <c r="H425" s="1" t="s">
        <v>8</v>
      </c>
      <c r="I42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26" spans="1:11">
      <c r="A426" s="1" t="s">
        <v>24</v>
      </c>
      <c r="B426" s="1" t="s">
        <v>25</v>
      </c>
      <c r="C426" s="1">
        <v>11</v>
      </c>
      <c r="D426" s="1" t="s">
        <v>6</v>
      </c>
      <c r="E426" s="5" t="str">
        <f>IF(Table13[[#This Row],[Pre or Post]]="Pre",IF(IF(Table13[[#This Row],[Response]]="Male",0,1)+IF(Table13[[#This Row],[Response]]="Female",0,1)=2,E425,Table13[[#This Row],[Response]]),"")</f>
        <v>Male</v>
      </c>
      <c r="F426" s="1">
        <v>6</v>
      </c>
      <c r="G426" s="1" t="s">
        <v>8</v>
      </c>
      <c r="H426" s="1" t="s">
        <v>8</v>
      </c>
      <c r="I42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27" spans="1:11">
      <c r="A427" s="1" t="s">
        <v>24</v>
      </c>
      <c r="B427" s="1" t="s">
        <v>25</v>
      </c>
      <c r="C427" s="1">
        <v>11</v>
      </c>
      <c r="D427" s="1" t="s">
        <v>6</v>
      </c>
      <c r="E427" s="5" t="str">
        <f>IF(Table13[[#This Row],[Pre or Post]]="Pre",IF(IF(Table13[[#This Row],[Response]]="Male",0,1)+IF(Table13[[#This Row],[Response]]="Female",0,1)=2,E426,Table13[[#This Row],[Response]]),"")</f>
        <v>Male</v>
      </c>
      <c r="F427" s="1">
        <v>7</v>
      </c>
      <c r="G427" s="1" t="s">
        <v>8</v>
      </c>
      <c r="H427" s="1" t="s">
        <v>8</v>
      </c>
      <c r="I42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28" spans="1:11">
      <c r="A428" s="1" t="s">
        <v>24</v>
      </c>
      <c r="B428" s="1" t="s">
        <v>25</v>
      </c>
      <c r="C428" s="1">
        <v>11</v>
      </c>
      <c r="D428" s="1" t="s">
        <v>6</v>
      </c>
      <c r="E428" s="5" t="str">
        <f>IF(Table13[[#This Row],[Pre or Post]]="Pre",IF(IF(Table13[[#This Row],[Response]]="Male",0,1)+IF(Table13[[#This Row],[Response]]="Female",0,1)=2,E427,Table13[[#This Row],[Response]]),"")</f>
        <v>Male</v>
      </c>
      <c r="F428" s="1">
        <v>8</v>
      </c>
      <c r="G428" s="1"/>
      <c r="H428" s="1" t="s">
        <v>8</v>
      </c>
      <c r="I42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29" spans="1:11">
      <c r="A429" s="1" t="s">
        <v>24</v>
      </c>
      <c r="B429" s="1" t="s">
        <v>25</v>
      </c>
      <c r="C429" s="1">
        <v>11</v>
      </c>
      <c r="D429" s="1" t="s">
        <v>6</v>
      </c>
      <c r="E429" s="5" t="str">
        <f>IF(Table13[[#This Row],[Pre or Post]]="Pre",IF(IF(Table13[[#This Row],[Response]]="Male",0,1)+IF(Table13[[#This Row],[Response]]="Female",0,1)=2,E428,Table13[[#This Row],[Response]]),"")</f>
        <v>Male</v>
      </c>
      <c r="F429" s="1">
        <v>9</v>
      </c>
      <c r="G429" s="1">
        <v>4</v>
      </c>
      <c r="H429" s="1" t="s">
        <v>8</v>
      </c>
      <c r="I42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30" spans="1:11">
      <c r="A430" s="1" t="s">
        <v>24</v>
      </c>
      <c r="B430" s="1" t="s">
        <v>25</v>
      </c>
      <c r="C430" s="1">
        <v>11</v>
      </c>
      <c r="D430" s="1" t="s">
        <v>6</v>
      </c>
      <c r="E430" s="5" t="str">
        <f>IF(Table13[[#This Row],[Pre or Post]]="Pre",IF(IF(Table13[[#This Row],[Response]]="Male",0,1)+IF(Table13[[#This Row],[Response]]="Female",0,1)=2,E429,Table13[[#This Row],[Response]]),"")</f>
        <v>Male</v>
      </c>
      <c r="F430" s="1">
        <v>10</v>
      </c>
      <c r="G430" s="1">
        <v>3</v>
      </c>
      <c r="H430" s="1" t="s">
        <v>8</v>
      </c>
      <c r="I43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31" spans="1:11">
      <c r="A431" s="1" t="s">
        <v>24</v>
      </c>
      <c r="B431" s="1" t="s">
        <v>25</v>
      </c>
      <c r="C431" s="1">
        <v>11</v>
      </c>
      <c r="D431" s="1" t="s">
        <v>6</v>
      </c>
      <c r="E431" s="5" t="str">
        <f>IF(Table13[[#This Row],[Pre or Post]]="Pre",IF(IF(Table13[[#This Row],[Response]]="Male",0,1)+IF(Table13[[#This Row],[Response]]="Female",0,1)=2,E430,Table13[[#This Row],[Response]]),"")</f>
        <v>Male</v>
      </c>
      <c r="F431" s="1">
        <v>11</v>
      </c>
      <c r="G431" s="1">
        <v>2</v>
      </c>
      <c r="H431" s="1" t="s">
        <v>8</v>
      </c>
      <c r="I43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32" spans="1:11">
      <c r="A432" s="1" t="s">
        <v>24</v>
      </c>
      <c r="B432" s="1" t="s">
        <v>25</v>
      </c>
      <c r="C432" s="1">
        <v>12</v>
      </c>
      <c r="D432" s="1" t="s">
        <v>6</v>
      </c>
      <c r="E432" s="5" t="str">
        <f>IF(Table13[[#This Row],[Pre or Post]]="Pre",IF(IF(Table13[[#This Row],[Response]]="Male",0,1)+IF(Table13[[#This Row],[Response]]="Female",0,1)=2,E431,Table13[[#This Row],[Response]]),"")</f>
        <v>Female</v>
      </c>
      <c r="F432" s="1">
        <v>2</v>
      </c>
      <c r="G432" s="1" t="s">
        <v>13</v>
      </c>
      <c r="H432" s="1" t="s">
        <v>8</v>
      </c>
      <c r="I43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33" spans="1:11">
      <c r="A433" s="1" t="s">
        <v>24</v>
      </c>
      <c r="B433" s="1" t="s">
        <v>25</v>
      </c>
      <c r="C433" s="1">
        <v>12</v>
      </c>
      <c r="D433" s="1" t="s">
        <v>6</v>
      </c>
      <c r="E433" s="5" t="str">
        <f>IF(Table13[[#This Row],[Pre or Post]]="Pre",IF(IF(Table13[[#This Row],[Response]]="Male",0,1)+IF(Table13[[#This Row],[Response]]="Female",0,1)=2,E432,Table13[[#This Row],[Response]]),"")</f>
        <v>Female</v>
      </c>
      <c r="F433" s="1">
        <v>3</v>
      </c>
      <c r="G433" s="1" t="s">
        <v>8</v>
      </c>
      <c r="H433" s="1" t="s">
        <v>8</v>
      </c>
      <c r="I43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34" spans="1:11">
      <c r="A434" s="1" t="s">
        <v>24</v>
      </c>
      <c r="B434" s="1" t="s">
        <v>25</v>
      </c>
      <c r="C434" s="1">
        <v>12</v>
      </c>
      <c r="D434" s="1" t="s">
        <v>6</v>
      </c>
      <c r="E434" s="5" t="str">
        <f>IF(Table13[[#This Row],[Pre or Post]]="Pre",IF(IF(Table13[[#This Row],[Response]]="Male",0,1)+IF(Table13[[#This Row],[Response]]="Female",0,1)=2,E433,Table13[[#This Row],[Response]]),"")</f>
        <v>Female</v>
      </c>
      <c r="F434" s="1">
        <v>4</v>
      </c>
      <c r="G434" s="1" t="s">
        <v>8</v>
      </c>
      <c r="H434" s="1" t="s">
        <v>8</v>
      </c>
      <c r="I43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35" spans="1:11">
      <c r="A435" s="1" t="s">
        <v>24</v>
      </c>
      <c r="B435" s="1" t="s">
        <v>25</v>
      </c>
      <c r="C435" s="1">
        <v>12</v>
      </c>
      <c r="D435" s="1" t="s">
        <v>6</v>
      </c>
      <c r="E435" s="5" t="str">
        <f>IF(Table13[[#This Row],[Pre or Post]]="Pre",IF(IF(Table13[[#This Row],[Response]]="Male",0,1)+IF(Table13[[#This Row],[Response]]="Female",0,1)=2,E434,Table13[[#This Row],[Response]]),"")</f>
        <v>Female</v>
      </c>
      <c r="F435" s="1">
        <v>5</v>
      </c>
      <c r="G435" s="1" t="s">
        <v>8</v>
      </c>
      <c r="H435" s="1" t="s">
        <v>8</v>
      </c>
      <c r="I43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36" spans="1:11">
      <c r="A436" s="1" t="s">
        <v>24</v>
      </c>
      <c r="B436" s="1" t="s">
        <v>25</v>
      </c>
      <c r="C436" s="1">
        <v>12</v>
      </c>
      <c r="D436" s="1" t="s">
        <v>6</v>
      </c>
      <c r="E436" s="5" t="str">
        <f>IF(Table13[[#This Row],[Pre or Post]]="Pre",IF(IF(Table13[[#This Row],[Response]]="Male",0,1)+IF(Table13[[#This Row],[Response]]="Female",0,1)=2,E435,Table13[[#This Row],[Response]]),"")</f>
        <v>Female</v>
      </c>
      <c r="F436" s="1">
        <v>6</v>
      </c>
      <c r="G436" s="1" t="s">
        <v>8</v>
      </c>
      <c r="H436" s="1" t="s">
        <v>8</v>
      </c>
      <c r="I43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37" spans="1:11">
      <c r="A437" s="1" t="s">
        <v>24</v>
      </c>
      <c r="B437" s="1" t="s">
        <v>25</v>
      </c>
      <c r="C437" s="1">
        <v>12</v>
      </c>
      <c r="D437" s="1" t="s">
        <v>6</v>
      </c>
      <c r="E437" s="5" t="str">
        <f>IF(Table13[[#This Row],[Pre or Post]]="Pre",IF(IF(Table13[[#This Row],[Response]]="Male",0,1)+IF(Table13[[#This Row],[Response]]="Female",0,1)=2,E436,Table13[[#This Row],[Response]]),"")</f>
        <v>Female</v>
      </c>
      <c r="F437" s="1">
        <v>7</v>
      </c>
      <c r="G437" s="1" t="s">
        <v>9</v>
      </c>
      <c r="H437" s="1" t="s">
        <v>8</v>
      </c>
      <c r="I43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38" spans="1:11">
      <c r="A438" s="1" t="s">
        <v>24</v>
      </c>
      <c r="B438" s="1" t="s">
        <v>25</v>
      </c>
      <c r="C438" s="1">
        <v>12</v>
      </c>
      <c r="D438" s="1" t="s">
        <v>6</v>
      </c>
      <c r="E438" s="5" t="str">
        <f>IF(Table13[[#This Row],[Pre or Post]]="Pre",IF(IF(Table13[[#This Row],[Response]]="Male",0,1)+IF(Table13[[#This Row],[Response]]="Female",0,1)=2,E437,Table13[[#This Row],[Response]]),"")</f>
        <v>Female</v>
      </c>
      <c r="F438" s="1">
        <v>8</v>
      </c>
      <c r="G438" s="1"/>
      <c r="H438" s="1" t="s">
        <v>8</v>
      </c>
      <c r="I43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39" spans="1:11">
      <c r="A439" s="1" t="s">
        <v>24</v>
      </c>
      <c r="B439" s="1" t="s">
        <v>25</v>
      </c>
      <c r="C439" s="1">
        <v>12</v>
      </c>
      <c r="D439" s="1" t="s">
        <v>6</v>
      </c>
      <c r="E439" s="5" t="str">
        <f>IF(Table13[[#This Row],[Pre or Post]]="Pre",IF(IF(Table13[[#This Row],[Response]]="Male",0,1)+IF(Table13[[#This Row],[Response]]="Female",0,1)=2,E438,Table13[[#This Row],[Response]]),"")</f>
        <v>Female</v>
      </c>
      <c r="F439" s="1">
        <v>9</v>
      </c>
      <c r="G439" s="1">
        <v>2</v>
      </c>
      <c r="H439" s="1" t="s">
        <v>8</v>
      </c>
      <c r="I43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40" spans="1:11">
      <c r="A440" s="1" t="s">
        <v>24</v>
      </c>
      <c r="B440" s="1" t="s">
        <v>25</v>
      </c>
      <c r="C440" s="1">
        <v>12</v>
      </c>
      <c r="D440" s="1" t="s">
        <v>6</v>
      </c>
      <c r="E440" s="5" t="str">
        <f>IF(Table13[[#This Row],[Pre or Post]]="Pre",IF(IF(Table13[[#This Row],[Response]]="Male",0,1)+IF(Table13[[#This Row],[Response]]="Female",0,1)=2,E439,Table13[[#This Row],[Response]]),"")</f>
        <v>Female</v>
      </c>
      <c r="F440" s="1">
        <v>10</v>
      </c>
      <c r="G440" s="1">
        <v>4</v>
      </c>
      <c r="H440" s="1" t="s">
        <v>8</v>
      </c>
      <c r="I44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41" spans="1:11">
      <c r="A441" s="1" t="s">
        <v>24</v>
      </c>
      <c r="B441" s="1" t="s">
        <v>25</v>
      </c>
      <c r="C441" s="1">
        <v>12</v>
      </c>
      <c r="D441" s="1" t="s">
        <v>6</v>
      </c>
      <c r="E441" s="5" t="str">
        <f>IF(Table13[[#This Row],[Pre or Post]]="Pre",IF(IF(Table13[[#This Row],[Response]]="Male",0,1)+IF(Table13[[#This Row],[Response]]="Female",0,1)=2,E440,Table13[[#This Row],[Response]]),"")</f>
        <v>Female</v>
      </c>
      <c r="F441" s="1">
        <v>11</v>
      </c>
      <c r="G441" s="1">
        <v>3</v>
      </c>
      <c r="H441" s="1" t="s">
        <v>8</v>
      </c>
      <c r="I44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42" spans="1:11">
      <c r="A442" s="1" t="s">
        <v>24</v>
      </c>
      <c r="B442" s="1" t="s">
        <v>25</v>
      </c>
      <c r="C442" s="1">
        <v>13</v>
      </c>
      <c r="D442" s="1" t="s">
        <v>6</v>
      </c>
      <c r="E442" s="5" t="str">
        <f>IF(Table13[[#This Row],[Pre or Post]]="Pre",IF(IF(Table13[[#This Row],[Response]]="Male",0,1)+IF(Table13[[#This Row],[Response]]="Female",0,1)=2,E441,Table13[[#This Row],[Response]]),"")</f>
        <v>Female</v>
      </c>
      <c r="F442" s="1">
        <v>2</v>
      </c>
      <c r="G442" s="1" t="s">
        <v>13</v>
      </c>
      <c r="H442" s="1" t="s">
        <v>8</v>
      </c>
      <c r="I44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43" spans="1:11">
      <c r="A443" s="1" t="s">
        <v>24</v>
      </c>
      <c r="B443" s="1" t="s">
        <v>25</v>
      </c>
      <c r="C443" s="1">
        <v>13</v>
      </c>
      <c r="D443" s="1" t="s">
        <v>6</v>
      </c>
      <c r="E443" s="5" t="str">
        <f>IF(Table13[[#This Row],[Pre or Post]]="Pre",IF(IF(Table13[[#This Row],[Response]]="Male",0,1)+IF(Table13[[#This Row],[Response]]="Female",0,1)=2,E442,Table13[[#This Row],[Response]]),"")</f>
        <v>Female</v>
      </c>
      <c r="F443" s="1">
        <v>3</v>
      </c>
      <c r="G443" s="1" t="s">
        <v>8</v>
      </c>
      <c r="H443" s="1" t="s">
        <v>8</v>
      </c>
      <c r="I44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44" spans="1:11">
      <c r="A444" s="1" t="s">
        <v>24</v>
      </c>
      <c r="B444" s="1" t="s">
        <v>25</v>
      </c>
      <c r="C444" s="1">
        <v>13</v>
      </c>
      <c r="D444" s="1" t="s">
        <v>6</v>
      </c>
      <c r="E444" s="5" t="str">
        <f>IF(Table13[[#This Row],[Pre or Post]]="Pre",IF(IF(Table13[[#This Row],[Response]]="Male",0,1)+IF(Table13[[#This Row],[Response]]="Female",0,1)=2,E443,Table13[[#This Row],[Response]]),"")</f>
        <v>Female</v>
      </c>
      <c r="F444" s="1">
        <v>4</v>
      </c>
      <c r="G444" s="1" t="s">
        <v>9</v>
      </c>
      <c r="H444" s="1" t="s">
        <v>8</v>
      </c>
      <c r="I44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45" spans="1:11">
      <c r="A445" s="1" t="s">
        <v>24</v>
      </c>
      <c r="B445" s="1" t="s">
        <v>25</v>
      </c>
      <c r="C445" s="1">
        <v>13</v>
      </c>
      <c r="D445" s="1" t="s">
        <v>6</v>
      </c>
      <c r="E445" s="5" t="str">
        <f>IF(Table13[[#This Row],[Pre or Post]]="Pre",IF(IF(Table13[[#This Row],[Response]]="Male",0,1)+IF(Table13[[#This Row],[Response]]="Female",0,1)=2,E444,Table13[[#This Row],[Response]]),"")</f>
        <v>Female</v>
      </c>
      <c r="F445" s="1">
        <v>5</v>
      </c>
      <c r="G445" s="1" t="s">
        <v>8</v>
      </c>
      <c r="H445" s="1" t="s">
        <v>8</v>
      </c>
      <c r="I44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46" spans="1:11">
      <c r="A446" s="1" t="s">
        <v>24</v>
      </c>
      <c r="B446" s="1" t="s">
        <v>25</v>
      </c>
      <c r="C446" s="1">
        <v>13</v>
      </c>
      <c r="D446" s="1" t="s">
        <v>6</v>
      </c>
      <c r="E446" s="5" t="str">
        <f>IF(Table13[[#This Row],[Pre or Post]]="Pre",IF(IF(Table13[[#This Row],[Response]]="Male",0,1)+IF(Table13[[#This Row],[Response]]="Female",0,1)=2,E445,Table13[[#This Row],[Response]]),"")</f>
        <v>Female</v>
      </c>
      <c r="F446" s="1">
        <v>6</v>
      </c>
      <c r="G446" s="1" t="s">
        <v>8</v>
      </c>
      <c r="H446" s="1" t="s">
        <v>8</v>
      </c>
      <c r="I44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47" spans="1:11">
      <c r="A447" s="1" t="s">
        <v>24</v>
      </c>
      <c r="B447" s="1" t="s">
        <v>25</v>
      </c>
      <c r="C447" s="1">
        <v>13</v>
      </c>
      <c r="D447" s="1" t="s">
        <v>6</v>
      </c>
      <c r="E447" s="5" t="str">
        <f>IF(Table13[[#This Row],[Pre or Post]]="Pre",IF(IF(Table13[[#This Row],[Response]]="Male",0,1)+IF(Table13[[#This Row],[Response]]="Female",0,1)=2,E446,Table13[[#This Row],[Response]]),"")</f>
        <v>Female</v>
      </c>
      <c r="F447" s="1">
        <v>7</v>
      </c>
      <c r="G447" s="1" t="s">
        <v>9</v>
      </c>
      <c r="H447" s="1" t="s">
        <v>8</v>
      </c>
      <c r="I44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48" spans="1:11">
      <c r="A448" s="1" t="s">
        <v>24</v>
      </c>
      <c r="B448" s="1" t="s">
        <v>25</v>
      </c>
      <c r="C448" s="1">
        <v>13</v>
      </c>
      <c r="D448" s="1" t="s">
        <v>6</v>
      </c>
      <c r="E448" s="5" t="str">
        <f>IF(Table13[[#This Row],[Pre or Post]]="Pre",IF(IF(Table13[[#This Row],[Response]]="Male",0,1)+IF(Table13[[#This Row],[Response]]="Female",0,1)=2,E447,Table13[[#This Row],[Response]]),"")</f>
        <v>Female</v>
      </c>
      <c r="F448" s="1">
        <v>8</v>
      </c>
      <c r="G448" s="1"/>
      <c r="H448" s="1" t="s">
        <v>8</v>
      </c>
      <c r="I44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49" spans="1:11">
      <c r="A449" s="1" t="s">
        <v>24</v>
      </c>
      <c r="B449" s="1" t="s">
        <v>25</v>
      </c>
      <c r="C449" s="1">
        <v>13</v>
      </c>
      <c r="D449" s="1" t="s">
        <v>6</v>
      </c>
      <c r="E449" s="5" t="str">
        <f>IF(Table13[[#This Row],[Pre or Post]]="Pre",IF(IF(Table13[[#This Row],[Response]]="Male",0,1)+IF(Table13[[#This Row],[Response]]="Female",0,1)=2,E448,Table13[[#This Row],[Response]]),"")</f>
        <v>Female</v>
      </c>
      <c r="F449" s="1">
        <v>9</v>
      </c>
      <c r="G449" s="1">
        <v>2</v>
      </c>
      <c r="H449" s="1" t="s">
        <v>8</v>
      </c>
      <c r="I44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50" spans="1:11">
      <c r="A450" s="1" t="s">
        <v>24</v>
      </c>
      <c r="B450" s="1" t="s">
        <v>25</v>
      </c>
      <c r="C450" s="1">
        <v>13</v>
      </c>
      <c r="D450" s="1" t="s">
        <v>6</v>
      </c>
      <c r="E450" s="5" t="str">
        <f>IF(Table13[[#This Row],[Pre or Post]]="Pre",IF(IF(Table13[[#This Row],[Response]]="Male",0,1)+IF(Table13[[#This Row],[Response]]="Female",0,1)=2,E449,Table13[[#This Row],[Response]]),"")</f>
        <v>Female</v>
      </c>
      <c r="F450" s="1">
        <v>10</v>
      </c>
      <c r="G450" s="1">
        <v>2</v>
      </c>
      <c r="H450" s="1" t="s">
        <v>8</v>
      </c>
      <c r="I45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51" spans="1:11">
      <c r="A451" s="1" t="s">
        <v>24</v>
      </c>
      <c r="B451" s="1" t="s">
        <v>25</v>
      </c>
      <c r="C451" s="1">
        <v>13</v>
      </c>
      <c r="D451" s="1" t="s">
        <v>6</v>
      </c>
      <c r="E451" s="5" t="str">
        <f>IF(Table13[[#This Row],[Pre or Post]]="Pre",IF(IF(Table13[[#This Row],[Response]]="Male",0,1)+IF(Table13[[#This Row],[Response]]="Female",0,1)=2,E450,Table13[[#This Row],[Response]]),"")</f>
        <v>Female</v>
      </c>
      <c r="F451" s="1">
        <v>11</v>
      </c>
      <c r="G451" s="1">
        <v>1</v>
      </c>
      <c r="H451" s="1" t="s">
        <v>8</v>
      </c>
      <c r="I45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52" spans="1:11">
      <c r="A452" s="1" t="s">
        <v>24</v>
      </c>
      <c r="B452" s="1" t="s">
        <v>25</v>
      </c>
      <c r="C452" s="1">
        <v>14</v>
      </c>
      <c r="D452" s="1" t="s">
        <v>6</v>
      </c>
      <c r="E452" s="5" t="str">
        <f>IF(Table13[[#This Row],[Pre or Post]]="Pre",IF(IF(Table13[[#This Row],[Response]]="Male",0,1)+IF(Table13[[#This Row],[Response]]="Female",0,1)=2,E451,Table13[[#This Row],[Response]]),"")</f>
        <v>Male</v>
      </c>
      <c r="F452" s="1">
        <v>2</v>
      </c>
      <c r="G452" s="1" t="s">
        <v>7</v>
      </c>
      <c r="H452" s="1" t="s">
        <v>8</v>
      </c>
      <c r="I45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53" spans="1:11">
      <c r="A453" s="1" t="s">
        <v>24</v>
      </c>
      <c r="B453" s="1" t="s">
        <v>25</v>
      </c>
      <c r="C453" s="1">
        <v>14</v>
      </c>
      <c r="D453" s="1" t="s">
        <v>6</v>
      </c>
      <c r="E453" s="5" t="str">
        <f>IF(Table13[[#This Row],[Pre or Post]]="Pre",IF(IF(Table13[[#This Row],[Response]]="Male",0,1)+IF(Table13[[#This Row],[Response]]="Female",0,1)=2,E452,Table13[[#This Row],[Response]]),"")</f>
        <v>Male</v>
      </c>
      <c r="F453" s="1">
        <v>3</v>
      </c>
      <c r="G453" s="1" t="s">
        <v>8</v>
      </c>
      <c r="H453" s="1" t="s">
        <v>8</v>
      </c>
      <c r="I45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54" spans="1:11">
      <c r="A454" s="1" t="s">
        <v>24</v>
      </c>
      <c r="B454" s="1" t="s">
        <v>25</v>
      </c>
      <c r="C454" s="1">
        <v>14</v>
      </c>
      <c r="D454" s="1" t="s">
        <v>6</v>
      </c>
      <c r="E454" s="5" t="str">
        <f>IF(Table13[[#This Row],[Pre or Post]]="Pre",IF(IF(Table13[[#This Row],[Response]]="Male",0,1)+IF(Table13[[#This Row],[Response]]="Female",0,1)=2,E453,Table13[[#This Row],[Response]]),"")</f>
        <v>Male</v>
      </c>
      <c r="F454" s="1">
        <v>4</v>
      </c>
      <c r="G454" s="1" t="s">
        <v>8</v>
      </c>
      <c r="H454" s="1" t="s">
        <v>8</v>
      </c>
      <c r="I45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55" spans="1:11">
      <c r="A455" s="1" t="s">
        <v>24</v>
      </c>
      <c r="B455" s="1" t="s">
        <v>25</v>
      </c>
      <c r="C455" s="1">
        <v>14</v>
      </c>
      <c r="D455" s="1" t="s">
        <v>6</v>
      </c>
      <c r="E455" s="5" t="str">
        <f>IF(Table13[[#This Row],[Pre or Post]]="Pre",IF(IF(Table13[[#This Row],[Response]]="Male",0,1)+IF(Table13[[#This Row],[Response]]="Female",0,1)=2,E454,Table13[[#This Row],[Response]]),"")</f>
        <v>Male</v>
      </c>
      <c r="F455" s="1">
        <v>5</v>
      </c>
      <c r="G455" s="1" t="s">
        <v>8</v>
      </c>
      <c r="H455" s="1" t="s">
        <v>8</v>
      </c>
      <c r="I45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56" spans="1:11">
      <c r="A456" s="1" t="s">
        <v>24</v>
      </c>
      <c r="B456" s="1" t="s">
        <v>25</v>
      </c>
      <c r="C456" s="1">
        <v>14</v>
      </c>
      <c r="D456" s="1" t="s">
        <v>6</v>
      </c>
      <c r="E456" s="5" t="str">
        <f>IF(Table13[[#This Row],[Pre or Post]]="Pre",IF(IF(Table13[[#This Row],[Response]]="Male",0,1)+IF(Table13[[#This Row],[Response]]="Female",0,1)=2,E455,Table13[[#This Row],[Response]]),"")</f>
        <v>Male</v>
      </c>
      <c r="F456" s="1">
        <v>6</v>
      </c>
      <c r="G456" s="1" t="s">
        <v>8</v>
      </c>
      <c r="H456" s="1" t="s">
        <v>8</v>
      </c>
      <c r="I45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57" spans="1:11">
      <c r="A457" s="1" t="s">
        <v>24</v>
      </c>
      <c r="B457" s="1" t="s">
        <v>25</v>
      </c>
      <c r="C457" s="1">
        <v>14</v>
      </c>
      <c r="D457" s="1" t="s">
        <v>6</v>
      </c>
      <c r="E457" s="5" t="str">
        <f>IF(Table13[[#This Row],[Pre or Post]]="Pre",IF(IF(Table13[[#This Row],[Response]]="Male",0,1)+IF(Table13[[#This Row],[Response]]="Female",0,1)=2,E456,Table13[[#This Row],[Response]]),"")</f>
        <v>Male</v>
      </c>
      <c r="F457" s="1">
        <v>7</v>
      </c>
      <c r="G457" s="1" t="s">
        <v>8</v>
      </c>
      <c r="H457" s="1" t="s">
        <v>8</v>
      </c>
      <c r="I45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58" spans="1:11">
      <c r="A458" s="1" t="s">
        <v>24</v>
      </c>
      <c r="B458" s="1" t="s">
        <v>25</v>
      </c>
      <c r="C458" s="1">
        <v>14</v>
      </c>
      <c r="D458" s="1" t="s">
        <v>6</v>
      </c>
      <c r="E458" s="5" t="str">
        <f>IF(Table13[[#This Row],[Pre or Post]]="Pre",IF(IF(Table13[[#This Row],[Response]]="Male",0,1)+IF(Table13[[#This Row],[Response]]="Female",0,1)=2,E457,Table13[[#This Row],[Response]]),"")</f>
        <v>Male</v>
      </c>
      <c r="F458" s="1">
        <v>8</v>
      </c>
      <c r="G458" s="1"/>
      <c r="H458" s="1" t="s">
        <v>8</v>
      </c>
      <c r="I45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59" spans="1:11">
      <c r="A459" s="1" t="s">
        <v>24</v>
      </c>
      <c r="B459" s="1" t="s">
        <v>25</v>
      </c>
      <c r="C459" s="1">
        <v>14</v>
      </c>
      <c r="D459" s="1" t="s">
        <v>6</v>
      </c>
      <c r="E459" s="5" t="str">
        <f>IF(Table13[[#This Row],[Pre or Post]]="Pre",IF(IF(Table13[[#This Row],[Response]]="Male",0,1)+IF(Table13[[#This Row],[Response]]="Female",0,1)=2,E458,Table13[[#This Row],[Response]]),"")</f>
        <v>Male</v>
      </c>
      <c r="F459" s="1">
        <v>9</v>
      </c>
      <c r="G459" s="1">
        <v>3</v>
      </c>
      <c r="H459" s="1" t="s">
        <v>8</v>
      </c>
      <c r="I45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60" spans="1:11">
      <c r="A460" s="1" t="s">
        <v>24</v>
      </c>
      <c r="B460" s="1" t="s">
        <v>25</v>
      </c>
      <c r="C460" s="1">
        <v>14</v>
      </c>
      <c r="D460" s="1" t="s">
        <v>6</v>
      </c>
      <c r="E460" s="5" t="str">
        <f>IF(Table13[[#This Row],[Pre or Post]]="Pre",IF(IF(Table13[[#This Row],[Response]]="Male",0,1)+IF(Table13[[#This Row],[Response]]="Female",0,1)=2,E459,Table13[[#This Row],[Response]]),"")</f>
        <v>Male</v>
      </c>
      <c r="F460" s="1">
        <v>10</v>
      </c>
      <c r="G460" s="1">
        <v>3</v>
      </c>
      <c r="H460" s="1" t="s">
        <v>8</v>
      </c>
      <c r="I46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61" spans="1:11">
      <c r="A461" s="1" t="s">
        <v>24</v>
      </c>
      <c r="B461" s="1" t="s">
        <v>25</v>
      </c>
      <c r="C461" s="1">
        <v>14</v>
      </c>
      <c r="D461" s="1" t="s">
        <v>6</v>
      </c>
      <c r="E461" s="5" t="str">
        <f>IF(Table13[[#This Row],[Pre or Post]]="Pre",IF(IF(Table13[[#This Row],[Response]]="Male",0,1)+IF(Table13[[#This Row],[Response]]="Female",0,1)=2,E460,Table13[[#This Row],[Response]]),"")</f>
        <v>Male</v>
      </c>
      <c r="F461" s="1">
        <v>11</v>
      </c>
      <c r="G461" s="1">
        <v>3</v>
      </c>
      <c r="H461" s="1" t="s">
        <v>8</v>
      </c>
      <c r="I46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62" spans="1:11">
      <c r="A462" s="1" t="s">
        <v>24</v>
      </c>
      <c r="B462" s="1" t="s">
        <v>25</v>
      </c>
      <c r="C462" s="1">
        <v>15</v>
      </c>
      <c r="D462" s="1" t="s">
        <v>6</v>
      </c>
      <c r="E462" s="5" t="str">
        <f>IF(Table13[[#This Row],[Pre or Post]]="Pre",IF(IF(Table13[[#This Row],[Response]]="Male",0,1)+IF(Table13[[#This Row],[Response]]="Female",0,1)=2,E461,Table13[[#This Row],[Response]]),"")</f>
        <v>Male</v>
      </c>
      <c r="F462" s="1">
        <v>2</v>
      </c>
      <c r="G462" s="1" t="s">
        <v>7</v>
      </c>
      <c r="H462" s="2" t="s">
        <v>9</v>
      </c>
      <c r="I46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63" spans="1:11">
      <c r="A463" s="1" t="s">
        <v>24</v>
      </c>
      <c r="B463" s="1" t="s">
        <v>25</v>
      </c>
      <c r="C463" s="1">
        <v>15</v>
      </c>
      <c r="D463" s="1" t="s">
        <v>6</v>
      </c>
      <c r="E463" s="5" t="str">
        <f>IF(Table13[[#This Row],[Pre or Post]]="Pre",IF(IF(Table13[[#This Row],[Response]]="Male",0,1)+IF(Table13[[#This Row],[Response]]="Female",0,1)=2,E462,Table13[[#This Row],[Response]]),"")</f>
        <v>Male</v>
      </c>
      <c r="F463" s="1">
        <v>3</v>
      </c>
      <c r="G463" s="1" t="s">
        <v>9</v>
      </c>
      <c r="H463" s="2" t="s">
        <v>9</v>
      </c>
      <c r="I46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64" spans="1:11">
      <c r="A464" s="1" t="s">
        <v>24</v>
      </c>
      <c r="B464" s="1" t="s">
        <v>25</v>
      </c>
      <c r="C464" s="1">
        <v>15</v>
      </c>
      <c r="D464" s="1" t="s">
        <v>6</v>
      </c>
      <c r="E464" s="5" t="str">
        <f>IF(Table13[[#This Row],[Pre or Post]]="Pre",IF(IF(Table13[[#This Row],[Response]]="Male",0,1)+IF(Table13[[#This Row],[Response]]="Female",0,1)=2,E463,Table13[[#This Row],[Response]]),"")</f>
        <v>Male</v>
      </c>
      <c r="F464" s="1">
        <v>4</v>
      </c>
      <c r="G464" s="1" t="s">
        <v>9</v>
      </c>
      <c r="H464" s="2" t="s">
        <v>9</v>
      </c>
      <c r="I46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65" spans="1:11">
      <c r="A465" s="1" t="s">
        <v>24</v>
      </c>
      <c r="B465" s="1" t="s">
        <v>25</v>
      </c>
      <c r="C465" s="1">
        <v>15</v>
      </c>
      <c r="D465" s="1" t="s">
        <v>6</v>
      </c>
      <c r="E465" s="5" t="str">
        <f>IF(Table13[[#This Row],[Pre or Post]]="Pre",IF(IF(Table13[[#This Row],[Response]]="Male",0,1)+IF(Table13[[#This Row],[Response]]="Female",0,1)=2,E464,Table13[[#This Row],[Response]]),"")</f>
        <v>Male</v>
      </c>
      <c r="F465" s="1">
        <v>5</v>
      </c>
      <c r="G465" s="1" t="s">
        <v>8</v>
      </c>
      <c r="H465" s="2" t="s">
        <v>9</v>
      </c>
      <c r="I46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66" spans="1:11">
      <c r="A466" s="1" t="s">
        <v>24</v>
      </c>
      <c r="B466" s="1" t="s">
        <v>25</v>
      </c>
      <c r="C466" s="1">
        <v>15</v>
      </c>
      <c r="D466" s="1" t="s">
        <v>6</v>
      </c>
      <c r="E466" s="5" t="str">
        <f>IF(Table13[[#This Row],[Pre or Post]]="Pre",IF(IF(Table13[[#This Row],[Response]]="Male",0,1)+IF(Table13[[#This Row],[Response]]="Female",0,1)=2,E465,Table13[[#This Row],[Response]]),"")</f>
        <v>Male</v>
      </c>
      <c r="F466" s="1">
        <v>6</v>
      </c>
      <c r="G466" s="1" t="s">
        <v>8</v>
      </c>
      <c r="H466" s="2" t="s">
        <v>9</v>
      </c>
      <c r="I46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67" spans="1:11">
      <c r="A467" s="1" t="s">
        <v>24</v>
      </c>
      <c r="B467" s="1" t="s">
        <v>25</v>
      </c>
      <c r="C467" s="1">
        <v>15</v>
      </c>
      <c r="D467" s="1" t="s">
        <v>6</v>
      </c>
      <c r="E467" s="5" t="str">
        <f>IF(Table13[[#This Row],[Pre or Post]]="Pre",IF(IF(Table13[[#This Row],[Response]]="Male",0,1)+IF(Table13[[#This Row],[Response]]="Female",0,1)=2,E466,Table13[[#This Row],[Response]]),"")</f>
        <v>Male</v>
      </c>
      <c r="F467" s="1">
        <v>7</v>
      </c>
      <c r="G467" s="1" t="s">
        <v>8</v>
      </c>
      <c r="H467" s="2" t="s">
        <v>9</v>
      </c>
      <c r="I46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68" spans="1:11">
      <c r="A468" s="1" t="s">
        <v>24</v>
      </c>
      <c r="B468" s="1" t="s">
        <v>25</v>
      </c>
      <c r="C468" s="1">
        <v>15</v>
      </c>
      <c r="D468" s="1" t="s">
        <v>6</v>
      </c>
      <c r="E468" s="5" t="str">
        <f>IF(Table13[[#This Row],[Pre or Post]]="Pre",IF(IF(Table13[[#This Row],[Response]]="Male",0,1)+IF(Table13[[#This Row],[Response]]="Female",0,1)=2,E467,Table13[[#This Row],[Response]]),"")</f>
        <v>Male</v>
      </c>
      <c r="F468" s="1">
        <v>8</v>
      </c>
      <c r="G468" s="1"/>
      <c r="H468" s="2" t="s">
        <v>9</v>
      </c>
      <c r="I46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69" spans="1:11">
      <c r="A469" s="1" t="s">
        <v>24</v>
      </c>
      <c r="B469" s="1" t="s">
        <v>25</v>
      </c>
      <c r="C469" s="1">
        <v>15</v>
      </c>
      <c r="D469" s="1" t="s">
        <v>6</v>
      </c>
      <c r="E469" s="5" t="str">
        <f>IF(Table13[[#This Row],[Pre or Post]]="Pre",IF(IF(Table13[[#This Row],[Response]]="Male",0,1)+IF(Table13[[#This Row],[Response]]="Female",0,1)=2,E468,Table13[[#This Row],[Response]]),"")</f>
        <v>Male</v>
      </c>
      <c r="F469" s="1">
        <v>9</v>
      </c>
      <c r="G469" s="1">
        <v>4</v>
      </c>
      <c r="H469" s="2" t="s">
        <v>9</v>
      </c>
      <c r="I46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70" spans="1:11">
      <c r="A470" s="1" t="s">
        <v>24</v>
      </c>
      <c r="B470" s="1" t="s">
        <v>25</v>
      </c>
      <c r="C470" s="1">
        <v>15</v>
      </c>
      <c r="D470" s="1" t="s">
        <v>6</v>
      </c>
      <c r="E470" s="5" t="str">
        <f>IF(Table13[[#This Row],[Pre or Post]]="Pre",IF(IF(Table13[[#This Row],[Response]]="Male",0,1)+IF(Table13[[#This Row],[Response]]="Female",0,1)=2,E469,Table13[[#This Row],[Response]]),"")</f>
        <v>Male</v>
      </c>
      <c r="F470" s="1">
        <v>10</v>
      </c>
      <c r="G470" s="1">
        <v>2</v>
      </c>
      <c r="H470" s="2" t="s">
        <v>9</v>
      </c>
      <c r="I47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71" spans="1:11">
      <c r="A471" s="1" t="s">
        <v>24</v>
      </c>
      <c r="B471" s="1" t="s">
        <v>25</v>
      </c>
      <c r="C471" s="1">
        <v>15</v>
      </c>
      <c r="D471" s="1" t="s">
        <v>6</v>
      </c>
      <c r="E471" s="5" t="str">
        <f>IF(Table13[[#This Row],[Pre or Post]]="Pre",IF(IF(Table13[[#This Row],[Response]]="Male",0,1)+IF(Table13[[#This Row],[Response]]="Female",0,1)=2,E470,Table13[[#This Row],[Response]]),"")</f>
        <v>Male</v>
      </c>
      <c r="F471" s="1">
        <v>11</v>
      </c>
      <c r="G471" s="1">
        <v>1</v>
      </c>
      <c r="H471" s="2" t="s">
        <v>9</v>
      </c>
      <c r="I47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72" spans="1:11">
      <c r="A472" s="1" t="s">
        <v>24</v>
      </c>
      <c r="B472" s="1" t="s">
        <v>25</v>
      </c>
      <c r="C472" s="1">
        <v>16</v>
      </c>
      <c r="D472" s="1" t="s">
        <v>6</v>
      </c>
      <c r="E472" s="5" t="str">
        <f>IF(Table13[[#This Row],[Pre or Post]]="Pre",IF(IF(Table13[[#This Row],[Response]]="Male",0,1)+IF(Table13[[#This Row],[Response]]="Female",0,1)=2,E471,Table13[[#This Row],[Response]]),"")</f>
        <v>Female</v>
      </c>
      <c r="F472" s="1">
        <v>2</v>
      </c>
      <c r="G472" s="1" t="s">
        <v>13</v>
      </c>
      <c r="H472" s="2" t="s">
        <v>9</v>
      </c>
      <c r="I47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73" spans="1:11">
      <c r="A473" s="1" t="s">
        <v>24</v>
      </c>
      <c r="B473" s="1" t="s">
        <v>25</v>
      </c>
      <c r="C473" s="1">
        <v>16</v>
      </c>
      <c r="D473" s="1" t="s">
        <v>6</v>
      </c>
      <c r="E473" s="5" t="str">
        <f>IF(Table13[[#This Row],[Pre or Post]]="Pre",IF(IF(Table13[[#This Row],[Response]]="Male",0,1)+IF(Table13[[#This Row],[Response]]="Female",0,1)=2,E472,Table13[[#This Row],[Response]]),"")</f>
        <v>Female</v>
      </c>
      <c r="F473" s="1">
        <v>3</v>
      </c>
      <c r="G473" s="1" t="s">
        <v>8</v>
      </c>
      <c r="H473" s="2" t="s">
        <v>9</v>
      </c>
      <c r="I47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74" spans="1:11">
      <c r="A474" s="1" t="s">
        <v>24</v>
      </c>
      <c r="B474" s="1" t="s">
        <v>25</v>
      </c>
      <c r="C474" s="1">
        <v>16</v>
      </c>
      <c r="D474" s="1" t="s">
        <v>6</v>
      </c>
      <c r="E474" s="5" t="str">
        <f>IF(Table13[[#This Row],[Pre or Post]]="Pre",IF(IF(Table13[[#This Row],[Response]]="Male",0,1)+IF(Table13[[#This Row],[Response]]="Female",0,1)=2,E473,Table13[[#This Row],[Response]]),"")</f>
        <v>Female</v>
      </c>
      <c r="F474" s="1">
        <v>4</v>
      </c>
      <c r="G474" s="1" t="s">
        <v>8</v>
      </c>
      <c r="H474" s="2" t="s">
        <v>9</v>
      </c>
      <c r="I47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75" spans="1:11">
      <c r="A475" s="1" t="s">
        <v>24</v>
      </c>
      <c r="B475" s="1" t="s">
        <v>25</v>
      </c>
      <c r="C475" s="1">
        <v>16</v>
      </c>
      <c r="D475" s="1" t="s">
        <v>6</v>
      </c>
      <c r="E475" s="5" t="str">
        <f>IF(Table13[[#This Row],[Pre or Post]]="Pre",IF(IF(Table13[[#This Row],[Response]]="Male",0,1)+IF(Table13[[#This Row],[Response]]="Female",0,1)=2,E474,Table13[[#This Row],[Response]]),"")</f>
        <v>Female</v>
      </c>
      <c r="F475" s="1">
        <v>5</v>
      </c>
      <c r="G475" s="1" t="s">
        <v>8</v>
      </c>
      <c r="H475" s="2" t="s">
        <v>9</v>
      </c>
      <c r="I47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76" spans="1:11">
      <c r="A476" s="1" t="s">
        <v>24</v>
      </c>
      <c r="B476" s="1" t="s">
        <v>25</v>
      </c>
      <c r="C476" s="1">
        <v>16</v>
      </c>
      <c r="D476" s="1" t="s">
        <v>6</v>
      </c>
      <c r="E476" s="5" t="str">
        <f>IF(Table13[[#This Row],[Pre or Post]]="Pre",IF(IF(Table13[[#This Row],[Response]]="Male",0,1)+IF(Table13[[#This Row],[Response]]="Female",0,1)=2,E475,Table13[[#This Row],[Response]]),"")</f>
        <v>Female</v>
      </c>
      <c r="F476" s="1">
        <v>6</v>
      </c>
      <c r="G476" s="1" t="s">
        <v>8</v>
      </c>
      <c r="H476" s="2" t="s">
        <v>9</v>
      </c>
      <c r="I47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77" spans="1:11">
      <c r="A477" s="1" t="s">
        <v>24</v>
      </c>
      <c r="B477" s="1" t="s">
        <v>25</v>
      </c>
      <c r="C477" s="1">
        <v>16</v>
      </c>
      <c r="D477" s="1" t="s">
        <v>6</v>
      </c>
      <c r="E477" s="5" t="str">
        <f>IF(Table13[[#This Row],[Pre or Post]]="Pre",IF(IF(Table13[[#This Row],[Response]]="Male",0,1)+IF(Table13[[#This Row],[Response]]="Female",0,1)=2,E476,Table13[[#This Row],[Response]]),"")</f>
        <v>Female</v>
      </c>
      <c r="F477" s="1">
        <v>7</v>
      </c>
      <c r="G477" s="1" t="s">
        <v>9</v>
      </c>
      <c r="H477" s="2" t="s">
        <v>9</v>
      </c>
      <c r="I47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78" spans="1:11">
      <c r="A478" s="1" t="s">
        <v>24</v>
      </c>
      <c r="B478" s="1" t="s">
        <v>25</v>
      </c>
      <c r="C478" s="1">
        <v>16</v>
      </c>
      <c r="D478" s="1" t="s">
        <v>6</v>
      </c>
      <c r="E478" s="5" t="str">
        <f>IF(Table13[[#This Row],[Pre or Post]]="Pre",IF(IF(Table13[[#This Row],[Response]]="Male",0,1)+IF(Table13[[#This Row],[Response]]="Female",0,1)=2,E477,Table13[[#This Row],[Response]]),"")</f>
        <v>Female</v>
      </c>
      <c r="F478" s="1">
        <v>8</v>
      </c>
      <c r="G478" s="1"/>
      <c r="H478" s="2" t="s">
        <v>9</v>
      </c>
      <c r="I47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79" spans="1:11">
      <c r="A479" s="1" t="s">
        <v>24</v>
      </c>
      <c r="B479" s="1" t="s">
        <v>25</v>
      </c>
      <c r="C479" s="1">
        <v>16</v>
      </c>
      <c r="D479" s="1" t="s">
        <v>6</v>
      </c>
      <c r="E479" s="5" t="str">
        <f>IF(Table13[[#This Row],[Pre or Post]]="Pre",IF(IF(Table13[[#This Row],[Response]]="Male",0,1)+IF(Table13[[#This Row],[Response]]="Female",0,1)=2,E478,Table13[[#This Row],[Response]]),"")</f>
        <v>Female</v>
      </c>
      <c r="F479" s="1">
        <v>9</v>
      </c>
      <c r="G479" s="1">
        <v>3</v>
      </c>
      <c r="H479" s="2" t="s">
        <v>9</v>
      </c>
      <c r="I47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80" spans="1:11">
      <c r="A480" s="1" t="s">
        <v>24</v>
      </c>
      <c r="B480" s="1" t="s">
        <v>25</v>
      </c>
      <c r="C480" s="1">
        <v>16</v>
      </c>
      <c r="D480" s="1" t="s">
        <v>6</v>
      </c>
      <c r="E480" s="5" t="str">
        <f>IF(Table13[[#This Row],[Pre or Post]]="Pre",IF(IF(Table13[[#This Row],[Response]]="Male",0,1)+IF(Table13[[#This Row],[Response]]="Female",0,1)=2,E479,Table13[[#This Row],[Response]]),"")</f>
        <v>Female</v>
      </c>
      <c r="F480" s="1">
        <v>10</v>
      </c>
      <c r="G480" s="1">
        <v>4</v>
      </c>
      <c r="H480" s="2" t="s">
        <v>9</v>
      </c>
      <c r="I48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81" spans="1:11">
      <c r="A481" s="1" t="s">
        <v>24</v>
      </c>
      <c r="B481" s="1" t="s">
        <v>25</v>
      </c>
      <c r="C481" s="1">
        <v>16</v>
      </c>
      <c r="D481" s="1" t="s">
        <v>6</v>
      </c>
      <c r="E481" s="5" t="str">
        <f>IF(Table13[[#This Row],[Pre or Post]]="Pre",IF(IF(Table13[[#This Row],[Response]]="Male",0,1)+IF(Table13[[#This Row],[Response]]="Female",0,1)=2,E480,Table13[[#This Row],[Response]]),"")</f>
        <v>Female</v>
      </c>
      <c r="F481" s="2">
        <v>11</v>
      </c>
      <c r="G481" s="1">
        <v>4</v>
      </c>
      <c r="H481" s="2" t="s">
        <v>9</v>
      </c>
      <c r="I48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82" spans="1:11">
      <c r="A482" s="1" t="s">
        <v>24</v>
      </c>
      <c r="B482" s="1" t="s">
        <v>25</v>
      </c>
      <c r="C482" s="1">
        <v>17</v>
      </c>
      <c r="D482" s="1" t="s">
        <v>6</v>
      </c>
      <c r="E482" s="5" t="str">
        <f>IF(Table13[[#This Row],[Pre or Post]]="Pre",IF(IF(Table13[[#This Row],[Response]]="Male",0,1)+IF(Table13[[#This Row],[Response]]="Female",0,1)=2,E481,Table13[[#This Row],[Response]]),"")</f>
        <v>Male</v>
      </c>
      <c r="F482" s="1">
        <v>2</v>
      </c>
      <c r="G482" s="1" t="s">
        <v>7</v>
      </c>
      <c r="H482" s="2" t="s">
        <v>9</v>
      </c>
      <c r="I48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83" spans="1:11">
      <c r="A483" s="1" t="s">
        <v>24</v>
      </c>
      <c r="B483" s="1" t="s">
        <v>25</v>
      </c>
      <c r="C483" s="1">
        <v>17</v>
      </c>
      <c r="D483" s="1" t="s">
        <v>6</v>
      </c>
      <c r="E483" s="5" t="str">
        <f>IF(Table13[[#This Row],[Pre or Post]]="Pre",IF(IF(Table13[[#This Row],[Response]]="Male",0,1)+IF(Table13[[#This Row],[Response]]="Female",0,1)=2,E482,Table13[[#This Row],[Response]]),"")</f>
        <v>Male</v>
      </c>
      <c r="F483" s="1">
        <v>3</v>
      </c>
      <c r="G483" s="1" t="s">
        <v>8</v>
      </c>
      <c r="H483" s="2" t="s">
        <v>9</v>
      </c>
      <c r="I48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84" spans="1:11">
      <c r="A484" s="1" t="s">
        <v>24</v>
      </c>
      <c r="B484" s="1" t="s">
        <v>25</v>
      </c>
      <c r="C484" s="1">
        <v>17</v>
      </c>
      <c r="D484" s="1" t="s">
        <v>6</v>
      </c>
      <c r="E484" s="5" t="str">
        <f>IF(Table13[[#This Row],[Pre or Post]]="Pre",IF(IF(Table13[[#This Row],[Response]]="Male",0,1)+IF(Table13[[#This Row],[Response]]="Female",0,1)=2,E483,Table13[[#This Row],[Response]]),"")</f>
        <v>Male</v>
      </c>
      <c r="F484" s="1">
        <v>4</v>
      </c>
      <c r="G484" s="1"/>
      <c r="H484" s="2" t="s">
        <v>9</v>
      </c>
      <c r="I48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85" spans="1:11">
      <c r="A485" s="1" t="s">
        <v>24</v>
      </c>
      <c r="B485" s="1" t="s">
        <v>25</v>
      </c>
      <c r="C485" s="1">
        <v>17</v>
      </c>
      <c r="D485" s="1" t="s">
        <v>6</v>
      </c>
      <c r="E485" s="5" t="str">
        <f>IF(Table13[[#This Row],[Pre or Post]]="Pre",IF(IF(Table13[[#This Row],[Response]]="Male",0,1)+IF(Table13[[#This Row],[Response]]="Female",0,1)=2,E484,Table13[[#This Row],[Response]]),"")</f>
        <v>Male</v>
      </c>
      <c r="F485" s="1">
        <v>5</v>
      </c>
      <c r="G485" s="1" t="s">
        <v>8</v>
      </c>
      <c r="H485" s="2" t="s">
        <v>9</v>
      </c>
      <c r="I48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86" spans="1:11">
      <c r="A486" s="1" t="s">
        <v>24</v>
      </c>
      <c r="B486" s="1" t="s">
        <v>25</v>
      </c>
      <c r="C486" s="1">
        <v>17</v>
      </c>
      <c r="D486" s="1" t="s">
        <v>6</v>
      </c>
      <c r="E486" s="5" t="str">
        <f>IF(Table13[[#This Row],[Pre or Post]]="Pre",IF(IF(Table13[[#This Row],[Response]]="Male",0,1)+IF(Table13[[#This Row],[Response]]="Female",0,1)=2,E485,Table13[[#This Row],[Response]]),"")</f>
        <v>Male</v>
      </c>
      <c r="F486" s="1">
        <v>6</v>
      </c>
      <c r="G486" s="1" t="s">
        <v>8</v>
      </c>
      <c r="H486" s="2" t="s">
        <v>9</v>
      </c>
      <c r="I48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87" spans="1:11">
      <c r="A487" s="1" t="s">
        <v>24</v>
      </c>
      <c r="B487" s="1" t="s">
        <v>25</v>
      </c>
      <c r="C487" s="1">
        <v>17</v>
      </c>
      <c r="D487" s="1" t="s">
        <v>6</v>
      </c>
      <c r="E487" s="5" t="str">
        <f>IF(Table13[[#This Row],[Pre or Post]]="Pre",IF(IF(Table13[[#This Row],[Response]]="Male",0,1)+IF(Table13[[#This Row],[Response]]="Female",0,1)=2,E486,Table13[[#This Row],[Response]]),"")</f>
        <v>Male</v>
      </c>
      <c r="F487" s="1">
        <v>7</v>
      </c>
      <c r="G487" s="1" t="s">
        <v>8</v>
      </c>
      <c r="H487" s="2" t="s">
        <v>9</v>
      </c>
      <c r="I48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88" spans="1:11">
      <c r="A488" s="1" t="s">
        <v>24</v>
      </c>
      <c r="B488" s="1" t="s">
        <v>25</v>
      </c>
      <c r="C488" s="1">
        <v>17</v>
      </c>
      <c r="D488" s="1" t="s">
        <v>6</v>
      </c>
      <c r="E488" s="5" t="str">
        <f>IF(Table13[[#This Row],[Pre or Post]]="Pre",IF(IF(Table13[[#This Row],[Response]]="Male",0,1)+IF(Table13[[#This Row],[Response]]="Female",0,1)=2,E487,Table13[[#This Row],[Response]]),"")</f>
        <v>Male</v>
      </c>
      <c r="F488" s="1">
        <v>8</v>
      </c>
      <c r="G488" s="1"/>
      <c r="H488" s="2" t="s">
        <v>9</v>
      </c>
      <c r="I48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89" spans="1:11">
      <c r="A489" s="1" t="s">
        <v>24</v>
      </c>
      <c r="B489" s="1" t="s">
        <v>25</v>
      </c>
      <c r="C489" s="1">
        <v>17</v>
      </c>
      <c r="D489" s="1" t="s">
        <v>6</v>
      </c>
      <c r="E489" s="5" t="str">
        <f>IF(Table13[[#This Row],[Pre or Post]]="Pre",IF(IF(Table13[[#This Row],[Response]]="Male",0,1)+IF(Table13[[#This Row],[Response]]="Female",0,1)=2,E488,Table13[[#This Row],[Response]]),"")</f>
        <v>Male</v>
      </c>
      <c r="F489" s="1">
        <v>9</v>
      </c>
      <c r="G489" s="1">
        <v>3</v>
      </c>
      <c r="H489" s="2" t="s">
        <v>9</v>
      </c>
      <c r="I48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90" spans="1:11">
      <c r="A490" s="1" t="s">
        <v>24</v>
      </c>
      <c r="B490" s="1" t="s">
        <v>25</v>
      </c>
      <c r="C490" s="1">
        <v>17</v>
      </c>
      <c r="D490" s="1" t="s">
        <v>6</v>
      </c>
      <c r="E490" s="5" t="str">
        <f>IF(Table13[[#This Row],[Pre or Post]]="Pre",IF(IF(Table13[[#This Row],[Response]]="Male",0,1)+IF(Table13[[#This Row],[Response]]="Female",0,1)=2,E489,Table13[[#This Row],[Response]]),"")</f>
        <v>Male</v>
      </c>
      <c r="F490" s="1">
        <v>10</v>
      </c>
      <c r="G490" s="1">
        <v>3</v>
      </c>
      <c r="H490" s="2" t="s">
        <v>9</v>
      </c>
      <c r="I49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91" spans="1:11">
      <c r="A491" s="1" t="s">
        <v>24</v>
      </c>
      <c r="B491" s="1" t="s">
        <v>25</v>
      </c>
      <c r="C491" s="1">
        <v>17</v>
      </c>
      <c r="D491" s="1" t="s">
        <v>6</v>
      </c>
      <c r="E491" s="5" t="str">
        <f>IF(Table13[[#This Row],[Pre or Post]]="Pre",IF(IF(Table13[[#This Row],[Response]]="Male",0,1)+IF(Table13[[#This Row],[Response]]="Female",0,1)=2,E490,Table13[[#This Row],[Response]]),"")</f>
        <v>Male</v>
      </c>
      <c r="F491" s="2">
        <v>11</v>
      </c>
      <c r="G491" s="1">
        <v>2</v>
      </c>
      <c r="H491" s="2" t="s">
        <v>9</v>
      </c>
      <c r="I49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92" spans="1:11">
      <c r="A492" s="1" t="s">
        <v>24</v>
      </c>
      <c r="B492" s="1" t="s">
        <v>25</v>
      </c>
      <c r="C492" s="1">
        <v>1</v>
      </c>
      <c r="D492" s="1" t="s">
        <v>16</v>
      </c>
      <c r="E492" s="5" t="str">
        <f>IF(Table13[[#This Row],[Pre or Post]]="Pre",IF(IF(Table13[[#This Row],[Response]]="Male",0,1)+IF(Table13[[#This Row],[Response]]="Female",0,1)=2,E491,Table13[[#This Row],[Response]]),"")</f>
        <v/>
      </c>
      <c r="F492" s="1">
        <v>2</v>
      </c>
      <c r="G492" s="1">
        <v>3</v>
      </c>
      <c r="H492" s="2" t="s">
        <v>8</v>
      </c>
      <c r="I49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93" spans="1:11">
      <c r="A493" s="1" t="s">
        <v>24</v>
      </c>
      <c r="B493" s="1" t="s">
        <v>25</v>
      </c>
      <c r="C493" s="1">
        <v>1</v>
      </c>
      <c r="D493" s="1" t="s">
        <v>16</v>
      </c>
      <c r="E493" s="5" t="str">
        <f>IF(Table13[[#This Row],[Pre or Post]]="Pre",IF(IF(Table13[[#This Row],[Response]]="Male",0,1)+IF(Table13[[#This Row],[Response]]="Female",0,1)=2,E492,Table13[[#This Row],[Response]]),"")</f>
        <v/>
      </c>
      <c r="F493" s="1">
        <v>3</v>
      </c>
      <c r="G493" s="1">
        <v>4</v>
      </c>
      <c r="H493" s="2" t="s">
        <v>8</v>
      </c>
      <c r="I49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94" spans="1:11">
      <c r="A494" s="1" t="s">
        <v>24</v>
      </c>
      <c r="B494" s="1" t="s">
        <v>25</v>
      </c>
      <c r="C494" s="1">
        <v>1</v>
      </c>
      <c r="D494" s="1" t="s">
        <v>16</v>
      </c>
      <c r="E494" s="5" t="str">
        <f>IF(Table13[[#This Row],[Pre or Post]]="Pre",IF(IF(Table13[[#This Row],[Response]]="Male",0,1)+IF(Table13[[#This Row],[Response]]="Female",0,1)=2,E493,Table13[[#This Row],[Response]]),"")</f>
        <v/>
      </c>
      <c r="F494" s="1">
        <v>4</v>
      </c>
      <c r="G494" s="1">
        <v>3</v>
      </c>
      <c r="H494" s="2" t="s">
        <v>8</v>
      </c>
      <c r="I49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95" spans="1:11">
      <c r="A495" s="1" t="s">
        <v>24</v>
      </c>
      <c r="B495" s="1" t="s">
        <v>25</v>
      </c>
      <c r="C495" s="1">
        <v>1</v>
      </c>
      <c r="D495" s="1" t="s">
        <v>16</v>
      </c>
      <c r="E495" s="5" t="str">
        <f>IF(Table13[[#This Row],[Pre or Post]]="Pre",IF(IF(Table13[[#This Row],[Response]]="Male",0,1)+IF(Table13[[#This Row],[Response]]="Female",0,1)=2,E494,Table13[[#This Row],[Response]]),"")</f>
        <v/>
      </c>
      <c r="F495" s="1">
        <v>5</v>
      </c>
      <c r="G495" s="1">
        <v>4</v>
      </c>
      <c r="H495" s="2" t="s">
        <v>8</v>
      </c>
      <c r="I49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96" spans="1:11">
      <c r="A496" s="1" t="s">
        <v>24</v>
      </c>
      <c r="B496" s="1" t="s">
        <v>25</v>
      </c>
      <c r="C496" s="1">
        <v>1</v>
      </c>
      <c r="D496" s="1" t="s">
        <v>16</v>
      </c>
      <c r="E496" s="5" t="str">
        <f>IF(Table13[[#This Row],[Pre or Post]]="Pre",IF(IF(Table13[[#This Row],[Response]]="Male",0,1)+IF(Table13[[#This Row],[Response]]="Female",0,1)=2,E495,Table13[[#This Row],[Response]]),"")</f>
        <v/>
      </c>
      <c r="F496" s="1">
        <v>6</v>
      </c>
      <c r="G496" s="1">
        <v>4</v>
      </c>
      <c r="H496" s="2" t="s">
        <v>8</v>
      </c>
      <c r="I49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97" spans="1:11">
      <c r="A497" s="1" t="s">
        <v>24</v>
      </c>
      <c r="B497" s="1" t="s">
        <v>25</v>
      </c>
      <c r="C497" s="1">
        <v>1</v>
      </c>
      <c r="D497" s="1" t="s">
        <v>16</v>
      </c>
      <c r="E497" s="5" t="str">
        <f>IF(Table13[[#This Row],[Pre or Post]]="Pre",IF(IF(Table13[[#This Row],[Response]]="Male",0,1)+IF(Table13[[#This Row],[Response]]="Female",0,1)=2,E496,Table13[[#This Row],[Response]]),"")</f>
        <v/>
      </c>
      <c r="F497" s="1">
        <v>7</v>
      </c>
      <c r="G497" s="1">
        <v>3</v>
      </c>
      <c r="H497" s="2" t="s">
        <v>8</v>
      </c>
      <c r="I49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98" spans="1:11">
      <c r="A498" s="1" t="s">
        <v>24</v>
      </c>
      <c r="B498" s="1" t="s">
        <v>25</v>
      </c>
      <c r="C498" s="1">
        <v>1</v>
      </c>
      <c r="D498" s="1" t="s">
        <v>16</v>
      </c>
      <c r="E498" s="5" t="str">
        <f>IF(Table13[[#This Row],[Pre or Post]]="Pre",IF(IF(Table13[[#This Row],[Response]]="Male",0,1)+IF(Table13[[#This Row],[Response]]="Female",0,1)=2,E497,Table13[[#This Row],[Response]]),"")</f>
        <v/>
      </c>
      <c r="F498" s="1">
        <v>8</v>
      </c>
      <c r="G498" s="1" t="s">
        <v>8</v>
      </c>
      <c r="H498" s="2" t="s">
        <v>8</v>
      </c>
      <c r="I49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499" spans="1:11">
      <c r="A499" s="1" t="s">
        <v>24</v>
      </c>
      <c r="B499" s="1" t="s">
        <v>25</v>
      </c>
      <c r="C499" s="1">
        <v>1</v>
      </c>
      <c r="D499" s="1" t="s">
        <v>16</v>
      </c>
      <c r="E499" s="5" t="str">
        <f>IF(Table13[[#This Row],[Pre or Post]]="Pre",IF(IF(Table13[[#This Row],[Response]]="Male",0,1)+IF(Table13[[#This Row],[Response]]="Female",0,1)=2,E498,Table13[[#This Row],[Response]]),"")</f>
        <v/>
      </c>
      <c r="F499" s="1">
        <v>9</v>
      </c>
      <c r="G499" s="1" t="s">
        <v>17</v>
      </c>
      <c r="H499" s="2" t="s">
        <v>8</v>
      </c>
      <c r="I49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4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4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00" spans="1:11">
      <c r="A500" s="1" t="s">
        <v>24</v>
      </c>
      <c r="B500" s="1" t="s">
        <v>25</v>
      </c>
      <c r="C500" s="1">
        <v>1</v>
      </c>
      <c r="D500" s="1" t="s">
        <v>16</v>
      </c>
      <c r="E500" s="5" t="str">
        <f>IF(Table13[[#This Row],[Pre or Post]]="Pre",IF(IF(Table13[[#This Row],[Response]]="Male",0,1)+IF(Table13[[#This Row],[Response]]="Female",0,1)=2,E499,Table13[[#This Row],[Response]]),"")</f>
        <v/>
      </c>
      <c r="F500" s="1">
        <v>10</v>
      </c>
      <c r="G500" s="1" t="s">
        <v>18</v>
      </c>
      <c r="H500" s="2" t="s">
        <v>8</v>
      </c>
      <c r="I50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01" spans="1:11">
      <c r="A501" s="1" t="s">
        <v>24</v>
      </c>
      <c r="B501" s="1" t="s">
        <v>25</v>
      </c>
      <c r="C501" s="1">
        <v>1</v>
      </c>
      <c r="D501" s="1" t="s">
        <v>16</v>
      </c>
      <c r="E501" s="5" t="str">
        <f>IF(Table13[[#This Row],[Pre or Post]]="Pre",IF(IF(Table13[[#This Row],[Response]]="Male",0,1)+IF(Table13[[#This Row],[Response]]="Female",0,1)=2,E500,Table13[[#This Row],[Response]]),"")</f>
        <v/>
      </c>
      <c r="F501" s="1">
        <v>11</v>
      </c>
      <c r="G501" s="1" t="s">
        <v>9</v>
      </c>
      <c r="H501" s="2" t="s">
        <v>8</v>
      </c>
      <c r="I50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02" spans="1:11">
      <c r="A502" s="1" t="s">
        <v>24</v>
      </c>
      <c r="B502" s="1" t="s">
        <v>25</v>
      </c>
      <c r="C502" s="1">
        <v>2</v>
      </c>
      <c r="D502" s="1" t="s">
        <v>16</v>
      </c>
      <c r="E502" s="5" t="str">
        <f>IF(Table13[[#This Row],[Pre or Post]]="Pre",IF(IF(Table13[[#This Row],[Response]]="Male",0,1)+IF(Table13[[#This Row],[Response]]="Female",0,1)=2,E501,Table13[[#This Row],[Response]]),"")</f>
        <v/>
      </c>
      <c r="F502" s="1">
        <v>2</v>
      </c>
      <c r="G502" s="1">
        <v>3</v>
      </c>
      <c r="H502" s="2" t="s">
        <v>8</v>
      </c>
      <c r="I50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03" spans="1:11">
      <c r="A503" s="1" t="s">
        <v>24</v>
      </c>
      <c r="B503" s="1" t="s">
        <v>25</v>
      </c>
      <c r="C503" s="1">
        <v>2</v>
      </c>
      <c r="D503" s="1" t="s">
        <v>16</v>
      </c>
      <c r="E503" s="5" t="str">
        <f>IF(Table13[[#This Row],[Pre or Post]]="Pre",IF(IF(Table13[[#This Row],[Response]]="Male",0,1)+IF(Table13[[#This Row],[Response]]="Female",0,1)=2,E502,Table13[[#This Row],[Response]]),"")</f>
        <v/>
      </c>
      <c r="F503" s="1">
        <v>3</v>
      </c>
      <c r="G503" s="1">
        <v>4</v>
      </c>
      <c r="H503" s="2" t="s">
        <v>8</v>
      </c>
      <c r="I50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04" spans="1:11">
      <c r="A504" s="1" t="s">
        <v>24</v>
      </c>
      <c r="B504" s="1" t="s">
        <v>25</v>
      </c>
      <c r="C504" s="1">
        <v>2</v>
      </c>
      <c r="D504" s="1" t="s">
        <v>16</v>
      </c>
      <c r="E504" s="5" t="str">
        <f>IF(Table13[[#This Row],[Pre or Post]]="Pre",IF(IF(Table13[[#This Row],[Response]]="Male",0,1)+IF(Table13[[#This Row],[Response]]="Female",0,1)=2,E503,Table13[[#This Row],[Response]]),"")</f>
        <v/>
      </c>
      <c r="F504" s="1">
        <v>4</v>
      </c>
      <c r="G504" s="1">
        <v>3</v>
      </c>
      <c r="H504" s="2" t="s">
        <v>8</v>
      </c>
      <c r="I50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05" spans="1:11">
      <c r="A505" s="1" t="s">
        <v>24</v>
      </c>
      <c r="B505" s="1" t="s">
        <v>25</v>
      </c>
      <c r="C505" s="1">
        <v>2</v>
      </c>
      <c r="D505" s="1" t="s">
        <v>16</v>
      </c>
      <c r="E505" s="5" t="str">
        <f>IF(Table13[[#This Row],[Pre or Post]]="Pre",IF(IF(Table13[[#This Row],[Response]]="Male",0,1)+IF(Table13[[#This Row],[Response]]="Female",0,1)=2,E504,Table13[[#This Row],[Response]]),"")</f>
        <v/>
      </c>
      <c r="F505" s="1">
        <v>5</v>
      </c>
      <c r="G505" s="1">
        <v>4</v>
      </c>
      <c r="H505" s="2" t="s">
        <v>8</v>
      </c>
      <c r="I50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06" spans="1:11">
      <c r="A506" s="1" t="s">
        <v>24</v>
      </c>
      <c r="B506" s="1" t="s">
        <v>25</v>
      </c>
      <c r="C506" s="1">
        <v>2</v>
      </c>
      <c r="D506" s="1" t="s">
        <v>16</v>
      </c>
      <c r="E506" s="5" t="str">
        <f>IF(Table13[[#This Row],[Pre or Post]]="Pre",IF(IF(Table13[[#This Row],[Response]]="Male",0,1)+IF(Table13[[#This Row],[Response]]="Female",0,1)=2,E505,Table13[[#This Row],[Response]]),"")</f>
        <v/>
      </c>
      <c r="F506" s="1">
        <v>6</v>
      </c>
      <c r="G506" s="1">
        <v>3</v>
      </c>
      <c r="H506" s="2" t="s">
        <v>8</v>
      </c>
      <c r="I50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07" spans="1:11">
      <c r="A507" s="1" t="s">
        <v>24</v>
      </c>
      <c r="B507" s="1" t="s">
        <v>25</v>
      </c>
      <c r="C507" s="1">
        <v>2</v>
      </c>
      <c r="D507" s="1" t="s">
        <v>16</v>
      </c>
      <c r="E507" s="5" t="str">
        <f>IF(Table13[[#This Row],[Pre or Post]]="Pre",IF(IF(Table13[[#This Row],[Response]]="Male",0,1)+IF(Table13[[#This Row],[Response]]="Female",0,1)=2,E506,Table13[[#This Row],[Response]]),"")</f>
        <v/>
      </c>
      <c r="F507" s="1">
        <v>7</v>
      </c>
      <c r="G507" s="1">
        <v>2</v>
      </c>
      <c r="H507" s="2" t="s">
        <v>8</v>
      </c>
      <c r="I50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08" spans="1:11">
      <c r="A508" s="1" t="s">
        <v>24</v>
      </c>
      <c r="B508" s="1" t="s">
        <v>25</v>
      </c>
      <c r="C508" s="1">
        <v>2</v>
      </c>
      <c r="D508" s="1" t="s">
        <v>16</v>
      </c>
      <c r="E508" s="5" t="str">
        <f>IF(Table13[[#This Row],[Pre or Post]]="Pre",IF(IF(Table13[[#This Row],[Response]]="Male",0,1)+IF(Table13[[#This Row],[Response]]="Female",0,1)=2,E507,Table13[[#This Row],[Response]]),"")</f>
        <v/>
      </c>
      <c r="F508" s="1">
        <v>8</v>
      </c>
      <c r="G508" s="1" t="s">
        <v>8</v>
      </c>
      <c r="H508" s="2" t="s">
        <v>8</v>
      </c>
      <c r="I50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09" spans="1:11">
      <c r="A509" s="1" t="s">
        <v>24</v>
      </c>
      <c r="B509" s="1" t="s">
        <v>25</v>
      </c>
      <c r="C509" s="1">
        <v>2</v>
      </c>
      <c r="D509" s="1" t="s">
        <v>16</v>
      </c>
      <c r="E509" s="5" t="str">
        <f>IF(Table13[[#This Row],[Pre or Post]]="Pre",IF(IF(Table13[[#This Row],[Response]]="Male",0,1)+IF(Table13[[#This Row],[Response]]="Female",0,1)=2,E508,Table13[[#This Row],[Response]]),"")</f>
        <v/>
      </c>
      <c r="F509" s="1">
        <v>9</v>
      </c>
      <c r="G509" s="1" t="s">
        <v>17</v>
      </c>
      <c r="H509" s="2" t="s">
        <v>8</v>
      </c>
      <c r="I50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10" spans="1:11">
      <c r="A510" s="1" t="s">
        <v>24</v>
      </c>
      <c r="B510" s="1" t="s">
        <v>25</v>
      </c>
      <c r="C510" s="1">
        <v>2</v>
      </c>
      <c r="D510" s="1" t="s">
        <v>16</v>
      </c>
      <c r="E510" s="5" t="str">
        <f>IF(Table13[[#This Row],[Pre or Post]]="Pre",IF(IF(Table13[[#This Row],[Response]]="Male",0,1)+IF(Table13[[#This Row],[Response]]="Female",0,1)=2,E509,Table13[[#This Row],[Response]]),"")</f>
        <v/>
      </c>
      <c r="F510" s="1">
        <v>10</v>
      </c>
      <c r="G510" s="1" t="s">
        <v>18</v>
      </c>
      <c r="H510" s="2" t="s">
        <v>8</v>
      </c>
      <c r="I51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11" spans="1:11">
      <c r="A511" s="1" t="s">
        <v>24</v>
      </c>
      <c r="B511" s="1" t="s">
        <v>25</v>
      </c>
      <c r="C511" s="1">
        <v>2</v>
      </c>
      <c r="D511" s="1" t="s">
        <v>16</v>
      </c>
      <c r="E511" s="5" t="str">
        <f>IF(Table13[[#This Row],[Pre or Post]]="Pre",IF(IF(Table13[[#This Row],[Response]]="Male",0,1)+IF(Table13[[#This Row],[Response]]="Female",0,1)=2,E510,Table13[[#This Row],[Response]]),"")</f>
        <v/>
      </c>
      <c r="F511" s="1">
        <v>11</v>
      </c>
      <c r="G511" s="1" t="s">
        <v>9</v>
      </c>
      <c r="H511" s="2" t="s">
        <v>8</v>
      </c>
      <c r="I51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12" spans="1:11">
      <c r="A512" s="1" t="s">
        <v>24</v>
      </c>
      <c r="B512" s="1" t="s">
        <v>25</v>
      </c>
      <c r="C512" s="1">
        <v>3</v>
      </c>
      <c r="D512" s="1" t="s">
        <v>16</v>
      </c>
      <c r="E512" s="5" t="str">
        <f>IF(Table13[[#This Row],[Pre or Post]]="Pre",IF(IF(Table13[[#This Row],[Response]]="Male",0,1)+IF(Table13[[#This Row],[Response]]="Female",0,1)=2,E511,Table13[[#This Row],[Response]]),"")</f>
        <v/>
      </c>
      <c r="F512" s="1">
        <v>2</v>
      </c>
      <c r="G512" s="1">
        <v>3</v>
      </c>
      <c r="H512" s="2" t="s">
        <v>8</v>
      </c>
      <c r="I51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13" spans="1:11">
      <c r="A513" s="1" t="s">
        <v>24</v>
      </c>
      <c r="B513" s="1" t="s">
        <v>25</v>
      </c>
      <c r="C513" s="1">
        <v>3</v>
      </c>
      <c r="D513" s="1" t="s">
        <v>16</v>
      </c>
      <c r="E513" s="5" t="str">
        <f>IF(Table13[[#This Row],[Pre or Post]]="Pre",IF(IF(Table13[[#This Row],[Response]]="Male",0,1)+IF(Table13[[#This Row],[Response]]="Female",0,1)=2,E512,Table13[[#This Row],[Response]]),"")</f>
        <v/>
      </c>
      <c r="F513" s="1">
        <v>3</v>
      </c>
      <c r="G513" s="1">
        <v>3</v>
      </c>
      <c r="H513" s="2" t="s">
        <v>8</v>
      </c>
      <c r="I51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14" spans="1:11">
      <c r="A514" s="1" t="s">
        <v>24</v>
      </c>
      <c r="B514" s="1" t="s">
        <v>25</v>
      </c>
      <c r="C514" s="1">
        <v>3</v>
      </c>
      <c r="D514" s="1" t="s">
        <v>16</v>
      </c>
      <c r="E514" s="5" t="str">
        <f>IF(Table13[[#This Row],[Pre or Post]]="Pre",IF(IF(Table13[[#This Row],[Response]]="Male",0,1)+IF(Table13[[#This Row],[Response]]="Female",0,1)=2,E513,Table13[[#This Row],[Response]]),"")</f>
        <v/>
      </c>
      <c r="F514" s="1">
        <v>4</v>
      </c>
      <c r="G514" s="1">
        <v>4</v>
      </c>
      <c r="H514" s="2" t="s">
        <v>8</v>
      </c>
      <c r="I51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15" spans="1:11">
      <c r="A515" s="1" t="s">
        <v>24</v>
      </c>
      <c r="B515" s="1" t="s">
        <v>25</v>
      </c>
      <c r="C515" s="1">
        <v>3</v>
      </c>
      <c r="D515" s="1" t="s">
        <v>16</v>
      </c>
      <c r="E515" s="5" t="str">
        <f>IF(Table13[[#This Row],[Pre or Post]]="Pre",IF(IF(Table13[[#This Row],[Response]]="Male",0,1)+IF(Table13[[#This Row],[Response]]="Female",0,1)=2,E514,Table13[[#This Row],[Response]]),"")</f>
        <v/>
      </c>
      <c r="F515" s="1">
        <v>5</v>
      </c>
      <c r="G515" s="1">
        <v>5</v>
      </c>
      <c r="H515" s="2" t="s">
        <v>8</v>
      </c>
      <c r="I51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16" spans="1:11">
      <c r="A516" s="1" t="s">
        <v>24</v>
      </c>
      <c r="B516" s="1" t="s">
        <v>25</v>
      </c>
      <c r="C516" s="1">
        <v>3</v>
      </c>
      <c r="D516" s="1" t="s">
        <v>16</v>
      </c>
      <c r="E516" s="5" t="str">
        <f>IF(Table13[[#This Row],[Pre or Post]]="Pre",IF(IF(Table13[[#This Row],[Response]]="Male",0,1)+IF(Table13[[#This Row],[Response]]="Female",0,1)=2,E515,Table13[[#This Row],[Response]]),"")</f>
        <v/>
      </c>
      <c r="F516" s="1">
        <v>6</v>
      </c>
      <c r="G516" s="1">
        <v>4</v>
      </c>
      <c r="H516" s="2" t="s">
        <v>8</v>
      </c>
      <c r="I51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17" spans="1:11">
      <c r="A517" s="1" t="s">
        <v>24</v>
      </c>
      <c r="B517" s="1" t="s">
        <v>25</v>
      </c>
      <c r="C517" s="1">
        <v>3</v>
      </c>
      <c r="D517" s="1" t="s">
        <v>16</v>
      </c>
      <c r="E517" s="5" t="str">
        <f>IF(Table13[[#This Row],[Pre or Post]]="Pre",IF(IF(Table13[[#This Row],[Response]]="Male",0,1)+IF(Table13[[#This Row],[Response]]="Female",0,1)=2,E516,Table13[[#This Row],[Response]]),"")</f>
        <v/>
      </c>
      <c r="F517" s="1">
        <v>7</v>
      </c>
      <c r="G517" s="1">
        <v>5</v>
      </c>
      <c r="H517" s="2" t="s">
        <v>8</v>
      </c>
      <c r="I51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18" spans="1:11">
      <c r="A518" s="1" t="s">
        <v>24</v>
      </c>
      <c r="B518" s="1" t="s">
        <v>25</v>
      </c>
      <c r="C518" s="1">
        <v>3</v>
      </c>
      <c r="D518" s="1" t="s">
        <v>16</v>
      </c>
      <c r="E518" s="5" t="str">
        <f>IF(Table13[[#This Row],[Pre or Post]]="Pre",IF(IF(Table13[[#This Row],[Response]]="Male",0,1)+IF(Table13[[#This Row],[Response]]="Female",0,1)=2,E517,Table13[[#This Row],[Response]]),"")</f>
        <v/>
      </c>
      <c r="F518" s="1">
        <v>8</v>
      </c>
      <c r="G518" s="1" t="s">
        <v>8</v>
      </c>
      <c r="H518" s="2" t="s">
        <v>8</v>
      </c>
      <c r="I51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19" spans="1:11">
      <c r="A519" s="1" t="s">
        <v>24</v>
      </c>
      <c r="B519" s="1" t="s">
        <v>25</v>
      </c>
      <c r="C519" s="1">
        <v>3</v>
      </c>
      <c r="D519" s="1" t="s">
        <v>16</v>
      </c>
      <c r="E519" s="5" t="str">
        <f>IF(Table13[[#This Row],[Pre or Post]]="Pre",IF(IF(Table13[[#This Row],[Response]]="Male",0,1)+IF(Table13[[#This Row],[Response]]="Female",0,1)=2,E518,Table13[[#This Row],[Response]]),"")</f>
        <v/>
      </c>
      <c r="F519" s="1">
        <v>9</v>
      </c>
      <c r="G519" s="1" t="s">
        <v>17</v>
      </c>
      <c r="H519" s="2" t="s">
        <v>8</v>
      </c>
      <c r="I51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20" spans="1:11">
      <c r="A520" s="1" t="s">
        <v>24</v>
      </c>
      <c r="B520" s="1" t="s">
        <v>25</v>
      </c>
      <c r="C520" s="1">
        <v>3</v>
      </c>
      <c r="D520" s="1" t="s">
        <v>16</v>
      </c>
      <c r="E520" s="5" t="str">
        <f>IF(Table13[[#This Row],[Pre or Post]]="Pre",IF(IF(Table13[[#This Row],[Response]]="Male",0,1)+IF(Table13[[#This Row],[Response]]="Female",0,1)=2,E519,Table13[[#This Row],[Response]]),"")</f>
        <v/>
      </c>
      <c r="F520" s="1">
        <v>10</v>
      </c>
      <c r="G520" s="1" t="s">
        <v>19</v>
      </c>
      <c r="H520" s="2" t="s">
        <v>8</v>
      </c>
      <c r="I52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21" spans="1:11">
      <c r="A521" s="1" t="s">
        <v>24</v>
      </c>
      <c r="B521" s="1" t="s">
        <v>25</v>
      </c>
      <c r="C521" s="1">
        <v>3</v>
      </c>
      <c r="D521" s="1" t="s">
        <v>16</v>
      </c>
      <c r="E521" s="5" t="str">
        <f>IF(Table13[[#This Row],[Pre or Post]]="Pre",IF(IF(Table13[[#This Row],[Response]]="Male",0,1)+IF(Table13[[#This Row],[Response]]="Female",0,1)=2,E520,Table13[[#This Row],[Response]]),"")</f>
        <v/>
      </c>
      <c r="F521" s="1">
        <v>11</v>
      </c>
      <c r="G521" s="1" t="s">
        <v>9</v>
      </c>
      <c r="H521" s="2" t="s">
        <v>8</v>
      </c>
      <c r="I52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22" spans="1:11">
      <c r="A522" s="1" t="s">
        <v>24</v>
      </c>
      <c r="B522" s="1" t="s">
        <v>25</v>
      </c>
      <c r="C522" s="1">
        <v>4</v>
      </c>
      <c r="D522" s="1" t="s">
        <v>16</v>
      </c>
      <c r="E522" s="5" t="str">
        <f>IF(Table13[[#This Row],[Pre or Post]]="Pre",IF(IF(Table13[[#This Row],[Response]]="Male",0,1)+IF(Table13[[#This Row],[Response]]="Female",0,1)=2,E521,Table13[[#This Row],[Response]]),"")</f>
        <v/>
      </c>
      <c r="F522" s="1">
        <v>2</v>
      </c>
      <c r="G522" s="1">
        <v>3</v>
      </c>
      <c r="H522" s="2" t="s">
        <v>8</v>
      </c>
      <c r="I52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23" spans="1:11">
      <c r="A523" s="1" t="s">
        <v>24</v>
      </c>
      <c r="B523" s="1" t="s">
        <v>25</v>
      </c>
      <c r="C523" s="1">
        <v>4</v>
      </c>
      <c r="D523" s="1" t="s">
        <v>16</v>
      </c>
      <c r="E523" s="5" t="str">
        <f>IF(Table13[[#This Row],[Pre or Post]]="Pre",IF(IF(Table13[[#This Row],[Response]]="Male",0,1)+IF(Table13[[#This Row],[Response]]="Female",0,1)=2,E522,Table13[[#This Row],[Response]]),"")</f>
        <v/>
      </c>
      <c r="F523" s="1">
        <v>3</v>
      </c>
      <c r="G523" s="1">
        <v>3</v>
      </c>
      <c r="H523" s="2" t="s">
        <v>8</v>
      </c>
      <c r="I52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24" spans="1:11">
      <c r="A524" s="1" t="s">
        <v>24</v>
      </c>
      <c r="B524" s="1" t="s">
        <v>25</v>
      </c>
      <c r="C524" s="1">
        <v>4</v>
      </c>
      <c r="D524" s="1" t="s">
        <v>16</v>
      </c>
      <c r="E524" s="5" t="str">
        <f>IF(Table13[[#This Row],[Pre or Post]]="Pre",IF(IF(Table13[[#This Row],[Response]]="Male",0,1)+IF(Table13[[#This Row],[Response]]="Female",0,1)=2,E523,Table13[[#This Row],[Response]]),"")</f>
        <v/>
      </c>
      <c r="F524" s="1">
        <v>4</v>
      </c>
      <c r="G524" s="1">
        <v>1</v>
      </c>
      <c r="H524" s="2" t="s">
        <v>8</v>
      </c>
      <c r="I52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25" spans="1:11">
      <c r="A525" s="1" t="s">
        <v>24</v>
      </c>
      <c r="B525" s="1" t="s">
        <v>25</v>
      </c>
      <c r="C525" s="1">
        <v>4</v>
      </c>
      <c r="D525" s="1" t="s">
        <v>16</v>
      </c>
      <c r="E525" s="5" t="str">
        <f>IF(Table13[[#This Row],[Pre or Post]]="Pre",IF(IF(Table13[[#This Row],[Response]]="Male",0,1)+IF(Table13[[#This Row],[Response]]="Female",0,1)=2,E524,Table13[[#This Row],[Response]]),"")</f>
        <v/>
      </c>
      <c r="F525" s="1">
        <v>5</v>
      </c>
      <c r="G525" s="1">
        <v>5</v>
      </c>
      <c r="H525" s="2" t="s">
        <v>8</v>
      </c>
      <c r="I52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26" spans="1:11">
      <c r="A526" s="1" t="s">
        <v>24</v>
      </c>
      <c r="B526" s="1" t="s">
        <v>25</v>
      </c>
      <c r="C526" s="1">
        <v>4</v>
      </c>
      <c r="D526" s="1" t="s">
        <v>16</v>
      </c>
      <c r="E526" s="5" t="str">
        <f>IF(Table13[[#This Row],[Pre or Post]]="Pre",IF(IF(Table13[[#This Row],[Response]]="Male",0,1)+IF(Table13[[#This Row],[Response]]="Female",0,1)=2,E525,Table13[[#This Row],[Response]]),"")</f>
        <v/>
      </c>
      <c r="F526" s="1">
        <v>6</v>
      </c>
      <c r="G526" s="1">
        <v>2</v>
      </c>
      <c r="H526" s="2" t="s">
        <v>8</v>
      </c>
      <c r="I52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27" spans="1:11">
      <c r="A527" s="1" t="s">
        <v>24</v>
      </c>
      <c r="B527" s="1" t="s">
        <v>25</v>
      </c>
      <c r="C527" s="1">
        <v>4</v>
      </c>
      <c r="D527" s="1" t="s">
        <v>16</v>
      </c>
      <c r="E527" s="5" t="str">
        <f>IF(Table13[[#This Row],[Pre or Post]]="Pre",IF(IF(Table13[[#This Row],[Response]]="Male",0,1)+IF(Table13[[#This Row],[Response]]="Female",0,1)=2,E526,Table13[[#This Row],[Response]]),"")</f>
        <v/>
      </c>
      <c r="F527" s="1">
        <v>7</v>
      </c>
      <c r="G527" s="1">
        <v>3</v>
      </c>
      <c r="H527" s="2" t="s">
        <v>8</v>
      </c>
      <c r="I52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28" spans="1:11">
      <c r="A528" s="1" t="s">
        <v>24</v>
      </c>
      <c r="B528" s="1" t="s">
        <v>25</v>
      </c>
      <c r="C528" s="1">
        <v>4</v>
      </c>
      <c r="D528" s="1" t="s">
        <v>16</v>
      </c>
      <c r="E528" s="5" t="str">
        <f>IF(Table13[[#This Row],[Pre or Post]]="Pre",IF(IF(Table13[[#This Row],[Response]]="Male",0,1)+IF(Table13[[#This Row],[Response]]="Female",0,1)=2,E527,Table13[[#This Row],[Response]]),"")</f>
        <v/>
      </c>
      <c r="F528" s="1">
        <v>8</v>
      </c>
      <c r="G528" s="1" t="s">
        <v>8</v>
      </c>
      <c r="H528" s="2" t="s">
        <v>8</v>
      </c>
      <c r="I52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29" spans="1:11">
      <c r="A529" s="1" t="s">
        <v>24</v>
      </c>
      <c r="B529" s="1" t="s">
        <v>25</v>
      </c>
      <c r="C529" s="1">
        <v>4</v>
      </c>
      <c r="D529" s="1" t="s">
        <v>16</v>
      </c>
      <c r="E529" s="5" t="str">
        <f>IF(Table13[[#This Row],[Pre or Post]]="Pre",IF(IF(Table13[[#This Row],[Response]]="Male",0,1)+IF(Table13[[#This Row],[Response]]="Female",0,1)=2,E528,Table13[[#This Row],[Response]]),"")</f>
        <v/>
      </c>
      <c r="F529" s="1">
        <v>9</v>
      </c>
      <c r="G529" s="1" t="s">
        <v>17</v>
      </c>
      <c r="H529" s="2" t="s">
        <v>8</v>
      </c>
      <c r="I52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30" spans="1:11">
      <c r="A530" s="1" t="s">
        <v>24</v>
      </c>
      <c r="B530" s="1" t="s">
        <v>25</v>
      </c>
      <c r="C530" s="1">
        <v>4</v>
      </c>
      <c r="D530" s="1" t="s">
        <v>16</v>
      </c>
      <c r="E530" s="5" t="str">
        <f>IF(Table13[[#This Row],[Pre or Post]]="Pre",IF(IF(Table13[[#This Row],[Response]]="Male",0,1)+IF(Table13[[#This Row],[Response]]="Female",0,1)=2,E529,Table13[[#This Row],[Response]]),"")</f>
        <v/>
      </c>
      <c r="F530" s="1">
        <v>10</v>
      </c>
      <c r="G530" s="1" t="s">
        <v>18</v>
      </c>
      <c r="H530" s="2" t="s">
        <v>8</v>
      </c>
      <c r="I53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31" spans="1:11">
      <c r="A531" s="1" t="s">
        <v>24</v>
      </c>
      <c r="B531" s="1" t="s">
        <v>25</v>
      </c>
      <c r="C531" s="1">
        <v>4</v>
      </c>
      <c r="D531" s="1" t="s">
        <v>16</v>
      </c>
      <c r="E531" s="5" t="str">
        <f>IF(Table13[[#This Row],[Pre or Post]]="Pre",IF(IF(Table13[[#This Row],[Response]]="Male",0,1)+IF(Table13[[#This Row],[Response]]="Female",0,1)=2,E530,Table13[[#This Row],[Response]]),"")</f>
        <v/>
      </c>
      <c r="F531" s="1">
        <v>11</v>
      </c>
      <c r="G531" s="1" t="s">
        <v>9</v>
      </c>
      <c r="H531" s="2" t="s">
        <v>8</v>
      </c>
      <c r="I53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32" spans="1:11">
      <c r="A532" s="1" t="s">
        <v>24</v>
      </c>
      <c r="B532" s="1" t="s">
        <v>25</v>
      </c>
      <c r="C532" s="1">
        <v>5</v>
      </c>
      <c r="D532" s="1" t="s">
        <v>16</v>
      </c>
      <c r="E532" s="5" t="str">
        <f>IF(Table13[[#This Row],[Pre or Post]]="Pre",IF(IF(Table13[[#This Row],[Response]]="Male",0,1)+IF(Table13[[#This Row],[Response]]="Female",0,1)=2,E531,Table13[[#This Row],[Response]]),"")</f>
        <v/>
      </c>
      <c r="F532" s="1">
        <v>2</v>
      </c>
      <c r="G532" s="1">
        <v>4</v>
      </c>
      <c r="H532" s="2" t="s">
        <v>8</v>
      </c>
      <c r="I53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33" spans="1:11">
      <c r="A533" s="1" t="s">
        <v>24</v>
      </c>
      <c r="B533" s="1" t="s">
        <v>25</v>
      </c>
      <c r="C533" s="1">
        <v>5</v>
      </c>
      <c r="D533" s="1" t="s">
        <v>16</v>
      </c>
      <c r="E533" s="5" t="str">
        <f>IF(Table13[[#This Row],[Pre or Post]]="Pre",IF(IF(Table13[[#This Row],[Response]]="Male",0,1)+IF(Table13[[#This Row],[Response]]="Female",0,1)=2,E532,Table13[[#This Row],[Response]]),"")</f>
        <v/>
      </c>
      <c r="F533" s="1">
        <v>3</v>
      </c>
      <c r="G533" s="1">
        <v>4</v>
      </c>
      <c r="H533" s="2" t="s">
        <v>8</v>
      </c>
      <c r="I53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34" spans="1:11">
      <c r="A534" s="1" t="s">
        <v>24</v>
      </c>
      <c r="B534" s="1" t="s">
        <v>25</v>
      </c>
      <c r="C534" s="1">
        <v>5</v>
      </c>
      <c r="D534" s="1" t="s">
        <v>16</v>
      </c>
      <c r="E534" s="5" t="str">
        <f>IF(Table13[[#This Row],[Pre or Post]]="Pre",IF(IF(Table13[[#This Row],[Response]]="Male",0,1)+IF(Table13[[#This Row],[Response]]="Female",0,1)=2,E533,Table13[[#This Row],[Response]]),"")</f>
        <v/>
      </c>
      <c r="F534" s="1">
        <v>4</v>
      </c>
      <c r="G534" s="1">
        <v>4</v>
      </c>
      <c r="H534" s="2" t="s">
        <v>8</v>
      </c>
      <c r="I53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35" spans="1:11">
      <c r="A535" s="1" t="s">
        <v>24</v>
      </c>
      <c r="B535" s="1" t="s">
        <v>25</v>
      </c>
      <c r="C535" s="1">
        <v>5</v>
      </c>
      <c r="D535" s="1" t="s">
        <v>16</v>
      </c>
      <c r="E535" s="5" t="str">
        <f>IF(Table13[[#This Row],[Pre or Post]]="Pre",IF(IF(Table13[[#This Row],[Response]]="Male",0,1)+IF(Table13[[#This Row],[Response]]="Female",0,1)=2,E534,Table13[[#This Row],[Response]]),"")</f>
        <v/>
      </c>
      <c r="F535" s="1">
        <v>5</v>
      </c>
      <c r="G535" s="1">
        <v>4</v>
      </c>
      <c r="H535" s="2" t="s">
        <v>8</v>
      </c>
      <c r="I53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36" spans="1:11">
      <c r="A536" s="1" t="s">
        <v>24</v>
      </c>
      <c r="B536" s="1" t="s">
        <v>25</v>
      </c>
      <c r="C536" s="1">
        <v>5</v>
      </c>
      <c r="D536" s="1" t="s">
        <v>16</v>
      </c>
      <c r="E536" s="5" t="str">
        <f>IF(Table13[[#This Row],[Pre or Post]]="Pre",IF(IF(Table13[[#This Row],[Response]]="Male",0,1)+IF(Table13[[#This Row],[Response]]="Female",0,1)=2,E535,Table13[[#This Row],[Response]]),"")</f>
        <v/>
      </c>
      <c r="F536" s="1">
        <v>6</v>
      </c>
      <c r="G536" s="1">
        <v>4</v>
      </c>
      <c r="H536" s="2" t="s">
        <v>8</v>
      </c>
      <c r="I53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37" spans="1:11">
      <c r="A537" s="1" t="s">
        <v>24</v>
      </c>
      <c r="B537" s="1" t="s">
        <v>25</v>
      </c>
      <c r="C537" s="1">
        <v>5</v>
      </c>
      <c r="D537" s="1" t="s">
        <v>16</v>
      </c>
      <c r="E537" s="5" t="str">
        <f>IF(Table13[[#This Row],[Pre or Post]]="Pre",IF(IF(Table13[[#This Row],[Response]]="Male",0,1)+IF(Table13[[#This Row],[Response]]="Female",0,1)=2,E536,Table13[[#This Row],[Response]]),"")</f>
        <v/>
      </c>
      <c r="F537" s="1">
        <v>7</v>
      </c>
      <c r="G537" s="1">
        <v>4</v>
      </c>
      <c r="H537" s="2" t="s">
        <v>8</v>
      </c>
      <c r="I53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38" spans="1:11">
      <c r="A538" s="1" t="s">
        <v>24</v>
      </c>
      <c r="B538" s="1" t="s">
        <v>25</v>
      </c>
      <c r="C538" s="1">
        <v>5</v>
      </c>
      <c r="D538" s="1" t="s">
        <v>16</v>
      </c>
      <c r="E538" s="5" t="str">
        <f>IF(Table13[[#This Row],[Pre or Post]]="Pre",IF(IF(Table13[[#This Row],[Response]]="Male",0,1)+IF(Table13[[#This Row],[Response]]="Female",0,1)=2,E537,Table13[[#This Row],[Response]]),"")</f>
        <v/>
      </c>
      <c r="F538" s="1">
        <v>8</v>
      </c>
      <c r="G538" s="1" t="s">
        <v>8</v>
      </c>
      <c r="H538" s="2" t="s">
        <v>8</v>
      </c>
      <c r="I53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39" spans="1:11">
      <c r="A539" s="1" t="s">
        <v>24</v>
      </c>
      <c r="B539" s="1" t="s">
        <v>25</v>
      </c>
      <c r="C539" s="1">
        <v>5</v>
      </c>
      <c r="D539" s="1" t="s">
        <v>16</v>
      </c>
      <c r="E539" s="5" t="str">
        <f>IF(Table13[[#This Row],[Pre or Post]]="Pre",IF(IF(Table13[[#This Row],[Response]]="Male",0,1)+IF(Table13[[#This Row],[Response]]="Female",0,1)=2,E538,Table13[[#This Row],[Response]]),"")</f>
        <v/>
      </c>
      <c r="F539" s="1">
        <v>9</v>
      </c>
      <c r="G539" s="1" t="s">
        <v>17</v>
      </c>
      <c r="H539" s="2" t="s">
        <v>8</v>
      </c>
      <c r="I53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40" spans="1:11">
      <c r="A540" s="1" t="s">
        <v>24</v>
      </c>
      <c r="B540" s="1" t="s">
        <v>25</v>
      </c>
      <c r="C540" s="1">
        <v>5</v>
      </c>
      <c r="D540" s="1" t="s">
        <v>16</v>
      </c>
      <c r="E540" s="5" t="str">
        <f>IF(Table13[[#This Row],[Pre or Post]]="Pre",IF(IF(Table13[[#This Row],[Response]]="Male",0,1)+IF(Table13[[#This Row],[Response]]="Female",0,1)=2,E539,Table13[[#This Row],[Response]]),"")</f>
        <v/>
      </c>
      <c r="F540" s="1">
        <v>10</v>
      </c>
      <c r="G540" s="1" t="s">
        <v>19</v>
      </c>
      <c r="H540" s="2" t="s">
        <v>8</v>
      </c>
      <c r="I54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41" spans="1:11">
      <c r="A541" s="1" t="s">
        <v>24</v>
      </c>
      <c r="B541" s="1" t="s">
        <v>25</v>
      </c>
      <c r="C541" s="1">
        <v>5</v>
      </c>
      <c r="D541" s="1" t="s">
        <v>16</v>
      </c>
      <c r="E541" s="5" t="str">
        <f>IF(Table13[[#This Row],[Pre or Post]]="Pre",IF(IF(Table13[[#This Row],[Response]]="Male",0,1)+IF(Table13[[#This Row],[Response]]="Female",0,1)=2,E540,Table13[[#This Row],[Response]]),"")</f>
        <v/>
      </c>
      <c r="F541" s="1">
        <v>11</v>
      </c>
      <c r="G541" s="1" t="s">
        <v>9</v>
      </c>
      <c r="H541" s="2" t="s">
        <v>8</v>
      </c>
      <c r="I54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42" spans="1:11">
      <c r="A542" s="1" t="s">
        <v>24</v>
      </c>
      <c r="B542" s="1" t="s">
        <v>25</v>
      </c>
      <c r="C542" s="1">
        <v>6</v>
      </c>
      <c r="D542" s="1" t="s">
        <v>16</v>
      </c>
      <c r="E542" s="5" t="str">
        <f>IF(Table13[[#This Row],[Pre or Post]]="Pre",IF(IF(Table13[[#This Row],[Response]]="Male",0,1)+IF(Table13[[#This Row],[Response]]="Female",0,1)=2,E541,Table13[[#This Row],[Response]]),"")</f>
        <v/>
      </c>
      <c r="F542" s="1">
        <v>2</v>
      </c>
      <c r="G542" s="1">
        <v>4</v>
      </c>
      <c r="H542" s="2" t="s">
        <v>8</v>
      </c>
      <c r="I54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43" spans="1:11">
      <c r="A543" s="1" t="s">
        <v>24</v>
      </c>
      <c r="B543" s="1" t="s">
        <v>25</v>
      </c>
      <c r="C543" s="1">
        <v>6</v>
      </c>
      <c r="D543" s="1" t="s">
        <v>16</v>
      </c>
      <c r="E543" s="5" t="str">
        <f>IF(Table13[[#This Row],[Pre or Post]]="Pre",IF(IF(Table13[[#This Row],[Response]]="Male",0,1)+IF(Table13[[#This Row],[Response]]="Female",0,1)=2,E542,Table13[[#This Row],[Response]]),"")</f>
        <v/>
      </c>
      <c r="F543" s="1">
        <v>3</v>
      </c>
      <c r="G543" s="1">
        <v>4</v>
      </c>
      <c r="H543" s="2" t="s">
        <v>8</v>
      </c>
      <c r="I54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44" spans="1:11">
      <c r="A544" s="1" t="s">
        <v>24</v>
      </c>
      <c r="B544" s="1" t="s">
        <v>25</v>
      </c>
      <c r="C544" s="1">
        <v>6</v>
      </c>
      <c r="D544" s="1" t="s">
        <v>16</v>
      </c>
      <c r="E544" s="5" t="str">
        <f>IF(Table13[[#This Row],[Pre or Post]]="Pre",IF(IF(Table13[[#This Row],[Response]]="Male",0,1)+IF(Table13[[#This Row],[Response]]="Female",0,1)=2,E543,Table13[[#This Row],[Response]]),"")</f>
        <v/>
      </c>
      <c r="F544" s="1">
        <v>4</v>
      </c>
      <c r="G544" s="1">
        <v>4</v>
      </c>
      <c r="H544" s="2" t="s">
        <v>8</v>
      </c>
      <c r="I54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45" spans="1:11">
      <c r="A545" s="1" t="s">
        <v>24</v>
      </c>
      <c r="B545" s="1" t="s">
        <v>25</v>
      </c>
      <c r="C545" s="1">
        <v>6</v>
      </c>
      <c r="D545" s="1" t="s">
        <v>16</v>
      </c>
      <c r="E545" s="5" t="str">
        <f>IF(Table13[[#This Row],[Pre or Post]]="Pre",IF(IF(Table13[[#This Row],[Response]]="Male",0,1)+IF(Table13[[#This Row],[Response]]="Female",0,1)=2,E544,Table13[[#This Row],[Response]]),"")</f>
        <v/>
      </c>
      <c r="F545" s="1">
        <v>5</v>
      </c>
      <c r="G545" s="1">
        <v>5</v>
      </c>
      <c r="H545" s="2" t="s">
        <v>8</v>
      </c>
      <c r="I54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46" spans="1:11">
      <c r="A546" s="1" t="s">
        <v>24</v>
      </c>
      <c r="B546" s="1" t="s">
        <v>25</v>
      </c>
      <c r="C546" s="1">
        <v>6</v>
      </c>
      <c r="D546" s="1" t="s">
        <v>16</v>
      </c>
      <c r="E546" s="5" t="str">
        <f>IF(Table13[[#This Row],[Pre or Post]]="Pre",IF(IF(Table13[[#This Row],[Response]]="Male",0,1)+IF(Table13[[#This Row],[Response]]="Female",0,1)=2,E545,Table13[[#This Row],[Response]]),"")</f>
        <v/>
      </c>
      <c r="F546" s="1">
        <v>6</v>
      </c>
      <c r="G546" s="1">
        <v>4</v>
      </c>
      <c r="H546" s="2" t="s">
        <v>8</v>
      </c>
      <c r="I54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47" spans="1:11">
      <c r="A547" s="1" t="s">
        <v>24</v>
      </c>
      <c r="B547" s="1" t="s">
        <v>25</v>
      </c>
      <c r="C547" s="1">
        <v>6</v>
      </c>
      <c r="D547" s="1" t="s">
        <v>16</v>
      </c>
      <c r="E547" s="5" t="str">
        <f>IF(Table13[[#This Row],[Pre or Post]]="Pre",IF(IF(Table13[[#This Row],[Response]]="Male",0,1)+IF(Table13[[#This Row],[Response]]="Female",0,1)=2,E546,Table13[[#This Row],[Response]]),"")</f>
        <v/>
      </c>
      <c r="F547" s="1">
        <v>7</v>
      </c>
      <c r="G547" s="1">
        <v>5</v>
      </c>
      <c r="H547" s="2" t="s">
        <v>8</v>
      </c>
      <c r="I54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48" spans="1:11">
      <c r="A548" s="1" t="s">
        <v>24</v>
      </c>
      <c r="B548" s="1" t="s">
        <v>25</v>
      </c>
      <c r="C548" s="1">
        <v>6</v>
      </c>
      <c r="D548" s="1" t="s">
        <v>16</v>
      </c>
      <c r="E548" s="5" t="str">
        <f>IF(Table13[[#This Row],[Pre or Post]]="Pre",IF(IF(Table13[[#This Row],[Response]]="Male",0,1)+IF(Table13[[#This Row],[Response]]="Female",0,1)=2,E547,Table13[[#This Row],[Response]]),"")</f>
        <v/>
      </c>
      <c r="F548" s="1">
        <v>8</v>
      </c>
      <c r="G548" s="1" t="s">
        <v>8</v>
      </c>
      <c r="H548" s="2" t="s">
        <v>8</v>
      </c>
      <c r="I54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49" spans="1:11">
      <c r="A549" s="1" t="s">
        <v>24</v>
      </c>
      <c r="B549" s="1" t="s">
        <v>25</v>
      </c>
      <c r="C549" s="1">
        <v>6</v>
      </c>
      <c r="D549" s="1" t="s">
        <v>16</v>
      </c>
      <c r="E549" s="5" t="str">
        <f>IF(Table13[[#This Row],[Pre or Post]]="Pre",IF(IF(Table13[[#This Row],[Response]]="Male",0,1)+IF(Table13[[#This Row],[Response]]="Female",0,1)=2,E548,Table13[[#This Row],[Response]]),"")</f>
        <v/>
      </c>
      <c r="F549" s="1">
        <v>9</v>
      </c>
      <c r="G549" s="1" t="s">
        <v>17</v>
      </c>
      <c r="H549" s="2" t="s">
        <v>8</v>
      </c>
      <c r="I54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50" spans="1:11">
      <c r="A550" s="1" t="s">
        <v>24</v>
      </c>
      <c r="B550" s="1" t="s">
        <v>25</v>
      </c>
      <c r="C550" s="1">
        <v>6</v>
      </c>
      <c r="D550" s="1" t="s">
        <v>16</v>
      </c>
      <c r="E550" s="5" t="str">
        <f>IF(Table13[[#This Row],[Pre or Post]]="Pre",IF(IF(Table13[[#This Row],[Response]]="Male",0,1)+IF(Table13[[#This Row],[Response]]="Female",0,1)=2,E549,Table13[[#This Row],[Response]]),"")</f>
        <v/>
      </c>
      <c r="F550" s="1">
        <v>10</v>
      </c>
      <c r="G550" s="1" t="s">
        <v>18</v>
      </c>
      <c r="H550" s="2" t="s">
        <v>8</v>
      </c>
      <c r="I55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51" spans="1:11">
      <c r="A551" s="1" t="s">
        <v>24</v>
      </c>
      <c r="B551" s="1" t="s">
        <v>25</v>
      </c>
      <c r="C551" s="1">
        <v>6</v>
      </c>
      <c r="D551" s="1" t="s">
        <v>16</v>
      </c>
      <c r="E551" s="5" t="str">
        <f>IF(Table13[[#This Row],[Pre or Post]]="Pre",IF(IF(Table13[[#This Row],[Response]]="Male",0,1)+IF(Table13[[#This Row],[Response]]="Female",0,1)=2,E550,Table13[[#This Row],[Response]]),"")</f>
        <v/>
      </c>
      <c r="F551" s="1">
        <v>11</v>
      </c>
      <c r="G551" s="1" t="s">
        <v>9</v>
      </c>
      <c r="H551" s="2" t="s">
        <v>8</v>
      </c>
      <c r="I55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52" spans="1:11">
      <c r="A552" s="1" t="s">
        <v>24</v>
      </c>
      <c r="B552" s="1" t="s">
        <v>25</v>
      </c>
      <c r="C552" s="1">
        <v>7</v>
      </c>
      <c r="D552" s="1" t="s">
        <v>16</v>
      </c>
      <c r="E552" s="5" t="str">
        <f>IF(Table13[[#This Row],[Pre or Post]]="Pre",IF(IF(Table13[[#This Row],[Response]]="Male",0,1)+IF(Table13[[#This Row],[Response]]="Female",0,1)=2,E551,Table13[[#This Row],[Response]]),"")</f>
        <v/>
      </c>
      <c r="F552" s="1">
        <v>2</v>
      </c>
      <c r="G552" s="1">
        <v>4</v>
      </c>
      <c r="H552" s="2" t="s">
        <v>8</v>
      </c>
      <c r="I55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53" spans="1:11">
      <c r="A553" s="1" t="s">
        <v>24</v>
      </c>
      <c r="B553" s="1" t="s">
        <v>25</v>
      </c>
      <c r="C553" s="1">
        <v>7</v>
      </c>
      <c r="D553" s="1" t="s">
        <v>16</v>
      </c>
      <c r="E553" s="5" t="str">
        <f>IF(Table13[[#This Row],[Pre or Post]]="Pre",IF(IF(Table13[[#This Row],[Response]]="Male",0,1)+IF(Table13[[#This Row],[Response]]="Female",0,1)=2,E552,Table13[[#This Row],[Response]]),"")</f>
        <v/>
      </c>
      <c r="F553" s="1">
        <v>3</v>
      </c>
      <c r="G553" s="1">
        <v>4</v>
      </c>
      <c r="H553" s="2" t="s">
        <v>8</v>
      </c>
      <c r="I55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54" spans="1:11">
      <c r="A554" s="1" t="s">
        <v>24</v>
      </c>
      <c r="B554" s="1" t="s">
        <v>25</v>
      </c>
      <c r="C554" s="1">
        <v>7</v>
      </c>
      <c r="D554" s="1" t="s">
        <v>16</v>
      </c>
      <c r="E554" s="5" t="str">
        <f>IF(Table13[[#This Row],[Pre or Post]]="Pre",IF(IF(Table13[[#This Row],[Response]]="Male",0,1)+IF(Table13[[#This Row],[Response]]="Female",0,1)=2,E553,Table13[[#This Row],[Response]]),"")</f>
        <v/>
      </c>
      <c r="F554" s="1">
        <v>4</v>
      </c>
      <c r="G554" s="1">
        <v>4</v>
      </c>
      <c r="H554" s="2" t="s">
        <v>8</v>
      </c>
      <c r="I55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55" spans="1:11">
      <c r="A555" s="1" t="s">
        <v>24</v>
      </c>
      <c r="B555" s="1" t="s">
        <v>25</v>
      </c>
      <c r="C555" s="1">
        <v>7</v>
      </c>
      <c r="D555" s="1" t="s">
        <v>16</v>
      </c>
      <c r="E555" s="5" t="str">
        <f>IF(Table13[[#This Row],[Pre or Post]]="Pre",IF(IF(Table13[[#This Row],[Response]]="Male",0,1)+IF(Table13[[#This Row],[Response]]="Female",0,1)=2,E554,Table13[[#This Row],[Response]]),"")</f>
        <v/>
      </c>
      <c r="F555" s="1">
        <v>5</v>
      </c>
      <c r="G555" s="1">
        <v>4</v>
      </c>
      <c r="H555" s="2" t="s">
        <v>8</v>
      </c>
      <c r="I55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56" spans="1:11">
      <c r="A556" s="1" t="s">
        <v>24</v>
      </c>
      <c r="B556" s="1" t="s">
        <v>25</v>
      </c>
      <c r="C556" s="1">
        <v>7</v>
      </c>
      <c r="D556" s="1" t="s">
        <v>16</v>
      </c>
      <c r="E556" s="5" t="str">
        <f>IF(Table13[[#This Row],[Pre or Post]]="Pre",IF(IF(Table13[[#This Row],[Response]]="Male",0,1)+IF(Table13[[#This Row],[Response]]="Female",0,1)=2,E555,Table13[[#This Row],[Response]]),"")</f>
        <v/>
      </c>
      <c r="F556" s="1">
        <v>6</v>
      </c>
      <c r="G556" s="1">
        <v>3</v>
      </c>
      <c r="H556" s="2" t="s">
        <v>8</v>
      </c>
      <c r="I55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57" spans="1:11">
      <c r="A557" s="1" t="s">
        <v>24</v>
      </c>
      <c r="B557" s="1" t="s">
        <v>25</v>
      </c>
      <c r="C557" s="1">
        <v>7</v>
      </c>
      <c r="D557" s="1" t="s">
        <v>16</v>
      </c>
      <c r="E557" s="5" t="str">
        <f>IF(Table13[[#This Row],[Pre or Post]]="Pre",IF(IF(Table13[[#This Row],[Response]]="Male",0,1)+IF(Table13[[#This Row],[Response]]="Female",0,1)=2,E556,Table13[[#This Row],[Response]]),"")</f>
        <v/>
      </c>
      <c r="F557" s="1">
        <v>7</v>
      </c>
      <c r="G557" s="1">
        <v>3</v>
      </c>
      <c r="H557" s="2" t="s">
        <v>8</v>
      </c>
      <c r="I55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58" spans="1:11">
      <c r="A558" s="1" t="s">
        <v>24</v>
      </c>
      <c r="B558" s="1" t="s">
        <v>25</v>
      </c>
      <c r="C558" s="1">
        <v>7</v>
      </c>
      <c r="D558" s="1" t="s">
        <v>16</v>
      </c>
      <c r="E558" s="5" t="str">
        <f>IF(Table13[[#This Row],[Pre or Post]]="Pre",IF(IF(Table13[[#This Row],[Response]]="Male",0,1)+IF(Table13[[#This Row],[Response]]="Female",0,1)=2,E557,Table13[[#This Row],[Response]]),"")</f>
        <v/>
      </c>
      <c r="F558" s="1">
        <v>8</v>
      </c>
      <c r="G558" s="1" t="s">
        <v>8</v>
      </c>
      <c r="H558" s="2" t="s">
        <v>8</v>
      </c>
      <c r="I55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59" spans="1:11">
      <c r="A559" s="1" t="s">
        <v>24</v>
      </c>
      <c r="B559" s="1" t="s">
        <v>25</v>
      </c>
      <c r="C559" s="1">
        <v>7</v>
      </c>
      <c r="D559" s="1" t="s">
        <v>16</v>
      </c>
      <c r="E559" s="5" t="str">
        <f>IF(Table13[[#This Row],[Pre or Post]]="Pre",IF(IF(Table13[[#This Row],[Response]]="Male",0,1)+IF(Table13[[#This Row],[Response]]="Female",0,1)=2,E558,Table13[[#This Row],[Response]]),"")</f>
        <v/>
      </c>
      <c r="F559" s="1">
        <v>9</v>
      </c>
      <c r="G559" s="1" t="s">
        <v>17</v>
      </c>
      <c r="H559" s="2" t="s">
        <v>8</v>
      </c>
      <c r="I55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60" spans="1:11">
      <c r="A560" s="1" t="s">
        <v>24</v>
      </c>
      <c r="B560" s="1" t="s">
        <v>25</v>
      </c>
      <c r="C560" s="1">
        <v>7</v>
      </c>
      <c r="D560" s="1" t="s">
        <v>16</v>
      </c>
      <c r="E560" s="5" t="str">
        <f>IF(Table13[[#This Row],[Pre or Post]]="Pre",IF(IF(Table13[[#This Row],[Response]]="Male",0,1)+IF(Table13[[#This Row],[Response]]="Female",0,1)=2,E559,Table13[[#This Row],[Response]]),"")</f>
        <v/>
      </c>
      <c r="F560" s="1">
        <v>10</v>
      </c>
      <c r="G560" s="1" t="s">
        <v>18</v>
      </c>
      <c r="H560" s="2" t="s">
        <v>8</v>
      </c>
      <c r="I56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61" spans="1:11">
      <c r="A561" s="1" t="s">
        <v>24</v>
      </c>
      <c r="B561" s="1" t="s">
        <v>25</v>
      </c>
      <c r="C561" s="1">
        <v>7</v>
      </c>
      <c r="D561" s="1" t="s">
        <v>16</v>
      </c>
      <c r="E561" s="5" t="str">
        <f>IF(Table13[[#This Row],[Pre or Post]]="Pre",IF(IF(Table13[[#This Row],[Response]]="Male",0,1)+IF(Table13[[#This Row],[Response]]="Female",0,1)=2,E560,Table13[[#This Row],[Response]]),"")</f>
        <v/>
      </c>
      <c r="F561" s="1">
        <v>11</v>
      </c>
      <c r="G561" s="1" t="s">
        <v>9</v>
      </c>
      <c r="H561" s="2" t="s">
        <v>8</v>
      </c>
      <c r="I56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62" spans="1:11">
      <c r="A562" s="1" t="s">
        <v>24</v>
      </c>
      <c r="B562" s="1" t="s">
        <v>25</v>
      </c>
      <c r="C562" s="1">
        <v>8</v>
      </c>
      <c r="D562" s="1" t="s">
        <v>16</v>
      </c>
      <c r="E562" s="5" t="str">
        <f>IF(Table13[[#This Row],[Pre or Post]]="Pre",IF(IF(Table13[[#This Row],[Response]]="Male",0,1)+IF(Table13[[#This Row],[Response]]="Female",0,1)=2,E561,Table13[[#This Row],[Response]]),"")</f>
        <v/>
      </c>
      <c r="F562" s="1">
        <v>2</v>
      </c>
      <c r="G562" s="1">
        <v>3</v>
      </c>
      <c r="H562" s="2" t="s">
        <v>8</v>
      </c>
      <c r="I56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63" spans="1:11">
      <c r="A563" s="1" t="s">
        <v>24</v>
      </c>
      <c r="B563" s="1" t="s">
        <v>25</v>
      </c>
      <c r="C563" s="1">
        <v>8</v>
      </c>
      <c r="D563" s="1" t="s">
        <v>16</v>
      </c>
      <c r="E563" s="5" t="str">
        <f>IF(Table13[[#This Row],[Pre or Post]]="Pre",IF(IF(Table13[[#This Row],[Response]]="Male",0,1)+IF(Table13[[#This Row],[Response]]="Female",0,1)=2,E562,Table13[[#This Row],[Response]]),"")</f>
        <v/>
      </c>
      <c r="F563" s="1">
        <v>3</v>
      </c>
      <c r="G563" s="1">
        <v>3</v>
      </c>
      <c r="H563" s="2" t="s">
        <v>8</v>
      </c>
      <c r="I56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64" spans="1:11">
      <c r="A564" s="1" t="s">
        <v>24</v>
      </c>
      <c r="B564" s="1" t="s">
        <v>25</v>
      </c>
      <c r="C564" s="1">
        <v>8</v>
      </c>
      <c r="D564" s="1" t="s">
        <v>16</v>
      </c>
      <c r="E564" s="5" t="str">
        <f>IF(Table13[[#This Row],[Pre or Post]]="Pre",IF(IF(Table13[[#This Row],[Response]]="Male",0,1)+IF(Table13[[#This Row],[Response]]="Female",0,1)=2,E563,Table13[[#This Row],[Response]]),"")</f>
        <v/>
      </c>
      <c r="F564" s="1">
        <v>4</v>
      </c>
      <c r="G564" s="1">
        <v>4</v>
      </c>
      <c r="H564" s="2" t="s">
        <v>8</v>
      </c>
      <c r="I56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65" spans="1:11">
      <c r="A565" s="1" t="s">
        <v>24</v>
      </c>
      <c r="B565" s="1" t="s">
        <v>25</v>
      </c>
      <c r="C565" s="1">
        <v>8</v>
      </c>
      <c r="D565" s="1" t="s">
        <v>16</v>
      </c>
      <c r="E565" s="5" t="str">
        <f>IF(Table13[[#This Row],[Pre or Post]]="Pre",IF(IF(Table13[[#This Row],[Response]]="Male",0,1)+IF(Table13[[#This Row],[Response]]="Female",0,1)=2,E564,Table13[[#This Row],[Response]]),"")</f>
        <v/>
      </c>
      <c r="F565" s="1">
        <v>5</v>
      </c>
      <c r="G565" s="1">
        <v>4</v>
      </c>
      <c r="H565" s="2" t="s">
        <v>8</v>
      </c>
      <c r="I56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66" spans="1:11">
      <c r="A566" s="1" t="s">
        <v>24</v>
      </c>
      <c r="B566" s="1" t="s">
        <v>25</v>
      </c>
      <c r="C566" s="1">
        <v>8</v>
      </c>
      <c r="D566" s="1" t="s">
        <v>16</v>
      </c>
      <c r="E566" s="5" t="str">
        <f>IF(Table13[[#This Row],[Pre or Post]]="Pre",IF(IF(Table13[[#This Row],[Response]]="Male",0,1)+IF(Table13[[#This Row],[Response]]="Female",0,1)=2,E565,Table13[[#This Row],[Response]]),"")</f>
        <v/>
      </c>
      <c r="F566" s="1">
        <v>6</v>
      </c>
      <c r="G566" s="1">
        <v>4</v>
      </c>
      <c r="H566" s="2" t="s">
        <v>8</v>
      </c>
      <c r="I56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67" spans="1:11">
      <c r="A567" s="1" t="s">
        <v>24</v>
      </c>
      <c r="B567" s="1" t="s">
        <v>25</v>
      </c>
      <c r="C567" s="1">
        <v>8</v>
      </c>
      <c r="D567" s="1" t="s">
        <v>16</v>
      </c>
      <c r="E567" s="5" t="str">
        <f>IF(Table13[[#This Row],[Pre or Post]]="Pre",IF(IF(Table13[[#This Row],[Response]]="Male",0,1)+IF(Table13[[#This Row],[Response]]="Female",0,1)=2,E566,Table13[[#This Row],[Response]]),"")</f>
        <v/>
      </c>
      <c r="F567" s="1">
        <v>7</v>
      </c>
      <c r="G567" s="1">
        <v>4</v>
      </c>
      <c r="H567" s="2" t="s">
        <v>8</v>
      </c>
      <c r="I56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68" spans="1:11">
      <c r="A568" s="1" t="s">
        <v>24</v>
      </c>
      <c r="B568" s="1" t="s">
        <v>25</v>
      </c>
      <c r="C568" s="1">
        <v>8</v>
      </c>
      <c r="D568" s="1" t="s">
        <v>16</v>
      </c>
      <c r="E568" s="5" t="str">
        <f>IF(Table13[[#This Row],[Pre or Post]]="Pre",IF(IF(Table13[[#This Row],[Response]]="Male",0,1)+IF(Table13[[#This Row],[Response]]="Female",0,1)=2,E567,Table13[[#This Row],[Response]]),"")</f>
        <v/>
      </c>
      <c r="F568" s="1">
        <v>8</v>
      </c>
      <c r="G568" s="1" t="s">
        <v>8</v>
      </c>
      <c r="H568" s="2" t="s">
        <v>8</v>
      </c>
      <c r="I56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69" spans="1:11">
      <c r="A569" s="1" t="s">
        <v>24</v>
      </c>
      <c r="B569" s="1" t="s">
        <v>25</v>
      </c>
      <c r="C569" s="1">
        <v>8</v>
      </c>
      <c r="D569" s="1" t="s">
        <v>16</v>
      </c>
      <c r="E569" s="5" t="str">
        <f>IF(Table13[[#This Row],[Pre or Post]]="Pre",IF(IF(Table13[[#This Row],[Response]]="Male",0,1)+IF(Table13[[#This Row],[Response]]="Female",0,1)=2,E568,Table13[[#This Row],[Response]]),"")</f>
        <v/>
      </c>
      <c r="F569" s="1">
        <v>9</v>
      </c>
      <c r="G569" s="1" t="s">
        <v>17</v>
      </c>
      <c r="H569" s="2" t="s">
        <v>8</v>
      </c>
      <c r="I56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70" spans="1:11">
      <c r="A570" s="1" t="s">
        <v>24</v>
      </c>
      <c r="B570" s="1" t="s">
        <v>25</v>
      </c>
      <c r="C570" s="1">
        <v>8</v>
      </c>
      <c r="D570" s="1" t="s">
        <v>16</v>
      </c>
      <c r="E570" s="5" t="str">
        <f>IF(Table13[[#This Row],[Pre or Post]]="Pre",IF(IF(Table13[[#This Row],[Response]]="Male",0,1)+IF(Table13[[#This Row],[Response]]="Female",0,1)=2,E569,Table13[[#This Row],[Response]]),"")</f>
        <v/>
      </c>
      <c r="F570" s="1">
        <v>10</v>
      </c>
      <c r="G570" s="1" t="s">
        <v>19</v>
      </c>
      <c r="H570" s="2" t="s">
        <v>8</v>
      </c>
      <c r="I57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71" spans="1:11">
      <c r="A571" s="1" t="s">
        <v>24</v>
      </c>
      <c r="B571" s="1" t="s">
        <v>25</v>
      </c>
      <c r="C571" s="1">
        <v>8</v>
      </c>
      <c r="D571" s="1" t="s">
        <v>16</v>
      </c>
      <c r="E571" s="5" t="str">
        <f>IF(Table13[[#This Row],[Pre or Post]]="Pre",IF(IF(Table13[[#This Row],[Response]]="Male",0,1)+IF(Table13[[#This Row],[Response]]="Female",0,1)=2,E570,Table13[[#This Row],[Response]]),"")</f>
        <v/>
      </c>
      <c r="F571" s="2">
        <v>11</v>
      </c>
      <c r="G571" s="1" t="s">
        <v>9</v>
      </c>
      <c r="H571" s="2" t="s">
        <v>8</v>
      </c>
      <c r="I57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72" spans="1:11">
      <c r="A572" s="1" t="s">
        <v>24</v>
      </c>
      <c r="B572" s="1" t="s">
        <v>25</v>
      </c>
      <c r="C572" s="1">
        <v>9</v>
      </c>
      <c r="D572" s="1" t="s">
        <v>16</v>
      </c>
      <c r="E572" s="5" t="str">
        <f>IF(Table13[[#This Row],[Pre or Post]]="Pre",IF(IF(Table13[[#This Row],[Response]]="Male",0,1)+IF(Table13[[#This Row],[Response]]="Female",0,1)=2,E571,Table13[[#This Row],[Response]]),"")</f>
        <v/>
      </c>
      <c r="F572" s="1">
        <v>2</v>
      </c>
      <c r="G572" s="1">
        <v>3</v>
      </c>
      <c r="H572" s="2" t="s">
        <v>8</v>
      </c>
      <c r="I57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73" spans="1:11">
      <c r="A573" s="1" t="s">
        <v>24</v>
      </c>
      <c r="B573" s="1" t="s">
        <v>25</v>
      </c>
      <c r="C573" s="1">
        <v>9</v>
      </c>
      <c r="D573" s="1" t="s">
        <v>16</v>
      </c>
      <c r="E573" s="5" t="str">
        <f>IF(Table13[[#This Row],[Pre or Post]]="Pre",IF(IF(Table13[[#This Row],[Response]]="Male",0,1)+IF(Table13[[#This Row],[Response]]="Female",0,1)=2,E572,Table13[[#This Row],[Response]]),"")</f>
        <v/>
      </c>
      <c r="F573" s="1">
        <v>3</v>
      </c>
      <c r="G573" s="1">
        <v>3</v>
      </c>
      <c r="H573" s="2" t="s">
        <v>8</v>
      </c>
      <c r="I57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74" spans="1:11">
      <c r="A574" s="1" t="s">
        <v>24</v>
      </c>
      <c r="B574" s="1" t="s">
        <v>25</v>
      </c>
      <c r="C574" s="1">
        <v>9</v>
      </c>
      <c r="D574" s="1" t="s">
        <v>16</v>
      </c>
      <c r="E574" s="5" t="str">
        <f>IF(Table13[[#This Row],[Pre or Post]]="Pre",IF(IF(Table13[[#This Row],[Response]]="Male",0,1)+IF(Table13[[#This Row],[Response]]="Female",0,1)=2,E573,Table13[[#This Row],[Response]]),"")</f>
        <v/>
      </c>
      <c r="F574" s="1">
        <v>4</v>
      </c>
      <c r="G574" s="1">
        <v>5</v>
      </c>
      <c r="H574" s="2" t="s">
        <v>8</v>
      </c>
      <c r="I57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75" spans="1:11">
      <c r="A575" s="1" t="s">
        <v>24</v>
      </c>
      <c r="B575" s="1" t="s">
        <v>25</v>
      </c>
      <c r="C575" s="1">
        <v>9</v>
      </c>
      <c r="D575" s="1" t="s">
        <v>16</v>
      </c>
      <c r="E575" s="5" t="str">
        <f>IF(Table13[[#This Row],[Pre or Post]]="Pre",IF(IF(Table13[[#This Row],[Response]]="Male",0,1)+IF(Table13[[#This Row],[Response]]="Female",0,1)=2,E574,Table13[[#This Row],[Response]]),"")</f>
        <v/>
      </c>
      <c r="F575" s="1">
        <v>5</v>
      </c>
      <c r="G575" s="1">
        <v>4</v>
      </c>
      <c r="H575" s="2" t="s">
        <v>8</v>
      </c>
      <c r="I57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76" spans="1:11">
      <c r="A576" s="1" t="s">
        <v>24</v>
      </c>
      <c r="B576" s="1" t="s">
        <v>25</v>
      </c>
      <c r="C576" s="1">
        <v>9</v>
      </c>
      <c r="D576" s="1" t="s">
        <v>16</v>
      </c>
      <c r="E576" s="5" t="str">
        <f>IF(Table13[[#This Row],[Pre or Post]]="Pre",IF(IF(Table13[[#This Row],[Response]]="Male",0,1)+IF(Table13[[#This Row],[Response]]="Female",0,1)=2,E575,Table13[[#This Row],[Response]]),"")</f>
        <v/>
      </c>
      <c r="F576" s="1">
        <v>6</v>
      </c>
      <c r="G576" s="1">
        <v>5</v>
      </c>
      <c r="H576" s="2" t="s">
        <v>8</v>
      </c>
      <c r="I57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77" spans="1:11">
      <c r="A577" s="1" t="s">
        <v>24</v>
      </c>
      <c r="B577" s="1" t="s">
        <v>25</v>
      </c>
      <c r="C577" s="1">
        <v>9</v>
      </c>
      <c r="D577" s="1" t="s">
        <v>16</v>
      </c>
      <c r="E577" s="5" t="str">
        <f>IF(Table13[[#This Row],[Pre or Post]]="Pre",IF(IF(Table13[[#This Row],[Response]]="Male",0,1)+IF(Table13[[#This Row],[Response]]="Female",0,1)=2,E576,Table13[[#This Row],[Response]]),"")</f>
        <v/>
      </c>
      <c r="F577" s="1">
        <v>7</v>
      </c>
      <c r="G577" s="1">
        <v>4</v>
      </c>
      <c r="H577" s="2" t="s">
        <v>8</v>
      </c>
      <c r="I57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78" spans="1:11">
      <c r="A578" s="1" t="s">
        <v>24</v>
      </c>
      <c r="B578" s="1" t="s">
        <v>25</v>
      </c>
      <c r="C578" s="1">
        <v>9</v>
      </c>
      <c r="D578" s="1" t="s">
        <v>16</v>
      </c>
      <c r="E578" s="5" t="str">
        <f>IF(Table13[[#This Row],[Pre or Post]]="Pre",IF(IF(Table13[[#This Row],[Response]]="Male",0,1)+IF(Table13[[#This Row],[Response]]="Female",0,1)=2,E577,Table13[[#This Row],[Response]]),"")</f>
        <v/>
      </c>
      <c r="F578" s="1">
        <v>8</v>
      </c>
      <c r="G578" s="1" t="s">
        <v>8</v>
      </c>
      <c r="H578" s="2" t="s">
        <v>8</v>
      </c>
      <c r="I57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79" spans="1:11">
      <c r="A579" s="1" t="s">
        <v>24</v>
      </c>
      <c r="B579" s="1" t="s">
        <v>25</v>
      </c>
      <c r="C579" s="1">
        <v>9</v>
      </c>
      <c r="D579" s="1" t="s">
        <v>16</v>
      </c>
      <c r="E579" s="5" t="str">
        <f>IF(Table13[[#This Row],[Pre or Post]]="Pre",IF(IF(Table13[[#This Row],[Response]]="Male",0,1)+IF(Table13[[#This Row],[Response]]="Female",0,1)=2,E578,Table13[[#This Row],[Response]]),"")</f>
        <v/>
      </c>
      <c r="F579" s="1">
        <v>9</v>
      </c>
      <c r="G579" s="1" t="s">
        <v>17</v>
      </c>
      <c r="H579" s="2" t="s">
        <v>8</v>
      </c>
      <c r="I57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80" spans="1:11">
      <c r="A580" s="1" t="s">
        <v>24</v>
      </c>
      <c r="B580" s="1" t="s">
        <v>25</v>
      </c>
      <c r="C580" s="1">
        <v>9</v>
      </c>
      <c r="D580" s="1" t="s">
        <v>16</v>
      </c>
      <c r="E580" s="5" t="str">
        <f>IF(Table13[[#This Row],[Pre or Post]]="Pre",IF(IF(Table13[[#This Row],[Response]]="Male",0,1)+IF(Table13[[#This Row],[Response]]="Female",0,1)=2,E579,Table13[[#This Row],[Response]]),"")</f>
        <v/>
      </c>
      <c r="F580" s="1">
        <v>10</v>
      </c>
      <c r="G580" s="1" t="s">
        <v>19</v>
      </c>
      <c r="H580" s="2" t="s">
        <v>8</v>
      </c>
      <c r="I58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81" spans="1:11">
      <c r="A581" s="1" t="s">
        <v>24</v>
      </c>
      <c r="B581" s="1" t="s">
        <v>25</v>
      </c>
      <c r="C581" s="1">
        <v>9</v>
      </c>
      <c r="D581" s="1" t="s">
        <v>16</v>
      </c>
      <c r="E581" s="5" t="str">
        <f>IF(Table13[[#This Row],[Pre or Post]]="Pre",IF(IF(Table13[[#This Row],[Response]]="Male",0,1)+IF(Table13[[#This Row],[Response]]="Female",0,1)=2,E580,Table13[[#This Row],[Response]]),"")</f>
        <v/>
      </c>
      <c r="F581" s="1">
        <v>11</v>
      </c>
      <c r="G581" s="2"/>
      <c r="H581" s="2" t="s">
        <v>8</v>
      </c>
      <c r="I58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82" spans="1:11">
      <c r="A582" s="1" t="s">
        <v>24</v>
      </c>
      <c r="B582" s="1" t="s">
        <v>25</v>
      </c>
      <c r="C582" s="1">
        <v>10</v>
      </c>
      <c r="D582" s="1" t="s">
        <v>16</v>
      </c>
      <c r="E582" s="5" t="str">
        <f>IF(Table13[[#This Row],[Pre or Post]]="Pre",IF(IF(Table13[[#This Row],[Response]]="Male",0,1)+IF(Table13[[#This Row],[Response]]="Female",0,1)=2,E581,Table13[[#This Row],[Response]]),"")</f>
        <v/>
      </c>
      <c r="F582" s="1">
        <v>2</v>
      </c>
      <c r="G582" s="2">
        <v>2</v>
      </c>
      <c r="H582" s="2" t="s">
        <v>8</v>
      </c>
      <c r="I58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83" spans="1:11">
      <c r="A583" s="1" t="s">
        <v>24</v>
      </c>
      <c r="B583" s="1" t="s">
        <v>25</v>
      </c>
      <c r="C583" s="1">
        <v>10</v>
      </c>
      <c r="D583" s="1" t="s">
        <v>16</v>
      </c>
      <c r="E583" s="5" t="str">
        <f>IF(Table13[[#This Row],[Pre or Post]]="Pre",IF(IF(Table13[[#This Row],[Response]]="Male",0,1)+IF(Table13[[#This Row],[Response]]="Female",0,1)=2,E582,Table13[[#This Row],[Response]]),"")</f>
        <v/>
      </c>
      <c r="F583" s="1">
        <v>3</v>
      </c>
      <c r="G583" s="1">
        <v>3</v>
      </c>
      <c r="H583" s="2" t="s">
        <v>8</v>
      </c>
      <c r="I58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84" spans="1:11">
      <c r="A584" s="1" t="s">
        <v>24</v>
      </c>
      <c r="B584" s="1" t="s">
        <v>25</v>
      </c>
      <c r="C584" s="1">
        <v>10</v>
      </c>
      <c r="D584" s="1" t="s">
        <v>16</v>
      </c>
      <c r="E584" s="5" t="str">
        <f>IF(Table13[[#This Row],[Pre or Post]]="Pre",IF(IF(Table13[[#This Row],[Response]]="Male",0,1)+IF(Table13[[#This Row],[Response]]="Female",0,1)=2,E583,Table13[[#This Row],[Response]]),"")</f>
        <v/>
      </c>
      <c r="F584" s="1">
        <v>4</v>
      </c>
      <c r="G584" s="1">
        <v>3</v>
      </c>
      <c r="H584" s="2" t="s">
        <v>8</v>
      </c>
      <c r="I58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85" spans="1:11">
      <c r="A585" s="1" t="s">
        <v>24</v>
      </c>
      <c r="B585" s="1" t="s">
        <v>25</v>
      </c>
      <c r="C585" s="1">
        <v>10</v>
      </c>
      <c r="D585" s="1" t="s">
        <v>16</v>
      </c>
      <c r="E585" s="5" t="str">
        <f>IF(Table13[[#This Row],[Pre or Post]]="Pre",IF(IF(Table13[[#This Row],[Response]]="Male",0,1)+IF(Table13[[#This Row],[Response]]="Female",0,1)=2,E584,Table13[[#This Row],[Response]]),"")</f>
        <v/>
      </c>
      <c r="F585" s="1">
        <v>5</v>
      </c>
      <c r="G585" s="1">
        <v>3</v>
      </c>
      <c r="H585" s="2" t="s">
        <v>8</v>
      </c>
      <c r="I58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86" spans="1:11">
      <c r="A586" s="1" t="s">
        <v>24</v>
      </c>
      <c r="B586" s="1" t="s">
        <v>25</v>
      </c>
      <c r="C586" s="1">
        <v>10</v>
      </c>
      <c r="D586" s="1" t="s">
        <v>16</v>
      </c>
      <c r="E586" s="5" t="str">
        <f>IF(Table13[[#This Row],[Pre or Post]]="Pre",IF(IF(Table13[[#This Row],[Response]]="Male",0,1)+IF(Table13[[#This Row],[Response]]="Female",0,1)=2,E585,Table13[[#This Row],[Response]]),"")</f>
        <v/>
      </c>
      <c r="F586" s="1">
        <v>6</v>
      </c>
      <c r="G586" s="1"/>
      <c r="H586" s="2" t="s">
        <v>8</v>
      </c>
      <c r="I58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87" spans="1:11">
      <c r="A587" s="1" t="s">
        <v>24</v>
      </c>
      <c r="B587" s="1" t="s">
        <v>25</v>
      </c>
      <c r="C587" s="1">
        <v>10</v>
      </c>
      <c r="D587" s="1" t="s">
        <v>16</v>
      </c>
      <c r="E587" s="5" t="str">
        <f>IF(Table13[[#This Row],[Pre or Post]]="Pre",IF(IF(Table13[[#This Row],[Response]]="Male",0,1)+IF(Table13[[#This Row],[Response]]="Female",0,1)=2,E586,Table13[[#This Row],[Response]]),"")</f>
        <v/>
      </c>
      <c r="F587" s="1">
        <v>7</v>
      </c>
      <c r="G587" s="1">
        <v>3</v>
      </c>
      <c r="H587" s="2" t="s">
        <v>8</v>
      </c>
      <c r="I58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88" spans="1:11">
      <c r="A588" s="1" t="s">
        <v>24</v>
      </c>
      <c r="B588" s="1" t="s">
        <v>25</v>
      </c>
      <c r="C588" s="1">
        <v>10</v>
      </c>
      <c r="D588" s="1" t="s">
        <v>16</v>
      </c>
      <c r="E588" s="5" t="str">
        <f>IF(Table13[[#This Row],[Pre or Post]]="Pre",IF(IF(Table13[[#This Row],[Response]]="Male",0,1)+IF(Table13[[#This Row],[Response]]="Female",0,1)=2,E587,Table13[[#This Row],[Response]]),"")</f>
        <v/>
      </c>
      <c r="F588" s="1">
        <v>8</v>
      </c>
      <c r="G588" s="1" t="s">
        <v>9</v>
      </c>
      <c r="H588" s="2" t="s">
        <v>8</v>
      </c>
      <c r="I58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89" spans="1:11">
      <c r="A589" s="1" t="s">
        <v>24</v>
      </c>
      <c r="B589" s="1" t="s">
        <v>25</v>
      </c>
      <c r="C589" s="1">
        <v>10</v>
      </c>
      <c r="D589" s="1" t="s">
        <v>16</v>
      </c>
      <c r="E589" s="5" t="str">
        <f>IF(Table13[[#This Row],[Pre or Post]]="Pre",IF(IF(Table13[[#This Row],[Response]]="Male",0,1)+IF(Table13[[#This Row],[Response]]="Female",0,1)=2,E588,Table13[[#This Row],[Response]]),"")</f>
        <v/>
      </c>
      <c r="F589" s="1">
        <v>9</v>
      </c>
      <c r="G589" s="1" t="s">
        <v>17</v>
      </c>
      <c r="H589" s="2" t="s">
        <v>8</v>
      </c>
      <c r="I58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90" spans="1:11">
      <c r="A590" s="1" t="s">
        <v>24</v>
      </c>
      <c r="B590" s="1" t="s">
        <v>25</v>
      </c>
      <c r="C590" s="1">
        <v>10</v>
      </c>
      <c r="D590" s="1" t="s">
        <v>16</v>
      </c>
      <c r="E590" s="5" t="str">
        <f>IF(Table13[[#This Row],[Pre or Post]]="Pre",IF(IF(Table13[[#This Row],[Response]]="Male",0,1)+IF(Table13[[#This Row],[Response]]="Female",0,1)=2,E589,Table13[[#This Row],[Response]]),"")</f>
        <v/>
      </c>
      <c r="F590" s="1">
        <v>10</v>
      </c>
      <c r="G590" s="1" t="s">
        <v>19</v>
      </c>
      <c r="H590" s="2" t="s">
        <v>8</v>
      </c>
      <c r="I59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91" spans="1:11">
      <c r="A591" s="1" t="s">
        <v>24</v>
      </c>
      <c r="B591" s="1" t="s">
        <v>25</v>
      </c>
      <c r="C591" s="1">
        <v>10</v>
      </c>
      <c r="D591" s="1" t="s">
        <v>16</v>
      </c>
      <c r="E591" s="5" t="str">
        <f>IF(Table13[[#This Row],[Pre or Post]]="Pre",IF(IF(Table13[[#This Row],[Response]]="Male",0,1)+IF(Table13[[#This Row],[Response]]="Female",0,1)=2,E590,Table13[[#This Row],[Response]]),"")</f>
        <v/>
      </c>
      <c r="F591" s="1">
        <v>11</v>
      </c>
      <c r="G591" s="1" t="s">
        <v>9</v>
      </c>
      <c r="H591" s="2" t="s">
        <v>8</v>
      </c>
      <c r="I59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92" spans="1:11">
      <c r="A592" s="1" t="s">
        <v>24</v>
      </c>
      <c r="B592" s="1" t="s">
        <v>25</v>
      </c>
      <c r="C592" s="1">
        <v>11</v>
      </c>
      <c r="D592" s="1" t="s">
        <v>16</v>
      </c>
      <c r="E592" s="5" t="str">
        <f>IF(Table13[[#This Row],[Pre or Post]]="Pre",IF(IF(Table13[[#This Row],[Response]]="Male",0,1)+IF(Table13[[#This Row],[Response]]="Female",0,1)=2,E591,Table13[[#This Row],[Response]]),"")</f>
        <v/>
      </c>
      <c r="F592" s="1">
        <v>2</v>
      </c>
      <c r="G592" s="1">
        <v>4</v>
      </c>
      <c r="H592" s="2" t="s">
        <v>8</v>
      </c>
      <c r="I59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93" spans="1:11">
      <c r="A593" s="1" t="s">
        <v>24</v>
      </c>
      <c r="B593" s="1" t="s">
        <v>25</v>
      </c>
      <c r="C593" s="1">
        <v>11</v>
      </c>
      <c r="D593" s="1" t="s">
        <v>16</v>
      </c>
      <c r="E593" s="5" t="str">
        <f>IF(Table13[[#This Row],[Pre or Post]]="Pre",IF(IF(Table13[[#This Row],[Response]]="Male",0,1)+IF(Table13[[#This Row],[Response]]="Female",0,1)=2,E592,Table13[[#This Row],[Response]]),"")</f>
        <v/>
      </c>
      <c r="F593" s="1">
        <v>3</v>
      </c>
      <c r="G593" s="1">
        <v>4</v>
      </c>
      <c r="H593" s="2" t="s">
        <v>8</v>
      </c>
      <c r="I59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94" spans="1:11">
      <c r="A594" s="1" t="s">
        <v>24</v>
      </c>
      <c r="B594" s="1" t="s">
        <v>25</v>
      </c>
      <c r="C594" s="1">
        <v>11</v>
      </c>
      <c r="D594" s="1" t="s">
        <v>16</v>
      </c>
      <c r="E594" s="5" t="str">
        <f>IF(Table13[[#This Row],[Pre or Post]]="Pre",IF(IF(Table13[[#This Row],[Response]]="Male",0,1)+IF(Table13[[#This Row],[Response]]="Female",0,1)=2,E593,Table13[[#This Row],[Response]]),"")</f>
        <v/>
      </c>
      <c r="F594" s="1">
        <v>4</v>
      </c>
      <c r="G594" s="1">
        <v>4</v>
      </c>
      <c r="H594" s="2" t="s">
        <v>8</v>
      </c>
      <c r="I59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95" spans="1:11">
      <c r="A595" s="1" t="s">
        <v>24</v>
      </c>
      <c r="B595" s="1" t="s">
        <v>25</v>
      </c>
      <c r="C595" s="1">
        <v>11</v>
      </c>
      <c r="D595" s="1" t="s">
        <v>16</v>
      </c>
      <c r="E595" s="5" t="str">
        <f>IF(Table13[[#This Row],[Pre or Post]]="Pre",IF(IF(Table13[[#This Row],[Response]]="Male",0,1)+IF(Table13[[#This Row],[Response]]="Female",0,1)=2,E594,Table13[[#This Row],[Response]]),"")</f>
        <v/>
      </c>
      <c r="F595" s="1">
        <v>5</v>
      </c>
      <c r="G595" s="1">
        <v>4</v>
      </c>
      <c r="H595" s="2" t="s">
        <v>8</v>
      </c>
      <c r="I59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96" spans="1:11">
      <c r="A596" s="1" t="s">
        <v>24</v>
      </c>
      <c r="B596" s="1" t="s">
        <v>25</v>
      </c>
      <c r="C596" s="1">
        <v>11</v>
      </c>
      <c r="D596" s="1" t="s">
        <v>16</v>
      </c>
      <c r="E596" s="5" t="str">
        <f>IF(Table13[[#This Row],[Pre or Post]]="Pre",IF(IF(Table13[[#This Row],[Response]]="Male",0,1)+IF(Table13[[#This Row],[Response]]="Female",0,1)=2,E595,Table13[[#This Row],[Response]]),"")</f>
        <v/>
      </c>
      <c r="F596" s="1">
        <v>6</v>
      </c>
      <c r="G596" s="1">
        <v>3</v>
      </c>
      <c r="H596" s="2" t="s">
        <v>8</v>
      </c>
      <c r="I59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97" spans="1:11">
      <c r="A597" s="1" t="s">
        <v>24</v>
      </c>
      <c r="B597" s="1" t="s">
        <v>25</v>
      </c>
      <c r="C597" s="1">
        <v>11</v>
      </c>
      <c r="D597" s="1" t="s">
        <v>16</v>
      </c>
      <c r="E597" s="5" t="str">
        <f>IF(Table13[[#This Row],[Pre or Post]]="Pre",IF(IF(Table13[[#This Row],[Response]]="Male",0,1)+IF(Table13[[#This Row],[Response]]="Female",0,1)=2,E596,Table13[[#This Row],[Response]]),"")</f>
        <v/>
      </c>
      <c r="F597" s="1">
        <v>7</v>
      </c>
      <c r="G597" s="1">
        <v>4</v>
      </c>
      <c r="H597" s="2" t="s">
        <v>8</v>
      </c>
      <c r="I59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98" spans="1:11">
      <c r="A598" s="1" t="s">
        <v>24</v>
      </c>
      <c r="B598" s="1" t="s">
        <v>25</v>
      </c>
      <c r="C598" s="1">
        <v>11</v>
      </c>
      <c r="D598" s="1" t="s">
        <v>16</v>
      </c>
      <c r="E598" s="5" t="str">
        <f>IF(Table13[[#This Row],[Pre or Post]]="Pre",IF(IF(Table13[[#This Row],[Response]]="Male",0,1)+IF(Table13[[#This Row],[Response]]="Female",0,1)=2,E597,Table13[[#This Row],[Response]]),"")</f>
        <v/>
      </c>
      <c r="F598" s="1">
        <v>8</v>
      </c>
      <c r="G598" s="1" t="s">
        <v>9</v>
      </c>
      <c r="H598" s="2" t="s">
        <v>8</v>
      </c>
      <c r="I59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599" spans="1:11">
      <c r="A599" s="1" t="s">
        <v>24</v>
      </c>
      <c r="B599" s="1" t="s">
        <v>25</v>
      </c>
      <c r="C599" s="1">
        <v>11</v>
      </c>
      <c r="D599" s="1" t="s">
        <v>16</v>
      </c>
      <c r="E599" s="5" t="str">
        <f>IF(Table13[[#This Row],[Pre or Post]]="Pre",IF(IF(Table13[[#This Row],[Response]]="Male",0,1)+IF(Table13[[#This Row],[Response]]="Female",0,1)=2,E598,Table13[[#This Row],[Response]]),"")</f>
        <v/>
      </c>
      <c r="F599" s="1">
        <v>9</v>
      </c>
      <c r="G599" s="1"/>
      <c r="H599" s="2" t="s">
        <v>8</v>
      </c>
      <c r="I59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5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5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00" spans="1:11">
      <c r="A600" s="1" t="s">
        <v>24</v>
      </c>
      <c r="B600" s="1" t="s">
        <v>25</v>
      </c>
      <c r="C600" s="1">
        <v>11</v>
      </c>
      <c r="D600" s="1" t="s">
        <v>16</v>
      </c>
      <c r="E600" s="5" t="str">
        <f>IF(Table13[[#This Row],[Pre or Post]]="Pre",IF(IF(Table13[[#This Row],[Response]]="Male",0,1)+IF(Table13[[#This Row],[Response]]="Female",0,1)=2,E599,Table13[[#This Row],[Response]]),"")</f>
        <v/>
      </c>
      <c r="F600" s="1">
        <v>10</v>
      </c>
      <c r="G600" s="1"/>
      <c r="H600" s="2" t="s">
        <v>8</v>
      </c>
      <c r="I60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01" spans="1:11">
      <c r="A601" s="1" t="s">
        <v>24</v>
      </c>
      <c r="B601" s="1" t="s">
        <v>25</v>
      </c>
      <c r="C601" s="1">
        <v>11</v>
      </c>
      <c r="D601" s="1" t="s">
        <v>16</v>
      </c>
      <c r="E601" s="5" t="str">
        <f>IF(Table13[[#This Row],[Pre or Post]]="Pre",IF(IF(Table13[[#This Row],[Response]]="Male",0,1)+IF(Table13[[#This Row],[Response]]="Female",0,1)=2,E600,Table13[[#This Row],[Response]]),"")</f>
        <v/>
      </c>
      <c r="F601" s="1">
        <v>11</v>
      </c>
      <c r="G601" s="1"/>
      <c r="H601" s="2" t="s">
        <v>8</v>
      </c>
      <c r="I60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02" spans="1:11">
      <c r="A602" s="1" t="s">
        <v>24</v>
      </c>
      <c r="B602" s="1" t="s">
        <v>25</v>
      </c>
      <c r="C602" s="1">
        <v>12</v>
      </c>
      <c r="D602" s="1" t="s">
        <v>16</v>
      </c>
      <c r="E602" s="5" t="str">
        <f>IF(Table13[[#This Row],[Pre or Post]]="Pre",IF(IF(Table13[[#This Row],[Response]]="Male",0,1)+IF(Table13[[#This Row],[Response]]="Female",0,1)=2,E601,Table13[[#This Row],[Response]]),"")</f>
        <v/>
      </c>
      <c r="F602" s="1">
        <v>2</v>
      </c>
      <c r="G602" s="1">
        <v>3</v>
      </c>
      <c r="H602" s="2" t="s">
        <v>8</v>
      </c>
      <c r="I60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03" spans="1:11">
      <c r="A603" s="1" t="s">
        <v>24</v>
      </c>
      <c r="B603" s="1" t="s">
        <v>25</v>
      </c>
      <c r="C603" s="1">
        <v>12</v>
      </c>
      <c r="D603" s="1" t="s">
        <v>16</v>
      </c>
      <c r="E603" s="5" t="str">
        <f>IF(Table13[[#This Row],[Pre or Post]]="Pre",IF(IF(Table13[[#This Row],[Response]]="Male",0,1)+IF(Table13[[#This Row],[Response]]="Female",0,1)=2,E602,Table13[[#This Row],[Response]]),"")</f>
        <v/>
      </c>
      <c r="F603" s="1">
        <v>3</v>
      </c>
      <c r="G603" s="1">
        <v>5</v>
      </c>
      <c r="H603" s="2" t="s">
        <v>8</v>
      </c>
      <c r="I60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04" spans="1:11">
      <c r="A604" s="1" t="s">
        <v>24</v>
      </c>
      <c r="B604" s="1" t="s">
        <v>25</v>
      </c>
      <c r="C604" s="1">
        <v>12</v>
      </c>
      <c r="D604" s="1" t="s">
        <v>16</v>
      </c>
      <c r="E604" s="5" t="str">
        <f>IF(Table13[[#This Row],[Pre or Post]]="Pre",IF(IF(Table13[[#This Row],[Response]]="Male",0,1)+IF(Table13[[#This Row],[Response]]="Female",0,1)=2,E603,Table13[[#This Row],[Response]]),"")</f>
        <v/>
      </c>
      <c r="F604" s="1">
        <v>4</v>
      </c>
      <c r="G604" s="1">
        <v>4</v>
      </c>
      <c r="H604" s="2" t="s">
        <v>8</v>
      </c>
      <c r="I60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05" spans="1:11">
      <c r="A605" s="1" t="s">
        <v>24</v>
      </c>
      <c r="B605" s="1" t="s">
        <v>25</v>
      </c>
      <c r="C605" s="1">
        <v>12</v>
      </c>
      <c r="D605" s="1" t="s">
        <v>16</v>
      </c>
      <c r="E605" s="5" t="str">
        <f>IF(Table13[[#This Row],[Pre or Post]]="Pre",IF(IF(Table13[[#This Row],[Response]]="Male",0,1)+IF(Table13[[#This Row],[Response]]="Female",0,1)=2,E604,Table13[[#This Row],[Response]]),"")</f>
        <v/>
      </c>
      <c r="F605" s="1">
        <v>5</v>
      </c>
      <c r="G605" s="1">
        <v>5</v>
      </c>
      <c r="H605" s="2" t="s">
        <v>8</v>
      </c>
      <c r="I60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06" spans="1:11">
      <c r="A606" s="1" t="s">
        <v>24</v>
      </c>
      <c r="B606" s="1" t="s">
        <v>25</v>
      </c>
      <c r="C606" s="1">
        <v>12</v>
      </c>
      <c r="D606" s="1" t="s">
        <v>16</v>
      </c>
      <c r="E606" s="5" t="str">
        <f>IF(Table13[[#This Row],[Pre or Post]]="Pre",IF(IF(Table13[[#This Row],[Response]]="Male",0,1)+IF(Table13[[#This Row],[Response]]="Female",0,1)=2,E605,Table13[[#This Row],[Response]]),"")</f>
        <v/>
      </c>
      <c r="F606" s="1">
        <v>6</v>
      </c>
      <c r="G606" s="1">
        <v>3</v>
      </c>
      <c r="H606" s="2" t="s">
        <v>8</v>
      </c>
      <c r="I60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07" spans="1:11">
      <c r="A607" s="1" t="s">
        <v>24</v>
      </c>
      <c r="B607" s="1" t="s">
        <v>25</v>
      </c>
      <c r="C607" s="1">
        <v>12</v>
      </c>
      <c r="D607" s="1" t="s">
        <v>16</v>
      </c>
      <c r="E607" s="5" t="str">
        <f>IF(Table13[[#This Row],[Pre or Post]]="Pre",IF(IF(Table13[[#This Row],[Response]]="Male",0,1)+IF(Table13[[#This Row],[Response]]="Female",0,1)=2,E606,Table13[[#This Row],[Response]]),"")</f>
        <v/>
      </c>
      <c r="F607" s="1">
        <v>7</v>
      </c>
      <c r="G607" s="1">
        <v>4</v>
      </c>
      <c r="H607" s="2" t="s">
        <v>8</v>
      </c>
      <c r="I60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08" spans="1:11">
      <c r="A608" s="1" t="s">
        <v>24</v>
      </c>
      <c r="B608" s="1" t="s">
        <v>25</v>
      </c>
      <c r="C608" s="1">
        <v>12</v>
      </c>
      <c r="D608" s="1" t="s">
        <v>16</v>
      </c>
      <c r="E608" s="5" t="str">
        <f>IF(Table13[[#This Row],[Pre or Post]]="Pre",IF(IF(Table13[[#This Row],[Response]]="Male",0,1)+IF(Table13[[#This Row],[Response]]="Female",0,1)=2,E607,Table13[[#This Row],[Response]]),"")</f>
        <v/>
      </c>
      <c r="F608" s="1">
        <v>8</v>
      </c>
      <c r="G608" s="1" t="s">
        <v>8</v>
      </c>
      <c r="H608" s="2" t="s">
        <v>8</v>
      </c>
      <c r="I60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09" spans="1:11">
      <c r="A609" s="1" t="s">
        <v>24</v>
      </c>
      <c r="B609" s="1" t="s">
        <v>25</v>
      </c>
      <c r="C609" s="1">
        <v>12</v>
      </c>
      <c r="D609" s="1" t="s">
        <v>16</v>
      </c>
      <c r="E609" s="5" t="str">
        <f>IF(Table13[[#This Row],[Pre or Post]]="Pre",IF(IF(Table13[[#This Row],[Response]]="Male",0,1)+IF(Table13[[#This Row],[Response]]="Female",0,1)=2,E608,Table13[[#This Row],[Response]]),"")</f>
        <v/>
      </c>
      <c r="F609" s="1">
        <v>9</v>
      </c>
      <c r="G609" s="1" t="s">
        <v>17</v>
      </c>
      <c r="H609" s="2" t="s">
        <v>8</v>
      </c>
      <c r="I60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10" spans="1:11">
      <c r="A610" s="1" t="s">
        <v>24</v>
      </c>
      <c r="B610" s="1" t="s">
        <v>25</v>
      </c>
      <c r="C610" s="1">
        <v>12</v>
      </c>
      <c r="D610" s="1" t="s">
        <v>16</v>
      </c>
      <c r="E610" s="5" t="str">
        <f>IF(Table13[[#This Row],[Pre or Post]]="Pre",IF(IF(Table13[[#This Row],[Response]]="Male",0,1)+IF(Table13[[#This Row],[Response]]="Female",0,1)=2,E609,Table13[[#This Row],[Response]]),"")</f>
        <v/>
      </c>
      <c r="F610" s="1">
        <v>10</v>
      </c>
      <c r="G610" s="1" t="s">
        <v>19</v>
      </c>
      <c r="H610" s="2" t="s">
        <v>8</v>
      </c>
      <c r="I61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11" spans="1:11">
      <c r="A611" s="1" t="s">
        <v>24</v>
      </c>
      <c r="B611" s="1" t="s">
        <v>25</v>
      </c>
      <c r="C611" s="1">
        <v>12</v>
      </c>
      <c r="D611" s="1" t="s">
        <v>16</v>
      </c>
      <c r="E611" s="5" t="str">
        <f>IF(Table13[[#This Row],[Pre or Post]]="Pre",IF(IF(Table13[[#This Row],[Response]]="Male",0,1)+IF(Table13[[#This Row],[Response]]="Female",0,1)=2,E610,Table13[[#This Row],[Response]]),"")</f>
        <v/>
      </c>
      <c r="F611" s="1">
        <v>11</v>
      </c>
      <c r="G611" s="1" t="s">
        <v>9</v>
      </c>
      <c r="H611" s="2" t="s">
        <v>8</v>
      </c>
      <c r="I61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12" spans="1:11">
      <c r="A612" s="1" t="s">
        <v>24</v>
      </c>
      <c r="B612" s="1" t="s">
        <v>25</v>
      </c>
      <c r="C612" s="1">
        <v>13</v>
      </c>
      <c r="D612" s="1" t="s">
        <v>16</v>
      </c>
      <c r="E612" s="5" t="str">
        <f>IF(Table13[[#This Row],[Pre or Post]]="Pre",IF(IF(Table13[[#This Row],[Response]]="Male",0,1)+IF(Table13[[#This Row],[Response]]="Female",0,1)=2,E611,Table13[[#This Row],[Response]]),"")</f>
        <v/>
      </c>
      <c r="F612" s="1">
        <v>2</v>
      </c>
      <c r="G612" s="1">
        <v>3</v>
      </c>
      <c r="H612" s="2" t="s">
        <v>8</v>
      </c>
      <c r="I61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13" spans="1:11">
      <c r="A613" s="1" t="s">
        <v>24</v>
      </c>
      <c r="B613" s="1" t="s">
        <v>25</v>
      </c>
      <c r="C613" s="1">
        <v>13</v>
      </c>
      <c r="D613" s="1" t="s">
        <v>16</v>
      </c>
      <c r="E613" s="5" t="str">
        <f>IF(Table13[[#This Row],[Pre or Post]]="Pre",IF(IF(Table13[[#This Row],[Response]]="Male",0,1)+IF(Table13[[#This Row],[Response]]="Female",0,1)=2,E612,Table13[[#This Row],[Response]]),"")</f>
        <v/>
      </c>
      <c r="F613" s="1">
        <v>3</v>
      </c>
      <c r="G613" s="1">
        <v>4</v>
      </c>
      <c r="H613" s="2" t="s">
        <v>8</v>
      </c>
      <c r="I61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14" spans="1:11">
      <c r="A614" s="1" t="s">
        <v>24</v>
      </c>
      <c r="B614" s="1" t="s">
        <v>25</v>
      </c>
      <c r="C614" s="1">
        <v>13</v>
      </c>
      <c r="D614" s="1" t="s">
        <v>16</v>
      </c>
      <c r="E614" s="5" t="str">
        <f>IF(Table13[[#This Row],[Pre or Post]]="Pre",IF(IF(Table13[[#This Row],[Response]]="Male",0,1)+IF(Table13[[#This Row],[Response]]="Female",0,1)=2,E613,Table13[[#This Row],[Response]]),"")</f>
        <v/>
      </c>
      <c r="F614" s="1">
        <v>4</v>
      </c>
      <c r="G614" s="1">
        <v>4</v>
      </c>
      <c r="H614" s="2" t="s">
        <v>8</v>
      </c>
      <c r="I61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15" spans="1:11">
      <c r="A615" s="1" t="s">
        <v>24</v>
      </c>
      <c r="B615" s="1" t="s">
        <v>25</v>
      </c>
      <c r="C615" s="1">
        <v>13</v>
      </c>
      <c r="D615" s="1" t="s">
        <v>16</v>
      </c>
      <c r="E615" s="5" t="str">
        <f>IF(Table13[[#This Row],[Pre or Post]]="Pre",IF(IF(Table13[[#This Row],[Response]]="Male",0,1)+IF(Table13[[#This Row],[Response]]="Female",0,1)=2,E614,Table13[[#This Row],[Response]]),"")</f>
        <v/>
      </c>
      <c r="F615" s="1">
        <v>5</v>
      </c>
      <c r="G615" s="1">
        <v>5</v>
      </c>
      <c r="H615" s="2" t="s">
        <v>8</v>
      </c>
      <c r="I61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16" spans="1:11">
      <c r="A616" s="1" t="s">
        <v>24</v>
      </c>
      <c r="B616" s="1" t="s">
        <v>25</v>
      </c>
      <c r="C616" s="1">
        <v>13</v>
      </c>
      <c r="D616" s="1" t="s">
        <v>16</v>
      </c>
      <c r="E616" s="5" t="str">
        <f>IF(Table13[[#This Row],[Pre or Post]]="Pre",IF(IF(Table13[[#This Row],[Response]]="Male",0,1)+IF(Table13[[#This Row],[Response]]="Female",0,1)=2,E615,Table13[[#This Row],[Response]]),"")</f>
        <v/>
      </c>
      <c r="F616" s="1">
        <v>6</v>
      </c>
      <c r="G616" s="1">
        <v>3</v>
      </c>
      <c r="H616" s="2" t="s">
        <v>8</v>
      </c>
      <c r="I61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17" spans="1:11">
      <c r="A617" s="1" t="s">
        <v>24</v>
      </c>
      <c r="B617" s="1" t="s">
        <v>25</v>
      </c>
      <c r="C617" s="1">
        <v>13</v>
      </c>
      <c r="D617" s="1" t="s">
        <v>16</v>
      </c>
      <c r="E617" s="5" t="str">
        <f>IF(Table13[[#This Row],[Pre or Post]]="Pre",IF(IF(Table13[[#This Row],[Response]]="Male",0,1)+IF(Table13[[#This Row],[Response]]="Female",0,1)=2,E616,Table13[[#This Row],[Response]]),"")</f>
        <v/>
      </c>
      <c r="F617" s="1">
        <v>7</v>
      </c>
      <c r="G617" s="1">
        <v>3</v>
      </c>
      <c r="H617" s="2" t="s">
        <v>8</v>
      </c>
      <c r="I61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18" spans="1:11">
      <c r="A618" s="1" t="s">
        <v>24</v>
      </c>
      <c r="B618" s="1" t="s">
        <v>25</v>
      </c>
      <c r="C618" s="1">
        <v>13</v>
      </c>
      <c r="D618" s="1" t="s">
        <v>16</v>
      </c>
      <c r="E618" s="5" t="str">
        <f>IF(Table13[[#This Row],[Pre or Post]]="Pre",IF(IF(Table13[[#This Row],[Response]]="Male",0,1)+IF(Table13[[#This Row],[Response]]="Female",0,1)=2,E617,Table13[[#This Row],[Response]]),"")</f>
        <v/>
      </c>
      <c r="F618" s="1">
        <v>8</v>
      </c>
      <c r="G618" s="1" t="s">
        <v>8</v>
      </c>
      <c r="H618" s="2" t="s">
        <v>8</v>
      </c>
      <c r="I61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19" spans="1:11">
      <c r="A619" s="1" t="s">
        <v>24</v>
      </c>
      <c r="B619" s="1" t="s">
        <v>25</v>
      </c>
      <c r="C619" s="1">
        <v>13</v>
      </c>
      <c r="D619" s="1" t="s">
        <v>16</v>
      </c>
      <c r="E619" s="5" t="str">
        <f>IF(Table13[[#This Row],[Pre or Post]]="Pre",IF(IF(Table13[[#This Row],[Response]]="Male",0,1)+IF(Table13[[#This Row],[Response]]="Female",0,1)=2,E618,Table13[[#This Row],[Response]]),"")</f>
        <v/>
      </c>
      <c r="F619" s="1">
        <v>9</v>
      </c>
      <c r="G619" s="1" t="s">
        <v>17</v>
      </c>
      <c r="H619" s="2" t="s">
        <v>8</v>
      </c>
      <c r="I61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20" spans="1:11">
      <c r="A620" s="1" t="s">
        <v>24</v>
      </c>
      <c r="B620" s="1" t="s">
        <v>25</v>
      </c>
      <c r="C620" s="1">
        <v>13</v>
      </c>
      <c r="D620" s="1" t="s">
        <v>16</v>
      </c>
      <c r="E620" s="5" t="str">
        <f>IF(Table13[[#This Row],[Pre or Post]]="Pre",IF(IF(Table13[[#This Row],[Response]]="Male",0,1)+IF(Table13[[#This Row],[Response]]="Female",0,1)=2,E619,Table13[[#This Row],[Response]]),"")</f>
        <v/>
      </c>
      <c r="F620" s="1">
        <v>10</v>
      </c>
      <c r="G620" s="1" t="s">
        <v>19</v>
      </c>
      <c r="H620" s="2" t="s">
        <v>8</v>
      </c>
      <c r="I62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21" spans="1:11">
      <c r="A621" s="1" t="s">
        <v>24</v>
      </c>
      <c r="B621" s="1" t="s">
        <v>25</v>
      </c>
      <c r="C621" s="1">
        <v>13</v>
      </c>
      <c r="D621" s="1" t="s">
        <v>16</v>
      </c>
      <c r="E621" s="5" t="str">
        <f>IF(Table13[[#This Row],[Pre or Post]]="Pre",IF(IF(Table13[[#This Row],[Response]]="Male",0,1)+IF(Table13[[#This Row],[Response]]="Female",0,1)=2,E620,Table13[[#This Row],[Response]]),"")</f>
        <v/>
      </c>
      <c r="F621" s="1">
        <v>11</v>
      </c>
      <c r="G621" s="1" t="s">
        <v>9</v>
      </c>
      <c r="H621" s="2" t="s">
        <v>8</v>
      </c>
      <c r="I62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22" spans="1:11">
      <c r="A622" s="1" t="s">
        <v>24</v>
      </c>
      <c r="B622" s="1" t="s">
        <v>25</v>
      </c>
      <c r="C622" s="1">
        <v>14</v>
      </c>
      <c r="D622" s="1" t="s">
        <v>16</v>
      </c>
      <c r="E622" s="5" t="str">
        <f>IF(Table13[[#This Row],[Pre or Post]]="Pre",IF(IF(Table13[[#This Row],[Response]]="Male",0,1)+IF(Table13[[#This Row],[Response]]="Female",0,1)=2,E621,Table13[[#This Row],[Response]]),"")</f>
        <v/>
      </c>
      <c r="F622" s="1">
        <v>2</v>
      </c>
      <c r="G622" s="1">
        <v>3</v>
      </c>
      <c r="H622" s="2" t="s">
        <v>8</v>
      </c>
      <c r="I62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23" spans="1:11">
      <c r="A623" s="1" t="s">
        <v>24</v>
      </c>
      <c r="B623" s="1" t="s">
        <v>25</v>
      </c>
      <c r="C623" s="1">
        <v>14</v>
      </c>
      <c r="D623" s="1" t="s">
        <v>16</v>
      </c>
      <c r="E623" s="5" t="str">
        <f>IF(Table13[[#This Row],[Pre or Post]]="Pre",IF(IF(Table13[[#This Row],[Response]]="Male",0,1)+IF(Table13[[#This Row],[Response]]="Female",0,1)=2,E622,Table13[[#This Row],[Response]]),"")</f>
        <v/>
      </c>
      <c r="F623" s="1">
        <v>3</v>
      </c>
      <c r="G623" s="1">
        <v>4</v>
      </c>
      <c r="H623" s="2" t="s">
        <v>8</v>
      </c>
      <c r="I62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24" spans="1:11">
      <c r="A624" s="1" t="s">
        <v>24</v>
      </c>
      <c r="B624" s="1" t="s">
        <v>25</v>
      </c>
      <c r="C624" s="1">
        <v>14</v>
      </c>
      <c r="D624" s="1" t="s">
        <v>16</v>
      </c>
      <c r="E624" s="5" t="str">
        <f>IF(Table13[[#This Row],[Pre or Post]]="Pre",IF(IF(Table13[[#This Row],[Response]]="Male",0,1)+IF(Table13[[#This Row],[Response]]="Female",0,1)=2,E623,Table13[[#This Row],[Response]]),"")</f>
        <v/>
      </c>
      <c r="F624" s="1">
        <v>4</v>
      </c>
      <c r="G624" s="1">
        <v>3</v>
      </c>
      <c r="H624" s="2" t="s">
        <v>8</v>
      </c>
      <c r="I62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25" spans="1:11">
      <c r="A625" s="1" t="s">
        <v>24</v>
      </c>
      <c r="B625" s="1" t="s">
        <v>25</v>
      </c>
      <c r="C625" s="1">
        <v>14</v>
      </c>
      <c r="D625" s="1" t="s">
        <v>16</v>
      </c>
      <c r="E625" s="5" t="str">
        <f>IF(Table13[[#This Row],[Pre or Post]]="Pre",IF(IF(Table13[[#This Row],[Response]]="Male",0,1)+IF(Table13[[#This Row],[Response]]="Female",0,1)=2,E624,Table13[[#This Row],[Response]]),"")</f>
        <v/>
      </c>
      <c r="F625" s="1">
        <v>5</v>
      </c>
      <c r="G625" s="1">
        <v>3</v>
      </c>
      <c r="H625" s="2" t="s">
        <v>8</v>
      </c>
      <c r="I62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26" spans="1:11">
      <c r="A626" s="1" t="s">
        <v>24</v>
      </c>
      <c r="B626" s="1" t="s">
        <v>25</v>
      </c>
      <c r="C626" s="1">
        <v>14</v>
      </c>
      <c r="D626" s="1" t="s">
        <v>16</v>
      </c>
      <c r="E626" s="5" t="str">
        <f>IF(Table13[[#This Row],[Pre or Post]]="Pre",IF(IF(Table13[[#This Row],[Response]]="Male",0,1)+IF(Table13[[#This Row],[Response]]="Female",0,1)=2,E625,Table13[[#This Row],[Response]]),"")</f>
        <v/>
      </c>
      <c r="F626" s="1">
        <v>6</v>
      </c>
      <c r="G626" s="1">
        <v>4</v>
      </c>
      <c r="H626" s="2" t="s">
        <v>8</v>
      </c>
      <c r="I62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27" spans="1:11">
      <c r="A627" s="1" t="s">
        <v>24</v>
      </c>
      <c r="B627" s="1" t="s">
        <v>25</v>
      </c>
      <c r="C627" s="1">
        <v>14</v>
      </c>
      <c r="D627" s="1" t="s">
        <v>16</v>
      </c>
      <c r="E627" s="5" t="str">
        <f>IF(Table13[[#This Row],[Pre or Post]]="Pre",IF(IF(Table13[[#This Row],[Response]]="Male",0,1)+IF(Table13[[#This Row],[Response]]="Female",0,1)=2,E626,Table13[[#This Row],[Response]]),"")</f>
        <v/>
      </c>
      <c r="F627" s="1">
        <v>7</v>
      </c>
      <c r="G627" s="1">
        <v>3</v>
      </c>
      <c r="H627" s="2" t="s">
        <v>8</v>
      </c>
      <c r="I62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28" spans="1:11">
      <c r="A628" s="1" t="s">
        <v>24</v>
      </c>
      <c r="B628" s="1" t="s">
        <v>25</v>
      </c>
      <c r="C628" s="1">
        <v>14</v>
      </c>
      <c r="D628" s="1" t="s">
        <v>16</v>
      </c>
      <c r="E628" s="5" t="str">
        <f>IF(Table13[[#This Row],[Pre or Post]]="Pre",IF(IF(Table13[[#This Row],[Response]]="Male",0,1)+IF(Table13[[#This Row],[Response]]="Female",0,1)=2,E627,Table13[[#This Row],[Response]]),"")</f>
        <v/>
      </c>
      <c r="F628" s="1">
        <v>8</v>
      </c>
      <c r="G628" s="1" t="s">
        <v>8</v>
      </c>
      <c r="H628" s="2" t="s">
        <v>8</v>
      </c>
      <c r="I62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29" spans="1:11">
      <c r="A629" s="1" t="s">
        <v>24</v>
      </c>
      <c r="B629" s="1" t="s">
        <v>25</v>
      </c>
      <c r="C629" s="1">
        <v>14</v>
      </c>
      <c r="D629" s="1" t="s">
        <v>16</v>
      </c>
      <c r="E629" s="5" t="str">
        <f>IF(Table13[[#This Row],[Pre or Post]]="Pre",IF(IF(Table13[[#This Row],[Response]]="Male",0,1)+IF(Table13[[#This Row],[Response]]="Female",0,1)=2,E628,Table13[[#This Row],[Response]]),"")</f>
        <v/>
      </c>
      <c r="F629" s="1">
        <v>9</v>
      </c>
      <c r="G629" s="1"/>
      <c r="H629" s="2" t="s">
        <v>8</v>
      </c>
      <c r="I62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30" spans="1:11">
      <c r="A630" s="1" t="s">
        <v>24</v>
      </c>
      <c r="B630" s="1" t="s">
        <v>25</v>
      </c>
      <c r="C630" s="1">
        <v>14</v>
      </c>
      <c r="D630" s="1" t="s">
        <v>16</v>
      </c>
      <c r="E630" s="5" t="str">
        <f>IF(Table13[[#This Row],[Pre or Post]]="Pre",IF(IF(Table13[[#This Row],[Response]]="Male",0,1)+IF(Table13[[#This Row],[Response]]="Female",0,1)=2,E629,Table13[[#This Row],[Response]]),"")</f>
        <v/>
      </c>
      <c r="F630" s="1">
        <v>10</v>
      </c>
      <c r="G630" s="1"/>
      <c r="H630" s="2" t="s">
        <v>8</v>
      </c>
      <c r="I63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31" spans="1:11">
      <c r="A631" s="1" t="s">
        <v>24</v>
      </c>
      <c r="B631" s="1" t="s">
        <v>25</v>
      </c>
      <c r="C631" s="1">
        <v>14</v>
      </c>
      <c r="D631" s="1" t="s">
        <v>16</v>
      </c>
      <c r="E631" s="5" t="str">
        <f>IF(Table13[[#This Row],[Pre or Post]]="Pre",IF(IF(Table13[[#This Row],[Response]]="Male",0,1)+IF(Table13[[#This Row],[Response]]="Female",0,1)=2,E630,Table13[[#This Row],[Response]]),"")</f>
        <v/>
      </c>
      <c r="F631" s="1">
        <v>11</v>
      </c>
      <c r="G631" s="1"/>
      <c r="H631" s="2" t="s">
        <v>8</v>
      </c>
      <c r="I63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32" spans="1:11">
      <c r="A632" s="1" t="s">
        <v>24</v>
      </c>
      <c r="B632" s="1" t="s">
        <v>25</v>
      </c>
      <c r="C632" s="1">
        <v>18</v>
      </c>
      <c r="D632" s="1" t="s">
        <v>16</v>
      </c>
      <c r="E632" s="5" t="str">
        <f>IF(Table13[[#This Row],[Pre or Post]]="Pre",IF(IF(Table13[[#This Row],[Response]]="Male",0,1)+IF(Table13[[#This Row],[Response]]="Female",0,1)=2,E631,Table13[[#This Row],[Response]]),"")</f>
        <v/>
      </c>
      <c r="F632" s="1">
        <v>2</v>
      </c>
      <c r="G632" s="1">
        <v>3</v>
      </c>
      <c r="H632" s="2" t="s">
        <v>9</v>
      </c>
      <c r="I63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33" spans="1:11">
      <c r="A633" s="1" t="s">
        <v>24</v>
      </c>
      <c r="B633" s="1" t="s">
        <v>25</v>
      </c>
      <c r="C633" s="1">
        <v>18</v>
      </c>
      <c r="D633" s="1" t="s">
        <v>16</v>
      </c>
      <c r="E633" s="5" t="str">
        <f>IF(Table13[[#This Row],[Pre or Post]]="Pre",IF(IF(Table13[[#This Row],[Response]]="Male",0,1)+IF(Table13[[#This Row],[Response]]="Female",0,1)=2,E632,Table13[[#This Row],[Response]]),"")</f>
        <v/>
      </c>
      <c r="F633" s="1">
        <v>3</v>
      </c>
      <c r="G633" s="1">
        <v>3</v>
      </c>
      <c r="H633" s="2" t="s">
        <v>9</v>
      </c>
      <c r="I63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34" spans="1:11">
      <c r="A634" s="1" t="s">
        <v>24</v>
      </c>
      <c r="B634" s="1" t="s">
        <v>25</v>
      </c>
      <c r="C634" s="1">
        <v>18</v>
      </c>
      <c r="D634" s="1" t="s">
        <v>16</v>
      </c>
      <c r="E634" s="5" t="str">
        <f>IF(Table13[[#This Row],[Pre or Post]]="Pre",IF(IF(Table13[[#This Row],[Response]]="Male",0,1)+IF(Table13[[#This Row],[Response]]="Female",0,1)=2,E633,Table13[[#This Row],[Response]]),"")</f>
        <v/>
      </c>
      <c r="F634" s="1">
        <v>4</v>
      </c>
      <c r="G634" s="1">
        <v>2</v>
      </c>
      <c r="H634" s="2" t="s">
        <v>9</v>
      </c>
      <c r="I63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35" spans="1:11">
      <c r="A635" s="1" t="s">
        <v>24</v>
      </c>
      <c r="B635" s="1" t="s">
        <v>25</v>
      </c>
      <c r="C635" s="1">
        <v>18</v>
      </c>
      <c r="D635" s="1" t="s">
        <v>16</v>
      </c>
      <c r="E635" s="5" t="str">
        <f>IF(Table13[[#This Row],[Pre or Post]]="Pre",IF(IF(Table13[[#This Row],[Response]]="Male",0,1)+IF(Table13[[#This Row],[Response]]="Female",0,1)=2,E634,Table13[[#This Row],[Response]]),"")</f>
        <v/>
      </c>
      <c r="F635" s="1">
        <v>5</v>
      </c>
      <c r="G635" s="1">
        <v>3</v>
      </c>
      <c r="H635" s="2" t="s">
        <v>9</v>
      </c>
      <c r="I63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36" spans="1:11">
      <c r="A636" s="1" t="s">
        <v>24</v>
      </c>
      <c r="B636" s="1" t="s">
        <v>25</v>
      </c>
      <c r="C636" s="1">
        <v>18</v>
      </c>
      <c r="D636" s="1" t="s">
        <v>16</v>
      </c>
      <c r="E636" s="5" t="str">
        <f>IF(Table13[[#This Row],[Pre or Post]]="Pre",IF(IF(Table13[[#This Row],[Response]]="Male",0,1)+IF(Table13[[#This Row],[Response]]="Female",0,1)=2,E635,Table13[[#This Row],[Response]]),"")</f>
        <v/>
      </c>
      <c r="F636" s="1">
        <v>6</v>
      </c>
      <c r="G636" s="1">
        <v>2</v>
      </c>
      <c r="H636" s="2" t="s">
        <v>9</v>
      </c>
      <c r="I63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37" spans="1:11">
      <c r="A637" s="1" t="s">
        <v>24</v>
      </c>
      <c r="B637" s="1" t="s">
        <v>25</v>
      </c>
      <c r="C637" s="1">
        <v>18</v>
      </c>
      <c r="D637" s="1" t="s">
        <v>16</v>
      </c>
      <c r="E637" s="5" t="str">
        <f>IF(Table13[[#This Row],[Pre or Post]]="Pre",IF(IF(Table13[[#This Row],[Response]]="Male",0,1)+IF(Table13[[#This Row],[Response]]="Female",0,1)=2,E636,Table13[[#This Row],[Response]]),"")</f>
        <v/>
      </c>
      <c r="F637" s="1">
        <v>7</v>
      </c>
      <c r="G637" s="1">
        <v>2</v>
      </c>
      <c r="H637" s="2" t="s">
        <v>9</v>
      </c>
      <c r="I63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38" spans="1:11">
      <c r="A638" s="1" t="s">
        <v>24</v>
      </c>
      <c r="B638" s="1" t="s">
        <v>25</v>
      </c>
      <c r="C638" s="1">
        <v>18</v>
      </c>
      <c r="D638" s="1" t="s">
        <v>16</v>
      </c>
      <c r="E638" s="5" t="str">
        <f>IF(Table13[[#This Row],[Pre or Post]]="Pre",IF(IF(Table13[[#This Row],[Response]]="Male",0,1)+IF(Table13[[#This Row],[Response]]="Female",0,1)=2,E637,Table13[[#This Row],[Response]]),"")</f>
        <v/>
      </c>
      <c r="F638" s="1">
        <v>8</v>
      </c>
      <c r="G638" s="1" t="s">
        <v>8</v>
      </c>
      <c r="H638" s="2" t="s">
        <v>9</v>
      </c>
      <c r="I63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39" spans="1:11">
      <c r="A639" s="1" t="s">
        <v>24</v>
      </c>
      <c r="B639" s="1" t="s">
        <v>25</v>
      </c>
      <c r="C639" s="1">
        <v>18</v>
      </c>
      <c r="D639" s="1" t="s">
        <v>16</v>
      </c>
      <c r="E639" s="5" t="str">
        <f>IF(Table13[[#This Row],[Pre or Post]]="Pre",IF(IF(Table13[[#This Row],[Response]]="Male",0,1)+IF(Table13[[#This Row],[Response]]="Female",0,1)=2,E638,Table13[[#This Row],[Response]]),"")</f>
        <v/>
      </c>
      <c r="F639" s="1">
        <v>9</v>
      </c>
      <c r="G639" s="1"/>
      <c r="H639" s="2" t="s">
        <v>9</v>
      </c>
      <c r="I63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40" spans="1:11">
      <c r="A640" s="1" t="s">
        <v>24</v>
      </c>
      <c r="B640" s="1" t="s">
        <v>25</v>
      </c>
      <c r="C640" s="1">
        <v>18</v>
      </c>
      <c r="D640" s="1" t="s">
        <v>16</v>
      </c>
      <c r="E640" s="5" t="str">
        <f>IF(Table13[[#This Row],[Pre or Post]]="Pre",IF(IF(Table13[[#This Row],[Response]]="Male",0,1)+IF(Table13[[#This Row],[Response]]="Female",0,1)=2,E639,Table13[[#This Row],[Response]]),"")</f>
        <v/>
      </c>
      <c r="F640" s="1">
        <v>10</v>
      </c>
      <c r="G640" s="1"/>
      <c r="H640" s="2" t="s">
        <v>9</v>
      </c>
      <c r="I64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41" spans="1:11">
      <c r="A641" s="1" t="s">
        <v>24</v>
      </c>
      <c r="B641" s="1" t="s">
        <v>25</v>
      </c>
      <c r="C641" s="1">
        <v>18</v>
      </c>
      <c r="D641" s="1" t="s">
        <v>16</v>
      </c>
      <c r="E641" s="5" t="str">
        <f>IF(Table13[[#This Row],[Pre or Post]]="Pre",IF(IF(Table13[[#This Row],[Response]]="Male",0,1)+IF(Table13[[#This Row],[Response]]="Female",0,1)=2,E640,Table13[[#This Row],[Response]]),"")</f>
        <v/>
      </c>
      <c r="F641" s="1">
        <v>11</v>
      </c>
      <c r="G641" s="1"/>
      <c r="H641" s="2" t="s">
        <v>9</v>
      </c>
      <c r="I64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42" spans="1:11">
      <c r="A642" s="1" t="s">
        <v>24</v>
      </c>
      <c r="B642" s="1" t="s">
        <v>25</v>
      </c>
      <c r="C642" s="1">
        <v>19</v>
      </c>
      <c r="D642" s="1" t="s">
        <v>16</v>
      </c>
      <c r="E642" s="5" t="str">
        <f>IF(Table13[[#This Row],[Pre or Post]]="Pre",IF(IF(Table13[[#This Row],[Response]]="Male",0,1)+IF(Table13[[#This Row],[Response]]="Female",0,1)=2,E641,Table13[[#This Row],[Response]]),"")</f>
        <v/>
      </c>
      <c r="F642" s="1">
        <v>2</v>
      </c>
      <c r="G642" s="1">
        <v>3</v>
      </c>
      <c r="H642" s="2" t="s">
        <v>9</v>
      </c>
      <c r="I64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43" spans="1:11">
      <c r="A643" s="1" t="s">
        <v>24</v>
      </c>
      <c r="B643" s="1" t="s">
        <v>25</v>
      </c>
      <c r="C643" s="1">
        <v>19</v>
      </c>
      <c r="D643" s="1" t="s">
        <v>16</v>
      </c>
      <c r="E643" s="5" t="str">
        <f>IF(Table13[[#This Row],[Pre or Post]]="Pre",IF(IF(Table13[[#This Row],[Response]]="Male",0,1)+IF(Table13[[#This Row],[Response]]="Female",0,1)=2,E642,Table13[[#This Row],[Response]]),"")</f>
        <v/>
      </c>
      <c r="F643" s="1">
        <v>3</v>
      </c>
      <c r="G643" s="1">
        <v>3</v>
      </c>
      <c r="H643" s="2" t="s">
        <v>9</v>
      </c>
      <c r="I64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44" spans="1:11">
      <c r="A644" s="1" t="s">
        <v>24</v>
      </c>
      <c r="B644" s="1" t="s">
        <v>25</v>
      </c>
      <c r="C644" s="1">
        <v>19</v>
      </c>
      <c r="D644" s="1" t="s">
        <v>16</v>
      </c>
      <c r="E644" s="5" t="str">
        <f>IF(Table13[[#This Row],[Pre or Post]]="Pre",IF(IF(Table13[[#This Row],[Response]]="Male",0,1)+IF(Table13[[#This Row],[Response]]="Female",0,1)=2,E643,Table13[[#This Row],[Response]]),"")</f>
        <v/>
      </c>
      <c r="F644" s="1">
        <v>4</v>
      </c>
      <c r="G644" s="1">
        <v>3</v>
      </c>
      <c r="H644" s="2" t="s">
        <v>9</v>
      </c>
      <c r="I64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45" spans="1:11">
      <c r="A645" s="1" t="s">
        <v>24</v>
      </c>
      <c r="B645" s="1" t="s">
        <v>25</v>
      </c>
      <c r="C645" s="1">
        <v>19</v>
      </c>
      <c r="D645" s="1" t="s">
        <v>16</v>
      </c>
      <c r="E645" s="5" t="str">
        <f>IF(Table13[[#This Row],[Pre or Post]]="Pre",IF(IF(Table13[[#This Row],[Response]]="Male",0,1)+IF(Table13[[#This Row],[Response]]="Female",0,1)=2,E644,Table13[[#This Row],[Response]]),"")</f>
        <v/>
      </c>
      <c r="F645" s="1">
        <v>5</v>
      </c>
      <c r="G645" s="1">
        <v>4</v>
      </c>
      <c r="H645" s="2" t="s">
        <v>9</v>
      </c>
      <c r="I64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46" spans="1:11">
      <c r="A646" s="1" t="s">
        <v>24</v>
      </c>
      <c r="B646" s="1" t="s">
        <v>25</v>
      </c>
      <c r="C646" s="1">
        <v>19</v>
      </c>
      <c r="D646" s="1" t="s">
        <v>16</v>
      </c>
      <c r="E646" s="5" t="str">
        <f>IF(Table13[[#This Row],[Pre or Post]]="Pre",IF(IF(Table13[[#This Row],[Response]]="Male",0,1)+IF(Table13[[#This Row],[Response]]="Female",0,1)=2,E645,Table13[[#This Row],[Response]]),"")</f>
        <v/>
      </c>
      <c r="F646" s="1">
        <v>6</v>
      </c>
      <c r="G646" s="1">
        <v>5</v>
      </c>
      <c r="H646" s="2" t="s">
        <v>9</v>
      </c>
      <c r="I64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47" spans="1:11">
      <c r="A647" s="1" t="s">
        <v>24</v>
      </c>
      <c r="B647" s="1" t="s">
        <v>25</v>
      </c>
      <c r="C647" s="1">
        <v>19</v>
      </c>
      <c r="D647" s="1" t="s">
        <v>16</v>
      </c>
      <c r="E647" s="5" t="str">
        <f>IF(Table13[[#This Row],[Pre or Post]]="Pre",IF(IF(Table13[[#This Row],[Response]]="Male",0,1)+IF(Table13[[#This Row],[Response]]="Female",0,1)=2,E646,Table13[[#This Row],[Response]]),"")</f>
        <v/>
      </c>
      <c r="F647" s="1">
        <v>7</v>
      </c>
      <c r="G647" s="1">
        <v>5</v>
      </c>
      <c r="H647" s="2" t="s">
        <v>9</v>
      </c>
      <c r="I64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48" spans="1:11">
      <c r="A648" s="1" t="s">
        <v>24</v>
      </c>
      <c r="B648" s="1" t="s">
        <v>25</v>
      </c>
      <c r="C648" s="1">
        <v>19</v>
      </c>
      <c r="D648" s="1" t="s">
        <v>16</v>
      </c>
      <c r="E648" s="5" t="str">
        <f>IF(Table13[[#This Row],[Pre or Post]]="Pre",IF(IF(Table13[[#This Row],[Response]]="Male",0,1)+IF(Table13[[#This Row],[Response]]="Female",0,1)=2,E647,Table13[[#This Row],[Response]]),"")</f>
        <v/>
      </c>
      <c r="F648" s="1">
        <v>8</v>
      </c>
      <c r="G648" s="1" t="s">
        <v>8</v>
      </c>
      <c r="H648" s="2" t="s">
        <v>9</v>
      </c>
      <c r="I64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49" spans="1:11">
      <c r="A649" s="1" t="s">
        <v>24</v>
      </c>
      <c r="B649" s="1" t="s">
        <v>25</v>
      </c>
      <c r="C649" s="1">
        <v>19</v>
      </c>
      <c r="D649" s="1" t="s">
        <v>16</v>
      </c>
      <c r="E649" s="5" t="str">
        <f>IF(Table13[[#This Row],[Pre or Post]]="Pre",IF(IF(Table13[[#This Row],[Response]]="Male",0,1)+IF(Table13[[#This Row],[Response]]="Female",0,1)=2,E648,Table13[[#This Row],[Response]]),"")</f>
        <v/>
      </c>
      <c r="F649" s="1">
        <v>9</v>
      </c>
      <c r="G649" s="1" t="s">
        <v>17</v>
      </c>
      <c r="H649" s="2" t="s">
        <v>9</v>
      </c>
      <c r="I64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50" spans="1:11">
      <c r="A650" s="1" t="s">
        <v>24</v>
      </c>
      <c r="B650" s="1" t="s">
        <v>25</v>
      </c>
      <c r="C650" s="1">
        <v>19</v>
      </c>
      <c r="D650" s="1" t="s">
        <v>16</v>
      </c>
      <c r="E650" s="5" t="str">
        <f>IF(Table13[[#This Row],[Pre or Post]]="Pre",IF(IF(Table13[[#This Row],[Response]]="Male",0,1)+IF(Table13[[#This Row],[Response]]="Female",0,1)=2,E649,Table13[[#This Row],[Response]]),"")</f>
        <v/>
      </c>
      <c r="F650" s="1">
        <v>10</v>
      </c>
      <c r="G650" s="1" t="s">
        <v>19</v>
      </c>
      <c r="H650" s="2" t="s">
        <v>9</v>
      </c>
      <c r="I65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51" spans="1:11">
      <c r="A651" s="1" t="s">
        <v>24</v>
      </c>
      <c r="B651" s="1" t="s">
        <v>25</v>
      </c>
      <c r="C651" s="1">
        <v>19</v>
      </c>
      <c r="D651" s="1" t="s">
        <v>16</v>
      </c>
      <c r="E651" s="5" t="str">
        <f>IF(Table13[[#This Row],[Pre or Post]]="Pre",IF(IF(Table13[[#This Row],[Response]]="Male",0,1)+IF(Table13[[#This Row],[Response]]="Female",0,1)=2,E650,Table13[[#This Row],[Response]]),"")</f>
        <v/>
      </c>
      <c r="F651" s="2">
        <v>11</v>
      </c>
      <c r="G651" s="1" t="s">
        <v>9</v>
      </c>
      <c r="H651" s="2" t="s">
        <v>9</v>
      </c>
      <c r="I65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52" spans="1:11">
      <c r="A652" s="1" t="s">
        <v>24</v>
      </c>
      <c r="B652" s="1" t="s">
        <v>25</v>
      </c>
      <c r="C652" s="1">
        <v>20</v>
      </c>
      <c r="D652" s="1" t="s">
        <v>16</v>
      </c>
      <c r="E652" s="5" t="str">
        <f>IF(Table13[[#This Row],[Pre or Post]]="Pre",IF(IF(Table13[[#This Row],[Response]]="Male",0,1)+IF(Table13[[#This Row],[Response]]="Female",0,1)=2,E651,Table13[[#This Row],[Response]]),"")</f>
        <v/>
      </c>
      <c r="F652" s="1">
        <v>2</v>
      </c>
      <c r="G652" s="1">
        <v>3</v>
      </c>
      <c r="H652" s="2" t="s">
        <v>9</v>
      </c>
      <c r="I65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53" spans="1:11">
      <c r="A653" s="1" t="s">
        <v>24</v>
      </c>
      <c r="B653" s="1" t="s">
        <v>25</v>
      </c>
      <c r="C653" s="1">
        <v>20</v>
      </c>
      <c r="D653" s="1" t="s">
        <v>16</v>
      </c>
      <c r="E653" s="5" t="str">
        <f>IF(Table13[[#This Row],[Pre or Post]]="Pre",IF(IF(Table13[[#This Row],[Response]]="Male",0,1)+IF(Table13[[#This Row],[Response]]="Female",0,1)=2,E652,Table13[[#This Row],[Response]]),"")</f>
        <v/>
      </c>
      <c r="F653" s="1">
        <v>3</v>
      </c>
      <c r="G653" s="1">
        <v>4</v>
      </c>
      <c r="H653" s="2" t="s">
        <v>9</v>
      </c>
      <c r="I65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54" spans="1:11">
      <c r="A654" s="1" t="s">
        <v>24</v>
      </c>
      <c r="B654" s="1" t="s">
        <v>25</v>
      </c>
      <c r="C654" s="1">
        <v>20</v>
      </c>
      <c r="D654" s="1" t="s">
        <v>16</v>
      </c>
      <c r="E654" s="5" t="str">
        <f>IF(Table13[[#This Row],[Pre or Post]]="Pre",IF(IF(Table13[[#This Row],[Response]]="Male",0,1)+IF(Table13[[#This Row],[Response]]="Female",0,1)=2,E653,Table13[[#This Row],[Response]]),"")</f>
        <v/>
      </c>
      <c r="F654" s="1">
        <v>4</v>
      </c>
      <c r="G654" s="1">
        <v>3</v>
      </c>
      <c r="H654" s="2" t="s">
        <v>9</v>
      </c>
      <c r="I65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55" spans="1:11">
      <c r="A655" s="1" t="s">
        <v>24</v>
      </c>
      <c r="B655" s="1" t="s">
        <v>25</v>
      </c>
      <c r="C655" s="1">
        <v>20</v>
      </c>
      <c r="D655" s="1" t="s">
        <v>16</v>
      </c>
      <c r="E655" s="5" t="str">
        <f>IF(Table13[[#This Row],[Pre or Post]]="Pre",IF(IF(Table13[[#This Row],[Response]]="Male",0,1)+IF(Table13[[#This Row],[Response]]="Female",0,1)=2,E654,Table13[[#This Row],[Response]]),"")</f>
        <v/>
      </c>
      <c r="F655" s="1">
        <v>5</v>
      </c>
      <c r="G655" s="1">
        <v>2</v>
      </c>
      <c r="H655" s="2" t="s">
        <v>9</v>
      </c>
      <c r="I65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56" spans="1:11">
      <c r="A656" s="1" t="s">
        <v>24</v>
      </c>
      <c r="B656" s="1" t="s">
        <v>25</v>
      </c>
      <c r="C656" s="1">
        <v>20</v>
      </c>
      <c r="D656" s="1" t="s">
        <v>16</v>
      </c>
      <c r="E656" s="5" t="str">
        <f>IF(Table13[[#This Row],[Pre or Post]]="Pre",IF(IF(Table13[[#This Row],[Response]]="Male",0,1)+IF(Table13[[#This Row],[Response]]="Female",0,1)=2,E655,Table13[[#This Row],[Response]]),"")</f>
        <v/>
      </c>
      <c r="F656" s="1">
        <v>6</v>
      </c>
      <c r="G656" s="1">
        <v>3</v>
      </c>
      <c r="H656" s="2" t="s">
        <v>9</v>
      </c>
      <c r="I65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57" spans="1:11">
      <c r="A657" s="1" t="s">
        <v>24</v>
      </c>
      <c r="B657" s="1" t="s">
        <v>25</v>
      </c>
      <c r="C657" s="1">
        <v>20</v>
      </c>
      <c r="D657" s="1" t="s">
        <v>16</v>
      </c>
      <c r="E657" s="5" t="str">
        <f>IF(Table13[[#This Row],[Pre or Post]]="Pre",IF(IF(Table13[[#This Row],[Response]]="Male",0,1)+IF(Table13[[#This Row],[Response]]="Female",0,1)=2,E656,Table13[[#This Row],[Response]]),"")</f>
        <v/>
      </c>
      <c r="F657" s="1">
        <v>7</v>
      </c>
      <c r="G657" s="1">
        <v>4</v>
      </c>
      <c r="H657" s="2" t="s">
        <v>9</v>
      </c>
      <c r="I65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58" spans="1:11">
      <c r="A658" s="1" t="s">
        <v>24</v>
      </c>
      <c r="B658" s="1" t="s">
        <v>25</v>
      </c>
      <c r="C658" s="1">
        <v>20</v>
      </c>
      <c r="D658" s="1" t="s">
        <v>16</v>
      </c>
      <c r="E658" s="5" t="str">
        <f>IF(Table13[[#This Row],[Pre or Post]]="Pre",IF(IF(Table13[[#This Row],[Response]]="Male",0,1)+IF(Table13[[#This Row],[Response]]="Female",0,1)=2,E657,Table13[[#This Row],[Response]]),"")</f>
        <v/>
      </c>
      <c r="F658" s="1">
        <v>8</v>
      </c>
      <c r="G658" s="1" t="s">
        <v>8</v>
      </c>
      <c r="H658" s="2" t="s">
        <v>9</v>
      </c>
      <c r="I65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59" spans="1:11">
      <c r="A659" s="1" t="s">
        <v>24</v>
      </c>
      <c r="B659" s="1" t="s">
        <v>25</v>
      </c>
      <c r="C659" s="1">
        <v>20</v>
      </c>
      <c r="D659" s="1" t="s">
        <v>16</v>
      </c>
      <c r="E659" s="5" t="str">
        <f>IF(Table13[[#This Row],[Pre or Post]]="Pre",IF(IF(Table13[[#This Row],[Response]]="Male",0,1)+IF(Table13[[#This Row],[Response]]="Female",0,1)=2,E658,Table13[[#This Row],[Response]]),"")</f>
        <v/>
      </c>
      <c r="F659" s="1">
        <v>9</v>
      </c>
      <c r="G659" s="1" t="s">
        <v>17</v>
      </c>
      <c r="H659" s="2" t="s">
        <v>9</v>
      </c>
      <c r="I65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60" spans="1:11">
      <c r="A660" s="1" t="s">
        <v>24</v>
      </c>
      <c r="B660" s="1" t="s">
        <v>25</v>
      </c>
      <c r="C660" s="1">
        <v>20</v>
      </c>
      <c r="D660" s="1" t="s">
        <v>16</v>
      </c>
      <c r="E660" s="5" t="str">
        <f>IF(Table13[[#This Row],[Pre or Post]]="Pre",IF(IF(Table13[[#This Row],[Response]]="Male",0,1)+IF(Table13[[#This Row],[Response]]="Female",0,1)=2,E659,Table13[[#This Row],[Response]]),"")</f>
        <v/>
      </c>
      <c r="F660" s="1">
        <v>10</v>
      </c>
      <c r="G660" s="1" t="s">
        <v>19</v>
      </c>
      <c r="H660" s="2" t="s">
        <v>9</v>
      </c>
      <c r="I66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61" spans="1:11">
      <c r="A661" s="1" t="s">
        <v>24</v>
      </c>
      <c r="B661" s="1" t="s">
        <v>25</v>
      </c>
      <c r="C661" s="1">
        <v>20</v>
      </c>
      <c r="D661" s="1" t="s">
        <v>16</v>
      </c>
      <c r="E661" s="5" t="str">
        <f>IF(Table13[[#This Row],[Pre or Post]]="Pre",IF(IF(Table13[[#This Row],[Response]]="Male",0,1)+IF(Table13[[#This Row],[Response]]="Female",0,1)=2,E660,Table13[[#This Row],[Response]]),"")</f>
        <v/>
      </c>
      <c r="F661" s="2">
        <v>11</v>
      </c>
      <c r="G661" s="1" t="s">
        <v>9</v>
      </c>
      <c r="H661" s="2" t="s">
        <v>9</v>
      </c>
      <c r="I66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62" spans="1:11">
      <c r="A662" s="1" t="s">
        <v>24</v>
      </c>
      <c r="B662" s="1" t="s">
        <v>25</v>
      </c>
      <c r="C662" s="1">
        <v>21</v>
      </c>
      <c r="D662" s="1" t="s">
        <v>16</v>
      </c>
      <c r="E662" s="5" t="str">
        <f>IF(Table13[[#This Row],[Pre or Post]]="Pre",IF(IF(Table13[[#This Row],[Response]]="Male",0,1)+IF(Table13[[#This Row],[Response]]="Female",0,1)=2,E661,Table13[[#This Row],[Response]]),"")</f>
        <v/>
      </c>
      <c r="F662" s="1">
        <v>2</v>
      </c>
      <c r="G662" s="1">
        <v>2</v>
      </c>
      <c r="H662" s="2" t="s">
        <v>9</v>
      </c>
      <c r="I66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63" spans="1:11">
      <c r="A663" s="1" t="s">
        <v>24</v>
      </c>
      <c r="B663" s="1" t="s">
        <v>25</v>
      </c>
      <c r="C663" s="1">
        <v>21</v>
      </c>
      <c r="D663" s="1" t="s">
        <v>16</v>
      </c>
      <c r="E663" s="5" t="str">
        <f>IF(Table13[[#This Row],[Pre or Post]]="Pre",IF(IF(Table13[[#This Row],[Response]]="Male",0,1)+IF(Table13[[#This Row],[Response]]="Female",0,1)=2,E662,Table13[[#This Row],[Response]]),"")</f>
        <v/>
      </c>
      <c r="F663" s="1">
        <v>3</v>
      </c>
      <c r="G663" s="1">
        <v>2</v>
      </c>
      <c r="H663" s="2" t="s">
        <v>9</v>
      </c>
      <c r="I66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64" spans="1:11">
      <c r="A664" s="1" t="s">
        <v>24</v>
      </c>
      <c r="B664" s="1" t="s">
        <v>25</v>
      </c>
      <c r="C664" s="1">
        <v>21</v>
      </c>
      <c r="D664" s="1" t="s">
        <v>16</v>
      </c>
      <c r="E664" s="5" t="str">
        <f>IF(Table13[[#This Row],[Pre or Post]]="Pre",IF(IF(Table13[[#This Row],[Response]]="Male",0,1)+IF(Table13[[#This Row],[Response]]="Female",0,1)=2,E663,Table13[[#This Row],[Response]]),"")</f>
        <v/>
      </c>
      <c r="F664" s="1">
        <v>4</v>
      </c>
      <c r="G664" s="1">
        <v>1</v>
      </c>
      <c r="H664" s="2" t="s">
        <v>9</v>
      </c>
      <c r="I66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65" spans="1:11">
      <c r="A665" s="1" t="s">
        <v>24</v>
      </c>
      <c r="B665" s="1" t="s">
        <v>25</v>
      </c>
      <c r="C665" s="1">
        <v>21</v>
      </c>
      <c r="D665" s="1" t="s">
        <v>16</v>
      </c>
      <c r="E665" s="5" t="str">
        <f>IF(Table13[[#This Row],[Pre or Post]]="Pre",IF(IF(Table13[[#This Row],[Response]]="Male",0,1)+IF(Table13[[#This Row],[Response]]="Female",0,1)=2,E664,Table13[[#This Row],[Response]]),"")</f>
        <v/>
      </c>
      <c r="F665" s="1">
        <v>5</v>
      </c>
      <c r="G665" s="1">
        <v>2</v>
      </c>
      <c r="H665" s="2" t="s">
        <v>9</v>
      </c>
      <c r="I66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66" spans="1:11">
      <c r="A666" s="1" t="s">
        <v>24</v>
      </c>
      <c r="B666" s="1" t="s">
        <v>25</v>
      </c>
      <c r="C666" s="1">
        <v>21</v>
      </c>
      <c r="D666" s="1" t="s">
        <v>16</v>
      </c>
      <c r="E666" s="5" t="str">
        <f>IF(Table13[[#This Row],[Pre or Post]]="Pre",IF(IF(Table13[[#This Row],[Response]]="Male",0,1)+IF(Table13[[#This Row],[Response]]="Female",0,1)=2,E665,Table13[[#This Row],[Response]]),"")</f>
        <v/>
      </c>
      <c r="F666" s="1">
        <v>6</v>
      </c>
      <c r="G666" s="1">
        <v>1</v>
      </c>
      <c r="H666" s="2" t="s">
        <v>9</v>
      </c>
      <c r="I66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67" spans="1:11">
      <c r="A667" s="1" t="s">
        <v>24</v>
      </c>
      <c r="B667" s="1" t="s">
        <v>25</v>
      </c>
      <c r="C667" s="1">
        <v>21</v>
      </c>
      <c r="D667" s="1" t="s">
        <v>16</v>
      </c>
      <c r="E667" s="5" t="str">
        <f>IF(Table13[[#This Row],[Pre or Post]]="Pre",IF(IF(Table13[[#This Row],[Response]]="Male",0,1)+IF(Table13[[#This Row],[Response]]="Female",0,1)=2,E666,Table13[[#This Row],[Response]]),"")</f>
        <v/>
      </c>
      <c r="F667" s="1">
        <v>7</v>
      </c>
      <c r="G667" s="1">
        <v>1</v>
      </c>
      <c r="H667" s="2" t="s">
        <v>9</v>
      </c>
      <c r="I66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68" spans="1:11">
      <c r="A668" s="1" t="s">
        <v>24</v>
      </c>
      <c r="B668" s="1" t="s">
        <v>25</v>
      </c>
      <c r="C668" s="1">
        <v>21</v>
      </c>
      <c r="D668" s="1" t="s">
        <v>16</v>
      </c>
      <c r="E668" s="5" t="str">
        <f>IF(Table13[[#This Row],[Pre or Post]]="Pre",IF(IF(Table13[[#This Row],[Response]]="Male",0,1)+IF(Table13[[#This Row],[Response]]="Female",0,1)=2,E667,Table13[[#This Row],[Response]]),"")</f>
        <v/>
      </c>
      <c r="F668" s="1">
        <v>8</v>
      </c>
      <c r="G668" s="1" t="s">
        <v>9</v>
      </c>
      <c r="H668" s="2" t="s">
        <v>9</v>
      </c>
      <c r="I66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69" spans="1:11">
      <c r="A669" s="1" t="s">
        <v>24</v>
      </c>
      <c r="B669" s="1" t="s">
        <v>25</v>
      </c>
      <c r="C669" s="1">
        <v>21</v>
      </c>
      <c r="D669" s="1" t="s">
        <v>16</v>
      </c>
      <c r="E669" s="5" t="str">
        <f>IF(Table13[[#This Row],[Pre or Post]]="Pre",IF(IF(Table13[[#This Row],[Response]]="Male",0,1)+IF(Table13[[#This Row],[Response]]="Female",0,1)=2,E668,Table13[[#This Row],[Response]]),"")</f>
        <v/>
      </c>
      <c r="F669" s="1">
        <v>9</v>
      </c>
      <c r="G669" s="1"/>
      <c r="H669" s="2" t="s">
        <v>9</v>
      </c>
      <c r="I66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70" spans="1:11">
      <c r="A670" s="1" t="s">
        <v>24</v>
      </c>
      <c r="B670" s="1" t="s">
        <v>25</v>
      </c>
      <c r="C670" s="1">
        <v>21</v>
      </c>
      <c r="D670" s="1" t="s">
        <v>16</v>
      </c>
      <c r="E670" s="5" t="str">
        <f>IF(Table13[[#This Row],[Pre or Post]]="Pre",IF(IF(Table13[[#This Row],[Response]]="Male",0,1)+IF(Table13[[#This Row],[Response]]="Female",0,1)=2,E669,Table13[[#This Row],[Response]]),"")</f>
        <v/>
      </c>
      <c r="F670" s="1">
        <v>10</v>
      </c>
      <c r="G670" s="1"/>
      <c r="H670" s="2" t="s">
        <v>9</v>
      </c>
      <c r="I67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71" spans="1:11">
      <c r="A671" s="1" t="s">
        <v>24</v>
      </c>
      <c r="B671" s="1" t="s">
        <v>25</v>
      </c>
      <c r="C671" s="1">
        <v>21</v>
      </c>
      <c r="D671" s="1" t="s">
        <v>16</v>
      </c>
      <c r="E671" s="5" t="str">
        <f>IF(Table13[[#This Row],[Pre or Post]]="Pre",IF(IF(Table13[[#This Row],[Response]]="Male",0,1)+IF(Table13[[#This Row],[Response]]="Female",0,1)=2,E670,Table13[[#This Row],[Response]]),"")</f>
        <v/>
      </c>
      <c r="F671" s="2">
        <v>11</v>
      </c>
      <c r="G671" s="1" t="s">
        <v>8</v>
      </c>
      <c r="H671" s="2" t="s">
        <v>9</v>
      </c>
      <c r="I67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9:00AM</v>
      </c>
      <c r="K6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72" spans="1:11">
      <c r="A672" s="2" t="s">
        <v>24</v>
      </c>
      <c r="B672" s="2" t="s">
        <v>26</v>
      </c>
      <c r="C672" s="1">
        <v>1</v>
      </c>
      <c r="D672" s="1" t="s">
        <v>6</v>
      </c>
      <c r="E672" s="5" t="str">
        <f>IF(Table13[[#This Row],[Pre or Post]]="Pre",IF(IF(Table13[[#This Row],[Response]]="Male",0,1)+IF(Table13[[#This Row],[Response]]="Female",0,1)=2,E671,Table13[[#This Row],[Response]]),"")</f>
        <v>Female</v>
      </c>
      <c r="F672" s="1">
        <v>2</v>
      </c>
      <c r="G672" s="1" t="s">
        <v>13</v>
      </c>
      <c r="H672" s="2" t="s">
        <v>8</v>
      </c>
      <c r="I67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73" spans="1:11">
      <c r="A673" s="2" t="s">
        <v>24</v>
      </c>
      <c r="B673" s="2" t="s">
        <v>26</v>
      </c>
      <c r="C673" s="1">
        <v>1</v>
      </c>
      <c r="D673" s="1" t="s">
        <v>6</v>
      </c>
      <c r="E673" s="5" t="str">
        <f>IF(Table13[[#This Row],[Pre or Post]]="Pre",IF(IF(Table13[[#This Row],[Response]]="Male",0,1)+IF(Table13[[#This Row],[Response]]="Female",0,1)=2,E672,Table13[[#This Row],[Response]]),"")</f>
        <v>Female</v>
      </c>
      <c r="F673" s="1">
        <v>3</v>
      </c>
      <c r="G673" s="1" t="s">
        <v>8</v>
      </c>
      <c r="H673" s="2" t="s">
        <v>8</v>
      </c>
      <c r="I67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74" spans="1:11">
      <c r="A674" s="2" t="s">
        <v>24</v>
      </c>
      <c r="B674" s="2" t="s">
        <v>26</v>
      </c>
      <c r="C674" s="1">
        <v>1</v>
      </c>
      <c r="D674" s="1" t="s">
        <v>6</v>
      </c>
      <c r="E674" s="5" t="str">
        <f>IF(Table13[[#This Row],[Pre or Post]]="Pre",IF(IF(Table13[[#This Row],[Response]]="Male",0,1)+IF(Table13[[#This Row],[Response]]="Female",0,1)=2,E673,Table13[[#This Row],[Response]]),"")</f>
        <v>Female</v>
      </c>
      <c r="F674" s="1">
        <v>4</v>
      </c>
      <c r="G674" s="1" t="s">
        <v>9</v>
      </c>
      <c r="H674" s="2" t="s">
        <v>8</v>
      </c>
      <c r="I67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75" spans="1:11">
      <c r="A675" s="2" t="s">
        <v>24</v>
      </c>
      <c r="B675" s="2" t="s">
        <v>26</v>
      </c>
      <c r="C675" s="1">
        <v>1</v>
      </c>
      <c r="D675" s="1" t="s">
        <v>6</v>
      </c>
      <c r="E675" s="5" t="str">
        <f>IF(Table13[[#This Row],[Pre or Post]]="Pre",IF(IF(Table13[[#This Row],[Response]]="Male",0,1)+IF(Table13[[#This Row],[Response]]="Female",0,1)=2,E674,Table13[[#This Row],[Response]]),"")</f>
        <v>Female</v>
      </c>
      <c r="F675" s="1">
        <v>5</v>
      </c>
      <c r="G675" s="1" t="s">
        <v>8</v>
      </c>
      <c r="H675" s="2" t="s">
        <v>8</v>
      </c>
      <c r="I67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76" spans="1:11">
      <c r="A676" s="2" t="s">
        <v>24</v>
      </c>
      <c r="B676" s="2" t="s">
        <v>26</v>
      </c>
      <c r="C676" s="1">
        <v>1</v>
      </c>
      <c r="D676" s="1" t="s">
        <v>6</v>
      </c>
      <c r="E676" s="5" t="str">
        <f>IF(Table13[[#This Row],[Pre or Post]]="Pre",IF(IF(Table13[[#This Row],[Response]]="Male",0,1)+IF(Table13[[#This Row],[Response]]="Female",0,1)=2,E675,Table13[[#This Row],[Response]]),"")</f>
        <v>Female</v>
      </c>
      <c r="F676" s="1">
        <v>6</v>
      </c>
      <c r="G676" s="1" t="s">
        <v>8</v>
      </c>
      <c r="H676" s="2" t="s">
        <v>8</v>
      </c>
      <c r="I67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77" spans="1:11">
      <c r="A677" s="2" t="s">
        <v>24</v>
      </c>
      <c r="B677" s="2" t="s">
        <v>26</v>
      </c>
      <c r="C677" s="1">
        <v>1</v>
      </c>
      <c r="D677" s="1" t="s">
        <v>6</v>
      </c>
      <c r="E677" s="5" t="str">
        <f>IF(Table13[[#This Row],[Pre or Post]]="Pre",IF(IF(Table13[[#This Row],[Response]]="Male",0,1)+IF(Table13[[#This Row],[Response]]="Female",0,1)=2,E676,Table13[[#This Row],[Response]]),"")</f>
        <v>Female</v>
      </c>
      <c r="F677" s="1">
        <v>7</v>
      </c>
      <c r="G677" s="1" t="s">
        <v>9</v>
      </c>
      <c r="H677" s="2" t="s">
        <v>8</v>
      </c>
      <c r="I67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78" spans="1:11">
      <c r="A678" s="2" t="s">
        <v>24</v>
      </c>
      <c r="B678" s="2" t="s">
        <v>26</v>
      </c>
      <c r="C678" s="1">
        <v>1</v>
      </c>
      <c r="D678" s="1" t="s">
        <v>6</v>
      </c>
      <c r="E678" s="5" t="str">
        <f>IF(Table13[[#This Row],[Pre or Post]]="Pre",IF(IF(Table13[[#This Row],[Response]]="Male",0,1)+IF(Table13[[#This Row],[Response]]="Female",0,1)=2,E677,Table13[[#This Row],[Response]]),"")</f>
        <v>Female</v>
      </c>
      <c r="F678" s="1">
        <v>8</v>
      </c>
      <c r="G678" s="1"/>
      <c r="H678" s="2" t="s">
        <v>8</v>
      </c>
      <c r="I67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79" spans="1:11">
      <c r="A679" s="2" t="s">
        <v>24</v>
      </c>
      <c r="B679" s="2" t="s">
        <v>26</v>
      </c>
      <c r="C679" s="1">
        <v>1</v>
      </c>
      <c r="D679" s="1" t="s">
        <v>6</v>
      </c>
      <c r="E679" s="5" t="str">
        <f>IF(Table13[[#This Row],[Pre or Post]]="Pre",IF(IF(Table13[[#This Row],[Response]]="Male",0,1)+IF(Table13[[#This Row],[Response]]="Female",0,1)=2,E678,Table13[[#This Row],[Response]]),"")</f>
        <v>Female</v>
      </c>
      <c r="F679" s="1">
        <v>9</v>
      </c>
      <c r="G679" s="1">
        <v>3</v>
      </c>
      <c r="H679" s="2" t="s">
        <v>8</v>
      </c>
      <c r="I67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80" spans="1:11">
      <c r="A680" s="2" t="s">
        <v>24</v>
      </c>
      <c r="B680" s="2" t="s">
        <v>26</v>
      </c>
      <c r="C680" s="1">
        <v>1</v>
      </c>
      <c r="D680" s="1" t="s">
        <v>6</v>
      </c>
      <c r="E680" s="5" t="str">
        <f>IF(Table13[[#This Row],[Pre or Post]]="Pre",IF(IF(Table13[[#This Row],[Response]]="Male",0,1)+IF(Table13[[#This Row],[Response]]="Female",0,1)=2,E679,Table13[[#This Row],[Response]]),"")</f>
        <v>Female</v>
      </c>
      <c r="F680" s="1">
        <v>10</v>
      </c>
      <c r="G680" s="1">
        <v>2</v>
      </c>
      <c r="H680" s="2" t="s">
        <v>8</v>
      </c>
      <c r="I68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81" spans="1:11">
      <c r="A681" s="2" t="s">
        <v>24</v>
      </c>
      <c r="B681" s="2" t="s">
        <v>26</v>
      </c>
      <c r="C681" s="1">
        <v>1</v>
      </c>
      <c r="D681" s="1" t="s">
        <v>6</v>
      </c>
      <c r="E681" s="5" t="str">
        <f>IF(Table13[[#This Row],[Pre or Post]]="Pre",IF(IF(Table13[[#This Row],[Response]]="Male",0,1)+IF(Table13[[#This Row],[Response]]="Female",0,1)=2,E680,Table13[[#This Row],[Response]]),"")</f>
        <v>Female</v>
      </c>
      <c r="F681" s="1">
        <v>11</v>
      </c>
      <c r="G681" s="1">
        <v>3</v>
      </c>
      <c r="H681" s="2" t="s">
        <v>8</v>
      </c>
      <c r="I68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82" spans="1:11">
      <c r="A682" s="2" t="s">
        <v>24</v>
      </c>
      <c r="B682" s="2" t="s">
        <v>26</v>
      </c>
      <c r="C682" s="1">
        <v>2</v>
      </c>
      <c r="D682" s="1" t="s">
        <v>6</v>
      </c>
      <c r="E682" s="5" t="str">
        <f>IF(Table13[[#This Row],[Pre or Post]]="Pre",IF(IF(Table13[[#This Row],[Response]]="Male",0,1)+IF(Table13[[#This Row],[Response]]="Female",0,1)=2,E681,Table13[[#This Row],[Response]]),"")</f>
        <v>Female</v>
      </c>
      <c r="F682" s="1">
        <v>2</v>
      </c>
      <c r="G682" s="1" t="s">
        <v>13</v>
      </c>
      <c r="H682" s="2" t="s">
        <v>8</v>
      </c>
      <c r="I68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83" spans="1:11">
      <c r="A683" s="2" t="s">
        <v>24</v>
      </c>
      <c r="B683" s="2" t="s">
        <v>26</v>
      </c>
      <c r="C683" s="1">
        <v>2</v>
      </c>
      <c r="D683" s="1" t="s">
        <v>6</v>
      </c>
      <c r="E683" s="5" t="str">
        <f>IF(Table13[[#This Row],[Pre or Post]]="Pre",IF(IF(Table13[[#This Row],[Response]]="Male",0,1)+IF(Table13[[#This Row],[Response]]="Female",0,1)=2,E682,Table13[[#This Row],[Response]]),"")</f>
        <v>Female</v>
      </c>
      <c r="F683" s="1">
        <v>3</v>
      </c>
      <c r="G683" s="1" t="s">
        <v>9</v>
      </c>
      <c r="H683" s="2" t="s">
        <v>8</v>
      </c>
      <c r="I68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84" spans="1:11">
      <c r="A684" s="2" t="s">
        <v>24</v>
      </c>
      <c r="B684" s="2" t="s">
        <v>26</v>
      </c>
      <c r="C684" s="1">
        <v>2</v>
      </c>
      <c r="D684" s="1" t="s">
        <v>6</v>
      </c>
      <c r="E684" s="5" t="str">
        <f>IF(Table13[[#This Row],[Pre or Post]]="Pre",IF(IF(Table13[[#This Row],[Response]]="Male",0,1)+IF(Table13[[#This Row],[Response]]="Female",0,1)=2,E683,Table13[[#This Row],[Response]]),"")</f>
        <v>Female</v>
      </c>
      <c r="F684" s="1">
        <v>4</v>
      </c>
      <c r="G684" s="1" t="s">
        <v>9</v>
      </c>
      <c r="H684" s="2" t="s">
        <v>8</v>
      </c>
      <c r="I68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85" spans="1:11">
      <c r="A685" s="2" t="s">
        <v>24</v>
      </c>
      <c r="B685" s="2" t="s">
        <v>26</v>
      </c>
      <c r="C685" s="1">
        <v>2</v>
      </c>
      <c r="D685" s="1" t="s">
        <v>6</v>
      </c>
      <c r="E685" s="5" t="str">
        <f>IF(Table13[[#This Row],[Pre or Post]]="Pre",IF(IF(Table13[[#This Row],[Response]]="Male",0,1)+IF(Table13[[#This Row],[Response]]="Female",0,1)=2,E684,Table13[[#This Row],[Response]]),"")</f>
        <v>Female</v>
      </c>
      <c r="F685" s="1">
        <v>5</v>
      </c>
      <c r="G685" s="1" t="s">
        <v>8</v>
      </c>
      <c r="H685" s="2" t="s">
        <v>8</v>
      </c>
      <c r="I68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86" spans="1:11">
      <c r="A686" s="2" t="s">
        <v>24</v>
      </c>
      <c r="B686" s="2" t="s">
        <v>26</v>
      </c>
      <c r="C686" s="1">
        <v>2</v>
      </c>
      <c r="D686" s="1" t="s">
        <v>6</v>
      </c>
      <c r="E686" s="5" t="str">
        <f>IF(Table13[[#This Row],[Pre or Post]]="Pre",IF(IF(Table13[[#This Row],[Response]]="Male",0,1)+IF(Table13[[#This Row],[Response]]="Female",0,1)=2,E685,Table13[[#This Row],[Response]]),"")</f>
        <v>Female</v>
      </c>
      <c r="F686" s="1">
        <v>6</v>
      </c>
      <c r="G686" s="1" t="s">
        <v>8</v>
      </c>
      <c r="H686" s="2" t="s">
        <v>8</v>
      </c>
      <c r="I68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87" spans="1:11">
      <c r="A687" s="2" t="s">
        <v>24</v>
      </c>
      <c r="B687" s="2" t="s">
        <v>26</v>
      </c>
      <c r="C687" s="1">
        <v>2</v>
      </c>
      <c r="D687" s="1" t="s">
        <v>6</v>
      </c>
      <c r="E687" s="5" t="str">
        <f>IF(Table13[[#This Row],[Pre or Post]]="Pre",IF(IF(Table13[[#This Row],[Response]]="Male",0,1)+IF(Table13[[#This Row],[Response]]="Female",0,1)=2,E686,Table13[[#This Row],[Response]]),"")</f>
        <v>Female</v>
      </c>
      <c r="F687" s="1">
        <v>7</v>
      </c>
      <c r="G687" s="1" t="s">
        <v>8</v>
      </c>
      <c r="H687" s="2" t="s">
        <v>8</v>
      </c>
      <c r="I68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88" spans="1:11">
      <c r="A688" s="2" t="s">
        <v>24</v>
      </c>
      <c r="B688" s="2" t="s">
        <v>26</v>
      </c>
      <c r="C688" s="1">
        <v>2</v>
      </c>
      <c r="D688" s="1" t="s">
        <v>6</v>
      </c>
      <c r="E688" s="5" t="str">
        <f>IF(Table13[[#This Row],[Pre or Post]]="Pre",IF(IF(Table13[[#This Row],[Response]]="Male",0,1)+IF(Table13[[#This Row],[Response]]="Female",0,1)=2,E687,Table13[[#This Row],[Response]]),"")</f>
        <v>Female</v>
      </c>
      <c r="F688" s="1">
        <v>8</v>
      </c>
      <c r="G688" s="1"/>
      <c r="H688" s="2" t="s">
        <v>8</v>
      </c>
      <c r="I68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89" spans="1:11">
      <c r="A689" s="2" t="s">
        <v>24</v>
      </c>
      <c r="B689" s="2" t="s">
        <v>26</v>
      </c>
      <c r="C689" s="1">
        <v>2</v>
      </c>
      <c r="D689" s="1" t="s">
        <v>6</v>
      </c>
      <c r="E689" s="5" t="str">
        <f>IF(Table13[[#This Row],[Pre or Post]]="Pre",IF(IF(Table13[[#This Row],[Response]]="Male",0,1)+IF(Table13[[#This Row],[Response]]="Female",0,1)=2,E688,Table13[[#This Row],[Response]]),"")</f>
        <v>Female</v>
      </c>
      <c r="F689" s="1">
        <v>9</v>
      </c>
      <c r="G689" s="1">
        <v>3</v>
      </c>
      <c r="H689" s="2" t="s">
        <v>8</v>
      </c>
      <c r="I68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90" spans="1:11">
      <c r="A690" s="2" t="s">
        <v>24</v>
      </c>
      <c r="B690" s="2" t="s">
        <v>26</v>
      </c>
      <c r="C690" s="1">
        <v>2</v>
      </c>
      <c r="D690" s="1" t="s">
        <v>6</v>
      </c>
      <c r="E690" s="5" t="str">
        <f>IF(Table13[[#This Row],[Pre or Post]]="Pre",IF(IF(Table13[[#This Row],[Response]]="Male",0,1)+IF(Table13[[#This Row],[Response]]="Female",0,1)=2,E689,Table13[[#This Row],[Response]]),"")</f>
        <v>Female</v>
      </c>
      <c r="F690" s="1">
        <v>10</v>
      </c>
      <c r="G690" s="1">
        <v>2</v>
      </c>
      <c r="H690" s="2" t="s">
        <v>8</v>
      </c>
      <c r="I69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91" spans="1:11">
      <c r="A691" s="2" t="s">
        <v>24</v>
      </c>
      <c r="B691" s="2" t="s">
        <v>26</v>
      </c>
      <c r="C691" s="1">
        <v>2</v>
      </c>
      <c r="D691" s="1" t="s">
        <v>6</v>
      </c>
      <c r="E691" s="5" t="str">
        <f>IF(Table13[[#This Row],[Pre or Post]]="Pre",IF(IF(Table13[[#This Row],[Response]]="Male",0,1)+IF(Table13[[#This Row],[Response]]="Female",0,1)=2,E690,Table13[[#This Row],[Response]]),"")</f>
        <v>Female</v>
      </c>
      <c r="F691" s="1">
        <v>11</v>
      </c>
      <c r="G691" s="1">
        <v>1</v>
      </c>
      <c r="H691" s="2" t="s">
        <v>8</v>
      </c>
      <c r="I69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92" spans="1:11">
      <c r="A692" s="2" t="s">
        <v>24</v>
      </c>
      <c r="B692" s="2" t="s">
        <v>26</v>
      </c>
      <c r="C692" s="1">
        <v>3</v>
      </c>
      <c r="D692" s="1" t="s">
        <v>6</v>
      </c>
      <c r="E692" s="5" t="str">
        <f>IF(Table13[[#This Row],[Pre or Post]]="Pre",IF(IF(Table13[[#This Row],[Response]]="Male",0,1)+IF(Table13[[#This Row],[Response]]="Female",0,1)=2,E691,Table13[[#This Row],[Response]]),"")</f>
        <v>Female</v>
      </c>
      <c r="F692" s="1">
        <v>2</v>
      </c>
      <c r="G692" s="1" t="s">
        <v>13</v>
      </c>
      <c r="H692" s="2" t="s">
        <v>8</v>
      </c>
      <c r="I69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93" spans="1:11">
      <c r="A693" s="2" t="s">
        <v>24</v>
      </c>
      <c r="B693" s="2" t="s">
        <v>26</v>
      </c>
      <c r="C693" s="1">
        <v>3</v>
      </c>
      <c r="D693" s="1" t="s">
        <v>6</v>
      </c>
      <c r="E693" s="5" t="str">
        <f>IF(Table13[[#This Row],[Pre or Post]]="Pre",IF(IF(Table13[[#This Row],[Response]]="Male",0,1)+IF(Table13[[#This Row],[Response]]="Female",0,1)=2,E692,Table13[[#This Row],[Response]]),"")</f>
        <v>Female</v>
      </c>
      <c r="F693" s="1">
        <v>3</v>
      </c>
      <c r="G693" s="1" t="s">
        <v>8</v>
      </c>
      <c r="H693" s="2" t="s">
        <v>8</v>
      </c>
      <c r="I69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94" spans="1:11">
      <c r="A694" s="2" t="s">
        <v>24</v>
      </c>
      <c r="B694" s="2" t="s">
        <v>26</v>
      </c>
      <c r="C694" s="1">
        <v>3</v>
      </c>
      <c r="D694" s="1" t="s">
        <v>6</v>
      </c>
      <c r="E694" s="5" t="str">
        <f>IF(Table13[[#This Row],[Pre or Post]]="Pre",IF(IF(Table13[[#This Row],[Response]]="Male",0,1)+IF(Table13[[#This Row],[Response]]="Female",0,1)=2,E693,Table13[[#This Row],[Response]]),"")</f>
        <v>Female</v>
      </c>
      <c r="F694" s="1">
        <v>4</v>
      </c>
      <c r="G694" s="1" t="s">
        <v>9</v>
      </c>
      <c r="H694" s="2" t="s">
        <v>8</v>
      </c>
      <c r="I69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95" spans="1:11">
      <c r="A695" s="2" t="s">
        <v>24</v>
      </c>
      <c r="B695" s="2" t="s">
        <v>26</v>
      </c>
      <c r="C695" s="1">
        <v>3</v>
      </c>
      <c r="D695" s="1" t="s">
        <v>6</v>
      </c>
      <c r="E695" s="5" t="str">
        <f>IF(Table13[[#This Row],[Pre or Post]]="Pre",IF(IF(Table13[[#This Row],[Response]]="Male",0,1)+IF(Table13[[#This Row],[Response]]="Female",0,1)=2,E694,Table13[[#This Row],[Response]]),"")</f>
        <v>Female</v>
      </c>
      <c r="F695" s="1">
        <v>5</v>
      </c>
      <c r="G695" s="1" t="s">
        <v>8</v>
      </c>
      <c r="H695" s="2" t="s">
        <v>8</v>
      </c>
      <c r="I69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96" spans="1:11">
      <c r="A696" s="2" t="s">
        <v>24</v>
      </c>
      <c r="B696" s="2" t="s">
        <v>26</v>
      </c>
      <c r="C696" s="1">
        <v>3</v>
      </c>
      <c r="D696" s="1" t="s">
        <v>6</v>
      </c>
      <c r="E696" s="5" t="str">
        <f>IF(Table13[[#This Row],[Pre or Post]]="Pre",IF(IF(Table13[[#This Row],[Response]]="Male",0,1)+IF(Table13[[#This Row],[Response]]="Female",0,1)=2,E695,Table13[[#This Row],[Response]]),"")</f>
        <v>Female</v>
      </c>
      <c r="F696" s="1">
        <v>6</v>
      </c>
      <c r="G696" s="1" t="s">
        <v>8</v>
      </c>
      <c r="H696" s="2" t="s">
        <v>8</v>
      </c>
      <c r="I69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97" spans="1:11">
      <c r="A697" s="2" t="s">
        <v>24</v>
      </c>
      <c r="B697" s="2" t="s">
        <v>26</v>
      </c>
      <c r="C697" s="1">
        <v>3</v>
      </c>
      <c r="D697" s="1" t="s">
        <v>6</v>
      </c>
      <c r="E697" s="5" t="str">
        <f>IF(Table13[[#This Row],[Pre or Post]]="Pre",IF(IF(Table13[[#This Row],[Response]]="Male",0,1)+IF(Table13[[#This Row],[Response]]="Female",0,1)=2,E696,Table13[[#This Row],[Response]]),"")</f>
        <v>Female</v>
      </c>
      <c r="F697" s="1">
        <v>7</v>
      </c>
      <c r="G697" s="1"/>
      <c r="H697" s="2" t="s">
        <v>8</v>
      </c>
      <c r="I69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98" spans="1:11">
      <c r="A698" s="2" t="s">
        <v>24</v>
      </c>
      <c r="B698" s="2" t="s">
        <v>26</v>
      </c>
      <c r="C698" s="1">
        <v>3</v>
      </c>
      <c r="D698" s="1" t="s">
        <v>6</v>
      </c>
      <c r="E698" s="5" t="str">
        <f>IF(Table13[[#This Row],[Pre or Post]]="Pre",IF(IF(Table13[[#This Row],[Response]]="Male",0,1)+IF(Table13[[#This Row],[Response]]="Female",0,1)=2,E697,Table13[[#This Row],[Response]]),"")</f>
        <v>Female</v>
      </c>
      <c r="F698" s="1">
        <v>8</v>
      </c>
      <c r="G698" s="1"/>
      <c r="H698" s="2" t="s">
        <v>8</v>
      </c>
      <c r="I69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699" spans="1:11">
      <c r="A699" s="2" t="s">
        <v>24</v>
      </c>
      <c r="B699" s="2" t="s">
        <v>26</v>
      </c>
      <c r="C699" s="1">
        <v>3</v>
      </c>
      <c r="D699" s="1" t="s">
        <v>6</v>
      </c>
      <c r="E699" s="5" t="str">
        <f>IF(Table13[[#This Row],[Pre or Post]]="Pre",IF(IF(Table13[[#This Row],[Response]]="Male",0,1)+IF(Table13[[#This Row],[Response]]="Female",0,1)=2,E698,Table13[[#This Row],[Response]]),"")</f>
        <v>Female</v>
      </c>
      <c r="F699" s="1">
        <v>9</v>
      </c>
      <c r="G699" s="1">
        <v>3</v>
      </c>
      <c r="H699" s="2" t="s">
        <v>8</v>
      </c>
      <c r="I69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6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6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00" spans="1:11">
      <c r="A700" s="2" t="s">
        <v>24</v>
      </c>
      <c r="B700" s="2" t="s">
        <v>26</v>
      </c>
      <c r="C700" s="1">
        <v>3</v>
      </c>
      <c r="D700" s="1" t="s">
        <v>6</v>
      </c>
      <c r="E700" s="5" t="str">
        <f>IF(Table13[[#This Row],[Pre or Post]]="Pre",IF(IF(Table13[[#This Row],[Response]]="Male",0,1)+IF(Table13[[#This Row],[Response]]="Female",0,1)=2,E699,Table13[[#This Row],[Response]]),"")</f>
        <v>Female</v>
      </c>
      <c r="F700" s="1">
        <v>10</v>
      </c>
      <c r="G700" s="1">
        <v>2</v>
      </c>
      <c r="H700" s="2" t="s">
        <v>8</v>
      </c>
      <c r="I70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01" spans="1:11">
      <c r="A701" s="2" t="s">
        <v>24</v>
      </c>
      <c r="B701" s="2" t="s">
        <v>26</v>
      </c>
      <c r="C701" s="1">
        <v>3</v>
      </c>
      <c r="D701" s="1" t="s">
        <v>6</v>
      </c>
      <c r="E701" s="5" t="str">
        <f>IF(Table13[[#This Row],[Pre or Post]]="Pre",IF(IF(Table13[[#This Row],[Response]]="Male",0,1)+IF(Table13[[#This Row],[Response]]="Female",0,1)=2,E700,Table13[[#This Row],[Response]]),"")</f>
        <v>Female</v>
      </c>
      <c r="F701" s="1">
        <v>11</v>
      </c>
      <c r="G701" s="1">
        <v>2</v>
      </c>
      <c r="H701" s="2" t="s">
        <v>8</v>
      </c>
      <c r="I70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02" spans="1:11">
      <c r="A702" s="2" t="s">
        <v>24</v>
      </c>
      <c r="B702" s="2" t="s">
        <v>26</v>
      </c>
      <c r="C702" s="1">
        <v>4</v>
      </c>
      <c r="D702" s="1" t="s">
        <v>6</v>
      </c>
      <c r="E702" s="5" t="str">
        <f>IF(Table13[[#This Row],[Pre or Post]]="Pre",IF(IF(Table13[[#This Row],[Response]]="Male",0,1)+IF(Table13[[#This Row],[Response]]="Female",0,1)=2,E701,Table13[[#This Row],[Response]]),"")</f>
        <v>Female</v>
      </c>
      <c r="F702" s="1">
        <v>2</v>
      </c>
      <c r="G702" s="1" t="s">
        <v>13</v>
      </c>
      <c r="H702" s="2" t="s">
        <v>8</v>
      </c>
      <c r="I70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03" spans="1:11">
      <c r="A703" s="2" t="s">
        <v>24</v>
      </c>
      <c r="B703" s="2" t="s">
        <v>26</v>
      </c>
      <c r="C703" s="1">
        <v>4</v>
      </c>
      <c r="D703" s="1" t="s">
        <v>6</v>
      </c>
      <c r="E703" s="5" t="str">
        <f>IF(Table13[[#This Row],[Pre or Post]]="Pre",IF(IF(Table13[[#This Row],[Response]]="Male",0,1)+IF(Table13[[#This Row],[Response]]="Female",0,1)=2,E702,Table13[[#This Row],[Response]]),"")</f>
        <v>Female</v>
      </c>
      <c r="F703" s="1">
        <v>3</v>
      </c>
      <c r="G703" s="1" t="s">
        <v>9</v>
      </c>
      <c r="H703" s="2" t="s">
        <v>8</v>
      </c>
      <c r="I70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04" spans="1:11">
      <c r="A704" s="2" t="s">
        <v>24</v>
      </c>
      <c r="B704" s="2" t="s">
        <v>26</v>
      </c>
      <c r="C704" s="1">
        <v>4</v>
      </c>
      <c r="D704" s="1" t="s">
        <v>6</v>
      </c>
      <c r="E704" s="5" t="str">
        <f>IF(Table13[[#This Row],[Pre or Post]]="Pre",IF(IF(Table13[[#This Row],[Response]]="Male",0,1)+IF(Table13[[#This Row],[Response]]="Female",0,1)=2,E703,Table13[[#This Row],[Response]]),"")</f>
        <v>Female</v>
      </c>
      <c r="F704" s="1">
        <v>4</v>
      </c>
      <c r="G704" s="1" t="s">
        <v>8</v>
      </c>
      <c r="H704" s="2" t="s">
        <v>8</v>
      </c>
      <c r="I70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05" spans="1:11">
      <c r="A705" s="2" t="s">
        <v>24</v>
      </c>
      <c r="B705" s="2" t="s">
        <v>26</v>
      </c>
      <c r="C705" s="1">
        <v>4</v>
      </c>
      <c r="D705" s="1" t="s">
        <v>6</v>
      </c>
      <c r="E705" s="5" t="str">
        <f>IF(Table13[[#This Row],[Pre or Post]]="Pre",IF(IF(Table13[[#This Row],[Response]]="Male",0,1)+IF(Table13[[#This Row],[Response]]="Female",0,1)=2,E704,Table13[[#This Row],[Response]]),"")</f>
        <v>Female</v>
      </c>
      <c r="F705" s="1">
        <v>5</v>
      </c>
      <c r="G705" s="1" t="s">
        <v>8</v>
      </c>
      <c r="H705" s="2" t="s">
        <v>8</v>
      </c>
      <c r="I70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06" spans="1:11">
      <c r="A706" s="2" t="s">
        <v>24</v>
      </c>
      <c r="B706" s="2" t="s">
        <v>26</v>
      </c>
      <c r="C706" s="1">
        <v>4</v>
      </c>
      <c r="D706" s="1" t="s">
        <v>6</v>
      </c>
      <c r="E706" s="5" t="str">
        <f>IF(Table13[[#This Row],[Pre or Post]]="Pre",IF(IF(Table13[[#This Row],[Response]]="Male",0,1)+IF(Table13[[#This Row],[Response]]="Female",0,1)=2,E705,Table13[[#This Row],[Response]]),"")</f>
        <v>Female</v>
      </c>
      <c r="F706" s="1">
        <v>6</v>
      </c>
      <c r="G706" s="1" t="s">
        <v>8</v>
      </c>
      <c r="H706" s="2" t="s">
        <v>8</v>
      </c>
      <c r="I70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07" spans="1:11">
      <c r="A707" s="2" t="s">
        <v>24</v>
      </c>
      <c r="B707" s="2" t="s">
        <v>26</v>
      </c>
      <c r="C707" s="1">
        <v>4</v>
      </c>
      <c r="D707" s="1" t="s">
        <v>6</v>
      </c>
      <c r="E707" s="5" t="str">
        <f>IF(Table13[[#This Row],[Pre or Post]]="Pre",IF(IF(Table13[[#This Row],[Response]]="Male",0,1)+IF(Table13[[#This Row],[Response]]="Female",0,1)=2,E706,Table13[[#This Row],[Response]]),"")</f>
        <v>Female</v>
      </c>
      <c r="F707" s="1">
        <v>7</v>
      </c>
      <c r="G707" s="1" t="s">
        <v>9</v>
      </c>
      <c r="H707" s="2" t="s">
        <v>8</v>
      </c>
      <c r="I70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08" spans="1:11">
      <c r="A708" s="2" t="s">
        <v>24</v>
      </c>
      <c r="B708" s="2" t="s">
        <v>26</v>
      </c>
      <c r="C708" s="1">
        <v>4</v>
      </c>
      <c r="D708" s="1" t="s">
        <v>6</v>
      </c>
      <c r="E708" s="5" t="str">
        <f>IF(Table13[[#This Row],[Pre or Post]]="Pre",IF(IF(Table13[[#This Row],[Response]]="Male",0,1)+IF(Table13[[#This Row],[Response]]="Female",0,1)=2,E707,Table13[[#This Row],[Response]]),"")</f>
        <v>Female</v>
      </c>
      <c r="F708" s="1">
        <v>8</v>
      </c>
      <c r="G708" s="1"/>
      <c r="H708" s="2" t="s">
        <v>8</v>
      </c>
      <c r="I70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09" spans="1:11">
      <c r="A709" s="2" t="s">
        <v>24</v>
      </c>
      <c r="B709" s="2" t="s">
        <v>26</v>
      </c>
      <c r="C709" s="1">
        <v>4</v>
      </c>
      <c r="D709" s="1" t="s">
        <v>6</v>
      </c>
      <c r="E709" s="5" t="str">
        <f>IF(Table13[[#This Row],[Pre or Post]]="Pre",IF(IF(Table13[[#This Row],[Response]]="Male",0,1)+IF(Table13[[#This Row],[Response]]="Female",0,1)=2,E708,Table13[[#This Row],[Response]]),"")</f>
        <v>Female</v>
      </c>
      <c r="F709" s="1">
        <v>9</v>
      </c>
      <c r="G709" s="1">
        <v>3</v>
      </c>
      <c r="H709" s="2" t="s">
        <v>8</v>
      </c>
      <c r="I70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10" spans="1:11">
      <c r="A710" s="2" t="s">
        <v>24</v>
      </c>
      <c r="B710" s="2" t="s">
        <v>26</v>
      </c>
      <c r="C710" s="1">
        <v>4</v>
      </c>
      <c r="D710" s="1" t="s">
        <v>6</v>
      </c>
      <c r="E710" s="5" t="str">
        <f>IF(Table13[[#This Row],[Pre or Post]]="Pre",IF(IF(Table13[[#This Row],[Response]]="Male",0,1)+IF(Table13[[#This Row],[Response]]="Female",0,1)=2,E709,Table13[[#This Row],[Response]]),"")</f>
        <v>Female</v>
      </c>
      <c r="F710" s="1">
        <v>10</v>
      </c>
      <c r="G710" s="1">
        <v>4</v>
      </c>
      <c r="H710" s="2" t="s">
        <v>8</v>
      </c>
      <c r="I71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11" spans="1:11">
      <c r="A711" s="2" t="s">
        <v>24</v>
      </c>
      <c r="B711" s="2" t="s">
        <v>26</v>
      </c>
      <c r="C711" s="1">
        <v>4</v>
      </c>
      <c r="D711" s="1" t="s">
        <v>6</v>
      </c>
      <c r="E711" s="5" t="str">
        <f>IF(Table13[[#This Row],[Pre or Post]]="Pre",IF(IF(Table13[[#This Row],[Response]]="Male",0,1)+IF(Table13[[#This Row],[Response]]="Female",0,1)=2,E710,Table13[[#This Row],[Response]]),"")</f>
        <v>Female</v>
      </c>
      <c r="F711" s="1">
        <v>11</v>
      </c>
      <c r="G711" s="1">
        <v>2</v>
      </c>
      <c r="H711" s="2" t="s">
        <v>8</v>
      </c>
      <c r="I71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12" spans="1:11">
      <c r="A712" s="2" t="s">
        <v>24</v>
      </c>
      <c r="B712" s="2" t="s">
        <v>26</v>
      </c>
      <c r="C712" s="1">
        <v>5</v>
      </c>
      <c r="D712" s="1" t="s">
        <v>6</v>
      </c>
      <c r="E712" s="5" t="str">
        <f>IF(Table13[[#This Row],[Pre or Post]]="Pre",IF(IF(Table13[[#This Row],[Response]]="Male",0,1)+IF(Table13[[#This Row],[Response]]="Female",0,1)=2,E711,Table13[[#This Row],[Response]]),"")</f>
        <v>Male</v>
      </c>
      <c r="F712" s="1">
        <v>2</v>
      </c>
      <c r="G712" s="1" t="s">
        <v>7</v>
      </c>
      <c r="H712" s="2" t="s">
        <v>8</v>
      </c>
      <c r="I71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13" spans="1:11">
      <c r="A713" s="2" t="s">
        <v>24</v>
      </c>
      <c r="B713" s="2" t="s">
        <v>26</v>
      </c>
      <c r="C713" s="1">
        <v>5</v>
      </c>
      <c r="D713" s="1" t="s">
        <v>6</v>
      </c>
      <c r="E713" s="5" t="str">
        <f>IF(Table13[[#This Row],[Pre or Post]]="Pre",IF(IF(Table13[[#This Row],[Response]]="Male",0,1)+IF(Table13[[#This Row],[Response]]="Female",0,1)=2,E712,Table13[[#This Row],[Response]]),"")</f>
        <v>Male</v>
      </c>
      <c r="F713" s="1">
        <v>3</v>
      </c>
      <c r="G713" s="1" t="s">
        <v>8</v>
      </c>
      <c r="H713" s="2" t="s">
        <v>8</v>
      </c>
      <c r="I71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14" spans="1:11">
      <c r="A714" s="2" t="s">
        <v>24</v>
      </c>
      <c r="B714" s="2" t="s">
        <v>26</v>
      </c>
      <c r="C714" s="1">
        <v>5</v>
      </c>
      <c r="D714" s="1" t="s">
        <v>6</v>
      </c>
      <c r="E714" s="5" t="str">
        <f>IF(Table13[[#This Row],[Pre or Post]]="Pre",IF(IF(Table13[[#This Row],[Response]]="Male",0,1)+IF(Table13[[#This Row],[Response]]="Female",0,1)=2,E713,Table13[[#This Row],[Response]]),"")</f>
        <v>Male</v>
      </c>
      <c r="F714" s="1">
        <v>4</v>
      </c>
      <c r="G714" s="1" t="s">
        <v>8</v>
      </c>
      <c r="H714" s="2" t="s">
        <v>8</v>
      </c>
      <c r="I71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15" spans="1:11">
      <c r="A715" s="2" t="s">
        <v>24</v>
      </c>
      <c r="B715" s="2" t="s">
        <v>26</v>
      </c>
      <c r="C715" s="1">
        <v>5</v>
      </c>
      <c r="D715" s="1" t="s">
        <v>6</v>
      </c>
      <c r="E715" s="5" t="str">
        <f>IF(Table13[[#This Row],[Pre or Post]]="Pre",IF(IF(Table13[[#This Row],[Response]]="Male",0,1)+IF(Table13[[#This Row],[Response]]="Female",0,1)=2,E714,Table13[[#This Row],[Response]]),"")</f>
        <v>Male</v>
      </c>
      <c r="F715" s="1">
        <v>5</v>
      </c>
      <c r="G715" s="1" t="s">
        <v>8</v>
      </c>
      <c r="H715" s="2" t="s">
        <v>8</v>
      </c>
      <c r="I71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16" spans="1:11">
      <c r="A716" s="2" t="s">
        <v>24</v>
      </c>
      <c r="B716" s="2" t="s">
        <v>26</v>
      </c>
      <c r="C716" s="1">
        <v>5</v>
      </c>
      <c r="D716" s="1" t="s">
        <v>6</v>
      </c>
      <c r="E716" s="5" t="str">
        <f>IF(Table13[[#This Row],[Pre or Post]]="Pre",IF(IF(Table13[[#This Row],[Response]]="Male",0,1)+IF(Table13[[#This Row],[Response]]="Female",0,1)=2,E715,Table13[[#This Row],[Response]]),"")</f>
        <v>Male</v>
      </c>
      <c r="F716" s="1">
        <v>6</v>
      </c>
      <c r="G716" s="1" t="s">
        <v>8</v>
      </c>
      <c r="H716" s="2" t="s">
        <v>8</v>
      </c>
      <c r="I71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17" spans="1:11">
      <c r="A717" s="2" t="s">
        <v>24</v>
      </c>
      <c r="B717" s="2" t="s">
        <v>26</v>
      </c>
      <c r="C717" s="1">
        <v>5</v>
      </c>
      <c r="D717" s="1" t="s">
        <v>6</v>
      </c>
      <c r="E717" s="5" t="str">
        <f>IF(Table13[[#This Row],[Pre or Post]]="Pre",IF(IF(Table13[[#This Row],[Response]]="Male",0,1)+IF(Table13[[#This Row],[Response]]="Female",0,1)=2,E716,Table13[[#This Row],[Response]]),"")</f>
        <v>Male</v>
      </c>
      <c r="F717" s="1">
        <v>7</v>
      </c>
      <c r="G717" s="1" t="s">
        <v>8</v>
      </c>
      <c r="H717" s="2" t="s">
        <v>8</v>
      </c>
      <c r="I71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18" spans="1:11">
      <c r="A718" s="2" t="s">
        <v>24</v>
      </c>
      <c r="B718" s="2" t="s">
        <v>26</v>
      </c>
      <c r="C718" s="1">
        <v>5</v>
      </c>
      <c r="D718" s="1" t="s">
        <v>6</v>
      </c>
      <c r="E718" s="5" t="str">
        <f>IF(Table13[[#This Row],[Pre or Post]]="Pre",IF(IF(Table13[[#This Row],[Response]]="Male",0,1)+IF(Table13[[#This Row],[Response]]="Female",0,1)=2,E717,Table13[[#This Row],[Response]]),"")</f>
        <v>Male</v>
      </c>
      <c r="F718" s="1">
        <v>8</v>
      </c>
      <c r="G718" s="1"/>
      <c r="H718" s="2" t="s">
        <v>8</v>
      </c>
      <c r="I71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19" spans="1:11">
      <c r="A719" s="2" t="s">
        <v>24</v>
      </c>
      <c r="B719" s="2" t="s">
        <v>26</v>
      </c>
      <c r="C719" s="1">
        <v>5</v>
      </c>
      <c r="D719" s="1" t="s">
        <v>6</v>
      </c>
      <c r="E719" s="5" t="str">
        <f>IF(Table13[[#This Row],[Pre or Post]]="Pre",IF(IF(Table13[[#This Row],[Response]]="Male",0,1)+IF(Table13[[#This Row],[Response]]="Female",0,1)=2,E718,Table13[[#This Row],[Response]]),"")</f>
        <v>Male</v>
      </c>
      <c r="F719" s="1">
        <v>9</v>
      </c>
      <c r="G719" s="1">
        <v>3</v>
      </c>
      <c r="H719" s="2" t="s">
        <v>8</v>
      </c>
      <c r="I71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20" spans="1:11">
      <c r="A720" s="2" t="s">
        <v>24</v>
      </c>
      <c r="B720" s="2" t="s">
        <v>26</v>
      </c>
      <c r="C720" s="1">
        <v>5</v>
      </c>
      <c r="D720" s="1" t="s">
        <v>6</v>
      </c>
      <c r="E720" s="5" t="str">
        <f>IF(Table13[[#This Row],[Pre or Post]]="Pre",IF(IF(Table13[[#This Row],[Response]]="Male",0,1)+IF(Table13[[#This Row],[Response]]="Female",0,1)=2,E719,Table13[[#This Row],[Response]]),"")</f>
        <v>Male</v>
      </c>
      <c r="F720" s="1">
        <v>10</v>
      </c>
      <c r="G720" s="1">
        <v>3</v>
      </c>
      <c r="H720" s="2" t="s">
        <v>8</v>
      </c>
      <c r="I72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21" spans="1:11">
      <c r="A721" s="2" t="s">
        <v>24</v>
      </c>
      <c r="B721" s="2" t="s">
        <v>26</v>
      </c>
      <c r="C721" s="1">
        <v>5</v>
      </c>
      <c r="D721" s="1" t="s">
        <v>6</v>
      </c>
      <c r="E721" s="5" t="str">
        <f>IF(Table13[[#This Row],[Pre or Post]]="Pre",IF(IF(Table13[[#This Row],[Response]]="Male",0,1)+IF(Table13[[#This Row],[Response]]="Female",0,1)=2,E720,Table13[[#This Row],[Response]]),"")</f>
        <v>Male</v>
      </c>
      <c r="F721" s="1">
        <v>11</v>
      </c>
      <c r="G721" s="1">
        <v>2</v>
      </c>
      <c r="H721" s="2" t="s">
        <v>8</v>
      </c>
      <c r="I72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22" spans="1:11">
      <c r="A722" s="2" t="s">
        <v>24</v>
      </c>
      <c r="B722" s="2" t="s">
        <v>26</v>
      </c>
      <c r="C722" s="1">
        <v>6</v>
      </c>
      <c r="D722" s="1" t="s">
        <v>6</v>
      </c>
      <c r="E722" s="5" t="str">
        <f>IF(Table13[[#This Row],[Pre or Post]]="Pre",IF(IF(Table13[[#This Row],[Response]]="Male",0,1)+IF(Table13[[#This Row],[Response]]="Female",0,1)=2,E721,Table13[[#This Row],[Response]]),"")</f>
        <v>Female</v>
      </c>
      <c r="F722" s="1">
        <v>2</v>
      </c>
      <c r="G722" s="1" t="s">
        <v>13</v>
      </c>
      <c r="H722" s="2" t="s">
        <v>8</v>
      </c>
      <c r="I72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23" spans="1:11">
      <c r="A723" s="2" t="s">
        <v>24</v>
      </c>
      <c r="B723" s="2" t="s">
        <v>26</v>
      </c>
      <c r="C723" s="1">
        <v>6</v>
      </c>
      <c r="D723" s="1" t="s">
        <v>6</v>
      </c>
      <c r="E723" s="5" t="str">
        <f>IF(Table13[[#This Row],[Pre or Post]]="Pre",IF(IF(Table13[[#This Row],[Response]]="Male",0,1)+IF(Table13[[#This Row],[Response]]="Female",0,1)=2,E722,Table13[[#This Row],[Response]]),"")</f>
        <v>Female</v>
      </c>
      <c r="F723" s="1">
        <v>3</v>
      </c>
      <c r="G723" s="1" t="s">
        <v>8</v>
      </c>
      <c r="H723" s="2" t="s">
        <v>8</v>
      </c>
      <c r="I72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24" spans="1:11">
      <c r="A724" s="2" t="s">
        <v>24</v>
      </c>
      <c r="B724" s="2" t="s">
        <v>26</v>
      </c>
      <c r="C724" s="1">
        <v>6</v>
      </c>
      <c r="D724" s="1" t="s">
        <v>6</v>
      </c>
      <c r="E724" s="5" t="str">
        <f>IF(Table13[[#This Row],[Pre or Post]]="Pre",IF(IF(Table13[[#This Row],[Response]]="Male",0,1)+IF(Table13[[#This Row],[Response]]="Female",0,1)=2,E723,Table13[[#This Row],[Response]]),"")</f>
        <v>Female</v>
      </c>
      <c r="F724" s="1">
        <v>4</v>
      </c>
      <c r="G724" s="1" t="s">
        <v>9</v>
      </c>
      <c r="H724" s="2" t="s">
        <v>8</v>
      </c>
      <c r="I72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25" spans="1:11">
      <c r="A725" s="2" t="s">
        <v>24</v>
      </c>
      <c r="B725" s="2" t="s">
        <v>26</v>
      </c>
      <c r="C725" s="1">
        <v>6</v>
      </c>
      <c r="D725" s="1" t="s">
        <v>6</v>
      </c>
      <c r="E725" s="5" t="str">
        <f>IF(Table13[[#This Row],[Pre or Post]]="Pre",IF(IF(Table13[[#This Row],[Response]]="Male",0,1)+IF(Table13[[#This Row],[Response]]="Female",0,1)=2,E724,Table13[[#This Row],[Response]]),"")</f>
        <v>Female</v>
      </c>
      <c r="F725" s="1">
        <v>5</v>
      </c>
      <c r="G725" s="1" t="s">
        <v>8</v>
      </c>
      <c r="H725" s="2" t="s">
        <v>8</v>
      </c>
      <c r="I72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26" spans="1:11">
      <c r="A726" s="2" t="s">
        <v>24</v>
      </c>
      <c r="B726" s="2" t="s">
        <v>26</v>
      </c>
      <c r="C726" s="1">
        <v>6</v>
      </c>
      <c r="D726" s="1" t="s">
        <v>6</v>
      </c>
      <c r="E726" s="5" t="str">
        <f>IF(Table13[[#This Row],[Pre or Post]]="Pre",IF(IF(Table13[[#This Row],[Response]]="Male",0,1)+IF(Table13[[#This Row],[Response]]="Female",0,1)=2,E725,Table13[[#This Row],[Response]]),"")</f>
        <v>Female</v>
      </c>
      <c r="F726" s="1">
        <v>6</v>
      </c>
      <c r="G726" s="1" t="s">
        <v>8</v>
      </c>
      <c r="H726" s="2" t="s">
        <v>8</v>
      </c>
      <c r="I72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27" spans="1:11">
      <c r="A727" s="2" t="s">
        <v>24</v>
      </c>
      <c r="B727" s="2" t="s">
        <v>26</v>
      </c>
      <c r="C727" s="1">
        <v>6</v>
      </c>
      <c r="D727" s="1" t="s">
        <v>6</v>
      </c>
      <c r="E727" s="5" t="str">
        <f>IF(Table13[[#This Row],[Pre or Post]]="Pre",IF(IF(Table13[[#This Row],[Response]]="Male",0,1)+IF(Table13[[#This Row],[Response]]="Female",0,1)=2,E726,Table13[[#This Row],[Response]]),"")</f>
        <v>Female</v>
      </c>
      <c r="F727" s="1">
        <v>7</v>
      </c>
      <c r="G727" s="1" t="s">
        <v>8</v>
      </c>
      <c r="H727" s="2" t="s">
        <v>8</v>
      </c>
      <c r="I72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28" spans="1:11">
      <c r="A728" s="2" t="s">
        <v>24</v>
      </c>
      <c r="B728" s="2" t="s">
        <v>26</v>
      </c>
      <c r="C728" s="1">
        <v>6</v>
      </c>
      <c r="D728" s="1" t="s">
        <v>6</v>
      </c>
      <c r="E728" s="5" t="str">
        <f>IF(Table13[[#This Row],[Pre or Post]]="Pre",IF(IF(Table13[[#This Row],[Response]]="Male",0,1)+IF(Table13[[#This Row],[Response]]="Female",0,1)=2,E727,Table13[[#This Row],[Response]]),"")</f>
        <v>Female</v>
      </c>
      <c r="F728" s="1">
        <v>8</v>
      </c>
      <c r="G728" s="1"/>
      <c r="H728" s="2" t="s">
        <v>8</v>
      </c>
      <c r="I72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29" spans="1:11">
      <c r="A729" s="2" t="s">
        <v>24</v>
      </c>
      <c r="B729" s="2" t="s">
        <v>26</v>
      </c>
      <c r="C729" s="1">
        <v>6</v>
      </c>
      <c r="D729" s="1" t="s">
        <v>6</v>
      </c>
      <c r="E729" s="5" t="str">
        <f>IF(Table13[[#This Row],[Pre or Post]]="Pre",IF(IF(Table13[[#This Row],[Response]]="Male",0,1)+IF(Table13[[#This Row],[Response]]="Female",0,1)=2,E728,Table13[[#This Row],[Response]]),"")</f>
        <v>Female</v>
      </c>
      <c r="F729" s="1">
        <v>9</v>
      </c>
      <c r="G729" s="1">
        <v>3</v>
      </c>
      <c r="H729" s="2" t="s">
        <v>8</v>
      </c>
      <c r="I72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30" spans="1:11">
      <c r="A730" s="2" t="s">
        <v>24</v>
      </c>
      <c r="B730" s="2" t="s">
        <v>26</v>
      </c>
      <c r="C730" s="1">
        <v>6</v>
      </c>
      <c r="D730" s="1" t="s">
        <v>6</v>
      </c>
      <c r="E730" s="5" t="str">
        <f>IF(Table13[[#This Row],[Pre or Post]]="Pre",IF(IF(Table13[[#This Row],[Response]]="Male",0,1)+IF(Table13[[#This Row],[Response]]="Female",0,1)=2,E729,Table13[[#This Row],[Response]]),"")</f>
        <v>Female</v>
      </c>
      <c r="F730" s="1">
        <v>10</v>
      </c>
      <c r="G730" s="1">
        <v>3.5</v>
      </c>
      <c r="H730" s="2" t="s">
        <v>8</v>
      </c>
      <c r="I73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31" spans="1:11">
      <c r="A731" s="2" t="s">
        <v>24</v>
      </c>
      <c r="B731" s="2" t="s">
        <v>26</v>
      </c>
      <c r="C731" s="1">
        <v>6</v>
      </c>
      <c r="D731" s="1" t="s">
        <v>6</v>
      </c>
      <c r="E731" s="5" t="str">
        <f>IF(Table13[[#This Row],[Pre or Post]]="Pre",IF(IF(Table13[[#This Row],[Response]]="Male",0,1)+IF(Table13[[#This Row],[Response]]="Female",0,1)=2,E730,Table13[[#This Row],[Response]]),"")</f>
        <v>Female</v>
      </c>
      <c r="F731" s="1">
        <v>11</v>
      </c>
      <c r="G731" s="1">
        <v>1</v>
      </c>
      <c r="H731" s="2" t="s">
        <v>8</v>
      </c>
      <c r="I73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32" spans="1:11">
      <c r="A732" s="2" t="s">
        <v>24</v>
      </c>
      <c r="B732" s="2" t="s">
        <v>26</v>
      </c>
      <c r="C732" s="1">
        <v>7</v>
      </c>
      <c r="D732" s="1" t="s">
        <v>6</v>
      </c>
      <c r="E732" s="5" t="str">
        <f>IF(Table13[[#This Row],[Pre or Post]]="Pre",IF(IF(Table13[[#This Row],[Response]]="Male",0,1)+IF(Table13[[#This Row],[Response]]="Female",0,1)=2,E731,Table13[[#This Row],[Response]]),"")</f>
        <v>Male</v>
      </c>
      <c r="F732" s="1">
        <v>2</v>
      </c>
      <c r="G732" s="1" t="s">
        <v>7</v>
      </c>
      <c r="H732" s="2" t="s">
        <v>8</v>
      </c>
      <c r="I73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33" spans="1:11">
      <c r="A733" s="2" t="s">
        <v>24</v>
      </c>
      <c r="B733" s="2" t="s">
        <v>26</v>
      </c>
      <c r="C733" s="1">
        <v>7</v>
      </c>
      <c r="D733" s="1" t="s">
        <v>6</v>
      </c>
      <c r="E733" s="5" t="str">
        <f>IF(Table13[[#This Row],[Pre or Post]]="Pre",IF(IF(Table13[[#This Row],[Response]]="Male",0,1)+IF(Table13[[#This Row],[Response]]="Female",0,1)=2,E732,Table13[[#This Row],[Response]]),"")</f>
        <v>Male</v>
      </c>
      <c r="F733" s="1">
        <v>3</v>
      </c>
      <c r="G733" s="1" t="s">
        <v>9</v>
      </c>
      <c r="H733" s="2" t="s">
        <v>8</v>
      </c>
      <c r="I73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34" spans="1:11">
      <c r="A734" s="2" t="s">
        <v>24</v>
      </c>
      <c r="B734" s="2" t="s">
        <v>26</v>
      </c>
      <c r="C734" s="1">
        <v>7</v>
      </c>
      <c r="D734" s="1" t="s">
        <v>6</v>
      </c>
      <c r="E734" s="5" t="str">
        <f>IF(Table13[[#This Row],[Pre or Post]]="Pre",IF(IF(Table13[[#This Row],[Response]]="Male",0,1)+IF(Table13[[#This Row],[Response]]="Female",0,1)=2,E733,Table13[[#This Row],[Response]]),"")</f>
        <v>Male</v>
      </c>
      <c r="F734" s="1">
        <v>4</v>
      </c>
      <c r="G734" s="1" t="s">
        <v>9</v>
      </c>
      <c r="H734" s="2" t="s">
        <v>8</v>
      </c>
      <c r="I73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35" spans="1:11">
      <c r="A735" s="2" t="s">
        <v>24</v>
      </c>
      <c r="B735" s="2" t="s">
        <v>26</v>
      </c>
      <c r="C735" s="1">
        <v>7</v>
      </c>
      <c r="D735" s="1" t="s">
        <v>6</v>
      </c>
      <c r="E735" s="5" t="str">
        <f>IF(Table13[[#This Row],[Pre or Post]]="Pre",IF(IF(Table13[[#This Row],[Response]]="Male",0,1)+IF(Table13[[#This Row],[Response]]="Female",0,1)=2,E734,Table13[[#This Row],[Response]]),"")</f>
        <v>Male</v>
      </c>
      <c r="F735" s="1">
        <v>5</v>
      </c>
      <c r="G735" s="1" t="s">
        <v>8</v>
      </c>
      <c r="H735" s="2" t="s">
        <v>8</v>
      </c>
      <c r="I73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36" spans="1:11">
      <c r="A736" s="2" t="s">
        <v>24</v>
      </c>
      <c r="B736" s="2" t="s">
        <v>26</v>
      </c>
      <c r="C736" s="1">
        <v>7</v>
      </c>
      <c r="D736" s="1" t="s">
        <v>6</v>
      </c>
      <c r="E736" s="5" t="str">
        <f>IF(Table13[[#This Row],[Pre or Post]]="Pre",IF(IF(Table13[[#This Row],[Response]]="Male",0,1)+IF(Table13[[#This Row],[Response]]="Female",0,1)=2,E735,Table13[[#This Row],[Response]]),"")</f>
        <v>Male</v>
      </c>
      <c r="F736" s="1">
        <v>6</v>
      </c>
      <c r="G736" s="1" t="s">
        <v>8</v>
      </c>
      <c r="H736" s="2" t="s">
        <v>8</v>
      </c>
      <c r="I73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37" spans="1:11">
      <c r="A737" s="2" t="s">
        <v>24</v>
      </c>
      <c r="B737" s="2" t="s">
        <v>26</v>
      </c>
      <c r="C737" s="1">
        <v>7</v>
      </c>
      <c r="D737" s="1" t="s">
        <v>6</v>
      </c>
      <c r="E737" s="5" t="str">
        <f>IF(Table13[[#This Row],[Pre or Post]]="Pre",IF(IF(Table13[[#This Row],[Response]]="Male",0,1)+IF(Table13[[#This Row],[Response]]="Female",0,1)=2,E736,Table13[[#This Row],[Response]]),"")</f>
        <v>Male</v>
      </c>
      <c r="F737" s="1">
        <v>7</v>
      </c>
      <c r="G737" s="1" t="s">
        <v>8</v>
      </c>
      <c r="H737" s="2" t="s">
        <v>8</v>
      </c>
      <c r="I73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38" spans="1:11">
      <c r="A738" s="2" t="s">
        <v>24</v>
      </c>
      <c r="B738" s="2" t="s">
        <v>26</v>
      </c>
      <c r="C738" s="1">
        <v>7</v>
      </c>
      <c r="D738" s="1" t="s">
        <v>6</v>
      </c>
      <c r="E738" s="5" t="str">
        <f>IF(Table13[[#This Row],[Pre or Post]]="Pre",IF(IF(Table13[[#This Row],[Response]]="Male",0,1)+IF(Table13[[#This Row],[Response]]="Female",0,1)=2,E737,Table13[[#This Row],[Response]]),"")</f>
        <v>Male</v>
      </c>
      <c r="F738" s="1">
        <v>8</v>
      </c>
      <c r="G738" s="1"/>
      <c r="H738" s="2" t="s">
        <v>8</v>
      </c>
      <c r="I73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39" spans="1:11">
      <c r="A739" s="2" t="s">
        <v>24</v>
      </c>
      <c r="B739" s="2" t="s">
        <v>26</v>
      </c>
      <c r="C739" s="1">
        <v>7</v>
      </c>
      <c r="D739" s="1" t="s">
        <v>6</v>
      </c>
      <c r="E739" s="5" t="str">
        <f>IF(Table13[[#This Row],[Pre or Post]]="Pre",IF(IF(Table13[[#This Row],[Response]]="Male",0,1)+IF(Table13[[#This Row],[Response]]="Female",0,1)=2,E738,Table13[[#This Row],[Response]]),"")</f>
        <v>Male</v>
      </c>
      <c r="F739" s="1">
        <v>9</v>
      </c>
      <c r="G739" s="1">
        <v>3</v>
      </c>
      <c r="H739" s="2" t="s">
        <v>8</v>
      </c>
      <c r="I73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40" spans="1:11">
      <c r="A740" s="2" t="s">
        <v>24</v>
      </c>
      <c r="B740" s="2" t="s">
        <v>26</v>
      </c>
      <c r="C740" s="1">
        <v>7</v>
      </c>
      <c r="D740" s="1" t="s">
        <v>6</v>
      </c>
      <c r="E740" s="5" t="str">
        <f>IF(Table13[[#This Row],[Pre or Post]]="Pre",IF(IF(Table13[[#This Row],[Response]]="Male",0,1)+IF(Table13[[#This Row],[Response]]="Female",0,1)=2,E739,Table13[[#This Row],[Response]]),"")</f>
        <v>Male</v>
      </c>
      <c r="F740" s="1">
        <v>10</v>
      </c>
      <c r="G740" s="1">
        <v>3</v>
      </c>
      <c r="H740" s="2" t="s">
        <v>8</v>
      </c>
      <c r="I74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41" spans="1:11">
      <c r="A741" s="2" t="s">
        <v>24</v>
      </c>
      <c r="B741" s="2" t="s">
        <v>26</v>
      </c>
      <c r="C741" s="1">
        <v>7</v>
      </c>
      <c r="D741" s="1" t="s">
        <v>6</v>
      </c>
      <c r="E741" s="5" t="str">
        <f>IF(Table13[[#This Row],[Pre or Post]]="Pre",IF(IF(Table13[[#This Row],[Response]]="Male",0,1)+IF(Table13[[#This Row],[Response]]="Female",0,1)=2,E740,Table13[[#This Row],[Response]]),"")</f>
        <v>Male</v>
      </c>
      <c r="F741" s="1">
        <v>11</v>
      </c>
      <c r="G741" s="1">
        <v>2</v>
      </c>
      <c r="H741" s="2" t="s">
        <v>8</v>
      </c>
      <c r="I74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42" spans="1:11">
      <c r="A742" s="2" t="s">
        <v>24</v>
      </c>
      <c r="B742" s="2" t="s">
        <v>26</v>
      </c>
      <c r="C742" s="1">
        <v>8</v>
      </c>
      <c r="D742" s="1" t="s">
        <v>6</v>
      </c>
      <c r="E742" s="5" t="str">
        <f>IF(Table13[[#This Row],[Pre or Post]]="Pre",IF(IF(Table13[[#This Row],[Response]]="Male",0,1)+IF(Table13[[#This Row],[Response]]="Female",0,1)=2,E741,Table13[[#This Row],[Response]]),"")</f>
        <v>Male</v>
      </c>
      <c r="F742" s="1">
        <v>2</v>
      </c>
      <c r="G742" s="1" t="s">
        <v>7</v>
      </c>
      <c r="H742" s="2" t="s">
        <v>8</v>
      </c>
      <c r="I74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43" spans="1:11">
      <c r="A743" s="2" t="s">
        <v>24</v>
      </c>
      <c r="B743" s="2" t="s">
        <v>26</v>
      </c>
      <c r="C743" s="1">
        <v>8</v>
      </c>
      <c r="D743" s="1" t="s">
        <v>6</v>
      </c>
      <c r="E743" s="5" t="str">
        <f>IF(Table13[[#This Row],[Pre or Post]]="Pre",IF(IF(Table13[[#This Row],[Response]]="Male",0,1)+IF(Table13[[#This Row],[Response]]="Female",0,1)=2,E742,Table13[[#This Row],[Response]]),"")</f>
        <v>Male</v>
      </c>
      <c r="F743" s="1">
        <v>3</v>
      </c>
      <c r="G743" s="1" t="s">
        <v>8</v>
      </c>
      <c r="H743" s="2" t="s">
        <v>8</v>
      </c>
      <c r="I74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44" spans="1:11">
      <c r="A744" s="2" t="s">
        <v>24</v>
      </c>
      <c r="B744" s="2" t="s">
        <v>26</v>
      </c>
      <c r="C744" s="1">
        <v>8</v>
      </c>
      <c r="D744" s="1" t="s">
        <v>6</v>
      </c>
      <c r="E744" s="5" t="str">
        <f>IF(Table13[[#This Row],[Pre or Post]]="Pre",IF(IF(Table13[[#This Row],[Response]]="Male",0,1)+IF(Table13[[#This Row],[Response]]="Female",0,1)=2,E743,Table13[[#This Row],[Response]]),"")</f>
        <v>Male</v>
      </c>
      <c r="F744" s="1">
        <v>4</v>
      </c>
      <c r="G744" s="1" t="s">
        <v>8</v>
      </c>
      <c r="H744" s="2" t="s">
        <v>8</v>
      </c>
      <c r="I74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45" spans="1:11">
      <c r="A745" s="2" t="s">
        <v>24</v>
      </c>
      <c r="B745" s="2" t="s">
        <v>26</v>
      </c>
      <c r="C745" s="1">
        <v>8</v>
      </c>
      <c r="D745" s="1" t="s">
        <v>6</v>
      </c>
      <c r="E745" s="5" t="str">
        <f>IF(Table13[[#This Row],[Pre or Post]]="Pre",IF(IF(Table13[[#This Row],[Response]]="Male",0,1)+IF(Table13[[#This Row],[Response]]="Female",0,1)=2,E744,Table13[[#This Row],[Response]]),"")</f>
        <v>Male</v>
      </c>
      <c r="F745" s="1">
        <v>5</v>
      </c>
      <c r="G745" s="1" t="s">
        <v>8</v>
      </c>
      <c r="H745" s="2" t="s">
        <v>8</v>
      </c>
      <c r="I74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46" spans="1:11">
      <c r="A746" s="2" t="s">
        <v>24</v>
      </c>
      <c r="B746" s="2" t="s">
        <v>26</v>
      </c>
      <c r="C746" s="1">
        <v>8</v>
      </c>
      <c r="D746" s="1" t="s">
        <v>6</v>
      </c>
      <c r="E746" s="5" t="str">
        <f>IF(Table13[[#This Row],[Pre or Post]]="Pre",IF(IF(Table13[[#This Row],[Response]]="Male",0,1)+IF(Table13[[#This Row],[Response]]="Female",0,1)=2,E745,Table13[[#This Row],[Response]]),"")</f>
        <v>Male</v>
      </c>
      <c r="F746" s="1">
        <v>6</v>
      </c>
      <c r="G746" s="1" t="s">
        <v>8</v>
      </c>
      <c r="H746" s="2" t="s">
        <v>8</v>
      </c>
      <c r="I74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47" spans="1:11">
      <c r="A747" s="2" t="s">
        <v>24</v>
      </c>
      <c r="B747" s="2" t="s">
        <v>26</v>
      </c>
      <c r="C747" s="1">
        <v>8</v>
      </c>
      <c r="D747" s="1" t="s">
        <v>6</v>
      </c>
      <c r="E747" s="5" t="str">
        <f>IF(Table13[[#This Row],[Pre or Post]]="Pre",IF(IF(Table13[[#This Row],[Response]]="Male",0,1)+IF(Table13[[#This Row],[Response]]="Female",0,1)=2,E746,Table13[[#This Row],[Response]]),"")</f>
        <v>Male</v>
      </c>
      <c r="F747" s="1">
        <v>7</v>
      </c>
      <c r="G747" s="1" t="s">
        <v>8</v>
      </c>
      <c r="H747" s="2" t="s">
        <v>8</v>
      </c>
      <c r="I74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48" spans="1:11">
      <c r="A748" s="2" t="s">
        <v>24</v>
      </c>
      <c r="B748" s="2" t="s">
        <v>26</v>
      </c>
      <c r="C748" s="1">
        <v>8</v>
      </c>
      <c r="D748" s="1" t="s">
        <v>6</v>
      </c>
      <c r="E748" s="5" t="str">
        <f>IF(Table13[[#This Row],[Pre or Post]]="Pre",IF(IF(Table13[[#This Row],[Response]]="Male",0,1)+IF(Table13[[#This Row],[Response]]="Female",0,1)=2,E747,Table13[[#This Row],[Response]]),"")</f>
        <v>Male</v>
      </c>
      <c r="F748" s="1">
        <v>8</v>
      </c>
      <c r="G748" s="1"/>
      <c r="H748" s="2" t="s">
        <v>8</v>
      </c>
      <c r="I74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49" spans="1:11">
      <c r="A749" s="2" t="s">
        <v>24</v>
      </c>
      <c r="B749" s="2" t="s">
        <v>26</v>
      </c>
      <c r="C749" s="1">
        <v>8</v>
      </c>
      <c r="D749" s="1" t="s">
        <v>6</v>
      </c>
      <c r="E749" s="5" t="str">
        <f>IF(Table13[[#This Row],[Pre or Post]]="Pre",IF(IF(Table13[[#This Row],[Response]]="Male",0,1)+IF(Table13[[#This Row],[Response]]="Female",0,1)=2,E748,Table13[[#This Row],[Response]]),"")</f>
        <v>Male</v>
      </c>
      <c r="F749" s="1">
        <v>9</v>
      </c>
      <c r="G749" s="1">
        <v>4</v>
      </c>
      <c r="H749" s="2" t="s">
        <v>8</v>
      </c>
      <c r="I74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50" spans="1:11">
      <c r="A750" s="2" t="s">
        <v>24</v>
      </c>
      <c r="B750" s="2" t="s">
        <v>26</v>
      </c>
      <c r="C750" s="1">
        <v>8</v>
      </c>
      <c r="D750" s="1" t="s">
        <v>6</v>
      </c>
      <c r="E750" s="5" t="str">
        <f>IF(Table13[[#This Row],[Pre or Post]]="Pre",IF(IF(Table13[[#This Row],[Response]]="Male",0,1)+IF(Table13[[#This Row],[Response]]="Female",0,1)=2,E749,Table13[[#This Row],[Response]]),"")</f>
        <v>Male</v>
      </c>
      <c r="F750" s="1">
        <v>10</v>
      </c>
      <c r="G750" s="1">
        <v>2</v>
      </c>
      <c r="H750" s="2" t="s">
        <v>8</v>
      </c>
      <c r="I75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51" spans="1:11">
      <c r="A751" s="2" t="s">
        <v>24</v>
      </c>
      <c r="B751" s="2" t="s">
        <v>26</v>
      </c>
      <c r="C751" s="1">
        <v>8</v>
      </c>
      <c r="D751" s="1" t="s">
        <v>6</v>
      </c>
      <c r="E751" s="5" t="str">
        <f>IF(Table13[[#This Row],[Pre or Post]]="Pre",IF(IF(Table13[[#This Row],[Response]]="Male",0,1)+IF(Table13[[#This Row],[Response]]="Female",0,1)=2,E750,Table13[[#This Row],[Response]]),"")</f>
        <v>Male</v>
      </c>
      <c r="F751" s="2">
        <v>11</v>
      </c>
      <c r="G751" s="1">
        <v>1</v>
      </c>
      <c r="H751" s="2" t="s">
        <v>8</v>
      </c>
      <c r="I75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52" spans="1:11">
      <c r="A752" s="2" t="s">
        <v>24</v>
      </c>
      <c r="B752" s="2" t="s">
        <v>26</v>
      </c>
      <c r="C752" s="1">
        <v>9</v>
      </c>
      <c r="D752" s="1" t="s">
        <v>6</v>
      </c>
      <c r="E752" s="5" t="str">
        <f>IF(Table13[[#This Row],[Pre or Post]]="Pre",IF(IF(Table13[[#This Row],[Response]]="Male",0,1)+IF(Table13[[#This Row],[Response]]="Female",0,1)=2,E751,Table13[[#This Row],[Response]]),"")</f>
        <v>Male</v>
      </c>
      <c r="F752" s="1">
        <v>2</v>
      </c>
      <c r="G752" s="1" t="s">
        <v>7</v>
      </c>
      <c r="H752" s="2" t="s">
        <v>8</v>
      </c>
      <c r="I75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53" spans="1:11">
      <c r="A753" s="2" t="s">
        <v>24</v>
      </c>
      <c r="B753" s="2" t="s">
        <v>26</v>
      </c>
      <c r="C753" s="1">
        <v>9</v>
      </c>
      <c r="D753" s="1" t="s">
        <v>6</v>
      </c>
      <c r="E753" s="5" t="str">
        <f>IF(Table13[[#This Row],[Pre or Post]]="Pre",IF(IF(Table13[[#This Row],[Response]]="Male",0,1)+IF(Table13[[#This Row],[Response]]="Female",0,1)=2,E752,Table13[[#This Row],[Response]]),"")</f>
        <v>Male</v>
      </c>
      <c r="F753" s="1">
        <v>3</v>
      </c>
      <c r="G753" s="1" t="s">
        <v>8</v>
      </c>
      <c r="H753" s="2" t="s">
        <v>8</v>
      </c>
      <c r="I75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54" spans="1:11">
      <c r="A754" s="2" t="s">
        <v>24</v>
      </c>
      <c r="B754" s="2" t="s">
        <v>26</v>
      </c>
      <c r="C754" s="1">
        <v>9</v>
      </c>
      <c r="D754" s="1" t="s">
        <v>6</v>
      </c>
      <c r="E754" s="5" t="str">
        <f>IF(Table13[[#This Row],[Pre or Post]]="Pre",IF(IF(Table13[[#This Row],[Response]]="Male",0,1)+IF(Table13[[#This Row],[Response]]="Female",0,1)=2,E753,Table13[[#This Row],[Response]]),"")</f>
        <v>Male</v>
      </c>
      <c r="F754" s="1">
        <v>4</v>
      </c>
      <c r="G754" s="1" t="s">
        <v>8</v>
      </c>
      <c r="H754" s="2" t="s">
        <v>8</v>
      </c>
      <c r="I75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55" spans="1:11">
      <c r="A755" s="2" t="s">
        <v>24</v>
      </c>
      <c r="B755" s="2" t="s">
        <v>26</v>
      </c>
      <c r="C755" s="1">
        <v>9</v>
      </c>
      <c r="D755" s="1" t="s">
        <v>6</v>
      </c>
      <c r="E755" s="5" t="str">
        <f>IF(Table13[[#This Row],[Pre or Post]]="Pre",IF(IF(Table13[[#This Row],[Response]]="Male",0,1)+IF(Table13[[#This Row],[Response]]="Female",0,1)=2,E754,Table13[[#This Row],[Response]]),"")</f>
        <v>Male</v>
      </c>
      <c r="F755" s="1">
        <v>5</v>
      </c>
      <c r="G755" s="1" t="s">
        <v>8</v>
      </c>
      <c r="H755" s="2" t="s">
        <v>8</v>
      </c>
      <c r="I75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56" spans="1:11">
      <c r="A756" s="2" t="s">
        <v>24</v>
      </c>
      <c r="B756" s="2" t="s">
        <v>26</v>
      </c>
      <c r="C756" s="1">
        <v>9</v>
      </c>
      <c r="D756" s="1" t="s">
        <v>6</v>
      </c>
      <c r="E756" s="5" t="str">
        <f>IF(Table13[[#This Row],[Pre or Post]]="Pre",IF(IF(Table13[[#This Row],[Response]]="Male",0,1)+IF(Table13[[#This Row],[Response]]="Female",0,1)=2,E755,Table13[[#This Row],[Response]]),"")</f>
        <v>Male</v>
      </c>
      <c r="F756" s="1">
        <v>6</v>
      </c>
      <c r="G756" s="1" t="s">
        <v>8</v>
      </c>
      <c r="H756" s="2" t="s">
        <v>8</v>
      </c>
      <c r="I75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57" spans="1:11">
      <c r="A757" s="2" t="s">
        <v>24</v>
      </c>
      <c r="B757" s="2" t="s">
        <v>26</v>
      </c>
      <c r="C757" s="1">
        <v>9</v>
      </c>
      <c r="D757" s="1" t="s">
        <v>6</v>
      </c>
      <c r="E757" s="5" t="str">
        <f>IF(Table13[[#This Row],[Pre or Post]]="Pre",IF(IF(Table13[[#This Row],[Response]]="Male",0,1)+IF(Table13[[#This Row],[Response]]="Female",0,1)=2,E756,Table13[[#This Row],[Response]]),"")</f>
        <v>Male</v>
      </c>
      <c r="F757" s="1">
        <v>7</v>
      </c>
      <c r="G757" s="1" t="s">
        <v>8</v>
      </c>
      <c r="H757" s="2" t="s">
        <v>8</v>
      </c>
      <c r="I75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58" spans="1:11">
      <c r="A758" s="2" t="s">
        <v>24</v>
      </c>
      <c r="B758" s="2" t="s">
        <v>26</v>
      </c>
      <c r="C758" s="1">
        <v>9</v>
      </c>
      <c r="D758" s="1" t="s">
        <v>6</v>
      </c>
      <c r="E758" s="5" t="str">
        <f>IF(Table13[[#This Row],[Pre or Post]]="Pre",IF(IF(Table13[[#This Row],[Response]]="Male",0,1)+IF(Table13[[#This Row],[Response]]="Female",0,1)=2,E757,Table13[[#This Row],[Response]]),"")</f>
        <v>Male</v>
      </c>
      <c r="F758" s="1">
        <v>8</v>
      </c>
      <c r="G758" s="1"/>
      <c r="H758" s="2" t="s">
        <v>8</v>
      </c>
      <c r="I75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59" spans="1:11">
      <c r="A759" s="2" t="s">
        <v>24</v>
      </c>
      <c r="B759" s="2" t="s">
        <v>26</v>
      </c>
      <c r="C759" s="1">
        <v>9</v>
      </c>
      <c r="D759" s="1" t="s">
        <v>6</v>
      </c>
      <c r="E759" s="5" t="str">
        <f>IF(Table13[[#This Row],[Pre or Post]]="Pre",IF(IF(Table13[[#This Row],[Response]]="Male",0,1)+IF(Table13[[#This Row],[Response]]="Female",0,1)=2,E758,Table13[[#This Row],[Response]]),"")</f>
        <v>Male</v>
      </c>
      <c r="F759" s="1">
        <v>9</v>
      </c>
      <c r="G759" s="1">
        <v>4</v>
      </c>
      <c r="H759" s="2" t="s">
        <v>8</v>
      </c>
      <c r="I75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60" spans="1:11">
      <c r="A760" s="2" t="s">
        <v>24</v>
      </c>
      <c r="B760" s="2" t="s">
        <v>26</v>
      </c>
      <c r="C760" s="1">
        <v>9</v>
      </c>
      <c r="D760" s="1" t="s">
        <v>6</v>
      </c>
      <c r="E760" s="5" t="str">
        <f>IF(Table13[[#This Row],[Pre or Post]]="Pre",IF(IF(Table13[[#This Row],[Response]]="Male",0,1)+IF(Table13[[#This Row],[Response]]="Female",0,1)=2,E759,Table13[[#This Row],[Response]]),"")</f>
        <v>Male</v>
      </c>
      <c r="F760" s="1">
        <v>10</v>
      </c>
      <c r="G760" s="1">
        <v>3</v>
      </c>
      <c r="H760" s="2" t="s">
        <v>8</v>
      </c>
      <c r="I76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61" spans="1:11">
      <c r="A761" s="2" t="s">
        <v>24</v>
      </c>
      <c r="B761" s="2" t="s">
        <v>26</v>
      </c>
      <c r="C761" s="1">
        <v>9</v>
      </c>
      <c r="D761" s="1" t="s">
        <v>6</v>
      </c>
      <c r="E761" s="5" t="str">
        <f>IF(Table13[[#This Row],[Pre or Post]]="Pre",IF(IF(Table13[[#This Row],[Response]]="Male",0,1)+IF(Table13[[#This Row],[Response]]="Female",0,1)=2,E760,Table13[[#This Row],[Response]]),"")</f>
        <v>Male</v>
      </c>
      <c r="F761" s="1">
        <v>11</v>
      </c>
      <c r="G761" s="1">
        <v>2</v>
      </c>
      <c r="H761" s="2" t="s">
        <v>8</v>
      </c>
      <c r="I76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62" spans="1:11">
      <c r="A762" s="2" t="s">
        <v>24</v>
      </c>
      <c r="B762" s="2" t="s">
        <v>26</v>
      </c>
      <c r="C762" s="1">
        <v>10</v>
      </c>
      <c r="D762" s="1" t="s">
        <v>6</v>
      </c>
      <c r="E762" s="5" t="str">
        <f>IF(Table13[[#This Row],[Pre or Post]]="Pre",IF(IF(Table13[[#This Row],[Response]]="Male",0,1)+IF(Table13[[#This Row],[Response]]="Female",0,1)=2,E761,Table13[[#This Row],[Response]]),"")</f>
        <v>Male</v>
      </c>
      <c r="F762" s="1">
        <v>2</v>
      </c>
      <c r="G762" s="1" t="s">
        <v>7</v>
      </c>
      <c r="H762" s="2" t="s">
        <v>8</v>
      </c>
      <c r="I76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63" spans="1:11">
      <c r="A763" s="2" t="s">
        <v>24</v>
      </c>
      <c r="B763" s="2" t="s">
        <v>26</v>
      </c>
      <c r="C763" s="1">
        <v>10</v>
      </c>
      <c r="D763" s="1" t="s">
        <v>6</v>
      </c>
      <c r="E763" s="5" t="str">
        <f>IF(Table13[[#This Row],[Pre or Post]]="Pre",IF(IF(Table13[[#This Row],[Response]]="Male",0,1)+IF(Table13[[#This Row],[Response]]="Female",0,1)=2,E762,Table13[[#This Row],[Response]]),"")</f>
        <v>Male</v>
      </c>
      <c r="F763" s="1">
        <v>3</v>
      </c>
      <c r="G763" s="1" t="s">
        <v>8</v>
      </c>
      <c r="H763" s="2" t="s">
        <v>8</v>
      </c>
      <c r="I76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64" spans="1:11">
      <c r="A764" s="2" t="s">
        <v>24</v>
      </c>
      <c r="B764" s="2" t="s">
        <v>26</v>
      </c>
      <c r="C764" s="1">
        <v>10</v>
      </c>
      <c r="D764" s="1" t="s">
        <v>6</v>
      </c>
      <c r="E764" s="5" t="str">
        <f>IF(Table13[[#This Row],[Pre or Post]]="Pre",IF(IF(Table13[[#This Row],[Response]]="Male",0,1)+IF(Table13[[#This Row],[Response]]="Female",0,1)=2,E763,Table13[[#This Row],[Response]]),"")</f>
        <v>Male</v>
      </c>
      <c r="F764" s="1">
        <v>4</v>
      </c>
      <c r="G764" s="1" t="s">
        <v>8</v>
      </c>
      <c r="H764" s="2" t="s">
        <v>8</v>
      </c>
      <c r="I76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65" spans="1:11">
      <c r="A765" s="2" t="s">
        <v>24</v>
      </c>
      <c r="B765" s="2" t="s">
        <v>26</v>
      </c>
      <c r="C765" s="1">
        <v>10</v>
      </c>
      <c r="D765" s="1" t="s">
        <v>6</v>
      </c>
      <c r="E765" s="5" t="str">
        <f>IF(Table13[[#This Row],[Pre or Post]]="Pre",IF(IF(Table13[[#This Row],[Response]]="Male",0,1)+IF(Table13[[#This Row],[Response]]="Female",0,1)=2,E764,Table13[[#This Row],[Response]]),"")</f>
        <v>Male</v>
      </c>
      <c r="F765" s="1">
        <v>5</v>
      </c>
      <c r="G765" s="1" t="s">
        <v>8</v>
      </c>
      <c r="H765" s="2" t="s">
        <v>8</v>
      </c>
      <c r="I76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66" spans="1:11">
      <c r="A766" s="2" t="s">
        <v>24</v>
      </c>
      <c r="B766" s="2" t="s">
        <v>26</v>
      </c>
      <c r="C766" s="1">
        <v>10</v>
      </c>
      <c r="D766" s="1" t="s">
        <v>6</v>
      </c>
      <c r="E766" s="5" t="str">
        <f>IF(Table13[[#This Row],[Pre or Post]]="Pre",IF(IF(Table13[[#This Row],[Response]]="Male",0,1)+IF(Table13[[#This Row],[Response]]="Female",0,1)=2,E765,Table13[[#This Row],[Response]]),"")</f>
        <v>Male</v>
      </c>
      <c r="F766" s="1">
        <v>6</v>
      </c>
      <c r="G766" s="1" t="s">
        <v>8</v>
      </c>
      <c r="H766" s="2" t="s">
        <v>8</v>
      </c>
      <c r="I76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67" spans="1:11">
      <c r="A767" s="2" t="s">
        <v>24</v>
      </c>
      <c r="B767" s="2" t="s">
        <v>26</v>
      </c>
      <c r="C767" s="1">
        <v>10</v>
      </c>
      <c r="D767" s="1" t="s">
        <v>6</v>
      </c>
      <c r="E767" s="5" t="str">
        <f>IF(Table13[[#This Row],[Pre or Post]]="Pre",IF(IF(Table13[[#This Row],[Response]]="Male",0,1)+IF(Table13[[#This Row],[Response]]="Female",0,1)=2,E766,Table13[[#This Row],[Response]]),"")</f>
        <v>Male</v>
      </c>
      <c r="F767" s="1">
        <v>7</v>
      </c>
      <c r="G767" s="1" t="s">
        <v>8</v>
      </c>
      <c r="H767" s="2" t="s">
        <v>8</v>
      </c>
      <c r="I76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68" spans="1:11">
      <c r="A768" s="2" t="s">
        <v>24</v>
      </c>
      <c r="B768" s="2" t="s">
        <v>26</v>
      </c>
      <c r="C768" s="1">
        <v>10</v>
      </c>
      <c r="D768" s="1" t="s">
        <v>6</v>
      </c>
      <c r="E768" s="5" t="str">
        <f>IF(Table13[[#This Row],[Pre or Post]]="Pre",IF(IF(Table13[[#This Row],[Response]]="Male",0,1)+IF(Table13[[#This Row],[Response]]="Female",0,1)=2,E767,Table13[[#This Row],[Response]]),"")</f>
        <v>Male</v>
      </c>
      <c r="F768" s="1">
        <v>8</v>
      </c>
      <c r="G768" s="1"/>
      <c r="H768" s="2" t="s">
        <v>8</v>
      </c>
      <c r="I76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69" spans="1:11">
      <c r="A769" s="2" t="s">
        <v>24</v>
      </c>
      <c r="B769" s="2" t="s">
        <v>26</v>
      </c>
      <c r="C769" s="1">
        <v>10</v>
      </c>
      <c r="D769" s="1" t="s">
        <v>6</v>
      </c>
      <c r="E769" s="5" t="str">
        <f>IF(Table13[[#This Row],[Pre or Post]]="Pre",IF(IF(Table13[[#This Row],[Response]]="Male",0,1)+IF(Table13[[#This Row],[Response]]="Female",0,1)=2,E768,Table13[[#This Row],[Response]]),"")</f>
        <v>Male</v>
      </c>
      <c r="F769" s="1">
        <v>9</v>
      </c>
      <c r="G769" s="1">
        <v>4</v>
      </c>
      <c r="H769" s="2" t="s">
        <v>8</v>
      </c>
      <c r="I76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70" spans="1:11">
      <c r="A770" s="2" t="s">
        <v>24</v>
      </c>
      <c r="B770" s="2" t="s">
        <v>26</v>
      </c>
      <c r="C770" s="1">
        <v>10</v>
      </c>
      <c r="D770" s="1" t="s">
        <v>6</v>
      </c>
      <c r="E770" s="5" t="str">
        <f>IF(Table13[[#This Row],[Pre or Post]]="Pre",IF(IF(Table13[[#This Row],[Response]]="Male",0,1)+IF(Table13[[#This Row],[Response]]="Female",0,1)=2,E769,Table13[[#This Row],[Response]]),"")</f>
        <v>Male</v>
      </c>
      <c r="F770" s="1">
        <v>10</v>
      </c>
      <c r="G770" s="1">
        <v>4</v>
      </c>
      <c r="H770" s="2" t="s">
        <v>8</v>
      </c>
      <c r="I77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71" spans="1:11">
      <c r="A771" s="2" t="s">
        <v>24</v>
      </c>
      <c r="B771" s="2" t="s">
        <v>26</v>
      </c>
      <c r="C771" s="1">
        <v>10</v>
      </c>
      <c r="D771" s="1" t="s">
        <v>6</v>
      </c>
      <c r="E771" s="5" t="str">
        <f>IF(Table13[[#This Row],[Pre or Post]]="Pre",IF(IF(Table13[[#This Row],[Response]]="Male",0,1)+IF(Table13[[#This Row],[Response]]="Female",0,1)=2,E770,Table13[[#This Row],[Response]]),"")</f>
        <v>Male</v>
      </c>
      <c r="F771" s="1">
        <v>11</v>
      </c>
      <c r="G771" s="1">
        <v>3</v>
      </c>
      <c r="H771" s="2" t="s">
        <v>8</v>
      </c>
      <c r="I77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72" spans="1:11">
      <c r="A772" s="2" t="s">
        <v>24</v>
      </c>
      <c r="B772" s="2" t="s">
        <v>26</v>
      </c>
      <c r="C772" s="1">
        <v>11</v>
      </c>
      <c r="D772" s="1" t="s">
        <v>6</v>
      </c>
      <c r="E772" s="5" t="str">
        <f>IF(Table13[[#This Row],[Pre or Post]]="Pre",IF(IF(Table13[[#This Row],[Response]]="Male",0,1)+IF(Table13[[#This Row],[Response]]="Female",0,1)=2,E771,Table13[[#This Row],[Response]]),"")</f>
        <v>Female</v>
      </c>
      <c r="F772" s="1">
        <v>2</v>
      </c>
      <c r="G772" s="1" t="s">
        <v>13</v>
      </c>
      <c r="H772" s="2" t="s">
        <v>8</v>
      </c>
      <c r="I77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73" spans="1:11">
      <c r="A773" s="2" t="s">
        <v>24</v>
      </c>
      <c r="B773" s="2" t="s">
        <v>26</v>
      </c>
      <c r="C773" s="1">
        <v>11</v>
      </c>
      <c r="D773" s="1" t="s">
        <v>6</v>
      </c>
      <c r="E773" s="5" t="str">
        <f>IF(Table13[[#This Row],[Pre or Post]]="Pre",IF(IF(Table13[[#This Row],[Response]]="Male",0,1)+IF(Table13[[#This Row],[Response]]="Female",0,1)=2,E772,Table13[[#This Row],[Response]]),"")</f>
        <v>Female</v>
      </c>
      <c r="F773" s="1">
        <v>3</v>
      </c>
      <c r="G773" s="1" t="s">
        <v>9</v>
      </c>
      <c r="H773" s="2" t="s">
        <v>8</v>
      </c>
      <c r="I77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74" spans="1:11">
      <c r="A774" s="2" t="s">
        <v>24</v>
      </c>
      <c r="B774" s="2" t="s">
        <v>26</v>
      </c>
      <c r="C774" s="1">
        <v>11</v>
      </c>
      <c r="D774" s="1" t="s">
        <v>6</v>
      </c>
      <c r="E774" s="5" t="str">
        <f>IF(Table13[[#This Row],[Pre or Post]]="Pre",IF(IF(Table13[[#This Row],[Response]]="Male",0,1)+IF(Table13[[#This Row],[Response]]="Female",0,1)=2,E773,Table13[[#This Row],[Response]]),"")</f>
        <v>Female</v>
      </c>
      <c r="F774" s="1">
        <v>4</v>
      </c>
      <c r="G774" s="1" t="s">
        <v>9</v>
      </c>
      <c r="H774" s="2" t="s">
        <v>8</v>
      </c>
      <c r="I77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75" spans="1:11">
      <c r="A775" s="2" t="s">
        <v>24</v>
      </c>
      <c r="B775" s="2" t="s">
        <v>26</v>
      </c>
      <c r="C775" s="1">
        <v>11</v>
      </c>
      <c r="D775" s="1" t="s">
        <v>6</v>
      </c>
      <c r="E775" s="5" t="str">
        <f>IF(Table13[[#This Row],[Pre or Post]]="Pre",IF(IF(Table13[[#This Row],[Response]]="Male",0,1)+IF(Table13[[#This Row],[Response]]="Female",0,1)=2,E774,Table13[[#This Row],[Response]]),"")</f>
        <v>Female</v>
      </c>
      <c r="F775" s="1">
        <v>5</v>
      </c>
      <c r="G775" s="1" t="s">
        <v>8</v>
      </c>
      <c r="H775" s="2" t="s">
        <v>8</v>
      </c>
      <c r="I77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76" spans="1:11">
      <c r="A776" s="2" t="s">
        <v>24</v>
      </c>
      <c r="B776" s="2" t="s">
        <v>26</v>
      </c>
      <c r="C776" s="1">
        <v>11</v>
      </c>
      <c r="D776" s="1" t="s">
        <v>6</v>
      </c>
      <c r="E776" s="5" t="str">
        <f>IF(Table13[[#This Row],[Pre or Post]]="Pre",IF(IF(Table13[[#This Row],[Response]]="Male",0,1)+IF(Table13[[#This Row],[Response]]="Female",0,1)=2,E775,Table13[[#This Row],[Response]]),"")</f>
        <v>Female</v>
      </c>
      <c r="F776" s="1">
        <v>6</v>
      </c>
      <c r="G776" s="1" t="s">
        <v>8</v>
      </c>
      <c r="H776" s="2" t="s">
        <v>8</v>
      </c>
      <c r="I77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77" spans="1:11">
      <c r="A777" s="2" t="s">
        <v>24</v>
      </c>
      <c r="B777" s="2" t="s">
        <v>26</v>
      </c>
      <c r="C777" s="1">
        <v>11</v>
      </c>
      <c r="D777" s="1" t="s">
        <v>6</v>
      </c>
      <c r="E777" s="5" t="str">
        <f>IF(Table13[[#This Row],[Pre or Post]]="Pre",IF(IF(Table13[[#This Row],[Response]]="Male",0,1)+IF(Table13[[#This Row],[Response]]="Female",0,1)=2,E776,Table13[[#This Row],[Response]]),"")</f>
        <v>Female</v>
      </c>
      <c r="F777" s="1">
        <v>7</v>
      </c>
      <c r="G777" s="1" t="s">
        <v>8</v>
      </c>
      <c r="H777" s="2" t="s">
        <v>8</v>
      </c>
      <c r="I77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78" spans="1:11">
      <c r="A778" s="2" t="s">
        <v>24</v>
      </c>
      <c r="B778" s="2" t="s">
        <v>26</v>
      </c>
      <c r="C778" s="1">
        <v>11</v>
      </c>
      <c r="D778" s="1" t="s">
        <v>6</v>
      </c>
      <c r="E778" s="5" t="str">
        <f>IF(Table13[[#This Row],[Pre or Post]]="Pre",IF(IF(Table13[[#This Row],[Response]]="Male",0,1)+IF(Table13[[#This Row],[Response]]="Female",0,1)=2,E777,Table13[[#This Row],[Response]]),"")</f>
        <v>Female</v>
      </c>
      <c r="F778" s="1">
        <v>8</v>
      </c>
      <c r="G778" s="1"/>
      <c r="H778" s="2" t="s">
        <v>8</v>
      </c>
      <c r="I77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79" spans="1:11">
      <c r="A779" s="2" t="s">
        <v>24</v>
      </c>
      <c r="B779" s="2" t="s">
        <v>26</v>
      </c>
      <c r="C779" s="1">
        <v>11</v>
      </c>
      <c r="D779" s="1" t="s">
        <v>6</v>
      </c>
      <c r="E779" s="5" t="str">
        <f>IF(Table13[[#This Row],[Pre or Post]]="Pre",IF(IF(Table13[[#This Row],[Response]]="Male",0,1)+IF(Table13[[#This Row],[Response]]="Female",0,1)=2,E778,Table13[[#This Row],[Response]]),"")</f>
        <v>Female</v>
      </c>
      <c r="F779" s="1">
        <v>9</v>
      </c>
      <c r="G779" s="1">
        <v>3</v>
      </c>
      <c r="H779" s="2" t="s">
        <v>8</v>
      </c>
      <c r="I77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80" spans="1:11">
      <c r="A780" s="2" t="s">
        <v>24</v>
      </c>
      <c r="B780" s="2" t="s">
        <v>26</v>
      </c>
      <c r="C780" s="1">
        <v>11</v>
      </c>
      <c r="D780" s="1" t="s">
        <v>6</v>
      </c>
      <c r="E780" s="5" t="str">
        <f>IF(Table13[[#This Row],[Pre or Post]]="Pre",IF(IF(Table13[[#This Row],[Response]]="Male",0,1)+IF(Table13[[#This Row],[Response]]="Female",0,1)=2,E779,Table13[[#This Row],[Response]]),"")</f>
        <v>Female</v>
      </c>
      <c r="F780" s="1">
        <v>10</v>
      </c>
      <c r="G780" s="1">
        <v>3</v>
      </c>
      <c r="H780" s="2" t="s">
        <v>8</v>
      </c>
      <c r="I78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81" spans="1:11">
      <c r="A781" s="2" t="s">
        <v>24</v>
      </c>
      <c r="B781" s="2" t="s">
        <v>26</v>
      </c>
      <c r="C781" s="1">
        <v>11</v>
      </c>
      <c r="D781" s="1" t="s">
        <v>6</v>
      </c>
      <c r="E781" s="5" t="str">
        <f>IF(Table13[[#This Row],[Pre or Post]]="Pre",IF(IF(Table13[[#This Row],[Response]]="Male",0,1)+IF(Table13[[#This Row],[Response]]="Female",0,1)=2,E780,Table13[[#This Row],[Response]]),"")</f>
        <v>Female</v>
      </c>
      <c r="F781" s="1">
        <v>11</v>
      </c>
      <c r="G781" s="1">
        <v>2</v>
      </c>
      <c r="H781" s="2" t="s">
        <v>8</v>
      </c>
      <c r="I78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82" spans="1:11">
      <c r="A782" s="2" t="s">
        <v>24</v>
      </c>
      <c r="B782" s="2" t="s">
        <v>26</v>
      </c>
      <c r="C782" s="1">
        <v>12</v>
      </c>
      <c r="D782" s="1" t="s">
        <v>6</v>
      </c>
      <c r="E782" s="5" t="str">
        <f>IF(Table13[[#This Row],[Pre or Post]]="Pre",IF(IF(Table13[[#This Row],[Response]]="Male",0,1)+IF(Table13[[#This Row],[Response]]="Female",0,1)=2,E781,Table13[[#This Row],[Response]]),"")</f>
        <v>Female</v>
      </c>
      <c r="F782" s="1">
        <v>2</v>
      </c>
      <c r="G782" s="1" t="s">
        <v>14</v>
      </c>
      <c r="H782" s="2" t="s">
        <v>8</v>
      </c>
      <c r="I78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83" spans="1:11">
      <c r="A783" s="2" t="s">
        <v>24</v>
      </c>
      <c r="B783" s="2" t="s">
        <v>26</v>
      </c>
      <c r="C783" s="1">
        <v>12</v>
      </c>
      <c r="D783" s="1" t="s">
        <v>6</v>
      </c>
      <c r="E783" s="5" t="str">
        <f>IF(Table13[[#This Row],[Pre or Post]]="Pre",IF(IF(Table13[[#This Row],[Response]]="Male",0,1)+IF(Table13[[#This Row],[Response]]="Female",0,1)=2,E782,Table13[[#This Row],[Response]]),"")</f>
        <v>Female</v>
      </c>
      <c r="F783" s="1">
        <v>3</v>
      </c>
      <c r="G783" s="1" t="s">
        <v>9</v>
      </c>
      <c r="H783" s="2" t="s">
        <v>8</v>
      </c>
      <c r="I78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84" spans="1:11">
      <c r="A784" s="2" t="s">
        <v>24</v>
      </c>
      <c r="B784" s="2" t="s">
        <v>26</v>
      </c>
      <c r="C784" s="1">
        <v>12</v>
      </c>
      <c r="D784" s="1" t="s">
        <v>6</v>
      </c>
      <c r="E784" s="5" t="str">
        <f>IF(Table13[[#This Row],[Pre or Post]]="Pre",IF(IF(Table13[[#This Row],[Response]]="Male",0,1)+IF(Table13[[#This Row],[Response]]="Female",0,1)=2,E783,Table13[[#This Row],[Response]]),"")</f>
        <v>Female</v>
      </c>
      <c r="F784" s="1">
        <v>4</v>
      </c>
      <c r="G784" s="1" t="s">
        <v>8</v>
      </c>
      <c r="H784" s="2" t="s">
        <v>8</v>
      </c>
      <c r="I78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85" spans="1:11">
      <c r="A785" s="2" t="s">
        <v>24</v>
      </c>
      <c r="B785" s="2" t="s">
        <v>26</v>
      </c>
      <c r="C785" s="1">
        <v>12</v>
      </c>
      <c r="D785" s="1" t="s">
        <v>6</v>
      </c>
      <c r="E785" s="5" t="str">
        <f>IF(Table13[[#This Row],[Pre or Post]]="Pre",IF(IF(Table13[[#This Row],[Response]]="Male",0,1)+IF(Table13[[#This Row],[Response]]="Female",0,1)=2,E784,Table13[[#This Row],[Response]]),"")</f>
        <v>Female</v>
      </c>
      <c r="F785" s="1">
        <v>5</v>
      </c>
      <c r="G785" s="1" t="s">
        <v>8</v>
      </c>
      <c r="H785" s="2" t="s">
        <v>8</v>
      </c>
      <c r="I78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86" spans="1:11">
      <c r="A786" s="2" t="s">
        <v>24</v>
      </c>
      <c r="B786" s="2" t="s">
        <v>26</v>
      </c>
      <c r="C786" s="1">
        <v>12</v>
      </c>
      <c r="D786" s="1" t="s">
        <v>6</v>
      </c>
      <c r="E786" s="5" t="str">
        <f>IF(Table13[[#This Row],[Pre or Post]]="Pre",IF(IF(Table13[[#This Row],[Response]]="Male",0,1)+IF(Table13[[#This Row],[Response]]="Female",0,1)=2,E785,Table13[[#This Row],[Response]]),"")</f>
        <v>Female</v>
      </c>
      <c r="F786" s="1">
        <v>6</v>
      </c>
      <c r="G786" s="1" t="s">
        <v>8</v>
      </c>
      <c r="H786" s="2" t="s">
        <v>8</v>
      </c>
      <c r="I78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87" spans="1:11">
      <c r="A787" s="2" t="s">
        <v>24</v>
      </c>
      <c r="B787" s="2" t="s">
        <v>26</v>
      </c>
      <c r="C787" s="1">
        <v>12</v>
      </c>
      <c r="D787" s="1" t="s">
        <v>6</v>
      </c>
      <c r="E787" s="5" t="str">
        <f>IF(Table13[[#This Row],[Pre or Post]]="Pre",IF(IF(Table13[[#This Row],[Response]]="Male",0,1)+IF(Table13[[#This Row],[Response]]="Female",0,1)=2,E786,Table13[[#This Row],[Response]]),"")</f>
        <v>Female</v>
      </c>
      <c r="F787" s="1">
        <v>7</v>
      </c>
      <c r="G787" s="1" t="s">
        <v>8</v>
      </c>
      <c r="H787" s="2" t="s">
        <v>8</v>
      </c>
      <c r="I78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88" spans="1:11">
      <c r="A788" s="2" t="s">
        <v>24</v>
      </c>
      <c r="B788" s="2" t="s">
        <v>26</v>
      </c>
      <c r="C788" s="1">
        <v>12</v>
      </c>
      <c r="D788" s="1" t="s">
        <v>6</v>
      </c>
      <c r="E788" s="5" t="str">
        <f>IF(Table13[[#This Row],[Pre or Post]]="Pre",IF(IF(Table13[[#This Row],[Response]]="Male",0,1)+IF(Table13[[#This Row],[Response]]="Female",0,1)=2,E787,Table13[[#This Row],[Response]]),"")</f>
        <v>Female</v>
      </c>
      <c r="F788" s="1">
        <v>8</v>
      </c>
      <c r="G788" s="1"/>
      <c r="H788" s="2" t="s">
        <v>8</v>
      </c>
      <c r="I78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89" spans="1:11">
      <c r="A789" s="2" t="s">
        <v>24</v>
      </c>
      <c r="B789" s="2" t="s">
        <v>26</v>
      </c>
      <c r="C789" s="1">
        <v>12</v>
      </c>
      <c r="D789" s="1" t="s">
        <v>6</v>
      </c>
      <c r="E789" s="5" t="str">
        <f>IF(Table13[[#This Row],[Pre or Post]]="Pre",IF(IF(Table13[[#This Row],[Response]]="Male",0,1)+IF(Table13[[#This Row],[Response]]="Female",0,1)=2,E788,Table13[[#This Row],[Response]]),"")</f>
        <v>Female</v>
      </c>
      <c r="F789" s="1">
        <v>9</v>
      </c>
      <c r="G789" s="1">
        <v>3</v>
      </c>
      <c r="H789" s="2" t="s">
        <v>8</v>
      </c>
      <c r="I78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90" spans="1:11">
      <c r="A790" s="2" t="s">
        <v>24</v>
      </c>
      <c r="B790" s="2" t="s">
        <v>26</v>
      </c>
      <c r="C790" s="1">
        <v>12</v>
      </c>
      <c r="D790" s="1" t="s">
        <v>6</v>
      </c>
      <c r="E790" s="5" t="str">
        <f>IF(Table13[[#This Row],[Pre or Post]]="Pre",IF(IF(Table13[[#This Row],[Response]]="Male",0,1)+IF(Table13[[#This Row],[Response]]="Female",0,1)=2,E789,Table13[[#This Row],[Response]]),"")</f>
        <v>Female</v>
      </c>
      <c r="F790" s="1">
        <v>10</v>
      </c>
      <c r="G790" s="1">
        <v>2</v>
      </c>
      <c r="H790" s="2" t="s">
        <v>8</v>
      </c>
      <c r="I79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91" spans="1:11">
      <c r="A791" s="2" t="s">
        <v>24</v>
      </c>
      <c r="B791" s="2" t="s">
        <v>26</v>
      </c>
      <c r="C791" s="1">
        <v>12</v>
      </c>
      <c r="D791" s="1" t="s">
        <v>6</v>
      </c>
      <c r="E791" s="5" t="str">
        <f>IF(Table13[[#This Row],[Pre or Post]]="Pre",IF(IF(Table13[[#This Row],[Response]]="Male",0,1)+IF(Table13[[#This Row],[Response]]="Female",0,1)=2,E790,Table13[[#This Row],[Response]]),"")</f>
        <v>Female</v>
      </c>
      <c r="F791" s="1">
        <v>11</v>
      </c>
      <c r="G791" s="1">
        <v>1</v>
      </c>
      <c r="H791" s="2" t="s">
        <v>8</v>
      </c>
      <c r="I79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92" spans="1:11">
      <c r="A792" s="2" t="s">
        <v>24</v>
      </c>
      <c r="B792" s="2" t="s">
        <v>26</v>
      </c>
      <c r="C792" s="1">
        <v>13</v>
      </c>
      <c r="D792" s="1" t="s">
        <v>6</v>
      </c>
      <c r="E792" s="5" t="str">
        <f>IF(Table13[[#This Row],[Pre or Post]]="Pre",IF(IF(Table13[[#This Row],[Response]]="Male",0,1)+IF(Table13[[#This Row],[Response]]="Female",0,1)=2,E791,Table13[[#This Row],[Response]]),"")</f>
        <v>Female</v>
      </c>
      <c r="F792" s="1">
        <v>2</v>
      </c>
      <c r="G792" s="1" t="s">
        <v>13</v>
      </c>
      <c r="H792" s="2" t="s">
        <v>8</v>
      </c>
      <c r="I79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93" spans="1:11">
      <c r="A793" s="2" t="s">
        <v>24</v>
      </c>
      <c r="B793" s="2" t="s">
        <v>26</v>
      </c>
      <c r="C793" s="1">
        <v>13</v>
      </c>
      <c r="D793" s="1" t="s">
        <v>6</v>
      </c>
      <c r="E793" s="5" t="str">
        <f>IF(Table13[[#This Row],[Pre or Post]]="Pre",IF(IF(Table13[[#This Row],[Response]]="Male",0,1)+IF(Table13[[#This Row],[Response]]="Female",0,1)=2,E792,Table13[[#This Row],[Response]]),"")</f>
        <v>Female</v>
      </c>
      <c r="F793" s="1">
        <v>3</v>
      </c>
      <c r="G793" s="1" t="s">
        <v>9</v>
      </c>
      <c r="H793" s="2" t="s">
        <v>8</v>
      </c>
      <c r="I79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94" spans="1:11">
      <c r="A794" s="2" t="s">
        <v>24</v>
      </c>
      <c r="B794" s="2" t="s">
        <v>26</v>
      </c>
      <c r="C794" s="1">
        <v>13</v>
      </c>
      <c r="D794" s="1" t="s">
        <v>6</v>
      </c>
      <c r="E794" s="5" t="str">
        <f>IF(Table13[[#This Row],[Pre or Post]]="Pre",IF(IF(Table13[[#This Row],[Response]]="Male",0,1)+IF(Table13[[#This Row],[Response]]="Female",0,1)=2,E793,Table13[[#This Row],[Response]]),"")</f>
        <v>Female</v>
      </c>
      <c r="F794" s="1">
        <v>4</v>
      </c>
      <c r="G794" s="1" t="s">
        <v>8</v>
      </c>
      <c r="H794" s="2" t="s">
        <v>8</v>
      </c>
      <c r="I79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95" spans="1:11">
      <c r="A795" s="2" t="s">
        <v>24</v>
      </c>
      <c r="B795" s="2" t="s">
        <v>26</v>
      </c>
      <c r="C795" s="1">
        <v>13</v>
      </c>
      <c r="D795" s="1" t="s">
        <v>6</v>
      </c>
      <c r="E795" s="5" t="str">
        <f>IF(Table13[[#This Row],[Pre or Post]]="Pre",IF(IF(Table13[[#This Row],[Response]]="Male",0,1)+IF(Table13[[#This Row],[Response]]="Female",0,1)=2,E794,Table13[[#This Row],[Response]]),"")</f>
        <v>Female</v>
      </c>
      <c r="F795" s="1">
        <v>5</v>
      </c>
      <c r="G795" s="1" t="s">
        <v>8</v>
      </c>
      <c r="H795" s="2" t="s">
        <v>8</v>
      </c>
      <c r="I79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96" spans="1:11">
      <c r="A796" s="2" t="s">
        <v>24</v>
      </c>
      <c r="B796" s="2" t="s">
        <v>26</v>
      </c>
      <c r="C796" s="1">
        <v>13</v>
      </c>
      <c r="D796" s="1" t="s">
        <v>6</v>
      </c>
      <c r="E796" s="5" t="str">
        <f>IF(Table13[[#This Row],[Pre or Post]]="Pre",IF(IF(Table13[[#This Row],[Response]]="Male",0,1)+IF(Table13[[#This Row],[Response]]="Female",0,1)=2,E795,Table13[[#This Row],[Response]]),"")</f>
        <v>Female</v>
      </c>
      <c r="F796" s="1">
        <v>6</v>
      </c>
      <c r="G796" s="1" t="s">
        <v>8</v>
      </c>
      <c r="H796" s="2" t="s">
        <v>8</v>
      </c>
      <c r="I79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97" spans="1:11">
      <c r="A797" s="2" t="s">
        <v>24</v>
      </c>
      <c r="B797" s="2" t="s">
        <v>26</v>
      </c>
      <c r="C797" s="1">
        <v>13</v>
      </c>
      <c r="D797" s="1" t="s">
        <v>6</v>
      </c>
      <c r="E797" s="5" t="str">
        <f>IF(Table13[[#This Row],[Pre or Post]]="Pre",IF(IF(Table13[[#This Row],[Response]]="Male",0,1)+IF(Table13[[#This Row],[Response]]="Female",0,1)=2,E796,Table13[[#This Row],[Response]]),"")</f>
        <v>Female</v>
      </c>
      <c r="F797" s="1">
        <v>7</v>
      </c>
      <c r="G797" s="1" t="s">
        <v>9</v>
      </c>
      <c r="H797" s="2" t="s">
        <v>8</v>
      </c>
      <c r="I79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98" spans="1:11">
      <c r="A798" s="2" t="s">
        <v>24</v>
      </c>
      <c r="B798" s="2" t="s">
        <v>26</v>
      </c>
      <c r="C798" s="1">
        <v>13</v>
      </c>
      <c r="D798" s="1" t="s">
        <v>6</v>
      </c>
      <c r="E798" s="5" t="str">
        <f>IF(Table13[[#This Row],[Pre or Post]]="Pre",IF(IF(Table13[[#This Row],[Response]]="Male",0,1)+IF(Table13[[#This Row],[Response]]="Female",0,1)=2,E797,Table13[[#This Row],[Response]]),"")</f>
        <v>Female</v>
      </c>
      <c r="F798" s="1">
        <v>8</v>
      </c>
      <c r="G798" s="1"/>
      <c r="H798" s="2" t="s">
        <v>8</v>
      </c>
      <c r="I79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799" spans="1:11">
      <c r="A799" s="2" t="s">
        <v>24</v>
      </c>
      <c r="B799" s="2" t="s">
        <v>26</v>
      </c>
      <c r="C799" s="1">
        <v>13</v>
      </c>
      <c r="D799" s="1" t="s">
        <v>6</v>
      </c>
      <c r="E799" s="5" t="str">
        <f>IF(Table13[[#This Row],[Pre or Post]]="Pre",IF(IF(Table13[[#This Row],[Response]]="Male",0,1)+IF(Table13[[#This Row],[Response]]="Female",0,1)=2,E798,Table13[[#This Row],[Response]]),"")</f>
        <v>Female</v>
      </c>
      <c r="F799" s="1">
        <v>9</v>
      </c>
      <c r="G799" s="1">
        <v>3</v>
      </c>
      <c r="H799" s="2" t="s">
        <v>8</v>
      </c>
      <c r="I79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7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7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00" spans="1:11">
      <c r="A800" s="2" t="s">
        <v>24</v>
      </c>
      <c r="B800" s="2" t="s">
        <v>26</v>
      </c>
      <c r="C800" s="1">
        <v>13</v>
      </c>
      <c r="D800" s="1" t="s">
        <v>6</v>
      </c>
      <c r="E800" s="5" t="str">
        <f>IF(Table13[[#This Row],[Pre or Post]]="Pre",IF(IF(Table13[[#This Row],[Response]]="Male",0,1)+IF(Table13[[#This Row],[Response]]="Female",0,1)=2,E799,Table13[[#This Row],[Response]]),"")</f>
        <v>Female</v>
      </c>
      <c r="F800" s="1">
        <v>10</v>
      </c>
      <c r="G800" s="1">
        <v>3</v>
      </c>
      <c r="H800" s="2" t="s">
        <v>8</v>
      </c>
      <c r="I80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01" spans="1:11">
      <c r="A801" s="2" t="s">
        <v>24</v>
      </c>
      <c r="B801" s="2" t="s">
        <v>26</v>
      </c>
      <c r="C801" s="1">
        <v>13</v>
      </c>
      <c r="D801" s="1" t="s">
        <v>6</v>
      </c>
      <c r="E801" s="5" t="str">
        <f>IF(Table13[[#This Row],[Pre or Post]]="Pre",IF(IF(Table13[[#This Row],[Response]]="Male",0,1)+IF(Table13[[#This Row],[Response]]="Female",0,1)=2,E800,Table13[[#This Row],[Response]]),"")</f>
        <v>Female</v>
      </c>
      <c r="F801" s="1">
        <v>11</v>
      </c>
      <c r="G801" s="1">
        <v>1</v>
      </c>
      <c r="H801" s="2" t="s">
        <v>8</v>
      </c>
      <c r="I80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02" spans="1:11">
      <c r="A802" s="2" t="s">
        <v>24</v>
      </c>
      <c r="B802" s="2" t="s">
        <v>26</v>
      </c>
      <c r="C802" s="1">
        <v>14</v>
      </c>
      <c r="D802" s="1" t="s">
        <v>6</v>
      </c>
      <c r="E802" s="5" t="str">
        <f>IF(Table13[[#This Row],[Pre or Post]]="Pre",IF(IF(Table13[[#This Row],[Response]]="Male",0,1)+IF(Table13[[#This Row],[Response]]="Female",0,1)=2,E801,Table13[[#This Row],[Response]]),"")</f>
        <v>Female</v>
      </c>
      <c r="F802" s="1">
        <v>2</v>
      </c>
      <c r="G802" s="1" t="s">
        <v>13</v>
      </c>
      <c r="H802" s="2" t="s">
        <v>8</v>
      </c>
      <c r="I80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03" spans="1:11">
      <c r="A803" s="2" t="s">
        <v>24</v>
      </c>
      <c r="B803" s="2" t="s">
        <v>26</v>
      </c>
      <c r="C803" s="1">
        <v>14</v>
      </c>
      <c r="D803" s="1" t="s">
        <v>6</v>
      </c>
      <c r="E803" s="5" t="str">
        <f>IF(Table13[[#This Row],[Pre or Post]]="Pre",IF(IF(Table13[[#This Row],[Response]]="Male",0,1)+IF(Table13[[#This Row],[Response]]="Female",0,1)=2,E802,Table13[[#This Row],[Response]]),"")</f>
        <v>Female</v>
      </c>
      <c r="F803" s="1">
        <v>3</v>
      </c>
      <c r="G803" s="1" t="s">
        <v>8</v>
      </c>
      <c r="H803" s="2" t="s">
        <v>8</v>
      </c>
      <c r="I80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04" spans="1:11">
      <c r="A804" s="2" t="s">
        <v>24</v>
      </c>
      <c r="B804" s="2" t="s">
        <v>26</v>
      </c>
      <c r="C804" s="1">
        <v>14</v>
      </c>
      <c r="D804" s="1" t="s">
        <v>6</v>
      </c>
      <c r="E804" s="5" t="str">
        <f>IF(Table13[[#This Row],[Pre or Post]]="Pre",IF(IF(Table13[[#This Row],[Response]]="Male",0,1)+IF(Table13[[#This Row],[Response]]="Female",0,1)=2,E803,Table13[[#This Row],[Response]]),"")</f>
        <v>Female</v>
      </c>
      <c r="F804" s="1">
        <v>4</v>
      </c>
      <c r="G804" s="1" t="s">
        <v>9</v>
      </c>
      <c r="H804" s="2" t="s">
        <v>8</v>
      </c>
      <c r="I80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05" spans="1:11">
      <c r="A805" s="2" t="s">
        <v>24</v>
      </c>
      <c r="B805" s="2" t="s">
        <v>26</v>
      </c>
      <c r="C805" s="1">
        <v>14</v>
      </c>
      <c r="D805" s="1" t="s">
        <v>6</v>
      </c>
      <c r="E805" s="5" t="str">
        <f>IF(Table13[[#This Row],[Pre or Post]]="Pre",IF(IF(Table13[[#This Row],[Response]]="Male",0,1)+IF(Table13[[#This Row],[Response]]="Female",0,1)=2,E804,Table13[[#This Row],[Response]]),"")</f>
        <v>Female</v>
      </c>
      <c r="F805" s="1">
        <v>5</v>
      </c>
      <c r="G805" s="1" t="s">
        <v>9</v>
      </c>
      <c r="H805" s="2" t="s">
        <v>8</v>
      </c>
      <c r="I80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06" spans="1:11">
      <c r="A806" s="2" t="s">
        <v>24</v>
      </c>
      <c r="B806" s="2" t="s">
        <v>26</v>
      </c>
      <c r="C806" s="1">
        <v>14</v>
      </c>
      <c r="D806" s="1" t="s">
        <v>6</v>
      </c>
      <c r="E806" s="5" t="str">
        <f>IF(Table13[[#This Row],[Pre or Post]]="Pre",IF(IF(Table13[[#This Row],[Response]]="Male",0,1)+IF(Table13[[#This Row],[Response]]="Female",0,1)=2,E805,Table13[[#This Row],[Response]]),"")</f>
        <v>Female</v>
      </c>
      <c r="F806" s="1">
        <v>6</v>
      </c>
      <c r="G806" s="1" t="s">
        <v>8</v>
      </c>
      <c r="H806" s="2" t="s">
        <v>8</v>
      </c>
      <c r="I80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07" spans="1:11">
      <c r="A807" s="2" t="s">
        <v>24</v>
      </c>
      <c r="B807" s="2" t="s">
        <v>26</v>
      </c>
      <c r="C807" s="1">
        <v>14</v>
      </c>
      <c r="D807" s="1" t="s">
        <v>6</v>
      </c>
      <c r="E807" s="5" t="str">
        <f>IF(Table13[[#This Row],[Pre or Post]]="Pre",IF(IF(Table13[[#This Row],[Response]]="Male",0,1)+IF(Table13[[#This Row],[Response]]="Female",0,1)=2,E806,Table13[[#This Row],[Response]]),"")</f>
        <v>Female</v>
      </c>
      <c r="F807" s="1">
        <v>7</v>
      </c>
      <c r="G807" s="1" t="s">
        <v>8</v>
      </c>
      <c r="H807" s="2" t="s">
        <v>8</v>
      </c>
      <c r="I80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08" spans="1:11">
      <c r="A808" s="2" t="s">
        <v>24</v>
      </c>
      <c r="B808" s="2" t="s">
        <v>26</v>
      </c>
      <c r="C808" s="1">
        <v>14</v>
      </c>
      <c r="D808" s="1" t="s">
        <v>6</v>
      </c>
      <c r="E808" s="5" t="str">
        <f>IF(Table13[[#This Row],[Pre or Post]]="Pre",IF(IF(Table13[[#This Row],[Response]]="Male",0,1)+IF(Table13[[#This Row],[Response]]="Female",0,1)=2,E807,Table13[[#This Row],[Response]]),"")</f>
        <v>Female</v>
      </c>
      <c r="F808" s="1">
        <v>8</v>
      </c>
      <c r="G808" s="1"/>
      <c r="H808" s="2" t="s">
        <v>8</v>
      </c>
      <c r="I80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09" spans="1:11">
      <c r="A809" s="2" t="s">
        <v>24</v>
      </c>
      <c r="B809" s="2" t="s">
        <v>26</v>
      </c>
      <c r="C809" s="1">
        <v>14</v>
      </c>
      <c r="D809" s="1" t="s">
        <v>6</v>
      </c>
      <c r="E809" s="5" t="str">
        <f>IF(Table13[[#This Row],[Pre or Post]]="Pre",IF(IF(Table13[[#This Row],[Response]]="Male",0,1)+IF(Table13[[#This Row],[Response]]="Female",0,1)=2,E808,Table13[[#This Row],[Response]]),"")</f>
        <v>Female</v>
      </c>
      <c r="F809" s="1">
        <v>9</v>
      </c>
      <c r="G809" s="1">
        <v>4</v>
      </c>
      <c r="H809" s="2" t="s">
        <v>8</v>
      </c>
      <c r="I80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10" spans="1:11">
      <c r="A810" s="2" t="s">
        <v>24</v>
      </c>
      <c r="B810" s="2" t="s">
        <v>26</v>
      </c>
      <c r="C810" s="1">
        <v>14</v>
      </c>
      <c r="D810" s="1" t="s">
        <v>6</v>
      </c>
      <c r="E810" s="5" t="str">
        <f>IF(Table13[[#This Row],[Pre or Post]]="Pre",IF(IF(Table13[[#This Row],[Response]]="Male",0,1)+IF(Table13[[#This Row],[Response]]="Female",0,1)=2,E809,Table13[[#This Row],[Response]]),"")</f>
        <v>Female</v>
      </c>
      <c r="F810" s="1">
        <v>10</v>
      </c>
      <c r="G810" s="1">
        <v>3</v>
      </c>
      <c r="H810" s="2" t="s">
        <v>8</v>
      </c>
      <c r="I81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11" spans="1:11">
      <c r="A811" s="2" t="s">
        <v>24</v>
      </c>
      <c r="B811" s="2" t="s">
        <v>26</v>
      </c>
      <c r="C811" s="1">
        <v>14</v>
      </c>
      <c r="D811" s="1" t="s">
        <v>6</v>
      </c>
      <c r="E811" s="5" t="str">
        <f>IF(Table13[[#This Row],[Pre or Post]]="Pre",IF(IF(Table13[[#This Row],[Response]]="Male",0,1)+IF(Table13[[#This Row],[Response]]="Female",0,1)=2,E810,Table13[[#This Row],[Response]]),"")</f>
        <v>Female</v>
      </c>
      <c r="F811" s="1">
        <v>11</v>
      </c>
      <c r="G811" s="1">
        <v>2</v>
      </c>
      <c r="H811" s="2" t="s">
        <v>8</v>
      </c>
      <c r="I81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12" spans="1:11">
      <c r="A812" s="2" t="s">
        <v>24</v>
      </c>
      <c r="B812" s="2" t="s">
        <v>26</v>
      </c>
      <c r="C812" s="1">
        <v>15</v>
      </c>
      <c r="D812" s="1" t="s">
        <v>6</v>
      </c>
      <c r="E812" s="5" t="str">
        <f>IF(Table13[[#This Row],[Pre or Post]]="Pre",IF(IF(Table13[[#This Row],[Response]]="Male",0,1)+IF(Table13[[#This Row],[Response]]="Female",0,1)=2,E811,Table13[[#This Row],[Response]]),"")</f>
        <v>Female</v>
      </c>
      <c r="F812" s="1">
        <v>2</v>
      </c>
      <c r="G812" s="2" t="s">
        <v>14</v>
      </c>
      <c r="H812" s="2" t="s">
        <v>8</v>
      </c>
      <c r="I81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13" spans="1:11">
      <c r="A813" s="2" t="s">
        <v>24</v>
      </c>
      <c r="B813" s="2" t="s">
        <v>26</v>
      </c>
      <c r="C813" s="1">
        <v>15</v>
      </c>
      <c r="D813" s="1" t="s">
        <v>6</v>
      </c>
      <c r="E813" s="5" t="str">
        <f>IF(Table13[[#This Row],[Pre or Post]]="Pre",IF(IF(Table13[[#This Row],[Response]]="Male",0,1)+IF(Table13[[#This Row],[Response]]="Female",0,1)=2,E812,Table13[[#This Row],[Response]]),"")</f>
        <v>Female</v>
      </c>
      <c r="F813" s="1">
        <v>3</v>
      </c>
      <c r="G813" s="1" t="s">
        <v>8</v>
      </c>
      <c r="H813" s="2" t="s">
        <v>8</v>
      </c>
      <c r="I81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14" spans="1:11">
      <c r="A814" s="2" t="s">
        <v>24</v>
      </c>
      <c r="B814" s="2" t="s">
        <v>26</v>
      </c>
      <c r="C814" s="1">
        <v>15</v>
      </c>
      <c r="D814" s="1" t="s">
        <v>6</v>
      </c>
      <c r="E814" s="5" t="str">
        <f>IF(Table13[[#This Row],[Pre or Post]]="Pre",IF(IF(Table13[[#This Row],[Response]]="Male",0,1)+IF(Table13[[#This Row],[Response]]="Female",0,1)=2,E813,Table13[[#This Row],[Response]]),"")</f>
        <v>Female</v>
      </c>
      <c r="F814" s="1">
        <v>4</v>
      </c>
      <c r="G814" s="1" t="s">
        <v>9</v>
      </c>
      <c r="H814" s="2" t="s">
        <v>8</v>
      </c>
      <c r="I81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15" spans="1:11">
      <c r="A815" s="2" t="s">
        <v>24</v>
      </c>
      <c r="B815" s="2" t="s">
        <v>26</v>
      </c>
      <c r="C815" s="1">
        <v>15</v>
      </c>
      <c r="D815" s="1" t="s">
        <v>6</v>
      </c>
      <c r="E815" s="5" t="str">
        <f>IF(Table13[[#This Row],[Pre or Post]]="Pre",IF(IF(Table13[[#This Row],[Response]]="Male",0,1)+IF(Table13[[#This Row],[Response]]="Female",0,1)=2,E814,Table13[[#This Row],[Response]]),"")</f>
        <v>Female</v>
      </c>
      <c r="F815" s="1">
        <v>5</v>
      </c>
      <c r="G815" s="1" t="s">
        <v>8</v>
      </c>
      <c r="H815" s="2" t="s">
        <v>8</v>
      </c>
      <c r="I81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16" spans="1:11">
      <c r="A816" s="2" t="s">
        <v>24</v>
      </c>
      <c r="B816" s="2" t="s">
        <v>26</v>
      </c>
      <c r="C816" s="1">
        <v>15</v>
      </c>
      <c r="D816" s="1" t="s">
        <v>6</v>
      </c>
      <c r="E816" s="5" t="str">
        <f>IF(Table13[[#This Row],[Pre or Post]]="Pre",IF(IF(Table13[[#This Row],[Response]]="Male",0,1)+IF(Table13[[#This Row],[Response]]="Female",0,1)=2,E815,Table13[[#This Row],[Response]]),"")</f>
        <v>Female</v>
      </c>
      <c r="F816" s="1">
        <v>6</v>
      </c>
      <c r="G816" s="1" t="s">
        <v>8</v>
      </c>
      <c r="H816" s="2" t="s">
        <v>8</v>
      </c>
      <c r="I81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17" spans="1:11">
      <c r="A817" s="2" t="s">
        <v>24</v>
      </c>
      <c r="B817" s="2" t="s">
        <v>26</v>
      </c>
      <c r="C817" s="1">
        <v>15</v>
      </c>
      <c r="D817" s="1" t="s">
        <v>6</v>
      </c>
      <c r="E817" s="5" t="str">
        <f>IF(Table13[[#This Row],[Pre or Post]]="Pre",IF(IF(Table13[[#This Row],[Response]]="Male",0,1)+IF(Table13[[#This Row],[Response]]="Female",0,1)=2,E816,Table13[[#This Row],[Response]]),"")</f>
        <v>Female</v>
      </c>
      <c r="F817" s="1">
        <v>7</v>
      </c>
      <c r="G817" s="1" t="s">
        <v>8</v>
      </c>
      <c r="H817" s="2" t="s">
        <v>8</v>
      </c>
      <c r="I81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18" spans="1:11">
      <c r="A818" s="2" t="s">
        <v>24</v>
      </c>
      <c r="B818" s="2" t="s">
        <v>26</v>
      </c>
      <c r="C818" s="1">
        <v>15</v>
      </c>
      <c r="D818" s="1" t="s">
        <v>6</v>
      </c>
      <c r="E818" s="5" t="str">
        <f>IF(Table13[[#This Row],[Pre or Post]]="Pre",IF(IF(Table13[[#This Row],[Response]]="Male",0,1)+IF(Table13[[#This Row],[Response]]="Female",0,1)=2,E817,Table13[[#This Row],[Response]]),"")</f>
        <v>Female</v>
      </c>
      <c r="F818" s="1">
        <v>8</v>
      </c>
      <c r="G818" s="1"/>
      <c r="H818" s="2" t="s">
        <v>8</v>
      </c>
      <c r="I81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19" spans="1:11">
      <c r="A819" s="2" t="s">
        <v>24</v>
      </c>
      <c r="B819" s="2" t="s">
        <v>26</v>
      </c>
      <c r="C819" s="1">
        <v>15</v>
      </c>
      <c r="D819" s="1" t="s">
        <v>6</v>
      </c>
      <c r="E819" s="5" t="str">
        <f>IF(Table13[[#This Row],[Pre or Post]]="Pre",IF(IF(Table13[[#This Row],[Response]]="Male",0,1)+IF(Table13[[#This Row],[Response]]="Female",0,1)=2,E818,Table13[[#This Row],[Response]]),"")</f>
        <v>Female</v>
      </c>
      <c r="F819" s="1">
        <v>9</v>
      </c>
      <c r="G819" s="1">
        <v>3</v>
      </c>
      <c r="H819" s="2" t="s">
        <v>8</v>
      </c>
      <c r="I81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20" spans="1:11">
      <c r="A820" s="2" t="s">
        <v>24</v>
      </c>
      <c r="B820" s="2" t="s">
        <v>26</v>
      </c>
      <c r="C820" s="1">
        <v>15</v>
      </c>
      <c r="D820" s="1" t="s">
        <v>6</v>
      </c>
      <c r="E820" s="5" t="str">
        <f>IF(Table13[[#This Row],[Pre or Post]]="Pre",IF(IF(Table13[[#This Row],[Response]]="Male",0,1)+IF(Table13[[#This Row],[Response]]="Female",0,1)=2,E819,Table13[[#This Row],[Response]]),"")</f>
        <v>Female</v>
      </c>
      <c r="F820" s="1">
        <v>10</v>
      </c>
      <c r="G820" s="1">
        <v>4</v>
      </c>
      <c r="H820" s="2" t="s">
        <v>8</v>
      </c>
      <c r="I82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21" spans="1:11">
      <c r="A821" s="2" t="s">
        <v>24</v>
      </c>
      <c r="B821" s="2" t="s">
        <v>26</v>
      </c>
      <c r="C821" s="1">
        <v>15</v>
      </c>
      <c r="D821" s="1" t="s">
        <v>6</v>
      </c>
      <c r="E821" s="5" t="str">
        <f>IF(Table13[[#This Row],[Pre or Post]]="Pre",IF(IF(Table13[[#This Row],[Response]]="Male",0,1)+IF(Table13[[#This Row],[Response]]="Female",0,1)=2,E820,Table13[[#This Row],[Response]]),"")</f>
        <v>Female</v>
      </c>
      <c r="F821" s="1">
        <v>11</v>
      </c>
      <c r="G821" s="1">
        <v>3</v>
      </c>
      <c r="H821" s="2" t="s">
        <v>8</v>
      </c>
      <c r="I82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22" spans="1:11">
      <c r="A822" s="2" t="s">
        <v>24</v>
      </c>
      <c r="B822" s="2" t="s">
        <v>26</v>
      </c>
      <c r="C822" s="1">
        <v>1</v>
      </c>
      <c r="D822" s="1" t="s">
        <v>16</v>
      </c>
      <c r="E822" s="5" t="str">
        <f>IF(Table13[[#This Row],[Pre or Post]]="Pre",IF(IF(Table13[[#This Row],[Response]]="Male",0,1)+IF(Table13[[#This Row],[Response]]="Female",0,1)=2,E821,Table13[[#This Row],[Response]]),"")</f>
        <v/>
      </c>
      <c r="F822" s="1">
        <v>2</v>
      </c>
      <c r="G822" s="1">
        <v>3</v>
      </c>
      <c r="H822" s="2" t="s">
        <v>8</v>
      </c>
      <c r="I82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23" spans="1:11">
      <c r="A823" s="2" t="s">
        <v>24</v>
      </c>
      <c r="B823" s="2" t="s">
        <v>26</v>
      </c>
      <c r="C823" s="1">
        <v>1</v>
      </c>
      <c r="D823" s="1" t="s">
        <v>16</v>
      </c>
      <c r="E823" s="5" t="str">
        <f>IF(Table13[[#This Row],[Pre or Post]]="Pre",IF(IF(Table13[[#This Row],[Response]]="Male",0,1)+IF(Table13[[#This Row],[Response]]="Female",0,1)=2,E822,Table13[[#This Row],[Response]]),"")</f>
        <v/>
      </c>
      <c r="F823" s="1">
        <v>3</v>
      </c>
      <c r="G823" s="1">
        <v>2</v>
      </c>
      <c r="H823" s="2" t="s">
        <v>8</v>
      </c>
      <c r="I82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24" spans="1:11">
      <c r="A824" s="2" t="s">
        <v>24</v>
      </c>
      <c r="B824" s="2" t="s">
        <v>26</v>
      </c>
      <c r="C824" s="1">
        <v>1</v>
      </c>
      <c r="D824" s="1" t="s">
        <v>16</v>
      </c>
      <c r="E824" s="5" t="str">
        <f>IF(Table13[[#This Row],[Pre or Post]]="Pre",IF(IF(Table13[[#This Row],[Response]]="Male",0,1)+IF(Table13[[#This Row],[Response]]="Female",0,1)=2,E823,Table13[[#This Row],[Response]]),"")</f>
        <v/>
      </c>
      <c r="F824" s="1">
        <v>4</v>
      </c>
      <c r="G824" s="1">
        <v>3</v>
      </c>
      <c r="H824" s="2" t="s">
        <v>8</v>
      </c>
      <c r="I82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25" spans="1:11">
      <c r="A825" s="2" t="s">
        <v>24</v>
      </c>
      <c r="B825" s="2" t="s">
        <v>26</v>
      </c>
      <c r="C825" s="1">
        <v>1</v>
      </c>
      <c r="D825" s="1" t="s">
        <v>16</v>
      </c>
      <c r="E825" s="5" t="str">
        <f>IF(Table13[[#This Row],[Pre or Post]]="Pre",IF(IF(Table13[[#This Row],[Response]]="Male",0,1)+IF(Table13[[#This Row],[Response]]="Female",0,1)=2,E824,Table13[[#This Row],[Response]]),"")</f>
        <v/>
      </c>
      <c r="F825" s="1">
        <v>5</v>
      </c>
      <c r="G825" s="1">
        <v>4</v>
      </c>
      <c r="H825" s="2" t="s">
        <v>8</v>
      </c>
      <c r="I82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26" spans="1:11">
      <c r="A826" s="2" t="s">
        <v>24</v>
      </c>
      <c r="B826" s="2" t="s">
        <v>26</v>
      </c>
      <c r="C826" s="1">
        <v>1</v>
      </c>
      <c r="D826" s="1" t="s">
        <v>16</v>
      </c>
      <c r="E826" s="5" t="str">
        <f>IF(Table13[[#This Row],[Pre or Post]]="Pre",IF(IF(Table13[[#This Row],[Response]]="Male",0,1)+IF(Table13[[#This Row],[Response]]="Female",0,1)=2,E825,Table13[[#This Row],[Response]]),"")</f>
        <v/>
      </c>
      <c r="F826" s="1">
        <v>6</v>
      </c>
      <c r="G826" s="1">
        <v>3</v>
      </c>
      <c r="H826" s="2" t="s">
        <v>8</v>
      </c>
      <c r="I82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27" spans="1:11">
      <c r="A827" s="2" t="s">
        <v>24</v>
      </c>
      <c r="B827" s="2" t="s">
        <v>26</v>
      </c>
      <c r="C827" s="1">
        <v>1</v>
      </c>
      <c r="D827" s="1" t="s">
        <v>16</v>
      </c>
      <c r="E827" s="5" t="str">
        <f>IF(Table13[[#This Row],[Pre or Post]]="Pre",IF(IF(Table13[[#This Row],[Response]]="Male",0,1)+IF(Table13[[#This Row],[Response]]="Female",0,1)=2,E826,Table13[[#This Row],[Response]]),"")</f>
        <v/>
      </c>
      <c r="F827" s="1">
        <v>7</v>
      </c>
      <c r="G827" s="1">
        <v>4</v>
      </c>
      <c r="H827" s="2" t="s">
        <v>8</v>
      </c>
      <c r="I82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28" spans="1:11">
      <c r="A828" s="2" t="s">
        <v>24</v>
      </c>
      <c r="B828" s="2" t="s">
        <v>26</v>
      </c>
      <c r="C828" s="1">
        <v>1</v>
      </c>
      <c r="D828" s="1" t="s">
        <v>16</v>
      </c>
      <c r="E828" s="5" t="str">
        <f>IF(Table13[[#This Row],[Pre or Post]]="Pre",IF(IF(Table13[[#This Row],[Response]]="Male",0,1)+IF(Table13[[#This Row],[Response]]="Female",0,1)=2,E827,Table13[[#This Row],[Response]]),"")</f>
        <v/>
      </c>
      <c r="F828" s="1">
        <v>8</v>
      </c>
      <c r="G828" s="1" t="s">
        <v>8</v>
      </c>
      <c r="H828" s="2" t="s">
        <v>8</v>
      </c>
      <c r="I82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29" spans="1:11">
      <c r="A829" s="2" t="s">
        <v>24</v>
      </c>
      <c r="B829" s="2" t="s">
        <v>26</v>
      </c>
      <c r="C829" s="1">
        <v>1</v>
      </c>
      <c r="D829" s="1" t="s">
        <v>16</v>
      </c>
      <c r="E829" s="5" t="str">
        <f>IF(Table13[[#This Row],[Pre or Post]]="Pre",IF(IF(Table13[[#This Row],[Response]]="Male",0,1)+IF(Table13[[#This Row],[Response]]="Female",0,1)=2,E828,Table13[[#This Row],[Response]]),"")</f>
        <v/>
      </c>
      <c r="F829" s="1">
        <v>9</v>
      </c>
      <c r="G829" s="1" t="s">
        <v>22</v>
      </c>
      <c r="H829" s="2" t="s">
        <v>8</v>
      </c>
      <c r="I82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30" spans="1:11">
      <c r="A830" s="2" t="s">
        <v>24</v>
      </c>
      <c r="B830" s="2" t="s">
        <v>26</v>
      </c>
      <c r="C830" s="1">
        <v>1</v>
      </c>
      <c r="D830" s="1" t="s">
        <v>16</v>
      </c>
      <c r="E830" s="5" t="str">
        <f>IF(Table13[[#This Row],[Pre or Post]]="Pre",IF(IF(Table13[[#This Row],[Response]]="Male",0,1)+IF(Table13[[#This Row],[Response]]="Female",0,1)=2,E829,Table13[[#This Row],[Response]]),"")</f>
        <v/>
      </c>
      <c r="F830" s="1">
        <v>10</v>
      </c>
      <c r="G830" s="1" t="s">
        <v>19</v>
      </c>
      <c r="H830" s="2" t="s">
        <v>8</v>
      </c>
      <c r="I83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31" spans="1:11">
      <c r="A831" s="2" t="s">
        <v>24</v>
      </c>
      <c r="B831" s="2" t="s">
        <v>26</v>
      </c>
      <c r="C831" s="1">
        <v>1</v>
      </c>
      <c r="D831" s="1" t="s">
        <v>16</v>
      </c>
      <c r="E831" s="5" t="str">
        <f>IF(Table13[[#This Row],[Pre or Post]]="Pre",IF(IF(Table13[[#This Row],[Response]]="Male",0,1)+IF(Table13[[#This Row],[Response]]="Female",0,1)=2,E830,Table13[[#This Row],[Response]]),"")</f>
        <v/>
      </c>
      <c r="F831" s="1">
        <v>11</v>
      </c>
      <c r="G831" s="1" t="s">
        <v>9</v>
      </c>
      <c r="H831" s="2" t="s">
        <v>8</v>
      </c>
      <c r="I83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32" spans="1:11">
      <c r="A832" s="2" t="s">
        <v>24</v>
      </c>
      <c r="B832" s="2" t="s">
        <v>26</v>
      </c>
      <c r="C832" s="1">
        <v>2</v>
      </c>
      <c r="D832" s="1" t="s">
        <v>16</v>
      </c>
      <c r="E832" s="5" t="str">
        <f>IF(Table13[[#This Row],[Pre or Post]]="Pre",IF(IF(Table13[[#This Row],[Response]]="Male",0,1)+IF(Table13[[#This Row],[Response]]="Female",0,1)=2,E831,Table13[[#This Row],[Response]]),"")</f>
        <v/>
      </c>
      <c r="F832" s="1">
        <v>2</v>
      </c>
      <c r="G832" s="1">
        <v>2</v>
      </c>
      <c r="H832" s="2" t="s">
        <v>8</v>
      </c>
      <c r="I83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33" spans="1:11">
      <c r="A833" s="2" t="s">
        <v>24</v>
      </c>
      <c r="B833" s="2" t="s">
        <v>26</v>
      </c>
      <c r="C833" s="1">
        <v>2</v>
      </c>
      <c r="D833" s="1" t="s">
        <v>16</v>
      </c>
      <c r="E833" s="5" t="str">
        <f>IF(Table13[[#This Row],[Pre or Post]]="Pre",IF(IF(Table13[[#This Row],[Response]]="Male",0,1)+IF(Table13[[#This Row],[Response]]="Female",0,1)=2,E832,Table13[[#This Row],[Response]]),"")</f>
        <v/>
      </c>
      <c r="F833" s="1">
        <v>3</v>
      </c>
      <c r="G833" s="1">
        <v>2</v>
      </c>
      <c r="H833" s="2" t="s">
        <v>8</v>
      </c>
      <c r="I83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34" spans="1:11">
      <c r="A834" s="2" t="s">
        <v>24</v>
      </c>
      <c r="B834" s="2" t="s">
        <v>26</v>
      </c>
      <c r="C834" s="1">
        <v>2</v>
      </c>
      <c r="D834" s="1" t="s">
        <v>16</v>
      </c>
      <c r="E834" s="5" t="str">
        <f>IF(Table13[[#This Row],[Pre or Post]]="Pre",IF(IF(Table13[[#This Row],[Response]]="Male",0,1)+IF(Table13[[#This Row],[Response]]="Female",0,1)=2,E833,Table13[[#This Row],[Response]]),"")</f>
        <v/>
      </c>
      <c r="F834" s="1">
        <v>4</v>
      </c>
      <c r="G834" s="1">
        <v>1</v>
      </c>
      <c r="H834" s="2" t="s">
        <v>8</v>
      </c>
      <c r="I83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35" spans="1:11">
      <c r="A835" s="2" t="s">
        <v>24</v>
      </c>
      <c r="B835" s="2" t="s">
        <v>26</v>
      </c>
      <c r="C835" s="1">
        <v>2</v>
      </c>
      <c r="D835" s="1" t="s">
        <v>16</v>
      </c>
      <c r="E835" s="5" t="str">
        <f>IF(Table13[[#This Row],[Pre or Post]]="Pre",IF(IF(Table13[[#This Row],[Response]]="Male",0,1)+IF(Table13[[#This Row],[Response]]="Female",0,1)=2,E834,Table13[[#This Row],[Response]]),"")</f>
        <v/>
      </c>
      <c r="F835" s="1">
        <v>5</v>
      </c>
      <c r="G835" s="1">
        <v>2</v>
      </c>
      <c r="H835" s="2" t="s">
        <v>8</v>
      </c>
      <c r="I83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36" spans="1:11">
      <c r="A836" s="2" t="s">
        <v>24</v>
      </c>
      <c r="B836" s="2" t="s">
        <v>26</v>
      </c>
      <c r="C836" s="1">
        <v>2</v>
      </c>
      <c r="D836" s="1" t="s">
        <v>16</v>
      </c>
      <c r="E836" s="5" t="str">
        <f>IF(Table13[[#This Row],[Pre or Post]]="Pre",IF(IF(Table13[[#This Row],[Response]]="Male",0,1)+IF(Table13[[#This Row],[Response]]="Female",0,1)=2,E835,Table13[[#This Row],[Response]]),"")</f>
        <v/>
      </c>
      <c r="F836" s="1">
        <v>6</v>
      </c>
      <c r="G836" s="1">
        <v>1</v>
      </c>
      <c r="H836" s="2" t="s">
        <v>8</v>
      </c>
      <c r="I83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37" spans="1:11">
      <c r="A837" s="2" t="s">
        <v>24</v>
      </c>
      <c r="B837" s="2" t="s">
        <v>26</v>
      </c>
      <c r="C837" s="1">
        <v>2</v>
      </c>
      <c r="D837" s="1" t="s">
        <v>16</v>
      </c>
      <c r="E837" s="5" t="str">
        <f>IF(Table13[[#This Row],[Pre or Post]]="Pre",IF(IF(Table13[[#This Row],[Response]]="Male",0,1)+IF(Table13[[#This Row],[Response]]="Female",0,1)=2,E836,Table13[[#This Row],[Response]]),"")</f>
        <v/>
      </c>
      <c r="F837" s="1">
        <v>7</v>
      </c>
      <c r="G837" s="1">
        <v>1</v>
      </c>
      <c r="H837" s="2" t="s">
        <v>8</v>
      </c>
      <c r="I83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38" spans="1:11">
      <c r="A838" s="2" t="s">
        <v>24</v>
      </c>
      <c r="B838" s="2" t="s">
        <v>26</v>
      </c>
      <c r="C838" s="1">
        <v>2</v>
      </c>
      <c r="D838" s="1" t="s">
        <v>16</v>
      </c>
      <c r="E838" s="5" t="str">
        <f>IF(Table13[[#This Row],[Pre or Post]]="Pre",IF(IF(Table13[[#This Row],[Response]]="Male",0,1)+IF(Table13[[#This Row],[Response]]="Female",0,1)=2,E837,Table13[[#This Row],[Response]]),"")</f>
        <v/>
      </c>
      <c r="F838" s="1">
        <v>8</v>
      </c>
      <c r="G838" s="1" t="s">
        <v>9</v>
      </c>
      <c r="H838" s="2" t="s">
        <v>8</v>
      </c>
      <c r="I83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39" spans="1:11">
      <c r="A839" s="2" t="s">
        <v>24</v>
      </c>
      <c r="B839" s="2" t="s">
        <v>26</v>
      </c>
      <c r="C839" s="1">
        <v>2</v>
      </c>
      <c r="D839" s="1" t="s">
        <v>16</v>
      </c>
      <c r="E839" s="5" t="str">
        <f>IF(Table13[[#This Row],[Pre or Post]]="Pre",IF(IF(Table13[[#This Row],[Response]]="Male",0,1)+IF(Table13[[#This Row],[Response]]="Female",0,1)=2,E838,Table13[[#This Row],[Response]]),"")</f>
        <v/>
      </c>
      <c r="F839" s="1">
        <v>9</v>
      </c>
      <c r="G839" s="1" t="s">
        <v>27</v>
      </c>
      <c r="H839" s="2" t="s">
        <v>8</v>
      </c>
      <c r="I83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40" spans="1:11">
      <c r="A840" s="2" t="s">
        <v>24</v>
      </c>
      <c r="B840" s="2" t="s">
        <v>26</v>
      </c>
      <c r="C840" s="1">
        <v>2</v>
      </c>
      <c r="D840" s="1" t="s">
        <v>16</v>
      </c>
      <c r="E840" s="5" t="str">
        <f>IF(Table13[[#This Row],[Pre or Post]]="Pre",IF(IF(Table13[[#This Row],[Response]]="Male",0,1)+IF(Table13[[#This Row],[Response]]="Female",0,1)=2,E839,Table13[[#This Row],[Response]]),"")</f>
        <v/>
      </c>
      <c r="F840" s="1">
        <v>10</v>
      </c>
      <c r="G840" s="1" t="s">
        <v>19</v>
      </c>
      <c r="H840" s="2" t="s">
        <v>8</v>
      </c>
      <c r="I84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41" spans="1:11">
      <c r="A841" s="2" t="s">
        <v>24</v>
      </c>
      <c r="B841" s="2" t="s">
        <v>26</v>
      </c>
      <c r="C841" s="1">
        <v>2</v>
      </c>
      <c r="D841" s="1" t="s">
        <v>16</v>
      </c>
      <c r="E841" s="5" t="str">
        <f>IF(Table13[[#This Row],[Pre or Post]]="Pre",IF(IF(Table13[[#This Row],[Response]]="Male",0,1)+IF(Table13[[#This Row],[Response]]="Female",0,1)=2,E840,Table13[[#This Row],[Response]]),"")</f>
        <v/>
      </c>
      <c r="F841" s="1">
        <v>11</v>
      </c>
      <c r="G841" s="1"/>
      <c r="H841" s="2" t="s">
        <v>8</v>
      </c>
      <c r="I84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42" spans="1:11">
      <c r="A842" s="2" t="s">
        <v>24</v>
      </c>
      <c r="B842" s="2" t="s">
        <v>26</v>
      </c>
      <c r="C842" s="1">
        <v>3</v>
      </c>
      <c r="D842" s="1" t="s">
        <v>16</v>
      </c>
      <c r="E842" s="5" t="str">
        <f>IF(Table13[[#This Row],[Pre or Post]]="Pre",IF(IF(Table13[[#This Row],[Response]]="Male",0,1)+IF(Table13[[#This Row],[Response]]="Female",0,1)=2,E841,Table13[[#This Row],[Response]]),"")</f>
        <v/>
      </c>
      <c r="F842" s="1">
        <v>2</v>
      </c>
      <c r="G842" s="1">
        <v>3</v>
      </c>
      <c r="H842" s="2" t="s">
        <v>8</v>
      </c>
      <c r="I84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43" spans="1:11">
      <c r="A843" s="2" t="s">
        <v>24</v>
      </c>
      <c r="B843" s="2" t="s">
        <v>26</v>
      </c>
      <c r="C843" s="1">
        <v>3</v>
      </c>
      <c r="D843" s="1" t="s">
        <v>16</v>
      </c>
      <c r="E843" s="5" t="str">
        <f>IF(Table13[[#This Row],[Pre or Post]]="Pre",IF(IF(Table13[[#This Row],[Response]]="Male",0,1)+IF(Table13[[#This Row],[Response]]="Female",0,1)=2,E842,Table13[[#This Row],[Response]]),"")</f>
        <v/>
      </c>
      <c r="F843" s="1">
        <v>3</v>
      </c>
      <c r="G843" s="1">
        <v>2</v>
      </c>
      <c r="H843" s="2" t="s">
        <v>8</v>
      </c>
      <c r="I84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44" spans="1:11">
      <c r="A844" s="2" t="s">
        <v>24</v>
      </c>
      <c r="B844" s="2" t="s">
        <v>26</v>
      </c>
      <c r="C844" s="1">
        <v>3</v>
      </c>
      <c r="D844" s="1" t="s">
        <v>16</v>
      </c>
      <c r="E844" s="5" t="str">
        <f>IF(Table13[[#This Row],[Pre or Post]]="Pre",IF(IF(Table13[[#This Row],[Response]]="Male",0,1)+IF(Table13[[#This Row],[Response]]="Female",0,1)=2,E843,Table13[[#This Row],[Response]]),"")</f>
        <v/>
      </c>
      <c r="F844" s="1">
        <v>4</v>
      </c>
      <c r="G844" s="1">
        <v>2</v>
      </c>
      <c r="H844" s="2" t="s">
        <v>8</v>
      </c>
      <c r="I84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45" spans="1:11">
      <c r="A845" s="2" t="s">
        <v>24</v>
      </c>
      <c r="B845" s="2" t="s">
        <v>26</v>
      </c>
      <c r="C845" s="1">
        <v>3</v>
      </c>
      <c r="D845" s="1" t="s">
        <v>16</v>
      </c>
      <c r="E845" s="5" t="str">
        <f>IF(Table13[[#This Row],[Pre or Post]]="Pre",IF(IF(Table13[[#This Row],[Response]]="Male",0,1)+IF(Table13[[#This Row],[Response]]="Female",0,1)=2,E844,Table13[[#This Row],[Response]]),"")</f>
        <v/>
      </c>
      <c r="F845" s="1">
        <v>5</v>
      </c>
      <c r="G845" s="1">
        <v>2</v>
      </c>
      <c r="H845" s="2" t="s">
        <v>8</v>
      </c>
      <c r="I84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46" spans="1:11">
      <c r="A846" s="2" t="s">
        <v>24</v>
      </c>
      <c r="B846" s="2" t="s">
        <v>26</v>
      </c>
      <c r="C846" s="1">
        <v>3</v>
      </c>
      <c r="D846" s="1" t="s">
        <v>16</v>
      </c>
      <c r="E846" s="5" t="str">
        <f>IF(Table13[[#This Row],[Pre or Post]]="Pre",IF(IF(Table13[[#This Row],[Response]]="Male",0,1)+IF(Table13[[#This Row],[Response]]="Female",0,1)=2,E845,Table13[[#This Row],[Response]]),"")</f>
        <v/>
      </c>
      <c r="F846" s="1">
        <v>6</v>
      </c>
      <c r="G846" s="1">
        <v>4</v>
      </c>
      <c r="H846" s="2" t="s">
        <v>8</v>
      </c>
      <c r="I84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47" spans="1:11">
      <c r="A847" s="2" t="s">
        <v>24</v>
      </c>
      <c r="B847" s="2" t="s">
        <v>26</v>
      </c>
      <c r="C847" s="1">
        <v>3</v>
      </c>
      <c r="D847" s="1" t="s">
        <v>16</v>
      </c>
      <c r="E847" s="5" t="str">
        <f>IF(Table13[[#This Row],[Pre or Post]]="Pre",IF(IF(Table13[[#This Row],[Response]]="Male",0,1)+IF(Table13[[#This Row],[Response]]="Female",0,1)=2,E846,Table13[[#This Row],[Response]]),"")</f>
        <v/>
      </c>
      <c r="F847" s="1">
        <v>7</v>
      </c>
      <c r="G847" s="1">
        <v>5</v>
      </c>
      <c r="H847" s="2" t="s">
        <v>8</v>
      </c>
      <c r="I84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48" spans="1:11">
      <c r="A848" s="2" t="s">
        <v>24</v>
      </c>
      <c r="B848" s="2" t="s">
        <v>26</v>
      </c>
      <c r="C848" s="1">
        <v>3</v>
      </c>
      <c r="D848" s="1" t="s">
        <v>16</v>
      </c>
      <c r="E848" s="5" t="str">
        <f>IF(Table13[[#This Row],[Pre or Post]]="Pre",IF(IF(Table13[[#This Row],[Response]]="Male",0,1)+IF(Table13[[#This Row],[Response]]="Female",0,1)=2,E847,Table13[[#This Row],[Response]]),"")</f>
        <v/>
      </c>
      <c r="F848" s="1">
        <v>8</v>
      </c>
      <c r="G848" s="1" t="s">
        <v>9</v>
      </c>
      <c r="H848" s="2" t="s">
        <v>8</v>
      </c>
      <c r="I84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49" spans="1:11">
      <c r="A849" s="2" t="s">
        <v>24</v>
      </c>
      <c r="B849" s="2" t="s">
        <v>26</v>
      </c>
      <c r="C849" s="1">
        <v>3</v>
      </c>
      <c r="D849" s="1" t="s">
        <v>16</v>
      </c>
      <c r="E849" s="5" t="str">
        <f>IF(Table13[[#This Row],[Pre or Post]]="Pre",IF(IF(Table13[[#This Row],[Response]]="Male",0,1)+IF(Table13[[#This Row],[Response]]="Female",0,1)=2,E848,Table13[[#This Row],[Response]]),"")</f>
        <v/>
      </c>
      <c r="F849" s="1">
        <v>9</v>
      </c>
      <c r="G849" s="1" t="s">
        <v>17</v>
      </c>
      <c r="H849" s="2" t="s">
        <v>8</v>
      </c>
      <c r="I84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50" spans="1:11">
      <c r="A850" s="2" t="s">
        <v>24</v>
      </c>
      <c r="B850" s="2" t="s">
        <v>26</v>
      </c>
      <c r="C850" s="1">
        <v>3</v>
      </c>
      <c r="D850" s="1" t="s">
        <v>16</v>
      </c>
      <c r="E850" s="5" t="str">
        <f>IF(Table13[[#This Row],[Pre or Post]]="Pre",IF(IF(Table13[[#This Row],[Response]]="Male",0,1)+IF(Table13[[#This Row],[Response]]="Female",0,1)=2,E849,Table13[[#This Row],[Response]]),"")</f>
        <v/>
      </c>
      <c r="F850" s="1">
        <v>10</v>
      </c>
      <c r="G850" s="1" t="s">
        <v>19</v>
      </c>
      <c r="H850" s="2" t="s">
        <v>8</v>
      </c>
      <c r="I85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51" spans="1:11">
      <c r="A851" s="2" t="s">
        <v>24</v>
      </c>
      <c r="B851" s="2" t="s">
        <v>26</v>
      </c>
      <c r="C851" s="1">
        <v>3</v>
      </c>
      <c r="D851" s="1" t="s">
        <v>16</v>
      </c>
      <c r="E851" s="5" t="str">
        <f>IF(Table13[[#This Row],[Pre or Post]]="Pre",IF(IF(Table13[[#This Row],[Response]]="Male",0,1)+IF(Table13[[#This Row],[Response]]="Female",0,1)=2,E850,Table13[[#This Row],[Response]]),"")</f>
        <v/>
      </c>
      <c r="F851" s="1">
        <v>11</v>
      </c>
      <c r="G851" s="1" t="s">
        <v>9</v>
      </c>
      <c r="H851" s="2" t="s">
        <v>8</v>
      </c>
      <c r="I85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52" spans="1:11">
      <c r="A852" s="2" t="s">
        <v>24</v>
      </c>
      <c r="B852" s="2" t="s">
        <v>26</v>
      </c>
      <c r="C852" s="1">
        <v>4</v>
      </c>
      <c r="D852" s="1" t="s">
        <v>16</v>
      </c>
      <c r="E852" s="5" t="str">
        <f>IF(Table13[[#This Row],[Pre or Post]]="Pre",IF(IF(Table13[[#This Row],[Response]]="Male",0,1)+IF(Table13[[#This Row],[Response]]="Female",0,1)=2,E851,Table13[[#This Row],[Response]]),"")</f>
        <v/>
      </c>
      <c r="F852" s="1">
        <v>2</v>
      </c>
      <c r="G852" s="1">
        <v>3</v>
      </c>
      <c r="H852" s="2" t="s">
        <v>8</v>
      </c>
      <c r="I85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53" spans="1:11">
      <c r="A853" s="2" t="s">
        <v>24</v>
      </c>
      <c r="B853" s="2" t="s">
        <v>26</v>
      </c>
      <c r="C853" s="1">
        <v>4</v>
      </c>
      <c r="D853" s="1" t="s">
        <v>16</v>
      </c>
      <c r="E853" s="5" t="str">
        <f>IF(Table13[[#This Row],[Pre or Post]]="Pre",IF(IF(Table13[[#This Row],[Response]]="Male",0,1)+IF(Table13[[#This Row],[Response]]="Female",0,1)=2,E852,Table13[[#This Row],[Response]]),"")</f>
        <v/>
      </c>
      <c r="F853" s="1">
        <v>3</v>
      </c>
      <c r="G853" s="1">
        <v>3</v>
      </c>
      <c r="H853" s="2" t="s">
        <v>8</v>
      </c>
      <c r="I85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54" spans="1:11">
      <c r="A854" s="2" t="s">
        <v>24</v>
      </c>
      <c r="B854" s="2" t="s">
        <v>26</v>
      </c>
      <c r="C854" s="1">
        <v>4</v>
      </c>
      <c r="D854" s="1" t="s">
        <v>16</v>
      </c>
      <c r="E854" s="5" t="str">
        <f>IF(Table13[[#This Row],[Pre or Post]]="Pre",IF(IF(Table13[[#This Row],[Response]]="Male",0,1)+IF(Table13[[#This Row],[Response]]="Female",0,1)=2,E853,Table13[[#This Row],[Response]]),"")</f>
        <v/>
      </c>
      <c r="F854" s="1">
        <v>4</v>
      </c>
      <c r="G854" s="1">
        <v>1</v>
      </c>
      <c r="H854" s="2" t="s">
        <v>8</v>
      </c>
      <c r="I85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55" spans="1:11">
      <c r="A855" s="2" t="s">
        <v>24</v>
      </c>
      <c r="B855" s="2" t="s">
        <v>26</v>
      </c>
      <c r="C855" s="1">
        <v>4</v>
      </c>
      <c r="D855" s="1" t="s">
        <v>16</v>
      </c>
      <c r="E855" s="5" t="str">
        <f>IF(Table13[[#This Row],[Pre or Post]]="Pre",IF(IF(Table13[[#This Row],[Response]]="Male",0,1)+IF(Table13[[#This Row],[Response]]="Female",0,1)=2,E854,Table13[[#This Row],[Response]]),"")</f>
        <v/>
      </c>
      <c r="F855" s="1">
        <v>5</v>
      </c>
      <c r="G855" s="1">
        <v>4</v>
      </c>
      <c r="H855" s="2" t="s">
        <v>8</v>
      </c>
      <c r="I85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56" spans="1:11">
      <c r="A856" s="2" t="s">
        <v>24</v>
      </c>
      <c r="B856" s="2" t="s">
        <v>26</v>
      </c>
      <c r="C856" s="1">
        <v>4</v>
      </c>
      <c r="D856" s="1" t="s">
        <v>16</v>
      </c>
      <c r="E856" s="5" t="str">
        <f>IF(Table13[[#This Row],[Pre or Post]]="Pre",IF(IF(Table13[[#This Row],[Response]]="Male",0,1)+IF(Table13[[#This Row],[Response]]="Female",0,1)=2,E855,Table13[[#This Row],[Response]]),"")</f>
        <v/>
      </c>
      <c r="F856" s="1">
        <v>6</v>
      </c>
      <c r="G856" s="1">
        <v>1</v>
      </c>
      <c r="H856" s="2" t="s">
        <v>8</v>
      </c>
      <c r="I85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57" spans="1:11">
      <c r="A857" s="2" t="s">
        <v>24</v>
      </c>
      <c r="B857" s="2" t="s">
        <v>26</v>
      </c>
      <c r="C857" s="1">
        <v>4</v>
      </c>
      <c r="D857" s="1" t="s">
        <v>16</v>
      </c>
      <c r="E857" s="5" t="str">
        <f>IF(Table13[[#This Row],[Pre or Post]]="Pre",IF(IF(Table13[[#This Row],[Response]]="Male",0,1)+IF(Table13[[#This Row],[Response]]="Female",0,1)=2,E856,Table13[[#This Row],[Response]]),"")</f>
        <v/>
      </c>
      <c r="F857" s="1">
        <v>7</v>
      </c>
      <c r="G857" s="1">
        <v>1</v>
      </c>
      <c r="H857" s="2" t="s">
        <v>8</v>
      </c>
      <c r="I85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58" spans="1:11">
      <c r="A858" s="2" t="s">
        <v>24</v>
      </c>
      <c r="B858" s="2" t="s">
        <v>26</v>
      </c>
      <c r="C858" s="1">
        <v>4</v>
      </c>
      <c r="D858" s="1" t="s">
        <v>16</v>
      </c>
      <c r="E858" s="5" t="str">
        <f>IF(Table13[[#This Row],[Pre or Post]]="Pre",IF(IF(Table13[[#This Row],[Response]]="Male",0,1)+IF(Table13[[#This Row],[Response]]="Female",0,1)=2,E857,Table13[[#This Row],[Response]]),"")</f>
        <v/>
      </c>
      <c r="F858" s="1">
        <v>8</v>
      </c>
      <c r="G858" s="1" t="s">
        <v>9</v>
      </c>
      <c r="H858" s="2" t="s">
        <v>8</v>
      </c>
      <c r="I85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59" spans="1:11">
      <c r="A859" s="2" t="s">
        <v>24</v>
      </c>
      <c r="B859" s="2" t="s">
        <v>26</v>
      </c>
      <c r="C859" s="1">
        <v>4</v>
      </c>
      <c r="D859" s="1" t="s">
        <v>16</v>
      </c>
      <c r="E859" s="5" t="str">
        <f>IF(Table13[[#This Row],[Pre or Post]]="Pre",IF(IF(Table13[[#This Row],[Response]]="Male",0,1)+IF(Table13[[#This Row],[Response]]="Female",0,1)=2,E858,Table13[[#This Row],[Response]]),"")</f>
        <v/>
      </c>
      <c r="F859" s="1">
        <v>9</v>
      </c>
      <c r="G859" s="1"/>
      <c r="H859" s="2" t="s">
        <v>8</v>
      </c>
      <c r="I85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60" spans="1:11">
      <c r="A860" s="2" t="s">
        <v>24</v>
      </c>
      <c r="B860" s="2" t="s">
        <v>26</v>
      </c>
      <c r="C860" s="1">
        <v>4</v>
      </c>
      <c r="D860" s="1" t="s">
        <v>16</v>
      </c>
      <c r="E860" s="5" t="str">
        <f>IF(Table13[[#This Row],[Pre or Post]]="Pre",IF(IF(Table13[[#This Row],[Response]]="Male",0,1)+IF(Table13[[#This Row],[Response]]="Female",0,1)=2,E859,Table13[[#This Row],[Response]]),"")</f>
        <v/>
      </c>
      <c r="F860" s="1">
        <v>10</v>
      </c>
      <c r="G860" s="1"/>
      <c r="H860" s="2" t="s">
        <v>8</v>
      </c>
      <c r="I86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61" spans="1:11">
      <c r="A861" s="2" t="s">
        <v>24</v>
      </c>
      <c r="B861" s="2" t="s">
        <v>26</v>
      </c>
      <c r="C861" s="1">
        <v>4</v>
      </c>
      <c r="D861" s="1" t="s">
        <v>16</v>
      </c>
      <c r="E861" s="5" t="str">
        <f>IF(Table13[[#This Row],[Pre or Post]]="Pre",IF(IF(Table13[[#This Row],[Response]]="Male",0,1)+IF(Table13[[#This Row],[Response]]="Female",0,1)=2,E860,Table13[[#This Row],[Response]]),"")</f>
        <v/>
      </c>
      <c r="F861" s="1">
        <v>11</v>
      </c>
      <c r="G861" s="1"/>
      <c r="H861" s="2" t="s">
        <v>8</v>
      </c>
      <c r="I86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62" spans="1:11">
      <c r="A862" s="2" t="s">
        <v>24</v>
      </c>
      <c r="B862" s="2" t="s">
        <v>26</v>
      </c>
      <c r="C862" s="1">
        <v>5</v>
      </c>
      <c r="D862" s="1" t="s">
        <v>16</v>
      </c>
      <c r="E862" s="5" t="str">
        <f>IF(Table13[[#This Row],[Pre or Post]]="Pre",IF(IF(Table13[[#This Row],[Response]]="Male",0,1)+IF(Table13[[#This Row],[Response]]="Female",0,1)=2,E861,Table13[[#This Row],[Response]]),"")</f>
        <v/>
      </c>
      <c r="F862" s="1">
        <v>2</v>
      </c>
      <c r="G862" s="1">
        <v>3</v>
      </c>
      <c r="H862" s="2" t="s">
        <v>8</v>
      </c>
      <c r="I86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63" spans="1:11">
      <c r="A863" s="2" t="s">
        <v>24</v>
      </c>
      <c r="B863" s="2" t="s">
        <v>26</v>
      </c>
      <c r="C863" s="1">
        <v>5</v>
      </c>
      <c r="D863" s="1" t="s">
        <v>16</v>
      </c>
      <c r="E863" s="5" t="str">
        <f>IF(Table13[[#This Row],[Pre or Post]]="Pre",IF(IF(Table13[[#This Row],[Response]]="Male",0,1)+IF(Table13[[#This Row],[Response]]="Female",0,1)=2,E862,Table13[[#This Row],[Response]]),"")</f>
        <v/>
      </c>
      <c r="F863" s="1">
        <v>3</v>
      </c>
      <c r="G863" s="1">
        <v>3</v>
      </c>
      <c r="H863" s="2" t="s">
        <v>8</v>
      </c>
      <c r="I86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64" spans="1:11">
      <c r="A864" s="2" t="s">
        <v>24</v>
      </c>
      <c r="B864" s="2" t="s">
        <v>26</v>
      </c>
      <c r="C864" s="1">
        <v>5</v>
      </c>
      <c r="D864" s="1" t="s">
        <v>16</v>
      </c>
      <c r="E864" s="5" t="str">
        <f>IF(Table13[[#This Row],[Pre or Post]]="Pre",IF(IF(Table13[[#This Row],[Response]]="Male",0,1)+IF(Table13[[#This Row],[Response]]="Female",0,1)=2,E863,Table13[[#This Row],[Response]]),"")</f>
        <v/>
      </c>
      <c r="F864" s="1">
        <v>4</v>
      </c>
      <c r="G864" s="1">
        <v>2</v>
      </c>
      <c r="H864" s="2" t="s">
        <v>8</v>
      </c>
      <c r="I86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65" spans="1:11">
      <c r="A865" s="2" t="s">
        <v>24</v>
      </c>
      <c r="B865" s="2" t="s">
        <v>26</v>
      </c>
      <c r="C865" s="1">
        <v>5</v>
      </c>
      <c r="D865" s="1" t="s">
        <v>16</v>
      </c>
      <c r="E865" s="5" t="str">
        <f>IF(Table13[[#This Row],[Pre or Post]]="Pre",IF(IF(Table13[[#This Row],[Response]]="Male",0,1)+IF(Table13[[#This Row],[Response]]="Female",0,1)=2,E864,Table13[[#This Row],[Response]]),"")</f>
        <v/>
      </c>
      <c r="F865" s="1">
        <v>5</v>
      </c>
      <c r="G865" s="1">
        <v>4</v>
      </c>
      <c r="H865" s="2" t="s">
        <v>8</v>
      </c>
      <c r="I86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66" spans="1:11">
      <c r="A866" s="2" t="s">
        <v>24</v>
      </c>
      <c r="B866" s="2" t="s">
        <v>26</v>
      </c>
      <c r="C866" s="1">
        <v>5</v>
      </c>
      <c r="D866" s="1" t="s">
        <v>16</v>
      </c>
      <c r="E866" s="5" t="str">
        <f>IF(Table13[[#This Row],[Pre or Post]]="Pre",IF(IF(Table13[[#This Row],[Response]]="Male",0,1)+IF(Table13[[#This Row],[Response]]="Female",0,1)=2,E865,Table13[[#This Row],[Response]]),"")</f>
        <v/>
      </c>
      <c r="F866" s="1">
        <v>6</v>
      </c>
      <c r="G866" s="1">
        <v>2</v>
      </c>
      <c r="H866" s="2" t="s">
        <v>8</v>
      </c>
      <c r="I86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67" spans="1:11">
      <c r="A867" s="2" t="s">
        <v>24</v>
      </c>
      <c r="B867" s="2" t="s">
        <v>26</v>
      </c>
      <c r="C867" s="1">
        <v>5</v>
      </c>
      <c r="D867" s="1" t="s">
        <v>16</v>
      </c>
      <c r="E867" s="5" t="str">
        <f>IF(Table13[[#This Row],[Pre or Post]]="Pre",IF(IF(Table13[[#This Row],[Response]]="Male",0,1)+IF(Table13[[#This Row],[Response]]="Female",0,1)=2,E866,Table13[[#This Row],[Response]]),"")</f>
        <v/>
      </c>
      <c r="F867" s="1">
        <v>7</v>
      </c>
      <c r="G867" s="1">
        <v>2</v>
      </c>
      <c r="H867" s="2" t="s">
        <v>8</v>
      </c>
      <c r="I86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68" spans="1:11">
      <c r="A868" s="2" t="s">
        <v>24</v>
      </c>
      <c r="B868" s="2" t="s">
        <v>26</v>
      </c>
      <c r="C868" s="1">
        <v>5</v>
      </c>
      <c r="D868" s="1" t="s">
        <v>16</v>
      </c>
      <c r="E868" s="5" t="str">
        <f>IF(Table13[[#This Row],[Pre or Post]]="Pre",IF(IF(Table13[[#This Row],[Response]]="Male",0,1)+IF(Table13[[#This Row],[Response]]="Female",0,1)=2,E867,Table13[[#This Row],[Response]]),"")</f>
        <v/>
      </c>
      <c r="F868" s="1">
        <v>8</v>
      </c>
      <c r="G868" s="1" t="s">
        <v>8</v>
      </c>
      <c r="H868" s="2" t="s">
        <v>8</v>
      </c>
      <c r="I86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69" spans="1:11">
      <c r="A869" s="2" t="s">
        <v>24</v>
      </c>
      <c r="B869" s="2" t="s">
        <v>26</v>
      </c>
      <c r="C869" s="1">
        <v>5</v>
      </c>
      <c r="D869" s="1" t="s">
        <v>16</v>
      </c>
      <c r="E869" s="5" t="str">
        <f>IF(Table13[[#This Row],[Pre or Post]]="Pre",IF(IF(Table13[[#This Row],[Response]]="Male",0,1)+IF(Table13[[#This Row],[Response]]="Female",0,1)=2,E868,Table13[[#This Row],[Response]]),"")</f>
        <v/>
      </c>
      <c r="F869" s="1">
        <v>9</v>
      </c>
      <c r="G869" s="1" t="s">
        <v>17</v>
      </c>
      <c r="H869" s="2" t="s">
        <v>8</v>
      </c>
      <c r="I86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70" spans="1:11">
      <c r="A870" s="2" t="s">
        <v>24</v>
      </c>
      <c r="B870" s="2" t="s">
        <v>26</v>
      </c>
      <c r="C870" s="1">
        <v>5</v>
      </c>
      <c r="D870" s="1" t="s">
        <v>16</v>
      </c>
      <c r="E870" s="5" t="str">
        <f>IF(Table13[[#This Row],[Pre or Post]]="Pre",IF(IF(Table13[[#This Row],[Response]]="Male",0,1)+IF(Table13[[#This Row],[Response]]="Female",0,1)=2,E869,Table13[[#This Row],[Response]]),"")</f>
        <v/>
      </c>
      <c r="F870" s="1">
        <v>10</v>
      </c>
      <c r="G870" s="1"/>
      <c r="H870" s="2" t="s">
        <v>8</v>
      </c>
      <c r="I87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71" spans="1:11">
      <c r="A871" s="2" t="s">
        <v>24</v>
      </c>
      <c r="B871" s="2" t="s">
        <v>26</v>
      </c>
      <c r="C871" s="1">
        <v>5</v>
      </c>
      <c r="D871" s="1" t="s">
        <v>16</v>
      </c>
      <c r="E871" s="5" t="str">
        <f>IF(Table13[[#This Row],[Pre or Post]]="Pre",IF(IF(Table13[[#This Row],[Response]]="Male",0,1)+IF(Table13[[#This Row],[Response]]="Female",0,1)=2,E870,Table13[[#This Row],[Response]]),"")</f>
        <v/>
      </c>
      <c r="F871" s="1">
        <v>11</v>
      </c>
      <c r="G871" s="1" t="s">
        <v>9</v>
      </c>
      <c r="H871" s="2" t="s">
        <v>8</v>
      </c>
      <c r="I87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72" spans="1:11">
      <c r="A872" s="2" t="s">
        <v>24</v>
      </c>
      <c r="B872" s="2" t="s">
        <v>26</v>
      </c>
      <c r="C872" s="1">
        <v>6</v>
      </c>
      <c r="D872" s="1" t="s">
        <v>16</v>
      </c>
      <c r="E872" s="5" t="str">
        <f>IF(Table13[[#This Row],[Pre or Post]]="Pre",IF(IF(Table13[[#This Row],[Response]]="Male",0,1)+IF(Table13[[#This Row],[Response]]="Female",0,1)=2,E871,Table13[[#This Row],[Response]]),"")</f>
        <v/>
      </c>
      <c r="F872" s="1">
        <v>2</v>
      </c>
      <c r="G872" s="1">
        <v>3</v>
      </c>
      <c r="H872" s="2" t="s">
        <v>8</v>
      </c>
      <c r="I87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73" spans="1:11">
      <c r="A873" s="2" t="s">
        <v>24</v>
      </c>
      <c r="B873" s="2" t="s">
        <v>26</v>
      </c>
      <c r="C873" s="1">
        <v>6</v>
      </c>
      <c r="D873" s="1" t="s">
        <v>16</v>
      </c>
      <c r="E873" s="5" t="str">
        <f>IF(Table13[[#This Row],[Pre or Post]]="Pre",IF(IF(Table13[[#This Row],[Response]]="Male",0,1)+IF(Table13[[#This Row],[Response]]="Female",0,1)=2,E872,Table13[[#This Row],[Response]]),"")</f>
        <v/>
      </c>
      <c r="F873" s="1">
        <v>3</v>
      </c>
      <c r="G873" s="1">
        <v>4</v>
      </c>
      <c r="H873" s="2" t="s">
        <v>8</v>
      </c>
      <c r="I87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74" spans="1:11">
      <c r="A874" s="2" t="s">
        <v>24</v>
      </c>
      <c r="B874" s="2" t="s">
        <v>26</v>
      </c>
      <c r="C874" s="1">
        <v>6</v>
      </c>
      <c r="D874" s="1" t="s">
        <v>16</v>
      </c>
      <c r="E874" s="5" t="str">
        <f>IF(Table13[[#This Row],[Pre or Post]]="Pre",IF(IF(Table13[[#This Row],[Response]]="Male",0,1)+IF(Table13[[#This Row],[Response]]="Female",0,1)=2,E873,Table13[[#This Row],[Response]]),"")</f>
        <v/>
      </c>
      <c r="F874" s="1">
        <v>4</v>
      </c>
      <c r="G874" s="1">
        <v>2</v>
      </c>
      <c r="H874" s="2" t="s">
        <v>8</v>
      </c>
      <c r="I87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75" spans="1:11">
      <c r="A875" s="2" t="s">
        <v>24</v>
      </c>
      <c r="B875" s="2" t="s">
        <v>26</v>
      </c>
      <c r="C875" s="1">
        <v>6</v>
      </c>
      <c r="D875" s="1" t="s">
        <v>16</v>
      </c>
      <c r="E875" s="5" t="str">
        <f>IF(Table13[[#This Row],[Pre or Post]]="Pre",IF(IF(Table13[[#This Row],[Response]]="Male",0,1)+IF(Table13[[#This Row],[Response]]="Female",0,1)=2,E874,Table13[[#This Row],[Response]]),"")</f>
        <v/>
      </c>
      <c r="F875" s="1">
        <v>5</v>
      </c>
      <c r="G875" s="1">
        <v>4</v>
      </c>
      <c r="H875" s="2" t="s">
        <v>8</v>
      </c>
      <c r="I87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76" spans="1:11">
      <c r="A876" s="2" t="s">
        <v>24</v>
      </c>
      <c r="B876" s="2" t="s">
        <v>26</v>
      </c>
      <c r="C876" s="1">
        <v>6</v>
      </c>
      <c r="D876" s="1" t="s">
        <v>16</v>
      </c>
      <c r="E876" s="5" t="str">
        <f>IF(Table13[[#This Row],[Pre or Post]]="Pre",IF(IF(Table13[[#This Row],[Response]]="Male",0,1)+IF(Table13[[#This Row],[Response]]="Female",0,1)=2,E875,Table13[[#This Row],[Response]]),"")</f>
        <v/>
      </c>
      <c r="F876" s="1">
        <v>6</v>
      </c>
      <c r="G876" s="1">
        <v>5</v>
      </c>
      <c r="H876" s="2" t="s">
        <v>8</v>
      </c>
      <c r="I87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77" spans="1:11">
      <c r="A877" s="2" t="s">
        <v>24</v>
      </c>
      <c r="B877" s="2" t="s">
        <v>26</v>
      </c>
      <c r="C877" s="1">
        <v>6</v>
      </c>
      <c r="D877" s="1" t="s">
        <v>16</v>
      </c>
      <c r="E877" s="5" t="str">
        <f>IF(Table13[[#This Row],[Pre or Post]]="Pre",IF(IF(Table13[[#This Row],[Response]]="Male",0,1)+IF(Table13[[#This Row],[Response]]="Female",0,1)=2,E876,Table13[[#This Row],[Response]]),"")</f>
        <v/>
      </c>
      <c r="F877" s="1">
        <v>7</v>
      </c>
      <c r="G877" s="1">
        <v>3</v>
      </c>
      <c r="H877" s="2" t="s">
        <v>8</v>
      </c>
      <c r="I87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78" spans="1:11">
      <c r="A878" s="2" t="s">
        <v>24</v>
      </c>
      <c r="B878" s="2" t="s">
        <v>26</v>
      </c>
      <c r="C878" s="1">
        <v>6</v>
      </c>
      <c r="D878" s="1" t="s">
        <v>16</v>
      </c>
      <c r="E878" s="5" t="str">
        <f>IF(Table13[[#This Row],[Pre or Post]]="Pre",IF(IF(Table13[[#This Row],[Response]]="Male",0,1)+IF(Table13[[#This Row],[Response]]="Female",0,1)=2,E877,Table13[[#This Row],[Response]]),"")</f>
        <v/>
      </c>
      <c r="F878" s="1">
        <v>8</v>
      </c>
      <c r="G878" s="1" t="s">
        <v>8</v>
      </c>
      <c r="H878" s="2" t="s">
        <v>8</v>
      </c>
      <c r="I87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79" spans="1:11">
      <c r="A879" s="2" t="s">
        <v>24</v>
      </c>
      <c r="B879" s="2" t="s">
        <v>26</v>
      </c>
      <c r="C879" s="1">
        <v>6</v>
      </c>
      <c r="D879" s="1" t="s">
        <v>16</v>
      </c>
      <c r="E879" s="5" t="str">
        <f>IF(Table13[[#This Row],[Pre or Post]]="Pre",IF(IF(Table13[[#This Row],[Response]]="Male",0,1)+IF(Table13[[#This Row],[Response]]="Female",0,1)=2,E878,Table13[[#This Row],[Response]]),"")</f>
        <v/>
      </c>
      <c r="F879" s="1">
        <v>9</v>
      </c>
      <c r="G879" s="1" t="s">
        <v>17</v>
      </c>
      <c r="H879" s="2" t="s">
        <v>8</v>
      </c>
      <c r="I87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80" spans="1:11">
      <c r="A880" s="2" t="s">
        <v>24</v>
      </c>
      <c r="B880" s="2" t="s">
        <v>26</v>
      </c>
      <c r="C880" s="1">
        <v>6</v>
      </c>
      <c r="D880" s="1" t="s">
        <v>16</v>
      </c>
      <c r="E880" s="5" t="str">
        <f>IF(Table13[[#This Row],[Pre or Post]]="Pre",IF(IF(Table13[[#This Row],[Response]]="Male",0,1)+IF(Table13[[#This Row],[Response]]="Female",0,1)=2,E879,Table13[[#This Row],[Response]]),"")</f>
        <v/>
      </c>
      <c r="F880" s="1">
        <v>10</v>
      </c>
      <c r="G880" s="1" t="s">
        <v>19</v>
      </c>
      <c r="H880" s="2" t="s">
        <v>8</v>
      </c>
      <c r="I88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81" spans="1:11">
      <c r="A881" s="2" t="s">
        <v>24</v>
      </c>
      <c r="B881" s="2" t="s">
        <v>26</v>
      </c>
      <c r="C881" s="1">
        <v>6</v>
      </c>
      <c r="D881" s="1" t="s">
        <v>16</v>
      </c>
      <c r="E881" s="5" t="str">
        <f>IF(Table13[[#This Row],[Pre or Post]]="Pre",IF(IF(Table13[[#This Row],[Response]]="Male",0,1)+IF(Table13[[#This Row],[Response]]="Female",0,1)=2,E880,Table13[[#This Row],[Response]]),"")</f>
        <v/>
      </c>
      <c r="F881" s="1">
        <v>11</v>
      </c>
      <c r="G881" s="2" t="s">
        <v>9</v>
      </c>
      <c r="H881" s="2" t="s">
        <v>8</v>
      </c>
      <c r="I88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82" spans="1:11">
      <c r="A882" s="2" t="s">
        <v>24</v>
      </c>
      <c r="B882" s="2" t="s">
        <v>26</v>
      </c>
      <c r="C882" s="1">
        <v>7</v>
      </c>
      <c r="D882" s="1" t="s">
        <v>16</v>
      </c>
      <c r="E882" s="5" t="str">
        <f>IF(Table13[[#This Row],[Pre or Post]]="Pre",IF(IF(Table13[[#This Row],[Response]]="Male",0,1)+IF(Table13[[#This Row],[Response]]="Female",0,1)=2,E881,Table13[[#This Row],[Response]]),"")</f>
        <v/>
      </c>
      <c r="F882" s="1">
        <v>2</v>
      </c>
      <c r="G882" s="1">
        <v>3</v>
      </c>
      <c r="H882" s="2" t="s">
        <v>8</v>
      </c>
      <c r="I88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83" spans="1:11">
      <c r="A883" s="2" t="s">
        <v>24</v>
      </c>
      <c r="B883" s="2" t="s">
        <v>26</v>
      </c>
      <c r="C883" s="1">
        <v>7</v>
      </c>
      <c r="D883" s="1" t="s">
        <v>16</v>
      </c>
      <c r="E883" s="5" t="str">
        <f>IF(Table13[[#This Row],[Pre or Post]]="Pre",IF(IF(Table13[[#This Row],[Response]]="Male",0,1)+IF(Table13[[#This Row],[Response]]="Female",0,1)=2,E882,Table13[[#This Row],[Response]]),"")</f>
        <v/>
      </c>
      <c r="F883" s="1">
        <v>3</v>
      </c>
      <c r="G883" s="1">
        <v>4</v>
      </c>
      <c r="H883" s="2" t="s">
        <v>8</v>
      </c>
      <c r="I88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84" spans="1:11">
      <c r="A884" s="2" t="s">
        <v>24</v>
      </c>
      <c r="B884" s="2" t="s">
        <v>26</v>
      </c>
      <c r="C884" s="1">
        <v>7</v>
      </c>
      <c r="D884" s="1" t="s">
        <v>16</v>
      </c>
      <c r="E884" s="5" t="str">
        <f>IF(Table13[[#This Row],[Pre or Post]]="Pre",IF(IF(Table13[[#This Row],[Response]]="Male",0,1)+IF(Table13[[#This Row],[Response]]="Female",0,1)=2,E883,Table13[[#This Row],[Response]]),"")</f>
        <v/>
      </c>
      <c r="F884" s="1">
        <v>4</v>
      </c>
      <c r="G884" s="1">
        <v>4</v>
      </c>
      <c r="H884" s="2" t="s">
        <v>8</v>
      </c>
      <c r="I88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85" spans="1:11">
      <c r="A885" s="2" t="s">
        <v>24</v>
      </c>
      <c r="B885" s="2" t="s">
        <v>26</v>
      </c>
      <c r="C885" s="1">
        <v>7</v>
      </c>
      <c r="D885" s="1" t="s">
        <v>16</v>
      </c>
      <c r="E885" s="5" t="str">
        <f>IF(Table13[[#This Row],[Pre or Post]]="Pre",IF(IF(Table13[[#This Row],[Response]]="Male",0,1)+IF(Table13[[#This Row],[Response]]="Female",0,1)=2,E884,Table13[[#This Row],[Response]]),"")</f>
        <v/>
      </c>
      <c r="F885" s="1">
        <v>5</v>
      </c>
      <c r="G885" s="1">
        <v>5</v>
      </c>
      <c r="H885" s="2" t="s">
        <v>8</v>
      </c>
      <c r="I88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86" spans="1:11">
      <c r="A886" s="2" t="s">
        <v>24</v>
      </c>
      <c r="B886" s="2" t="s">
        <v>26</v>
      </c>
      <c r="C886" s="1">
        <v>7</v>
      </c>
      <c r="D886" s="1" t="s">
        <v>16</v>
      </c>
      <c r="E886" s="5" t="str">
        <f>IF(Table13[[#This Row],[Pre or Post]]="Pre",IF(IF(Table13[[#This Row],[Response]]="Male",0,1)+IF(Table13[[#This Row],[Response]]="Female",0,1)=2,E885,Table13[[#This Row],[Response]]),"")</f>
        <v/>
      </c>
      <c r="F886" s="1">
        <v>6</v>
      </c>
      <c r="G886" s="1">
        <v>4</v>
      </c>
      <c r="H886" s="2" t="s">
        <v>8</v>
      </c>
      <c r="I88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87" spans="1:11">
      <c r="A887" s="2" t="s">
        <v>24</v>
      </c>
      <c r="B887" s="2" t="s">
        <v>26</v>
      </c>
      <c r="C887" s="1">
        <v>7</v>
      </c>
      <c r="D887" s="1" t="s">
        <v>16</v>
      </c>
      <c r="E887" s="5" t="str">
        <f>IF(Table13[[#This Row],[Pre or Post]]="Pre",IF(IF(Table13[[#This Row],[Response]]="Male",0,1)+IF(Table13[[#This Row],[Response]]="Female",0,1)=2,E886,Table13[[#This Row],[Response]]),"")</f>
        <v/>
      </c>
      <c r="F887" s="1">
        <v>7</v>
      </c>
      <c r="G887" s="1">
        <v>4</v>
      </c>
      <c r="H887" s="2" t="s">
        <v>8</v>
      </c>
      <c r="I88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88" spans="1:11">
      <c r="A888" s="2" t="s">
        <v>24</v>
      </c>
      <c r="B888" s="2" t="s">
        <v>26</v>
      </c>
      <c r="C888" s="1">
        <v>7</v>
      </c>
      <c r="D888" s="1" t="s">
        <v>16</v>
      </c>
      <c r="E888" s="5" t="str">
        <f>IF(Table13[[#This Row],[Pre or Post]]="Pre",IF(IF(Table13[[#This Row],[Response]]="Male",0,1)+IF(Table13[[#This Row],[Response]]="Female",0,1)=2,E887,Table13[[#This Row],[Response]]),"")</f>
        <v/>
      </c>
      <c r="F888" s="1">
        <v>8</v>
      </c>
      <c r="G888" s="1" t="s">
        <v>8</v>
      </c>
      <c r="H888" s="2" t="s">
        <v>8</v>
      </c>
      <c r="I88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89" spans="1:11">
      <c r="A889" s="2" t="s">
        <v>24</v>
      </c>
      <c r="B889" s="2" t="s">
        <v>26</v>
      </c>
      <c r="C889" s="1">
        <v>7</v>
      </c>
      <c r="D889" s="1" t="s">
        <v>16</v>
      </c>
      <c r="E889" s="5" t="str">
        <f>IF(Table13[[#This Row],[Pre or Post]]="Pre",IF(IF(Table13[[#This Row],[Response]]="Male",0,1)+IF(Table13[[#This Row],[Response]]="Female",0,1)=2,E888,Table13[[#This Row],[Response]]),"")</f>
        <v/>
      </c>
      <c r="F889" s="1">
        <v>9</v>
      </c>
      <c r="G889" s="1" t="s">
        <v>17</v>
      </c>
      <c r="H889" s="2" t="s">
        <v>8</v>
      </c>
      <c r="I88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90" spans="1:11">
      <c r="A890" s="2" t="s">
        <v>24</v>
      </c>
      <c r="B890" s="2" t="s">
        <v>26</v>
      </c>
      <c r="C890" s="1">
        <v>7</v>
      </c>
      <c r="D890" s="1" t="s">
        <v>16</v>
      </c>
      <c r="E890" s="5" t="str">
        <f>IF(Table13[[#This Row],[Pre or Post]]="Pre",IF(IF(Table13[[#This Row],[Response]]="Male",0,1)+IF(Table13[[#This Row],[Response]]="Female",0,1)=2,E889,Table13[[#This Row],[Response]]),"")</f>
        <v/>
      </c>
      <c r="F890" s="1">
        <v>10</v>
      </c>
      <c r="G890" s="1" t="s">
        <v>18</v>
      </c>
      <c r="H890" s="2" t="s">
        <v>8</v>
      </c>
      <c r="I89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91" spans="1:11">
      <c r="A891" s="2" t="s">
        <v>24</v>
      </c>
      <c r="B891" s="2" t="s">
        <v>26</v>
      </c>
      <c r="C891" s="1">
        <v>7</v>
      </c>
      <c r="D891" s="1" t="s">
        <v>16</v>
      </c>
      <c r="E891" s="5" t="str">
        <f>IF(Table13[[#This Row],[Pre or Post]]="Pre",IF(IF(Table13[[#This Row],[Response]]="Male",0,1)+IF(Table13[[#This Row],[Response]]="Female",0,1)=2,E890,Table13[[#This Row],[Response]]),"")</f>
        <v/>
      </c>
      <c r="F891" s="1">
        <v>11</v>
      </c>
      <c r="G891" s="1" t="s">
        <v>9</v>
      </c>
      <c r="H891" s="2" t="s">
        <v>8</v>
      </c>
      <c r="I89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92" spans="1:11">
      <c r="A892" s="2" t="s">
        <v>24</v>
      </c>
      <c r="B892" s="2" t="s">
        <v>26</v>
      </c>
      <c r="C892" s="1">
        <v>8</v>
      </c>
      <c r="D892" s="1" t="s">
        <v>16</v>
      </c>
      <c r="E892" s="5" t="str">
        <f>IF(Table13[[#This Row],[Pre or Post]]="Pre",IF(IF(Table13[[#This Row],[Response]]="Male",0,1)+IF(Table13[[#This Row],[Response]]="Female",0,1)=2,E891,Table13[[#This Row],[Response]]),"")</f>
        <v/>
      </c>
      <c r="F892" s="1">
        <v>2</v>
      </c>
      <c r="G892" s="1">
        <v>5</v>
      </c>
      <c r="H892" s="2" t="s">
        <v>8</v>
      </c>
      <c r="I89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93" spans="1:11">
      <c r="A893" s="2" t="s">
        <v>24</v>
      </c>
      <c r="B893" s="2" t="s">
        <v>26</v>
      </c>
      <c r="C893" s="1">
        <v>8</v>
      </c>
      <c r="D893" s="1" t="s">
        <v>16</v>
      </c>
      <c r="E893" s="5" t="str">
        <f>IF(Table13[[#This Row],[Pre or Post]]="Pre",IF(IF(Table13[[#This Row],[Response]]="Male",0,1)+IF(Table13[[#This Row],[Response]]="Female",0,1)=2,E892,Table13[[#This Row],[Response]]),"")</f>
        <v/>
      </c>
      <c r="F893" s="1">
        <v>3</v>
      </c>
      <c r="G893" s="1">
        <v>5</v>
      </c>
      <c r="H893" s="2" t="s">
        <v>8</v>
      </c>
      <c r="I89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94" spans="1:11">
      <c r="A894" s="2" t="s">
        <v>24</v>
      </c>
      <c r="B894" s="2" t="s">
        <v>26</v>
      </c>
      <c r="C894" s="1">
        <v>8</v>
      </c>
      <c r="D894" s="1" t="s">
        <v>16</v>
      </c>
      <c r="E894" s="5" t="str">
        <f>IF(Table13[[#This Row],[Pre or Post]]="Pre",IF(IF(Table13[[#This Row],[Response]]="Male",0,1)+IF(Table13[[#This Row],[Response]]="Female",0,1)=2,E893,Table13[[#This Row],[Response]]),"")</f>
        <v/>
      </c>
      <c r="F894" s="1">
        <v>4</v>
      </c>
      <c r="G894" s="1">
        <v>5</v>
      </c>
      <c r="H894" s="2" t="s">
        <v>8</v>
      </c>
      <c r="I89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95" spans="1:11">
      <c r="A895" s="2" t="s">
        <v>24</v>
      </c>
      <c r="B895" s="2" t="s">
        <v>26</v>
      </c>
      <c r="C895" s="1">
        <v>8</v>
      </c>
      <c r="D895" s="1" t="s">
        <v>16</v>
      </c>
      <c r="E895" s="5" t="str">
        <f>IF(Table13[[#This Row],[Pre or Post]]="Pre",IF(IF(Table13[[#This Row],[Response]]="Male",0,1)+IF(Table13[[#This Row],[Response]]="Female",0,1)=2,E894,Table13[[#This Row],[Response]]),"")</f>
        <v/>
      </c>
      <c r="F895" s="1">
        <v>5</v>
      </c>
      <c r="G895" s="1">
        <v>5</v>
      </c>
      <c r="H895" s="2" t="s">
        <v>8</v>
      </c>
      <c r="I89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96" spans="1:11">
      <c r="A896" s="2" t="s">
        <v>24</v>
      </c>
      <c r="B896" s="2" t="s">
        <v>26</v>
      </c>
      <c r="C896" s="1">
        <v>8</v>
      </c>
      <c r="D896" s="1" t="s">
        <v>16</v>
      </c>
      <c r="E896" s="5" t="str">
        <f>IF(Table13[[#This Row],[Pre or Post]]="Pre",IF(IF(Table13[[#This Row],[Response]]="Male",0,1)+IF(Table13[[#This Row],[Response]]="Female",0,1)=2,E895,Table13[[#This Row],[Response]]),"")</f>
        <v/>
      </c>
      <c r="F896" s="1">
        <v>6</v>
      </c>
      <c r="G896" s="1">
        <v>1</v>
      </c>
      <c r="H896" s="2" t="s">
        <v>8</v>
      </c>
      <c r="I89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97" spans="1:11">
      <c r="A897" s="2" t="s">
        <v>24</v>
      </c>
      <c r="B897" s="2" t="s">
        <v>26</v>
      </c>
      <c r="C897" s="1">
        <v>8</v>
      </c>
      <c r="D897" s="1" t="s">
        <v>16</v>
      </c>
      <c r="E897" s="5" t="str">
        <f>IF(Table13[[#This Row],[Pre or Post]]="Pre",IF(IF(Table13[[#This Row],[Response]]="Male",0,1)+IF(Table13[[#This Row],[Response]]="Female",0,1)=2,E896,Table13[[#This Row],[Response]]),"")</f>
        <v/>
      </c>
      <c r="F897" s="1">
        <v>7</v>
      </c>
      <c r="G897" s="1">
        <v>5</v>
      </c>
      <c r="H897" s="2" t="s">
        <v>8</v>
      </c>
      <c r="I89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98" spans="1:11">
      <c r="A898" s="2" t="s">
        <v>24</v>
      </c>
      <c r="B898" s="2" t="s">
        <v>26</v>
      </c>
      <c r="C898" s="1">
        <v>8</v>
      </c>
      <c r="D898" s="1" t="s">
        <v>16</v>
      </c>
      <c r="E898" s="5" t="str">
        <f>IF(Table13[[#This Row],[Pre or Post]]="Pre",IF(IF(Table13[[#This Row],[Response]]="Male",0,1)+IF(Table13[[#This Row],[Response]]="Female",0,1)=2,E897,Table13[[#This Row],[Response]]),"")</f>
        <v/>
      </c>
      <c r="F898" s="1">
        <v>8</v>
      </c>
      <c r="G898" s="1" t="s">
        <v>8</v>
      </c>
      <c r="H898" s="2" t="s">
        <v>8</v>
      </c>
      <c r="I89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899" spans="1:11">
      <c r="A899" s="2" t="s">
        <v>24</v>
      </c>
      <c r="B899" s="2" t="s">
        <v>26</v>
      </c>
      <c r="C899" s="1">
        <v>8</v>
      </c>
      <c r="D899" s="1" t="s">
        <v>16</v>
      </c>
      <c r="E899" s="5" t="str">
        <f>IF(Table13[[#This Row],[Pre or Post]]="Pre",IF(IF(Table13[[#This Row],[Response]]="Male",0,1)+IF(Table13[[#This Row],[Response]]="Female",0,1)=2,E898,Table13[[#This Row],[Response]]),"")</f>
        <v/>
      </c>
      <c r="F899" s="1">
        <v>9</v>
      </c>
      <c r="G899" s="1" t="s">
        <v>17</v>
      </c>
      <c r="H899" s="2" t="s">
        <v>8</v>
      </c>
      <c r="I89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8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8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00" spans="1:11">
      <c r="A900" s="2" t="s">
        <v>24</v>
      </c>
      <c r="B900" s="2" t="s">
        <v>26</v>
      </c>
      <c r="C900" s="1">
        <v>8</v>
      </c>
      <c r="D900" s="1" t="s">
        <v>16</v>
      </c>
      <c r="E900" s="5" t="str">
        <f>IF(Table13[[#This Row],[Pre or Post]]="Pre",IF(IF(Table13[[#This Row],[Response]]="Male",0,1)+IF(Table13[[#This Row],[Response]]="Female",0,1)=2,E899,Table13[[#This Row],[Response]]),"")</f>
        <v/>
      </c>
      <c r="F900" s="1">
        <v>10</v>
      </c>
      <c r="G900" s="1" t="s">
        <v>19</v>
      </c>
      <c r="H900" s="2" t="s">
        <v>8</v>
      </c>
      <c r="I90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01" spans="1:11">
      <c r="A901" s="2" t="s">
        <v>24</v>
      </c>
      <c r="B901" s="2" t="s">
        <v>26</v>
      </c>
      <c r="C901" s="1">
        <v>8</v>
      </c>
      <c r="D901" s="1" t="s">
        <v>16</v>
      </c>
      <c r="E901" s="5" t="str">
        <f>IF(Table13[[#This Row],[Pre or Post]]="Pre",IF(IF(Table13[[#This Row],[Response]]="Male",0,1)+IF(Table13[[#This Row],[Response]]="Female",0,1)=2,E900,Table13[[#This Row],[Response]]),"")</f>
        <v/>
      </c>
      <c r="F901" s="2">
        <v>11</v>
      </c>
      <c r="G901" s="2" t="s">
        <v>9</v>
      </c>
      <c r="H901" s="2" t="s">
        <v>8</v>
      </c>
      <c r="I90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02" spans="1:11">
      <c r="A902" s="2" t="s">
        <v>24</v>
      </c>
      <c r="B902" s="2" t="s">
        <v>26</v>
      </c>
      <c r="C902" s="1">
        <v>9</v>
      </c>
      <c r="D902" s="1" t="s">
        <v>16</v>
      </c>
      <c r="E902" s="5" t="str">
        <f>IF(Table13[[#This Row],[Pre or Post]]="Pre",IF(IF(Table13[[#This Row],[Response]]="Male",0,1)+IF(Table13[[#This Row],[Response]]="Female",0,1)=2,E901,Table13[[#This Row],[Response]]),"")</f>
        <v/>
      </c>
      <c r="F902" s="1">
        <v>2</v>
      </c>
      <c r="G902" s="1">
        <v>4</v>
      </c>
      <c r="H902" s="2" t="s">
        <v>8</v>
      </c>
      <c r="I90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03" spans="1:11">
      <c r="A903" s="2" t="s">
        <v>24</v>
      </c>
      <c r="B903" s="2" t="s">
        <v>26</v>
      </c>
      <c r="C903" s="1">
        <v>9</v>
      </c>
      <c r="D903" s="1" t="s">
        <v>16</v>
      </c>
      <c r="E903" s="5" t="str">
        <f>IF(Table13[[#This Row],[Pre or Post]]="Pre",IF(IF(Table13[[#This Row],[Response]]="Male",0,1)+IF(Table13[[#This Row],[Response]]="Female",0,1)=2,E902,Table13[[#This Row],[Response]]),"")</f>
        <v/>
      </c>
      <c r="F903" s="1">
        <v>3</v>
      </c>
      <c r="G903" s="1">
        <v>4</v>
      </c>
      <c r="H903" s="2" t="s">
        <v>8</v>
      </c>
      <c r="I90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04" spans="1:11">
      <c r="A904" s="2" t="s">
        <v>24</v>
      </c>
      <c r="B904" s="2" t="s">
        <v>26</v>
      </c>
      <c r="C904" s="1">
        <v>9</v>
      </c>
      <c r="D904" s="1" t="s">
        <v>16</v>
      </c>
      <c r="E904" s="5" t="str">
        <f>IF(Table13[[#This Row],[Pre or Post]]="Pre",IF(IF(Table13[[#This Row],[Response]]="Male",0,1)+IF(Table13[[#This Row],[Response]]="Female",0,1)=2,E903,Table13[[#This Row],[Response]]),"")</f>
        <v/>
      </c>
      <c r="F904" s="1">
        <v>4</v>
      </c>
      <c r="G904" s="1">
        <v>3</v>
      </c>
      <c r="H904" s="2" t="s">
        <v>8</v>
      </c>
      <c r="I90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05" spans="1:11">
      <c r="A905" s="2" t="s">
        <v>24</v>
      </c>
      <c r="B905" s="2" t="s">
        <v>26</v>
      </c>
      <c r="C905" s="1">
        <v>9</v>
      </c>
      <c r="D905" s="1" t="s">
        <v>16</v>
      </c>
      <c r="E905" s="5" t="str">
        <f>IF(Table13[[#This Row],[Pre or Post]]="Pre",IF(IF(Table13[[#This Row],[Response]]="Male",0,1)+IF(Table13[[#This Row],[Response]]="Female",0,1)=2,E904,Table13[[#This Row],[Response]]),"")</f>
        <v/>
      </c>
      <c r="F905" s="1">
        <v>5</v>
      </c>
      <c r="G905" s="1">
        <v>4</v>
      </c>
      <c r="H905" s="2" t="s">
        <v>8</v>
      </c>
      <c r="I90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06" spans="1:11">
      <c r="A906" s="2" t="s">
        <v>24</v>
      </c>
      <c r="B906" s="2" t="s">
        <v>26</v>
      </c>
      <c r="C906" s="1">
        <v>9</v>
      </c>
      <c r="D906" s="1" t="s">
        <v>16</v>
      </c>
      <c r="E906" s="5" t="str">
        <f>IF(Table13[[#This Row],[Pre or Post]]="Pre",IF(IF(Table13[[#This Row],[Response]]="Male",0,1)+IF(Table13[[#This Row],[Response]]="Female",0,1)=2,E905,Table13[[#This Row],[Response]]),"")</f>
        <v/>
      </c>
      <c r="F906" s="1">
        <v>6</v>
      </c>
      <c r="G906" s="1">
        <v>3</v>
      </c>
      <c r="H906" s="2" t="s">
        <v>8</v>
      </c>
      <c r="I90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07" spans="1:11">
      <c r="A907" s="2" t="s">
        <v>24</v>
      </c>
      <c r="B907" s="2" t="s">
        <v>26</v>
      </c>
      <c r="C907" s="1">
        <v>9</v>
      </c>
      <c r="D907" s="1" t="s">
        <v>16</v>
      </c>
      <c r="E907" s="5" t="str">
        <f>IF(Table13[[#This Row],[Pre or Post]]="Pre",IF(IF(Table13[[#This Row],[Response]]="Male",0,1)+IF(Table13[[#This Row],[Response]]="Female",0,1)=2,E906,Table13[[#This Row],[Response]]),"")</f>
        <v/>
      </c>
      <c r="F907" s="1">
        <v>7</v>
      </c>
      <c r="G907" s="1">
        <v>2</v>
      </c>
      <c r="H907" s="2" t="s">
        <v>8</v>
      </c>
      <c r="I90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08" spans="1:11">
      <c r="A908" s="2" t="s">
        <v>24</v>
      </c>
      <c r="B908" s="2" t="s">
        <v>26</v>
      </c>
      <c r="C908" s="1">
        <v>9</v>
      </c>
      <c r="D908" s="1" t="s">
        <v>16</v>
      </c>
      <c r="E908" s="5" t="str">
        <f>IF(Table13[[#This Row],[Pre or Post]]="Pre",IF(IF(Table13[[#This Row],[Response]]="Male",0,1)+IF(Table13[[#This Row],[Response]]="Female",0,1)=2,E907,Table13[[#This Row],[Response]]),"")</f>
        <v/>
      </c>
      <c r="F908" s="1">
        <v>8</v>
      </c>
      <c r="G908" s="1" t="s">
        <v>8</v>
      </c>
      <c r="H908" s="2" t="s">
        <v>8</v>
      </c>
      <c r="I90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09" spans="1:11">
      <c r="A909" s="2" t="s">
        <v>24</v>
      </c>
      <c r="B909" s="2" t="s">
        <v>26</v>
      </c>
      <c r="C909" s="1">
        <v>9</v>
      </c>
      <c r="D909" s="1" t="s">
        <v>16</v>
      </c>
      <c r="E909" s="5" t="str">
        <f>IF(Table13[[#This Row],[Pre or Post]]="Pre",IF(IF(Table13[[#This Row],[Response]]="Male",0,1)+IF(Table13[[#This Row],[Response]]="Female",0,1)=2,E908,Table13[[#This Row],[Response]]),"")</f>
        <v/>
      </c>
      <c r="F909" s="1">
        <v>9</v>
      </c>
      <c r="G909" s="1" t="s">
        <v>17</v>
      </c>
      <c r="H909" s="2" t="s">
        <v>8</v>
      </c>
      <c r="I90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10" spans="1:11">
      <c r="A910" s="2" t="s">
        <v>24</v>
      </c>
      <c r="B910" s="2" t="s">
        <v>26</v>
      </c>
      <c r="C910" s="1">
        <v>9</v>
      </c>
      <c r="D910" s="1" t="s">
        <v>16</v>
      </c>
      <c r="E910" s="5" t="str">
        <f>IF(Table13[[#This Row],[Pre or Post]]="Pre",IF(IF(Table13[[#This Row],[Response]]="Male",0,1)+IF(Table13[[#This Row],[Response]]="Female",0,1)=2,E909,Table13[[#This Row],[Response]]),"")</f>
        <v/>
      </c>
      <c r="F910" s="1">
        <v>10</v>
      </c>
      <c r="G910" s="1" t="s">
        <v>19</v>
      </c>
      <c r="H910" s="2" t="s">
        <v>8</v>
      </c>
      <c r="I91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11" spans="1:11">
      <c r="A911" s="2" t="s">
        <v>24</v>
      </c>
      <c r="B911" s="2" t="s">
        <v>26</v>
      </c>
      <c r="C911" s="1">
        <v>9</v>
      </c>
      <c r="D911" s="1" t="s">
        <v>16</v>
      </c>
      <c r="E911" s="5" t="str">
        <f>IF(Table13[[#This Row],[Pre or Post]]="Pre",IF(IF(Table13[[#This Row],[Response]]="Male",0,1)+IF(Table13[[#This Row],[Response]]="Female",0,1)=2,E910,Table13[[#This Row],[Response]]),"")</f>
        <v/>
      </c>
      <c r="F911" s="1">
        <v>11</v>
      </c>
      <c r="G911" s="1" t="s">
        <v>9</v>
      </c>
      <c r="H911" s="2" t="s">
        <v>8</v>
      </c>
      <c r="I91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12" spans="1:11">
      <c r="A912" s="2" t="s">
        <v>24</v>
      </c>
      <c r="B912" s="2" t="s">
        <v>26</v>
      </c>
      <c r="C912" s="1">
        <v>10</v>
      </c>
      <c r="D912" s="1" t="s">
        <v>16</v>
      </c>
      <c r="E912" s="5" t="str">
        <f>IF(Table13[[#This Row],[Pre or Post]]="Pre",IF(IF(Table13[[#This Row],[Response]]="Male",0,1)+IF(Table13[[#This Row],[Response]]="Female",0,1)=2,E911,Table13[[#This Row],[Response]]),"")</f>
        <v/>
      </c>
      <c r="F912" s="1">
        <v>2</v>
      </c>
      <c r="G912" s="1">
        <v>5</v>
      </c>
      <c r="H912" s="2" t="s">
        <v>8</v>
      </c>
      <c r="I91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13" spans="1:11">
      <c r="A913" s="2" t="s">
        <v>24</v>
      </c>
      <c r="B913" s="2" t="s">
        <v>26</v>
      </c>
      <c r="C913" s="1">
        <v>10</v>
      </c>
      <c r="D913" s="1" t="s">
        <v>16</v>
      </c>
      <c r="E913" s="5" t="str">
        <f>IF(Table13[[#This Row],[Pre or Post]]="Pre",IF(IF(Table13[[#This Row],[Response]]="Male",0,1)+IF(Table13[[#This Row],[Response]]="Female",0,1)=2,E912,Table13[[#This Row],[Response]]),"")</f>
        <v/>
      </c>
      <c r="F913" s="1">
        <v>3</v>
      </c>
      <c r="G913" s="1">
        <v>5</v>
      </c>
      <c r="H913" s="2" t="s">
        <v>8</v>
      </c>
      <c r="I91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14" spans="1:11">
      <c r="A914" s="2" t="s">
        <v>24</v>
      </c>
      <c r="B914" s="2" t="s">
        <v>26</v>
      </c>
      <c r="C914" s="1">
        <v>10</v>
      </c>
      <c r="D914" s="1" t="s">
        <v>16</v>
      </c>
      <c r="E914" s="5" t="str">
        <f>IF(Table13[[#This Row],[Pre or Post]]="Pre",IF(IF(Table13[[#This Row],[Response]]="Male",0,1)+IF(Table13[[#This Row],[Response]]="Female",0,1)=2,E913,Table13[[#This Row],[Response]]),"")</f>
        <v/>
      </c>
      <c r="F914" s="1">
        <v>4</v>
      </c>
      <c r="G914" s="1">
        <v>4</v>
      </c>
      <c r="H914" s="2" t="s">
        <v>8</v>
      </c>
      <c r="I91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15" spans="1:11">
      <c r="A915" s="2" t="s">
        <v>24</v>
      </c>
      <c r="B915" s="2" t="s">
        <v>26</v>
      </c>
      <c r="C915" s="1">
        <v>10</v>
      </c>
      <c r="D915" s="1" t="s">
        <v>16</v>
      </c>
      <c r="E915" s="5" t="str">
        <f>IF(Table13[[#This Row],[Pre or Post]]="Pre",IF(IF(Table13[[#This Row],[Response]]="Male",0,1)+IF(Table13[[#This Row],[Response]]="Female",0,1)=2,E914,Table13[[#This Row],[Response]]),"")</f>
        <v/>
      </c>
      <c r="F915" s="1">
        <v>5</v>
      </c>
      <c r="G915" s="1">
        <v>5</v>
      </c>
      <c r="H915" s="2" t="s">
        <v>8</v>
      </c>
      <c r="I91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16" spans="1:11">
      <c r="A916" s="2" t="s">
        <v>24</v>
      </c>
      <c r="B916" s="2" t="s">
        <v>26</v>
      </c>
      <c r="C916" s="1">
        <v>10</v>
      </c>
      <c r="D916" s="1" t="s">
        <v>16</v>
      </c>
      <c r="E916" s="5" t="str">
        <f>IF(Table13[[#This Row],[Pre or Post]]="Pre",IF(IF(Table13[[#This Row],[Response]]="Male",0,1)+IF(Table13[[#This Row],[Response]]="Female",0,1)=2,E915,Table13[[#This Row],[Response]]),"")</f>
        <v/>
      </c>
      <c r="F916" s="1">
        <v>6</v>
      </c>
      <c r="G916" s="1">
        <v>4</v>
      </c>
      <c r="H916" s="2" t="s">
        <v>8</v>
      </c>
      <c r="I91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17" spans="1:11">
      <c r="A917" s="2" t="s">
        <v>24</v>
      </c>
      <c r="B917" s="2" t="s">
        <v>26</v>
      </c>
      <c r="C917" s="1">
        <v>10</v>
      </c>
      <c r="D917" s="1" t="s">
        <v>16</v>
      </c>
      <c r="E917" s="5" t="str">
        <f>IF(Table13[[#This Row],[Pre or Post]]="Pre",IF(IF(Table13[[#This Row],[Response]]="Male",0,1)+IF(Table13[[#This Row],[Response]]="Female",0,1)=2,E916,Table13[[#This Row],[Response]]),"")</f>
        <v/>
      </c>
      <c r="F917" s="1">
        <v>7</v>
      </c>
      <c r="G917" s="1">
        <v>3</v>
      </c>
      <c r="H917" s="2" t="s">
        <v>8</v>
      </c>
      <c r="I91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18" spans="1:11">
      <c r="A918" s="2" t="s">
        <v>24</v>
      </c>
      <c r="B918" s="2" t="s">
        <v>26</v>
      </c>
      <c r="C918" s="1">
        <v>10</v>
      </c>
      <c r="D918" s="1" t="s">
        <v>16</v>
      </c>
      <c r="E918" s="5" t="str">
        <f>IF(Table13[[#This Row],[Pre or Post]]="Pre",IF(IF(Table13[[#This Row],[Response]]="Male",0,1)+IF(Table13[[#This Row],[Response]]="Female",0,1)=2,E917,Table13[[#This Row],[Response]]),"")</f>
        <v/>
      </c>
      <c r="F918" s="1">
        <v>8</v>
      </c>
      <c r="G918" s="1" t="s">
        <v>8</v>
      </c>
      <c r="H918" s="2" t="s">
        <v>8</v>
      </c>
      <c r="I91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19" spans="1:11">
      <c r="A919" s="2" t="s">
        <v>24</v>
      </c>
      <c r="B919" s="2" t="s">
        <v>26</v>
      </c>
      <c r="C919" s="1">
        <v>10</v>
      </c>
      <c r="D919" s="1" t="s">
        <v>16</v>
      </c>
      <c r="E919" s="5" t="str">
        <f>IF(Table13[[#This Row],[Pre or Post]]="Pre",IF(IF(Table13[[#This Row],[Response]]="Male",0,1)+IF(Table13[[#This Row],[Response]]="Female",0,1)=2,E918,Table13[[#This Row],[Response]]),"")</f>
        <v/>
      </c>
      <c r="F919" s="1">
        <v>9</v>
      </c>
      <c r="G919" s="1"/>
      <c r="H919" s="2" t="s">
        <v>8</v>
      </c>
      <c r="I91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20" spans="1:11">
      <c r="A920" s="2" t="s">
        <v>24</v>
      </c>
      <c r="B920" s="2" t="s">
        <v>26</v>
      </c>
      <c r="C920" s="1">
        <v>10</v>
      </c>
      <c r="D920" s="1" t="s">
        <v>16</v>
      </c>
      <c r="E920" s="5" t="str">
        <f>IF(Table13[[#This Row],[Pre or Post]]="Pre",IF(IF(Table13[[#This Row],[Response]]="Male",0,1)+IF(Table13[[#This Row],[Response]]="Female",0,1)=2,E919,Table13[[#This Row],[Response]]),"")</f>
        <v/>
      </c>
      <c r="F920" s="1">
        <v>10</v>
      </c>
      <c r="G920" s="1"/>
      <c r="H920" s="2" t="s">
        <v>8</v>
      </c>
      <c r="I92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21" spans="1:11">
      <c r="A921" s="2" t="s">
        <v>24</v>
      </c>
      <c r="B921" s="2" t="s">
        <v>26</v>
      </c>
      <c r="C921" s="1">
        <v>10</v>
      </c>
      <c r="D921" s="1" t="s">
        <v>16</v>
      </c>
      <c r="E921" s="5" t="str">
        <f>IF(Table13[[#This Row],[Pre or Post]]="Pre",IF(IF(Table13[[#This Row],[Response]]="Male",0,1)+IF(Table13[[#This Row],[Response]]="Female",0,1)=2,E920,Table13[[#This Row],[Response]]),"")</f>
        <v/>
      </c>
      <c r="F921" s="1">
        <v>11</v>
      </c>
      <c r="G921" s="2"/>
      <c r="H921" s="2" t="s">
        <v>8</v>
      </c>
      <c r="I92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22" spans="1:11">
      <c r="A922" s="2" t="s">
        <v>24</v>
      </c>
      <c r="B922" s="2" t="s">
        <v>26</v>
      </c>
      <c r="C922" s="1">
        <v>11</v>
      </c>
      <c r="D922" s="1" t="s">
        <v>16</v>
      </c>
      <c r="E922" s="5" t="str">
        <f>IF(Table13[[#This Row],[Pre or Post]]="Pre",IF(IF(Table13[[#This Row],[Response]]="Male",0,1)+IF(Table13[[#This Row],[Response]]="Female",0,1)=2,E921,Table13[[#This Row],[Response]]),"")</f>
        <v/>
      </c>
      <c r="F922" s="1">
        <v>2</v>
      </c>
      <c r="G922" s="1">
        <v>3</v>
      </c>
      <c r="H922" s="2" t="s">
        <v>8</v>
      </c>
      <c r="I92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23" spans="1:11">
      <c r="A923" s="2" t="s">
        <v>24</v>
      </c>
      <c r="B923" s="2" t="s">
        <v>26</v>
      </c>
      <c r="C923" s="1">
        <v>11</v>
      </c>
      <c r="D923" s="1" t="s">
        <v>16</v>
      </c>
      <c r="E923" s="5" t="str">
        <f>IF(Table13[[#This Row],[Pre or Post]]="Pre",IF(IF(Table13[[#This Row],[Response]]="Male",0,1)+IF(Table13[[#This Row],[Response]]="Female",0,1)=2,E922,Table13[[#This Row],[Response]]),"")</f>
        <v/>
      </c>
      <c r="F923" s="1">
        <v>3</v>
      </c>
      <c r="G923" s="1">
        <v>3</v>
      </c>
      <c r="H923" s="2" t="s">
        <v>8</v>
      </c>
      <c r="I92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24" spans="1:11">
      <c r="A924" s="2" t="s">
        <v>24</v>
      </c>
      <c r="B924" s="2" t="s">
        <v>26</v>
      </c>
      <c r="C924" s="1">
        <v>11</v>
      </c>
      <c r="D924" s="1" t="s">
        <v>16</v>
      </c>
      <c r="E924" s="5" t="str">
        <f>IF(Table13[[#This Row],[Pre or Post]]="Pre",IF(IF(Table13[[#This Row],[Response]]="Male",0,1)+IF(Table13[[#This Row],[Response]]="Female",0,1)=2,E923,Table13[[#This Row],[Response]]),"")</f>
        <v/>
      </c>
      <c r="F924" s="1">
        <v>4</v>
      </c>
      <c r="G924" s="1">
        <v>3</v>
      </c>
      <c r="H924" s="2" t="s">
        <v>8</v>
      </c>
      <c r="I92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25" spans="1:11">
      <c r="A925" s="2" t="s">
        <v>24</v>
      </c>
      <c r="B925" s="2" t="s">
        <v>26</v>
      </c>
      <c r="C925" s="1">
        <v>11</v>
      </c>
      <c r="D925" s="1" t="s">
        <v>16</v>
      </c>
      <c r="E925" s="5" t="str">
        <f>IF(Table13[[#This Row],[Pre or Post]]="Pre",IF(IF(Table13[[#This Row],[Response]]="Male",0,1)+IF(Table13[[#This Row],[Response]]="Female",0,1)=2,E924,Table13[[#This Row],[Response]]),"")</f>
        <v/>
      </c>
      <c r="F925" s="1">
        <v>5</v>
      </c>
      <c r="G925" s="1">
        <v>4</v>
      </c>
      <c r="H925" s="2" t="s">
        <v>8</v>
      </c>
      <c r="I92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26" spans="1:11">
      <c r="A926" s="2" t="s">
        <v>24</v>
      </c>
      <c r="B926" s="2" t="s">
        <v>26</v>
      </c>
      <c r="C926" s="1">
        <v>11</v>
      </c>
      <c r="D926" s="1" t="s">
        <v>16</v>
      </c>
      <c r="E926" s="5" t="str">
        <f>IF(Table13[[#This Row],[Pre or Post]]="Pre",IF(IF(Table13[[#This Row],[Response]]="Male",0,1)+IF(Table13[[#This Row],[Response]]="Female",0,1)=2,E925,Table13[[#This Row],[Response]]),"")</f>
        <v/>
      </c>
      <c r="F926" s="1">
        <v>6</v>
      </c>
      <c r="G926" s="1">
        <v>4</v>
      </c>
      <c r="H926" s="2" t="s">
        <v>8</v>
      </c>
      <c r="I92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27" spans="1:11">
      <c r="A927" s="2" t="s">
        <v>24</v>
      </c>
      <c r="B927" s="2" t="s">
        <v>26</v>
      </c>
      <c r="C927" s="1">
        <v>11</v>
      </c>
      <c r="D927" s="1" t="s">
        <v>16</v>
      </c>
      <c r="E927" s="5" t="str">
        <f>IF(Table13[[#This Row],[Pre or Post]]="Pre",IF(IF(Table13[[#This Row],[Response]]="Male",0,1)+IF(Table13[[#This Row],[Response]]="Female",0,1)=2,E926,Table13[[#This Row],[Response]]),"")</f>
        <v/>
      </c>
      <c r="F927" s="1">
        <v>7</v>
      </c>
      <c r="G927" s="1">
        <v>3</v>
      </c>
      <c r="H927" s="2" t="s">
        <v>8</v>
      </c>
      <c r="I92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28" spans="1:11">
      <c r="A928" s="2" t="s">
        <v>24</v>
      </c>
      <c r="B928" s="2" t="s">
        <v>26</v>
      </c>
      <c r="C928" s="1">
        <v>11</v>
      </c>
      <c r="D928" s="1" t="s">
        <v>16</v>
      </c>
      <c r="E928" s="5" t="str">
        <f>IF(Table13[[#This Row],[Pre or Post]]="Pre",IF(IF(Table13[[#This Row],[Response]]="Male",0,1)+IF(Table13[[#This Row],[Response]]="Female",0,1)=2,E927,Table13[[#This Row],[Response]]),"")</f>
        <v/>
      </c>
      <c r="F928" s="1">
        <v>8</v>
      </c>
      <c r="G928" s="1" t="s">
        <v>8</v>
      </c>
      <c r="H928" s="2" t="s">
        <v>8</v>
      </c>
      <c r="I92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29" spans="1:11">
      <c r="A929" s="2" t="s">
        <v>24</v>
      </c>
      <c r="B929" s="2" t="s">
        <v>26</v>
      </c>
      <c r="C929" s="1">
        <v>11</v>
      </c>
      <c r="D929" s="1" t="s">
        <v>16</v>
      </c>
      <c r="E929" s="5" t="str">
        <f>IF(Table13[[#This Row],[Pre or Post]]="Pre",IF(IF(Table13[[#This Row],[Response]]="Male",0,1)+IF(Table13[[#This Row],[Response]]="Female",0,1)=2,E928,Table13[[#This Row],[Response]]),"")</f>
        <v/>
      </c>
      <c r="F929" s="1">
        <v>9</v>
      </c>
      <c r="G929" s="1" t="s">
        <v>17</v>
      </c>
      <c r="H929" s="2" t="s">
        <v>8</v>
      </c>
      <c r="I92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30" spans="1:11">
      <c r="A930" s="2" t="s">
        <v>24</v>
      </c>
      <c r="B930" s="2" t="s">
        <v>26</v>
      </c>
      <c r="C930" s="1">
        <v>11</v>
      </c>
      <c r="D930" s="1" t="s">
        <v>16</v>
      </c>
      <c r="E930" s="5" t="str">
        <f>IF(Table13[[#This Row],[Pre or Post]]="Pre",IF(IF(Table13[[#This Row],[Response]]="Male",0,1)+IF(Table13[[#This Row],[Response]]="Female",0,1)=2,E929,Table13[[#This Row],[Response]]),"")</f>
        <v/>
      </c>
      <c r="F930" s="1">
        <v>10</v>
      </c>
      <c r="G930" s="1" t="s">
        <v>18</v>
      </c>
      <c r="H930" s="2" t="s">
        <v>8</v>
      </c>
      <c r="I93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31" spans="1:11">
      <c r="A931" s="2" t="s">
        <v>24</v>
      </c>
      <c r="B931" s="2" t="s">
        <v>26</v>
      </c>
      <c r="C931" s="1">
        <v>11</v>
      </c>
      <c r="D931" s="1" t="s">
        <v>16</v>
      </c>
      <c r="E931" s="5" t="str">
        <f>IF(Table13[[#This Row],[Pre or Post]]="Pre",IF(IF(Table13[[#This Row],[Response]]="Male",0,1)+IF(Table13[[#This Row],[Response]]="Female",0,1)=2,E930,Table13[[#This Row],[Response]]),"")</f>
        <v/>
      </c>
      <c r="F931" s="1">
        <v>11</v>
      </c>
      <c r="G931" s="1" t="s">
        <v>9</v>
      </c>
      <c r="H931" s="2" t="s">
        <v>8</v>
      </c>
      <c r="I93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32" spans="1:11">
      <c r="A932" s="2" t="s">
        <v>24</v>
      </c>
      <c r="B932" s="2" t="s">
        <v>26</v>
      </c>
      <c r="C932" s="1">
        <v>12</v>
      </c>
      <c r="D932" s="1" t="s">
        <v>16</v>
      </c>
      <c r="E932" s="5" t="str">
        <f>IF(Table13[[#This Row],[Pre or Post]]="Pre",IF(IF(Table13[[#This Row],[Response]]="Male",0,1)+IF(Table13[[#This Row],[Response]]="Female",0,1)=2,E931,Table13[[#This Row],[Response]]),"")</f>
        <v/>
      </c>
      <c r="F932" s="1">
        <v>2</v>
      </c>
      <c r="G932" s="1">
        <v>2</v>
      </c>
      <c r="H932" s="2" t="s">
        <v>8</v>
      </c>
      <c r="I93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33" spans="1:11">
      <c r="A933" s="2" t="s">
        <v>24</v>
      </c>
      <c r="B933" s="2" t="s">
        <v>26</v>
      </c>
      <c r="C933" s="1">
        <v>12</v>
      </c>
      <c r="D933" s="1" t="s">
        <v>16</v>
      </c>
      <c r="E933" s="5" t="str">
        <f>IF(Table13[[#This Row],[Pre or Post]]="Pre",IF(IF(Table13[[#This Row],[Response]]="Male",0,1)+IF(Table13[[#This Row],[Response]]="Female",0,1)=2,E932,Table13[[#This Row],[Response]]),"")</f>
        <v/>
      </c>
      <c r="F933" s="1">
        <v>3</v>
      </c>
      <c r="G933" s="1">
        <v>2</v>
      </c>
      <c r="H933" s="2" t="s">
        <v>8</v>
      </c>
      <c r="I93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34" spans="1:11">
      <c r="A934" s="2" t="s">
        <v>24</v>
      </c>
      <c r="B934" s="2" t="s">
        <v>26</v>
      </c>
      <c r="C934" s="1">
        <v>12</v>
      </c>
      <c r="D934" s="1" t="s">
        <v>16</v>
      </c>
      <c r="E934" s="5" t="str">
        <f>IF(Table13[[#This Row],[Pre or Post]]="Pre",IF(IF(Table13[[#This Row],[Response]]="Male",0,1)+IF(Table13[[#This Row],[Response]]="Female",0,1)=2,E933,Table13[[#This Row],[Response]]),"")</f>
        <v/>
      </c>
      <c r="F934" s="1">
        <v>4</v>
      </c>
      <c r="G934" s="1">
        <v>3</v>
      </c>
      <c r="H934" s="2" t="s">
        <v>8</v>
      </c>
      <c r="I93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35" spans="1:11">
      <c r="A935" s="2" t="s">
        <v>24</v>
      </c>
      <c r="B935" s="2" t="s">
        <v>26</v>
      </c>
      <c r="C935" s="1">
        <v>12</v>
      </c>
      <c r="D935" s="1" t="s">
        <v>16</v>
      </c>
      <c r="E935" s="5" t="str">
        <f>IF(Table13[[#This Row],[Pre or Post]]="Pre",IF(IF(Table13[[#This Row],[Response]]="Male",0,1)+IF(Table13[[#This Row],[Response]]="Female",0,1)=2,E934,Table13[[#This Row],[Response]]),"")</f>
        <v/>
      </c>
      <c r="F935" s="1">
        <v>5</v>
      </c>
      <c r="G935" s="1">
        <v>3</v>
      </c>
      <c r="H935" s="2" t="s">
        <v>8</v>
      </c>
      <c r="I93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36" spans="1:11">
      <c r="A936" s="2" t="s">
        <v>24</v>
      </c>
      <c r="B936" s="2" t="s">
        <v>26</v>
      </c>
      <c r="C936" s="1">
        <v>12</v>
      </c>
      <c r="D936" s="1" t="s">
        <v>16</v>
      </c>
      <c r="E936" s="5" t="str">
        <f>IF(Table13[[#This Row],[Pre or Post]]="Pre",IF(IF(Table13[[#This Row],[Response]]="Male",0,1)+IF(Table13[[#This Row],[Response]]="Female",0,1)=2,E935,Table13[[#This Row],[Response]]),"")</f>
        <v/>
      </c>
      <c r="F936" s="1">
        <v>6</v>
      </c>
      <c r="G936" s="1">
        <v>4</v>
      </c>
      <c r="H936" s="2" t="s">
        <v>8</v>
      </c>
      <c r="I93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37" spans="1:11">
      <c r="A937" s="2" t="s">
        <v>24</v>
      </c>
      <c r="B937" s="2" t="s">
        <v>26</v>
      </c>
      <c r="C937" s="1">
        <v>12</v>
      </c>
      <c r="D937" s="1" t="s">
        <v>16</v>
      </c>
      <c r="E937" s="5" t="str">
        <f>IF(Table13[[#This Row],[Pre or Post]]="Pre",IF(IF(Table13[[#This Row],[Response]]="Male",0,1)+IF(Table13[[#This Row],[Response]]="Female",0,1)=2,E936,Table13[[#This Row],[Response]]),"")</f>
        <v/>
      </c>
      <c r="F937" s="1">
        <v>7</v>
      </c>
      <c r="G937" s="1">
        <v>3</v>
      </c>
      <c r="H937" s="2" t="s">
        <v>8</v>
      </c>
      <c r="I93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38" spans="1:11">
      <c r="A938" s="2" t="s">
        <v>24</v>
      </c>
      <c r="B938" s="2" t="s">
        <v>26</v>
      </c>
      <c r="C938" s="1">
        <v>12</v>
      </c>
      <c r="D938" s="1" t="s">
        <v>16</v>
      </c>
      <c r="E938" s="5" t="str">
        <f>IF(Table13[[#This Row],[Pre or Post]]="Pre",IF(IF(Table13[[#This Row],[Response]]="Male",0,1)+IF(Table13[[#This Row],[Response]]="Female",0,1)=2,E937,Table13[[#This Row],[Response]]),"")</f>
        <v/>
      </c>
      <c r="F938" s="1">
        <v>8</v>
      </c>
      <c r="G938" s="1" t="s">
        <v>8</v>
      </c>
      <c r="H938" s="2" t="s">
        <v>8</v>
      </c>
      <c r="I93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39" spans="1:11">
      <c r="A939" s="2" t="s">
        <v>24</v>
      </c>
      <c r="B939" s="2" t="s">
        <v>26</v>
      </c>
      <c r="C939" s="1">
        <v>12</v>
      </c>
      <c r="D939" s="1" t="s">
        <v>16</v>
      </c>
      <c r="E939" s="5" t="str">
        <f>IF(Table13[[#This Row],[Pre or Post]]="Pre",IF(IF(Table13[[#This Row],[Response]]="Male",0,1)+IF(Table13[[#This Row],[Response]]="Female",0,1)=2,E938,Table13[[#This Row],[Response]]),"")</f>
        <v/>
      </c>
      <c r="F939" s="1">
        <v>9</v>
      </c>
      <c r="G939" s="1"/>
      <c r="H939" s="2" t="s">
        <v>8</v>
      </c>
      <c r="I93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40" spans="1:11">
      <c r="A940" s="2" t="s">
        <v>24</v>
      </c>
      <c r="B940" s="2" t="s">
        <v>26</v>
      </c>
      <c r="C940" s="1">
        <v>12</v>
      </c>
      <c r="D940" s="1" t="s">
        <v>16</v>
      </c>
      <c r="E940" s="5" t="str">
        <f>IF(Table13[[#This Row],[Pre or Post]]="Pre",IF(IF(Table13[[#This Row],[Response]]="Male",0,1)+IF(Table13[[#This Row],[Response]]="Female",0,1)=2,E939,Table13[[#This Row],[Response]]),"")</f>
        <v/>
      </c>
      <c r="F940" s="1">
        <v>10</v>
      </c>
      <c r="G940" s="1"/>
      <c r="H940" s="2" t="s">
        <v>8</v>
      </c>
      <c r="I94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41" spans="1:11">
      <c r="A941" s="2" t="s">
        <v>24</v>
      </c>
      <c r="B941" s="2" t="s">
        <v>26</v>
      </c>
      <c r="C941" s="1">
        <v>12</v>
      </c>
      <c r="D941" s="1" t="s">
        <v>16</v>
      </c>
      <c r="E941" s="5" t="str">
        <f>IF(Table13[[#This Row],[Pre or Post]]="Pre",IF(IF(Table13[[#This Row],[Response]]="Male",0,1)+IF(Table13[[#This Row],[Response]]="Female",0,1)=2,E940,Table13[[#This Row],[Response]]),"")</f>
        <v/>
      </c>
      <c r="F941" s="1">
        <v>11</v>
      </c>
      <c r="G941" s="2"/>
      <c r="H941" s="2" t="s">
        <v>8</v>
      </c>
      <c r="I94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42" spans="1:11">
      <c r="A942" s="2" t="s">
        <v>24</v>
      </c>
      <c r="B942" s="2" t="s">
        <v>26</v>
      </c>
      <c r="C942" s="1">
        <v>13</v>
      </c>
      <c r="D942" s="1" t="s">
        <v>16</v>
      </c>
      <c r="E942" s="5" t="str">
        <f>IF(Table13[[#This Row],[Pre or Post]]="Pre",IF(IF(Table13[[#This Row],[Response]]="Male",0,1)+IF(Table13[[#This Row],[Response]]="Female",0,1)=2,E941,Table13[[#This Row],[Response]]),"")</f>
        <v/>
      </c>
      <c r="F942" s="1">
        <v>2</v>
      </c>
      <c r="G942" s="1">
        <v>5</v>
      </c>
      <c r="H942" s="2" t="s">
        <v>8</v>
      </c>
      <c r="I94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43" spans="1:11">
      <c r="A943" s="2" t="s">
        <v>24</v>
      </c>
      <c r="B943" s="2" t="s">
        <v>26</v>
      </c>
      <c r="C943" s="1">
        <v>13</v>
      </c>
      <c r="D943" s="1" t="s">
        <v>16</v>
      </c>
      <c r="E943" s="5" t="str">
        <f>IF(Table13[[#This Row],[Pre or Post]]="Pre",IF(IF(Table13[[#This Row],[Response]]="Male",0,1)+IF(Table13[[#This Row],[Response]]="Female",0,1)=2,E942,Table13[[#This Row],[Response]]),"")</f>
        <v/>
      </c>
      <c r="F943" s="1">
        <v>3</v>
      </c>
      <c r="G943" s="1">
        <v>5</v>
      </c>
      <c r="H943" s="2" t="s">
        <v>8</v>
      </c>
      <c r="I94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44" spans="1:11">
      <c r="A944" s="2" t="s">
        <v>24</v>
      </c>
      <c r="B944" s="2" t="s">
        <v>26</v>
      </c>
      <c r="C944" s="1">
        <v>13</v>
      </c>
      <c r="D944" s="1" t="s">
        <v>16</v>
      </c>
      <c r="E944" s="5" t="str">
        <f>IF(Table13[[#This Row],[Pre or Post]]="Pre",IF(IF(Table13[[#This Row],[Response]]="Male",0,1)+IF(Table13[[#This Row],[Response]]="Female",0,1)=2,E943,Table13[[#This Row],[Response]]),"")</f>
        <v/>
      </c>
      <c r="F944" s="1">
        <v>4</v>
      </c>
      <c r="G944" s="1">
        <v>2</v>
      </c>
      <c r="H944" s="2" t="s">
        <v>8</v>
      </c>
      <c r="I94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45" spans="1:11">
      <c r="A945" s="2" t="s">
        <v>24</v>
      </c>
      <c r="B945" s="2" t="s">
        <v>26</v>
      </c>
      <c r="C945" s="1">
        <v>13</v>
      </c>
      <c r="D945" s="1" t="s">
        <v>16</v>
      </c>
      <c r="E945" s="5" t="str">
        <f>IF(Table13[[#This Row],[Pre or Post]]="Pre",IF(IF(Table13[[#This Row],[Response]]="Male",0,1)+IF(Table13[[#This Row],[Response]]="Female",0,1)=2,E944,Table13[[#This Row],[Response]]),"")</f>
        <v/>
      </c>
      <c r="F945" s="1">
        <v>5</v>
      </c>
      <c r="G945" s="1">
        <v>5</v>
      </c>
      <c r="H945" s="2" t="s">
        <v>8</v>
      </c>
      <c r="I94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46" spans="1:11">
      <c r="A946" s="2" t="s">
        <v>24</v>
      </c>
      <c r="B946" s="2" t="s">
        <v>26</v>
      </c>
      <c r="C946" s="1">
        <v>13</v>
      </c>
      <c r="D946" s="1" t="s">
        <v>16</v>
      </c>
      <c r="E946" s="5" t="str">
        <f>IF(Table13[[#This Row],[Pre or Post]]="Pre",IF(IF(Table13[[#This Row],[Response]]="Male",0,1)+IF(Table13[[#This Row],[Response]]="Female",0,1)=2,E945,Table13[[#This Row],[Response]]),"")</f>
        <v/>
      </c>
      <c r="F946" s="1">
        <v>6</v>
      </c>
      <c r="G946" s="1">
        <v>3</v>
      </c>
      <c r="H946" s="2" t="s">
        <v>8</v>
      </c>
      <c r="I94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47" spans="1:11">
      <c r="A947" s="2" t="s">
        <v>24</v>
      </c>
      <c r="B947" s="2" t="s">
        <v>26</v>
      </c>
      <c r="C947" s="1">
        <v>13</v>
      </c>
      <c r="D947" s="1" t="s">
        <v>16</v>
      </c>
      <c r="E947" s="5" t="str">
        <f>IF(Table13[[#This Row],[Pre or Post]]="Pre",IF(IF(Table13[[#This Row],[Response]]="Male",0,1)+IF(Table13[[#This Row],[Response]]="Female",0,1)=2,E946,Table13[[#This Row],[Response]]),"")</f>
        <v/>
      </c>
      <c r="F947" s="1">
        <v>7</v>
      </c>
      <c r="G947" s="1">
        <v>2</v>
      </c>
      <c r="H947" s="2" t="s">
        <v>8</v>
      </c>
      <c r="I94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48" spans="1:11">
      <c r="A948" s="2" t="s">
        <v>24</v>
      </c>
      <c r="B948" s="2" t="s">
        <v>26</v>
      </c>
      <c r="C948" s="1">
        <v>13</v>
      </c>
      <c r="D948" s="1" t="s">
        <v>16</v>
      </c>
      <c r="E948" s="5" t="str">
        <f>IF(Table13[[#This Row],[Pre or Post]]="Pre",IF(IF(Table13[[#This Row],[Response]]="Male",0,1)+IF(Table13[[#This Row],[Response]]="Female",0,1)=2,E947,Table13[[#This Row],[Response]]),"")</f>
        <v/>
      </c>
      <c r="F948" s="1">
        <v>8</v>
      </c>
      <c r="G948" s="1" t="s">
        <v>9</v>
      </c>
      <c r="H948" s="2" t="s">
        <v>8</v>
      </c>
      <c r="I94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49" spans="1:11">
      <c r="A949" s="2" t="s">
        <v>24</v>
      </c>
      <c r="B949" s="2" t="s">
        <v>26</v>
      </c>
      <c r="C949" s="1">
        <v>13</v>
      </c>
      <c r="D949" s="1" t="s">
        <v>16</v>
      </c>
      <c r="E949" s="5" t="str">
        <f>IF(Table13[[#This Row],[Pre or Post]]="Pre",IF(IF(Table13[[#This Row],[Response]]="Male",0,1)+IF(Table13[[#This Row],[Response]]="Female",0,1)=2,E948,Table13[[#This Row],[Response]]),"")</f>
        <v/>
      </c>
      <c r="F949" s="1">
        <v>9</v>
      </c>
      <c r="G949" s="1"/>
      <c r="H949" s="2" t="s">
        <v>8</v>
      </c>
      <c r="I94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50" spans="1:11">
      <c r="A950" s="2" t="s">
        <v>24</v>
      </c>
      <c r="B950" s="2" t="s">
        <v>26</v>
      </c>
      <c r="C950" s="1">
        <v>13</v>
      </c>
      <c r="D950" s="1" t="s">
        <v>16</v>
      </c>
      <c r="E950" s="5" t="str">
        <f>IF(Table13[[#This Row],[Pre or Post]]="Pre",IF(IF(Table13[[#This Row],[Response]]="Male",0,1)+IF(Table13[[#This Row],[Response]]="Female",0,1)=2,E949,Table13[[#This Row],[Response]]),"")</f>
        <v/>
      </c>
      <c r="F950" s="1">
        <v>10</v>
      </c>
      <c r="G950" s="1"/>
      <c r="H950" s="2" t="s">
        <v>8</v>
      </c>
      <c r="I95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51" spans="1:11">
      <c r="A951" s="2" t="s">
        <v>24</v>
      </c>
      <c r="B951" s="2" t="s">
        <v>26</v>
      </c>
      <c r="C951" s="1">
        <v>13</v>
      </c>
      <c r="D951" s="1" t="s">
        <v>16</v>
      </c>
      <c r="E951" s="5" t="str">
        <f>IF(Table13[[#This Row],[Pre or Post]]="Pre",IF(IF(Table13[[#This Row],[Response]]="Male",0,1)+IF(Table13[[#This Row],[Response]]="Female",0,1)=2,E950,Table13[[#This Row],[Response]]),"")</f>
        <v/>
      </c>
      <c r="F951" s="1">
        <v>11</v>
      </c>
      <c r="G951" s="1"/>
      <c r="H951" s="2" t="s">
        <v>8</v>
      </c>
      <c r="I95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52" spans="1:11">
      <c r="A952" s="2" t="s">
        <v>24</v>
      </c>
      <c r="B952" s="2" t="s">
        <v>26</v>
      </c>
      <c r="C952" s="1">
        <v>14</v>
      </c>
      <c r="D952" s="1" t="s">
        <v>16</v>
      </c>
      <c r="E952" s="5" t="str">
        <f>IF(Table13[[#This Row],[Pre or Post]]="Pre",IF(IF(Table13[[#This Row],[Response]]="Male",0,1)+IF(Table13[[#This Row],[Response]]="Female",0,1)=2,E951,Table13[[#This Row],[Response]]),"")</f>
        <v/>
      </c>
      <c r="F952" s="1">
        <v>2</v>
      </c>
      <c r="G952" s="1">
        <v>4</v>
      </c>
      <c r="H952" s="2" t="s">
        <v>8</v>
      </c>
      <c r="I95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53" spans="1:11">
      <c r="A953" s="2" t="s">
        <v>24</v>
      </c>
      <c r="B953" s="2" t="s">
        <v>26</v>
      </c>
      <c r="C953" s="1">
        <v>14</v>
      </c>
      <c r="D953" s="1" t="s">
        <v>16</v>
      </c>
      <c r="E953" s="5" t="str">
        <f>IF(Table13[[#This Row],[Pre or Post]]="Pre",IF(IF(Table13[[#This Row],[Response]]="Male",0,1)+IF(Table13[[#This Row],[Response]]="Female",0,1)=2,E952,Table13[[#This Row],[Response]]),"")</f>
        <v/>
      </c>
      <c r="F953" s="1">
        <v>3</v>
      </c>
      <c r="G953" s="1">
        <v>3</v>
      </c>
      <c r="H953" s="2" t="s">
        <v>8</v>
      </c>
      <c r="I95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54" spans="1:11">
      <c r="A954" s="2" t="s">
        <v>24</v>
      </c>
      <c r="B954" s="2" t="s">
        <v>26</v>
      </c>
      <c r="C954" s="1">
        <v>14</v>
      </c>
      <c r="D954" s="1" t="s">
        <v>16</v>
      </c>
      <c r="E954" s="5" t="str">
        <f>IF(Table13[[#This Row],[Pre or Post]]="Pre",IF(IF(Table13[[#This Row],[Response]]="Male",0,1)+IF(Table13[[#This Row],[Response]]="Female",0,1)=2,E953,Table13[[#This Row],[Response]]),"")</f>
        <v/>
      </c>
      <c r="F954" s="1">
        <v>4</v>
      </c>
      <c r="G954" s="1">
        <v>3</v>
      </c>
      <c r="H954" s="2" t="s">
        <v>8</v>
      </c>
      <c r="I95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55" spans="1:11">
      <c r="A955" s="2" t="s">
        <v>24</v>
      </c>
      <c r="B955" s="2" t="s">
        <v>26</v>
      </c>
      <c r="C955" s="1">
        <v>14</v>
      </c>
      <c r="D955" s="1" t="s">
        <v>16</v>
      </c>
      <c r="E955" s="5" t="str">
        <f>IF(Table13[[#This Row],[Pre or Post]]="Pre",IF(IF(Table13[[#This Row],[Response]]="Male",0,1)+IF(Table13[[#This Row],[Response]]="Female",0,1)=2,E954,Table13[[#This Row],[Response]]),"")</f>
        <v/>
      </c>
      <c r="F955" s="1">
        <v>5</v>
      </c>
      <c r="G955" s="1">
        <v>4</v>
      </c>
      <c r="H955" s="2" t="s">
        <v>8</v>
      </c>
      <c r="I95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56" spans="1:11">
      <c r="A956" s="2" t="s">
        <v>24</v>
      </c>
      <c r="B956" s="2" t="s">
        <v>26</v>
      </c>
      <c r="C956" s="1">
        <v>14</v>
      </c>
      <c r="D956" s="1" t="s">
        <v>16</v>
      </c>
      <c r="E956" s="5" t="str">
        <f>IF(Table13[[#This Row],[Pre or Post]]="Pre",IF(IF(Table13[[#This Row],[Response]]="Male",0,1)+IF(Table13[[#This Row],[Response]]="Female",0,1)=2,E955,Table13[[#This Row],[Response]]),"")</f>
        <v/>
      </c>
      <c r="F956" s="1">
        <v>6</v>
      </c>
      <c r="G956" s="1">
        <v>3</v>
      </c>
      <c r="H956" s="2" t="s">
        <v>8</v>
      </c>
      <c r="I95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57" spans="1:11">
      <c r="A957" s="2" t="s">
        <v>24</v>
      </c>
      <c r="B957" s="2" t="s">
        <v>26</v>
      </c>
      <c r="C957" s="1">
        <v>14</v>
      </c>
      <c r="D957" s="1" t="s">
        <v>16</v>
      </c>
      <c r="E957" s="5" t="str">
        <f>IF(Table13[[#This Row],[Pre or Post]]="Pre",IF(IF(Table13[[#This Row],[Response]]="Male",0,1)+IF(Table13[[#This Row],[Response]]="Female",0,1)=2,E956,Table13[[#This Row],[Response]]),"")</f>
        <v/>
      </c>
      <c r="F957" s="1">
        <v>7</v>
      </c>
      <c r="G957" s="1">
        <v>3</v>
      </c>
      <c r="H957" s="2" t="s">
        <v>8</v>
      </c>
      <c r="I95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58" spans="1:11">
      <c r="A958" s="2" t="s">
        <v>24</v>
      </c>
      <c r="B958" s="2" t="s">
        <v>26</v>
      </c>
      <c r="C958" s="1">
        <v>14</v>
      </c>
      <c r="D958" s="1" t="s">
        <v>16</v>
      </c>
      <c r="E958" s="5" t="str">
        <f>IF(Table13[[#This Row],[Pre or Post]]="Pre",IF(IF(Table13[[#This Row],[Response]]="Male",0,1)+IF(Table13[[#This Row],[Response]]="Female",0,1)=2,E957,Table13[[#This Row],[Response]]),"")</f>
        <v/>
      </c>
      <c r="F958" s="1">
        <v>8</v>
      </c>
      <c r="G958" s="1" t="s">
        <v>9</v>
      </c>
      <c r="H958" s="2" t="s">
        <v>8</v>
      </c>
      <c r="I95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59" spans="1:11">
      <c r="A959" s="2" t="s">
        <v>24</v>
      </c>
      <c r="B959" s="2" t="s">
        <v>26</v>
      </c>
      <c r="C959" s="1">
        <v>14</v>
      </c>
      <c r="D959" s="1" t="s">
        <v>16</v>
      </c>
      <c r="E959" s="5" t="str">
        <f>IF(Table13[[#This Row],[Pre or Post]]="Pre",IF(IF(Table13[[#This Row],[Response]]="Male",0,1)+IF(Table13[[#This Row],[Response]]="Female",0,1)=2,E958,Table13[[#This Row],[Response]]),"")</f>
        <v/>
      </c>
      <c r="F959" s="1">
        <v>9</v>
      </c>
      <c r="G959" s="1" t="s">
        <v>22</v>
      </c>
      <c r="H959" s="2" t="s">
        <v>8</v>
      </c>
      <c r="I95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60" spans="1:11">
      <c r="A960" s="2" t="s">
        <v>24</v>
      </c>
      <c r="B960" s="2" t="s">
        <v>26</v>
      </c>
      <c r="C960" s="1">
        <v>14</v>
      </c>
      <c r="D960" s="1" t="s">
        <v>16</v>
      </c>
      <c r="E960" s="5" t="str">
        <f>IF(Table13[[#This Row],[Pre or Post]]="Pre",IF(IF(Table13[[#This Row],[Response]]="Male",0,1)+IF(Table13[[#This Row],[Response]]="Female",0,1)=2,E959,Table13[[#This Row],[Response]]),"")</f>
        <v/>
      </c>
      <c r="F960" s="1">
        <v>10</v>
      </c>
      <c r="G960" s="1" t="s">
        <v>19</v>
      </c>
      <c r="H960" s="2" t="s">
        <v>8</v>
      </c>
      <c r="I96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61" spans="1:11">
      <c r="A961" s="2" t="s">
        <v>24</v>
      </c>
      <c r="B961" s="2" t="s">
        <v>26</v>
      </c>
      <c r="C961" s="1">
        <v>14</v>
      </c>
      <c r="D961" s="1" t="s">
        <v>16</v>
      </c>
      <c r="E961" s="5" t="str">
        <f>IF(Table13[[#This Row],[Pre or Post]]="Pre",IF(IF(Table13[[#This Row],[Response]]="Male",0,1)+IF(Table13[[#This Row],[Response]]="Female",0,1)=2,E960,Table13[[#This Row],[Response]]),"")</f>
        <v/>
      </c>
      <c r="F961" s="1">
        <v>11</v>
      </c>
      <c r="G961" s="2"/>
      <c r="H961" s="2" t="s">
        <v>8</v>
      </c>
      <c r="I96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62" spans="1:11">
      <c r="A962" s="2" t="s">
        <v>24</v>
      </c>
      <c r="B962" s="2" t="s">
        <v>26</v>
      </c>
      <c r="C962" s="1">
        <v>15</v>
      </c>
      <c r="D962" s="1" t="s">
        <v>16</v>
      </c>
      <c r="E962" s="5" t="str">
        <f>IF(Table13[[#This Row],[Pre or Post]]="Pre",IF(IF(Table13[[#This Row],[Response]]="Male",0,1)+IF(Table13[[#This Row],[Response]]="Female",0,1)=2,E961,Table13[[#This Row],[Response]]),"")</f>
        <v/>
      </c>
      <c r="F962" s="1">
        <v>2</v>
      </c>
      <c r="G962" s="1">
        <v>3</v>
      </c>
      <c r="H962" s="2" t="s">
        <v>8</v>
      </c>
      <c r="I96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63" spans="1:11">
      <c r="A963" s="2" t="s">
        <v>24</v>
      </c>
      <c r="B963" s="2" t="s">
        <v>26</v>
      </c>
      <c r="C963" s="1">
        <v>15</v>
      </c>
      <c r="D963" s="1" t="s">
        <v>16</v>
      </c>
      <c r="E963" s="5" t="str">
        <f>IF(Table13[[#This Row],[Pre or Post]]="Pre",IF(IF(Table13[[#This Row],[Response]]="Male",0,1)+IF(Table13[[#This Row],[Response]]="Female",0,1)=2,E962,Table13[[#This Row],[Response]]),"")</f>
        <v/>
      </c>
      <c r="F963" s="1">
        <v>3</v>
      </c>
      <c r="G963" s="1">
        <v>3</v>
      </c>
      <c r="H963" s="2" t="s">
        <v>8</v>
      </c>
      <c r="I96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64" spans="1:11">
      <c r="A964" s="2" t="s">
        <v>24</v>
      </c>
      <c r="B964" s="2" t="s">
        <v>26</v>
      </c>
      <c r="C964" s="1">
        <v>15</v>
      </c>
      <c r="D964" s="1" t="s">
        <v>16</v>
      </c>
      <c r="E964" s="5" t="str">
        <f>IF(Table13[[#This Row],[Pre or Post]]="Pre",IF(IF(Table13[[#This Row],[Response]]="Male",0,1)+IF(Table13[[#This Row],[Response]]="Female",0,1)=2,E963,Table13[[#This Row],[Response]]),"")</f>
        <v/>
      </c>
      <c r="F964" s="1">
        <v>4</v>
      </c>
      <c r="G964" s="1">
        <v>3</v>
      </c>
      <c r="H964" s="2" t="s">
        <v>8</v>
      </c>
      <c r="I96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65" spans="1:11">
      <c r="A965" s="2" t="s">
        <v>24</v>
      </c>
      <c r="B965" s="2" t="s">
        <v>26</v>
      </c>
      <c r="C965" s="1">
        <v>15</v>
      </c>
      <c r="D965" s="1" t="s">
        <v>16</v>
      </c>
      <c r="E965" s="5" t="str">
        <f>IF(Table13[[#This Row],[Pre or Post]]="Pre",IF(IF(Table13[[#This Row],[Response]]="Male",0,1)+IF(Table13[[#This Row],[Response]]="Female",0,1)=2,E964,Table13[[#This Row],[Response]]),"")</f>
        <v/>
      </c>
      <c r="F965" s="1">
        <v>5</v>
      </c>
      <c r="G965" s="1">
        <v>3</v>
      </c>
      <c r="H965" s="2" t="s">
        <v>8</v>
      </c>
      <c r="I96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66" spans="1:11">
      <c r="A966" s="2" t="s">
        <v>24</v>
      </c>
      <c r="B966" s="2" t="s">
        <v>26</v>
      </c>
      <c r="C966" s="1">
        <v>15</v>
      </c>
      <c r="D966" s="1" t="s">
        <v>16</v>
      </c>
      <c r="E966" s="5" t="str">
        <f>IF(Table13[[#This Row],[Pre or Post]]="Pre",IF(IF(Table13[[#This Row],[Response]]="Male",0,1)+IF(Table13[[#This Row],[Response]]="Female",0,1)=2,E965,Table13[[#This Row],[Response]]),"")</f>
        <v/>
      </c>
      <c r="F966" s="1">
        <v>6</v>
      </c>
      <c r="G966" s="1">
        <v>3</v>
      </c>
      <c r="H966" s="2" t="s">
        <v>8</v>
      </c>
      <c r="I96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67" spans="1:11">
      <c r="A967" s="2" t="s">
        <v>24</v>
      </c>
      <c r="B967" s="2" t="s">
        <v>26</v>
      </c>
      <c r="C967" s="1">
        <v>15</v>
      </c>
      <c r="D967" s="1" t="s">
        <v>16</v>
      </c>
      <c r="E967" s="5" t="str">
        <f>IF(Table13[[#This Row],[Pre or Post]]="Pre",IF(IF(Table13[[#This Row],[Response]]="Male",0,1)+IF(Table13[[#This Row],[Response]]="Female",0,1)=2,E966,Table13[[#This Row],[Response]]),"")</f>
        <v/>
      </c>
      <c r="F967" s="1">
        <v>7</v>
      </c>
      <c r="G967" s="1">
        <v>4</v>
      </c>
      <c r="H967" s="2" t="s">
        <v>8</v>
      </c>
      <c r="I96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68" spans="1:11">
      <c r="A968" s="2" t="s">
        <v>24</v>
      </c>
      <c r="B968" s="2" t="s">
        <v>26</v>
      </c>
      <c r="C968" s="1">
        <v>15</v>
      </c>
      <c r="D968" s="1" t="s">
        <v>16</v>
      </c>
      <c r="E968" s="5" t="str">
        <f>IF(Table13[[#This Row],[Pre or Post]]="Pre",IF(IF(Table13[[#This Row],[Response]]="Male",0,1)+IF(Table13[[#This Row],[Response]]="Female",0,1)=2,E967,Table13[[#This Row],[Response]]),"")</f>
        <v/>
      </c>
      <c r="F968" s="1">
        <v>8</v>
      </c>
      <c r="G968" s="1" t="s">
        <v>8</v>
      </c>
      <c r="H968" s="2" t="s">
        <v>8</v>
      </c>
      <c r="I96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69" spans="1:11">
      <c r="A969" s="2" t="s">
        <v>24</v>
      </c>
      <c r="B969" s="2" t="s">
        <v>26</v>
      </c>
      <c r="C969" s="1">
        <v>15</v>
      </c>
      <c r="D969" s="1" t="s">
        <v>16</v>
      </c>
      <c r="E969" s="5" t="str">
        <f>IF(Table13[[#This Row],[Pre or Post]]="Pre",IF(IF(Table13[[#This Row],[Response]]="Male",0,1)+IF(Table13[[#This Row],[Response]]="Female",0,1)=2,E968,Table13[[#This Row],[Response]]),"")</f>
        <v/>
      </c>
      <c r="F969" s="1">
        <v>9</v>
      </c>
      <c r="G969" s="1" t="s">
        <v>17</v>
      </c>
      <c r="H969" s="2" t="s">
        <v>8</v>
      </c>
      <c r="I96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70" spans="1:11">
      <c r="A970" s="2" t="s">
        <v>24</v>
      </c>
      <c r="B970" s="2" t="s">
        <v>26</v>
      </c>
      <c r="C970" s="1">
        <v>15</v>
      </c>
      <c r="D970" s="1" t="s">
        <v>16</v>
      </c>
      <c r="E970" s="5" t="str">
        <f>IF(Table13[[#This Row],[Pre or Post]]="Pre",IF(IF(Table13[[#This Row],[Response]]="Male",0,1)+IF(Table13[[#This Row],[Response]]="Female",0,1)=2,E969,Table13[[#This Row],[Response]]),"")</f>
        <v/>
      </c>
      <c r="F970" s="1">
        <v>10</v>
      </c>
      <c r="G970" s="1" t="s">
        <v>19</v>
      </c>
      <c r="H970" s="2" t="s">
        <v>8</v>
      </c>
      <c r="I97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71" spans="1:11">
      <c r="A971" s="2" t="s">
        <v>24</v>
      </c>
      <c r="B971" s="2" t="s">
        <v>26</v>
      </c>
      <c r="C971" s="1">
        <v>15</v>
      </c>
      <c r="D971" s="1" t="s">
        <v>16</v>
      </c>
      <c r="E971" s="5" t="str">
        <f>IF(Table13[[#This Row],[Pre or Post]]="Pre",IF(IF(Table13[[#This Row],[Response]]="Male",0,1)+IF(Table13[[#This Row],[Response]]="Female",0,1)=2,E970,Table13[[#This Row],[Response]]),"")</f>
        <v/>
      </c>
      <c r="F971" s="1">
        <v>11</v>
      </c>
      <c r="G971" s="1" t="s">
        <v>9</v>
      </c>
      <c r="H971" s="2" t="s">
        <v>8</v>
      </c>
      <c r="I97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11:00AM</v>
      </c>
      <c r="K9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72" spans="1:11">
      <c r="A972" s="2" t="s">
        <v>24</v>
      </c>
      <c r="B972" s="2" t="s">
        <v>28</v>
      </c>
      <c r="C972" s="1">
        <v>1</v>
      </c>
      <c r="D972" s="1" t="s">
        <v>6</v>
      </c>
      <c r="E972" s="5" t="str">
        <f>IF(Table13[[#This Row],[Pre or Post]]="Pre",IF(IF(Table13[[#This Row],[Response]]="Male",0,1)+IF(Table13[[#This Row],[Response]]="Female",0,1)=2,E971,Table13[[#This Row],[Response]]),"")</f>
        <v>Male</v>
      </c>
      <c r="F972" s="1">
        <v>2</v>
      </c>
      <c r="G972" s="1" t="s">
        <v>7</v>
      </c>
      <c r="H972" s="2" t="s">
        <v>8</v>
      </c>
      <c r="I97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73" spans="1:11">
      <c r="A973" s="2" t="s">
        <v>24</v>
      </c>
      <c r="B973" s="2" t="s">
        <v>28</v>
      </c>
      <c r="C973" s="1">
        <v>1</v>
      </c>
      <c r="D973" s="1" t="s">
        <v>6</v>
      </c>
      <c r="E973" s="5" t="str">
        <f>IF(Table13[[#This Row],[Pre or Post]]="Pre",IF(IF(Table13[[#This Row],[Response]]="Male",0,1)+IF(Table13[[#This Row],[Response]]="Female",0,1)=2,E972,Table13[[#This Row],[Response]]),"")</f>
        <v>Male</v>
      </c>
      <c r="F973" s="1">
        <v>3</v>
      </c>
      <c r="G973" s="1" t="s">
        <v>8</v>
      </c>
      <c r="H973" s="2" t="s">
        <v>8</v>
      </c>
      <c r="I97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74" spans="1:11">
      <c r="A974" s="2" t="s">
        <v>24</v>
      </c>
      <c r="B974" s="2" t="s">
        <v>28</v>
      </c>
      <c r="C974" s="1">
        <v>1</v>
      </c>
      <c r="D974" s="1" t="s">
        <v>6</v>
      </c>
      <c r="E974" s="5" t="str">
        <f>IF(Table13[[#This Row],[Pre or Post]]="Pre",IF(IF(Table13[[#This Row],[Response]]="Male",0,1)+IF(Table13[[#This Row],[Response]]="Female",0,1)=2,E973,Table13[[#This Row],[Response]]),"")</f>
        <v>Male</v>
      </c>
      <c r="F974" s="1">
        <v>4</v>
      </c>
      <c r="G974" s="1" t="s">
        <v>9</v>
      </c>
      <c r="H974" s="2" t="s">
        <v>8</v>
      </c>
      <c r="I97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75" spans="1:11">
      <c r="A975" s="2" t="s">
        <v>24</v>
      </c>
      <c r="B975" s="2" t="s">
        <v>28</v>
      </c>
      <c r="C975" s="1">
        <v>1</v>
      </c>
      <c r="D975" s="1" t="s">
        <v>6</v>
      </c>
      <c r="E975" s="5" t="str">
        <f>IF(Table13[[#This Row],[Pre or Post]]="Pre",IF(IF(Table13[[#This Row],[Response]]="Male",0,1)+IF(Table13[[#This Row],[Response]]="Female",0,1)=2,E974,Table13[[#This Row],[Response]]),"")</f>
        <v>Male</v>
      </c>
      <c r="F975" s="1">
        <v>5</v>
      </c>
      <c r="G975" s="1" t="s">
        <v>8</v>
      </c>
      <c r="H975" s="2" t="s">
        <v>8</v>
      </c>
      <c r="I97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76" spans="1:11">
      <c r="A976" s="2" t="s">
        <v>24</v>
      </c>
      <c r="B976" s="2" t="s">
        <v>28</v>
      </c>
      <c r="C976" s="1">
        <v>1</v>
      </c>
      <c r="D976" s="1" t="s">
        <v>6</v>
      </c>
      <c r="E976" s="5" t="str">
        <f>IF(Table13[[#This Row],[Pre or Post]]="Pre",IF(IF(Table13[[#This Row],[Response]]="Male",0,1)+IF(Table13[[#This Row],[Response]]="Female",0,1)=2,E975,Table13[[#This Row],[Response]]),"")</f>
        <v>Male</v>
      </c>
      <c r="F976" s="1">
        <v>6</v>
      </c>
      <c r="G976" s="1" t="s">
        <v>8</v>
      </c>
      <c r="H976" s="2" t="s">
        <v>8</v>
      </c>
      <c r="I97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77" spans="1:11">
      <c r="A977" s="2" t="s">
        <v>24</v>
      </c>
      <c r="B977" s="2" t="s">
        <v>28</v>
      </c>
      <c r="C977" s="1">
        <v>1</v>
      </c>
      <c r="D977" s="1" t="s">
        <v>6</v>
      </c>
      <c r="E977" s="5" t="str">
        <f>IF(Table13[[#This Row],[Pre or Post]]="Pre",IF(IF(Table13[[#This Row],[Response]]="Male",0,1)+IF(Table13[[#This Row],[Response]]="Female",0,1)=2,E976,Table13[[#This Row],[Response]]),"")</f>
        <v>Male</v>
      </c>
      <c r="F977" s="1">
        <v>7</v>
      </c>
      <c r="G977" s="1" t="s">
        <v>9</v>
      </c>
      <c r="H977" s="2" t="s">
        <v>8</v>
      </c>
      <c r="I97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78" spans="1:11">
      <c r="A978" s="2" t="s">
        <v>24</v>
      </c>
      <c r="B978" s="2" t="s">
        <v>28</v>
      </c>
      <c r="C978" s="1">
        <v>1</v>
      </c>
      <c r="D978" s="1" t="s">
        <v>6</v>
      </c>
      <c r="E978" s="5" t="str">
        <f>IF(Table13[[#This Row],[Pre or Post]]="Pre",IF(IF(Table13[[#This Row],[Response]]="Male",0,1)+IF(Table13[[#This Row],[Response]]="Female",0,1)=2,E977,Table13[[#This Row],[Response]]),"")</f>
        <v>Male</v>
      </c>
      <c r="F978" s="1">
        <v>8</v>
      </c>
      <c r="G978" s="1"/>
      <c r="H978" s="2" t="s">
        <v>8</v>
      </c>
      <c r="I97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79" spans="1:11">
      <c r="A979" s="2" t="s">
        <v>24</v>
      </c>
      <c r="B979" s="2" t="s">
        <v>28</v>
      </c>
      <c r="C979" s="1">
        <v>1</v>
      </c>
      <c r="D979" s="1" t="s">
        <v>6</v>
      </c>
      <c r="E979" s="5" t="str">
        <f>IF(Table13[[#This Row],[Pre or Post]]="Pre",IF(IF(Table13[[#This Row],[Response]]="Male",0,1)+IF(Table13[[#This Row],[Response]]="Female",0,1)=2,E978,Table13[[#This Row],[Response]]),"")</f>
        <v>Male</v>
      </c>
      <c r="F979" s="1">
        <v>9</v>
      </c>
      <c r="G979" s="1">
        <v>3</v>
      </c>
      <c r="H979" s="2" t="s">
        <v>8</v>
      </c>
      <c r="I97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80" spans="1:11">
      <c r="A980" s="2" t="s">
        <v>24</v>
      </c>
      <c r="B980" s="2" t="s">
        <v>28</v>
      </c>
      <c r="C980" s="1">
        <v>1</v>
      </c>
      <c r="D980" s="1" t="s">
        <v>6</v>
      </c>
      <c r="E980" s="5" t="str">
        <f>IF(Table13[[#This Row],[Pre or Post]]="Pre",IF(IF(Table13[[#This Row],[Response]]="Male",0,1)+IF(Table13[[#This Row],[Response]]="Female",0,1)=2,E979,Table13[[#This Row],[Response]]),"")</f>
        <v>Male</v>
      </c>
      <c r="F980" s="1">
        <v>10</v>
      </c>
      <c r="G980" s="1">
        <v>1</v>
      </c>
      <c r="H980" s="2" t="s">
        <v>8</v>
      </c>
      <c r="I98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81" spans="1:11">
      <c r="A981" s="2" t="s">
        <v>24</v>
      </c>
      <c r="B981" s="2" t="s">
        <v>28</v>
      </c>
      <c r="C981" s="1">
        <v>1</v>
      </c>
      <c r="D981" s="1" t="s">
        <v>6</v>
      </c>
      <c r="E981" s="5" t="str">
        <f>IF(Table13[[#This Row],[Pre or Post]]="Pre",IF(IF(Table13[[#This Row],[Response]]="Male",0,1)+IF(Table13[[#This Row],[Response]]="Female",0,1)=2,E980,Table13[[#This Row],[Response]]),"")</f>
        <v>Male</v>
      </c>
      <c r="F981" s="1">
        <v>11</v>
      </c>
      <c r="G981" s="1">
        <v>1</v>
      </c>
      <c r="H981" s="2" t="s">
        <v>8</v>
      </c>
      <c r="I98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82" spans="1:11">
      <c r="A982" s="2" t="s">
        <v>24</v>
      </c>
      <c r="B982" s="2" t="s">
        <v>28</v>
      </c>
      <c r="C982" s="1">
        <v>2</v>
      </c>
      <c r="D982" s="1" t="s">
        <v>6</v>
      </c>
      <c r="E982" s="5" t="str">
        <f>IF(Table13[[#This Row],[Pre or Post]]="Pre",IF(IF(Table13[[#This Row],[Response]]="Male",0,1)+IF(Table13[[#This Row],[Response]]="Female",0,1)=2,E981,Table13[[#This Row],[Response]]),"")</f>
        <v>Female</v>
      </c>
      <c r="F982" s="1">
        <v>2</v>
      </c>
      <c r="G982" s="1" t="s">
        <v>13</v>
      </c>
      <c r="H982" s="2" t="s">
        <v>8</v>
      </c>
      <c r="I98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83" spans="1:11">
      <c r="A983" s="2" t="s">
        <v>24</v>
      </c>
      <c r="B983" s="2" t="s">
        <v>28</v>
      </c>
      <c r="C983" s="1">
        <v>2</v>
      </c>
      <c r="D983" s="1" t="s">
        <v>6</v>
      </c>
      <c r="E983" s="5" t="str">
        <f>IF(Table13[[#This Row],[Pre or Post]]="Pre",IF(IF(Table13[[#This Row],[Response]]="Male",0,1)+IF(Table13[[#This Row],[Response]]="Female",0,1)=2,E982,Table13[[#This Row],[Response]]),"")</f>
        <v>Female</v>
      </c>
      <c r="F983" s="1">
        <v>3</v>
      </c>
      <c r="G983" s="1" t="s">
        <v>8</v>
      </c>
      <c r="H983" s="2" t="s">
        <v>8</v>
      </c>
      <c r="I98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84" spans="1:11">
      <c r="A984" s="2" t="s">
        <v>24</v>
      </c>
      <c r="B984" s="2" t="s">
        <v>28</v>
      </c>
      <c r="C984" s="1">
        <v>2</v>
      </c>
      <c r="D984" s="1" t="s">
        <v>6</v>
      </c>
      <c r="E984" s="5" t="str">
        <f>IF(Table13[[#This Row],[Pre or Post]]="Pre",IF(IF(Table13[[#This Row],[Response]]="Male",0,1)+IF(Table13[[#This Row],[Response]]="Female",0,1)=2,E983,Table13[[#This Row],[Response]]),"")</f>
        <v>Female</v>
      </c>
      <c r="F984" s="1">
        <v>4</v>
      </c>
      <c r="G984" s="1" t="s">
        <v>8</v>
      </c>
      <c r="H984" s="2" t="s">
        <v>8</v>
      </c>
      <c r="I98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85" spans="1:11">
      <c r="A985" s="2" t="s">
        <v>24</v>
      </c>
      <c r="B985" s="2" t="s">
        <v>28</v>
      </c>
      <c r="C985" s="1">
        <v>2</v>
      </c>
      <c r="D985" s="1" t="s">
        <v>6</v>
      </c>
      <c r="E985" s="5" t="str">
        <f>IF(Table13[[#This Row],[Pre or Post]]="Pre",IF(IF(Table13[[#This Row],[Response]]="Male",0,1)+IF(Table13[[#This Row],[Response]]="Female",0,1)=2,E984,Table13[[#This Row],[Response]]),"")</f>
        <v>Female</v>
      </c>
      <c r="F985" s="1">
        <v>5</v>
      </c>
      <c r="G985" s="1" t="s">
        <v>8</v>
      </c>
      <c r="H985" s="2" t="s">
        <v>8</v>
      </c>
      <c r="I98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86" spans="1:11">
      <c r="A986" s="2" t="s">
        <v>24</v>
      </c>
      <c r="B986" s="2" t="s">
        <v>28</v>
      </c>
      <c r="C986" s="1">
        <v>2</v>
      </c>
      <c r="D986" s="1" t="s">
        <v>6</v>
      </c>
      <c r="E986" s="5" t="str">
        <f>IF(Table13[[#This Row],[Pre or Post]]="Pre",IF(IF(Table13[[#This Row],[Response]]="Male",0,1)+IF(Table13[[#This Row],[Response]]="Female",0,1)=2,E985,Table13[[#This Row],[Response]]),"")</f>
        <v>Female</v>
      </c>
      <c r="F986" s="1">
        <v>6</v>
      </c>
      <c r="G986" s="1" t="s">
        <v>8</v>
      </c>
      <c r="H986" s="2" t="s">
        <v>8</v>
      </c>
      <c r="I98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87" spans="1:11">
      <c r="A987" s="2" t="s">
        <v>24</v>
      </c>
      <c r="B987" s="2" t="s">
        <v>28</v>
      </c>
      <c r="C987" s="1">
        <v>2</v>
      </c>
      <c r="D987" s="1" t="s">
        <v>6</v>
      </c>
      <c r="E987" s="5" t="str">
        <f>IF(Table13[[#This Row],[Pre or Post]]="Pre",IF(IF(Table13[[#This Row],[Response]]="Male",0,1)+IF(Table13[[#This Row],[Response]]="Female",0,1)=2,E986,Table13[[#This Row],[Response]]),"")</f>
        <v>Female</v>
      </c>
      <c r="F987" s="1">
        <v>7</v>
      </c>
      <c r="G987" s="1" t="s">
        <v>9</v>
      </c>
      <c r="H987" s="2" t="s">
        <v>8</v>
      </c>
      <c r="I98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88" spans="1:11">
      <c r="A988" s="2" t="s">
        <v>24</v>
      </c>
      <c r="B988" s="2" t="s">
        <v>28</v>
      </c>
      <c r="C988" s="1">
        <v>2</v>
      </c>
      <c r="D988" s="1" t="s">
        <v>6</v>
      </c>
      <c r="E988" s="5" t="str">
        <f>IF(Table13[[#This Row],[Pre or Post]]="Pre",IF(IF(Table13[[#This Row],[Response]]="Male",0,1)+IF(Table13[[#This Row],[Response]]="Female",0,1)=2,E987,Table13[[#This Row],[Response]]),"")</f>
        <v>Female</v>
      </c>
      <c r="F988" s="1">
        <v>8</v>
      </c>
      <c r="G988" s="1"/>
      <c r="H988" s="2" t="s">
        <v>8</v>
      </c>
      <c r="I98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89" spans="1:11">
      <c r="A989" s="2" t="s">
        <v>24</v>
      </c>
      <c r="B989" s="2" t="s">
        <v>28</v>
      </c>
      <c r="C989" s="1">
        <v>2</v>
      </c>
      <c r="D989" s="1" t="s">
        <v>6</v>
      </c>
      <c r="E989" s="5" t="str">
        <f>IF(Table13[[#This Row],[Pre or Post]]="Pre",IF(IF(Table13[[#This Row],[Response]]="Male",0,1)+IF(Table13[[#This Row],[Response]]="Female",0,1)=2,E988,Table13[[#This Row],[Response]]),"")</f>
        <v>Female</v>
      </c>
      <c r="F989" s="1">
        <v>9</v>
      </c>
      <c r="G989" s="1">
        <v>3</v>
      </c>
      <c r="H989" s="2" t="s">
        <v>8</v>
      </c>
      <c r="I98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90" spans="1:11">
      <c r="A990" s="2" t="s">
        <v>24</v>
      </c>
      <c r="B990" s="2" t="s">
        <v>28</v>
      </c>
      <c r="C990" s="1">
        <v>2</v>
      </c>
      <c r="D990" s="1" t="s">
        <v>6</v>
      </c>
      <c r="E990" s="5" t="str">
        <f>IF(Table13[[#This Row],[Pre or Post]]="Pre",IF(IF(Table13[[#This Row],[Response]]="Male",0,1)+IF(Table13[[#This Row],[Response]]="Female",0,1)=2,E989,Table13[[#This Row],[Response]]),"")</f>
        <v>Female</v>
      </c>
      <c r="F990" s="1">
        <v>10</v>
      </c>
      <c r="G990" s="1">
        <v>2</v>
      </c>
      <c r="H990" s="2" t="s">
        <v>8</v>
      </c>
      <c r="I99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91" spans="1:11">
      <c r="A991" s="2" t="s">
        <v>24</v>
      </c>
      <c r="B991" s="2" t="s">
        <v>28</v>
      </c>
      <c r="C991" s="1">
        <v>2</v>
      </c>
      <c r="D991" s="1" t="s">
        <v>6</v>
      </c>
      <c r="E991" s="5" t="str">
        <f>IF(Table13[[#This Row],[Pre or Post]]="Pre",IF(IF(Table13[[#This Row],[Response]]="Male",0,1)+IF(Table13[[#This Row],[Response]]="Female",0,1)=2,E990,Table13[[#This Row],[Response]]),"")</f>
        <v>Female</v>
      </c>
      <c r="F991" s="1">
        <v>11</v>
      </c>
      <c r="G991" s="2">
        <v>2</v>
      </c>
      <c r="H991" s="2" t="s">
        <v>8</v>
      </c>
      <c r="I99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92" spans="1:11">
      <c r="A992" s="2" t="s">
        <v>24</v>
      </c>
      <c r="B992" s="2" t="s">
        <v>28</v>
      </c>
      <c r="C992" s="1">
        <v>3</v>
      </c>
      <c r="D992" s="1" t="s">
        <v>6</v>
      </c>
      <c r="E992" s="5" t="str">
        <f>IF(Table13[[#This Row],[Pre or Post]]="Pre",IF(IF(Table13[[#This Row],[Response]]="Male",0,1)+IF(Table13[[#This Row],[Response]]="Female",0,1)=2,E991,Table13[[#This Row],[Response]]),"")</f>
        <v>Female</v>
      </c>
      <c r="F992" s="1">
        <v>2</v>
      </c>
      <c r="G992" s="1" t="s">
        <v>13</v>
      </c>
      <c r="H992" s="2" t="s">
        <v>8</v>
      </c>
      <c r="I99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93" spans="1:11">
      <c r="A993" s="2" t="s">
        <v>24</v>
      </c>
      <c r="B993" s="2" t="s">
        <v>28</v>
      </c>
      <c r="C993" s="1">
        <v>3</v>
      </c>
      <c r="D993" s="1" t="s">
        <v>6</v>
      </c>
      <c r="E993" s="5" t="str">
        <f>IF(Table13[[#This Row],[Pre or Post]]="Pre",IF(IF(Table13[[#This Row],[Response]]="Male",0,1)+IF(Table13[[#This Row],[Response]]="Female",0,1)=2,E992,Table13[[#This Row],[Response]]),"")</f>
        <v>Female</v>
      </c>
      <c r="F993" s="1">
        <v>3</v>
      </c>
      <c r="G993" s="1" t="s">
        <v>8</v>
      </c>
      <c r="H993" s="2" t="s">
        <v>8</v>
      </c>
      <c r="I99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94" spans="1:11">
      <c r="A994" s="2" t="s">
        <v>24</v>
      </c>
      <c r="B994" s="2" t="s">
        <v>28</v>
      </c>
      <c r="C994" s="1">
        <v>3</v>
      </c>
      <c r="D994" s="1" t="s">
        <v>6</v>
      </c>
      <c r="E994" s="5" t="str">
        <f>IF(Table13[[#This Row],[Pre or Post]]="Pre",IF(IF(Table13[[#This Row],[Response]]="Male",0,1)+IF(Table13[[#This Row],[Response]]="Female",0,1)=2,E993,Table13[[#This Row],[Response]]),"")</f>
        <v>Female</v>
      </c>
      <c r="F994" s="1">
        <v>4</v>
      </c>
      <c r="G994" s="1" t="s">
        <v>8</v>
      </c>
      <c r="H994" s="2" t="s">
        <v>8</v>
      </c>
      <c r="I99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95" spans="1:11">
      <c r="A995" s="2" t="s">
        <v>24</v>
      </c>
      <c r="B995" s="2" t="s">
        <v>28</v>
      </c>
      <c r="C995" s="1">
        <v>3</v>
      </c>
      <c r="D995" s="1" t="s">
        <v>6</v>
      </c>
      <c r="E995" s="5" t="str">
        <f>IF(Table13[[#This Row],[Pre or Post]]="Pre",IF(IF(Table13[[#This Row],[Response]]="Male",0,1)+IF(Table13[[#This Row],[Response]]="Female",0,1)=2,E994,Table13[[#This Row],[Response]]),"")</f>
        <v>Female</v>
      </c>
      <c r="F995" s="1">
        <v>5</v>
      </c>
      <c r="G995" s="1" t="s">
        <v>8</v>
      </c>
      <c r="H995" s="2" t="s">
        <v>8</v>
      </c>
      <c r="I99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96" spans="1:11">
      <c r="A996" s="2" t="s">
        <v>24</v>
      </c>
      <c r="B996" s="2" t="s">
        <v>28</v>
      </c>
      <c r="C996" s="1">
        <v>3</v>
      </c>
      <c r="D996" s="1" t="s">
        <v>6</v>
      </c>
      <c r="E996" s="5" t="str">
        <f>IF(Table13[[#This Row],[Pre or Post]]="Pre",IF(IF(Table13[[#This Row],[Response]]="Male",0,1)+IF(Table13[[#This Row],[Response]]="Female",0,1)=2,E995,Table13[[#This Row],[Response]]),"")</f>
        <v>Female</v>
      </c>
      <c r="F996" s="1">
        <v>6</v>
      </c>
      <c r="G996" s="1" t="s">
        <v>8</v>
      </c>
      <c r="H996" s="2" t="s">
        <v>8</v>
      </c>
      <c r="I99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97" spans="1:11">
      <c r="A997" s="2" t="s">
        <v>24</v>
      </c>
      <c r="B997" s="2" t="s">
        <v>28</v>
      </c>
      <c r="C997" s="1">
        <v>3</v>
      </c>
      <c r="D997" s="1" t="s">
        <v>6</v>
      </c>
      <c r="E997" s="5" t="str">
        <f>IF(Table13[[#This Row],[Pre or Post]]="Pre",IF(IF(Table13[[#This Row],[Response]]="Male",0,1)+IF(Table13[[#This Row],[Response]]="Female",0,1)=2,E996,Table13[[#This Row],[Response]]),"")</f>
        <v>Female</v>
      </c>
      <c r="F997" s="1">
        <v>7</v>
      </c>
      <c r="G997" s="1" t="s">
        <v>9</v>
      </c>
      <c r="H997" s="2" t="s">
        <v>8</v>
      </c>
      <c r="I99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98" spans="1:11">
      <c r="A998" s="2" t="s">
        <v>24</v>
      </c>
      <c r="B998" s="2" t="s">
        <v>28</v>
      </c>
      <c r="C998" s="1">
        <v>3</v>
      </c>
      <c r="D998" s="1" t="s">
        <v>6</v>
      </c>
      <c r="E998" s="5" t="str">
        <f>IF(Table13[[#This Row],[Pre or Post]]="Pre",IF(IF(Table13[[#This Row],[Response]]="Male",0,1)+IF(Table13[[#This Row],[Response]]="Female",0,1)=2,E997,Table13[[#This Row],[Response]]),"")</f>
        <v>Female</v>
      </c>
      <c r="F998" s="1">
        <v>8</v>
      </c>
      <c r="G998" s="1"/>
      <c r="H998" s="2" t="s">
        <v>8</v>
      </c>
      <c r="I99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999" spans="1:11">
      <c r="A999" s="2" t="s">
        <v>24</v>
      </c>
      <c r="B999" s="2" t="s">
        <v>28</v>
      </c>
      <c r="C999" s="1">
        <v>3</v>
      </c>
      <c r="D999" s="1" t="s">
        <v>6</v>
      </c>
      <c r="E999" s="5" t="str">
        <f>IF(Table13[[#This Row],[Pre or Post]]="Pre",IF(IF(Table13[[#This Row],[Response]]="Male",0,1)+IF(Table13[[#This Row],[Response]]="Female",0,1)=2,E998,Table13[[#This Row],[Response]]),"")</f>
        <v>Female</v>
      </c>
      <c r="F999" s="1">
        <v>9</v>
      </c>
      <c r="G999" s="1">
        <v>3</v>
      </c>
      <c r="H999" s="2" t="s">
        <v>8</v>
      </c>
      <c r="I99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9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9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00" spans="1:11">
      <c r="A1000" s="2" t="s">
        <v>24</v>
      </c>
      <c r="B1000" s="2" t="s">
        <v>28</v>
      </c>
      <c r="C1000" s="1">
        <v>3</v>
      </c>
      <c r="D1000" s="1" t="s">
        <v>6</v>
      </c>
      <c r="E1000" s="5" t="str">
        <f>IF(Table13[[#This Row],[Pre or Post]]="Pre",IF(IF(Table13[[#This Row],[Response]]="Male",0,1)+IF(Table13[[#This Row],[Response]]="Female",0,1)=2,E999,Table13[[#This Row],[Response]]),"")</f>
        <v>Female</v>
      </c>
      <c r="F1000" s="1">
        <v>10</v>
      </c>
      <c r="G1000" s="1">
        <v>2</v>
      </c>
      <c r="H1000" s="2" t="s">
        <v>8</v>
      </c>
      <c r="I100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01" spans="1:11">
      <c r="A1001" s="2" t="s">
        <v>24</v>
      </c>
      <c r="B1001" s="2" t="s">
        <v>28</v>
      </c>
      <c r="C1001" s="1">
        <v>3</v>
      </c>
      <c r="D1001" s="1" t="s">
        <v>6</v>
      </c>
      <c r="E1001" s="5" t="str">
        <f>IF(Table13[[#This Row],[Pre or Post]]="Pre",IF(IF(Table13[[#This Row],[Response]]="Male",0,1)+IF(Table13[[#This Row],[Response]]="Female",0,1)=2,E1000,Table13[[#This Row],[Response]]),"")</f>
        <v>Female</v>
      </c>
      <c r="F1001" s="1">
        <v>11</v>
      </c>
      <c r="G1001" s="2">
        <v>3</v>
      </c>
      <c r="H1001" s="2" t="s">
        <v>8</v>
      </c>
      <c r="I100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02" spans="1:11">
      <c r="A1002" s="2" t="s">
        <v>24</v>
      </c>
      <c r="B1002" s="2" t="s">
        <v>28</v>
      </c>
      <c r="C1002" s="1">
        <v>4</v>
      </c>
      <c r="D1002" s="1" t="s">
        <v>6</v>
      </c>
      <c r="E1002" s="5" t="str">
        <f>IF(Table13[[#This Row],[Pre or Post]]="Pre",IF(IF(Table13[[#This Row],[Response]]="Male",0,1)+IF(Table13[[#This Row],[Response]]="Female",0,1)=2,E1001,Table13[[#This Row],[Response]]),"")</f>
        <v>Male</v>
      </c>
      <c r="F1002" s="1">
        <v>2</v>
      </c>
      <c r="G1002" s="1" t="s">
        <v>7</v>
      </c>
      <c r="H1002" s="2" t="s">
        <v>8</v>
      </c>
      <c r="I100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03" spans="1:11">
      <c r="A1003" s="2" t="s">
        <v>24</v>
      </c>
      <c r="B1003" s="2" t="s">
        <v>28</v>
      </c>
      <c r="C1003" s="1">
        <v>4</v>
      </c>
      <c r="D1003" s="1" t="s">
        <v>6</v>
      </c>
      <c r="E1003" s="5" t="str">
        <f>IF(Table13[[#This Row],[Pre or Post]]="Pre",IF(IF(Table13[[#This Row],[Response]]="Male",0,1)+IF(Table13[[#This Row],[Response]]="Female",0,1)=2,E1002,Table13[[#This Row],[Response]]),"")</f>
        <v>Male</v>
      </c>
      <c r="F1003" s="1">
        <v>3</v>
      </c>
      <c r="G1003" s="1" t="s">
        <v>8</v>
      </c>
      <c r="H1003" s="2" t="s">
        <v>8</v>
      </c>
      <c r="I100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04" spans="1:11">
      <c r="A1004" s="2" t="s">
        <v>24</v>
      </c>
      <c r="B1004" s="2" t="s">
        <v>28</v>
      </c>
      <c r="C1004" s="1">
        <v>4</v>
      </c>
      <c r="D1004" s="1" t="s">
        <v>6</v>
      </c>
      <c r="E1004" s="5" t="str">
        <f>IF(Table13[[#This Row],[Pre or Post]]="Pre",IF(IF(Table13[[#This Row],[Response]]="Male",0,1)+IF(Table13[[#This Row],[Response]]="Female",0,1)=2,E1003,Table13[[#This Row],[Response]]),"")</f>
        <v>Male</v>
      </c>
      <c r="F1004" s="1">
        <v>4</v>
      </c>
      <c r="G1004" s="1" t="s">
        <v>8</v>
      </c>
      <c r="H1004" s="2" t="s">
        <v>8</v>
      </c>
      <c r="I100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05" spans="1:11">
      <c r="A1005" s="2" t="s">
        <v>24</v>
      </c>
      <c r="B1005" s="2" t="s">
        <v>28</v>
      </c>
      <c r="C1005" s="1">
        <v>4</v>
      </c>
      <c r="D1005" s="1" t="s">
        <v>6</v>
      </c>
      <c r="E1005" s="5" t="str">
        <f>IF(Table13[[#This Row],[Pre or Post]]="Pre",IF(IF(Table13[[#This Row],[Response]]="Male",0,1)+IF(Table13[[#This Row],[Response]]="Female",0,1)=2,E1004,Table13[[#This Row],[Response]]),"")</f>
        <v>Male</v>
      </c>
      <c r="F1005" s="1">
        <v>5</v>
      </c>
      <c r="G1005" s="1" t="s">
        <v>8</v>
      </c>
      <c r="H1005" s="2" t="s">
        <v>8</v>
      </c>
      <c r="I100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06" spans="1:11">
      <c r="A1006" s="2" t="s">
        <v>24</v>
      </c>
      <c r="B1006" s="2" t="s">
        <v>28</v>
      </c>
      <c r="C1006" s="1">
        <v>4</v>
      </c>
      <c r="D1006" s="1" t="s">
        <v>6</v>
      </c>
      <c r="E1006" s="5" t="str">
        <f>IF(Table13[[#This Row],[Pre or Post]]="Pre",IF(IF(Table13[[#This Row],[Response]]="Male",0,1)+IF(Table13[[#This Row],[Response]]="Female",0,1)=2,E1005,Table13[[#This Row],[Response]]),"")</f>
        <v>Male</v>
      </c>
      <c r="F1006" s="1">
        <v>6</v>
      </c>
      <c r="G1006" s="1" t="s">
        <v>8</v>
      </c>
      <c r="H1006" s="2" t="s">
        <v>8</v>
      </c>
      <c r="I100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07" spans="1:11">
      <c r="A1007" s="2" t="s">
        <v>24</v>
      </c>
      <c r="B1007" s="2" t="s">
        <v>28</v>
      </c>
      <c r="C1007" s="1">
        <v>4</v>
      </c>
      <c r="D1007" s="1" t="s">
        <v>6</v>
      </c>
      <c r="E1007" s="5" t="str">
        <f>IF(Table13[[#This Row],[Pre or Post]]="Pre",IF(IF(Table13[[#This Row],[Response]]="Male",0,1)+IF(Table13[[#This Row],[Response]]="Female",0,1)=2,E1006,Table13[[#This Row],[Response]]),"")</f>
        <v>Male</v>
      </c>
      <c r="F1007" s="1">
        <v>7</v>
      </c>
      <c r="G1007" s="1" t="s">
        <v>9</v>
      </c>
      <c r="H1007" s="2" t="s">
        <v>8</v>
      </c>
      <c r="I100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08" spans="1:11">
      <c r="A1008" s="2" t="s">
        <v>24</v>
      </c>
      <c r="B1008" s="2" t="s">
        <v>28</v>
      </c>
      <c r="C1008" s="1">
        <v>4</v>
      </c>
      <c r="D1008" s="1" t="s">
        <v>6</v>
      </c>
      <c r="E1008" s="5" t="str">
        <f>IF(Table13[[#This Row],[Pre or Post]]="Pre",IF(IF(Table13[[#This Row],[Response]]="Male",0,1)+IF(Table13[[#This Row],[Response]]="Female",0,1)=2,E1007,Table13[[#This Row],[Response]]),"")</f>
        <v>Male</v>
      </c>
      <c r="F1008" s="1">
        <v>8</v>
      </c>
      <c r="G1008" s="1"/>
      <c r="H1008" s="2" t="s">
        <v>8</v>
      </c>
      <c r="I100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09" spans="1:11">
      <c r="A1009" s="2" t="s">
        <v>24</v>
      </c>
      <c r="B1009" s="2" t="s">
        <v>28</v>
      </c>
      <c r="C1009" s="1">
        <v>4</v>
      </c>
      <c r="D1009" s="1" t="s">
        <v>6</v>
      </c>
      <c r="E1009" s="5" t="str">
        <f>IF(Table13[[#This Row],[Pre or Post]]="Pre",IF(IF(Table13[[#This Row],[Response]]="Male",0,1)+IF(Table13[[#This Row],[Response]]="Female",0,1)=2,E1008,Table13[[#This Row],[Response]]),"")</f>
        <v>Male</v>
      </c>
      <c r="F1009" s="1">
        <v>9</v>
      </c>
      <c r="G1009" s="1">
        <v>4</v>
      </c>
      <c r="H1009" s="2" t="s">
        <v>8</v>
      </c>
      <c r="I100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10" spans="1:11">
      <c r="A1010" s="2" t="s">
        <v>24</v>
      </c>
      <c r="B1010" s="2" t="s">
        <v>28</v>
      </c>
      <c r="C1010" s="1">
        <v>4</v>
      </c>
      <c r="D1010" s="1" t="s">
        <v>6</v>
      </c>
      <c r="E1010" s="5" t="str">
        <f>IF(Table13[[#This Row],[Pre or Post]]="Pre",IF(IF(Table13[[#This Row],[Response]]="Male",0,1)+IF(Table13[[#This Row],[Response]]="Female",0,1)=2,E1009,Table13[[#This Row],[Response]]),"")</f>
        <v>Male</v>
      </c>
      <c r="F1010" s="1">
        <v>10</v>
      </c>
      <c r="G1010" s="1">
        <v>3</v>
      </c>
      <c r="H1010" s="2" t="s">
        <v>8</v>
      </c>
      <c r="I101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11" spans="1:11">
      <c r="A1011" s="2" t="s">
        <v>24</v>
      </c>
      <c r="B1011" s="2" t="s">
        <v>28</v>
      </c>
      <c r="C1011" s="1">
        <v>4</v>
      </c>
      <c r="D1011" s="1" t="s">
        <v>6</v>
      </c>
      <c r="E1011" s="5" t="str">
        <f>IF(Table13[[#This Row],[Pre or Post]]="Pre",IF(IF(Table13[[#This Row],[Response]]="Male",0,1)+IF(Table13[[#This Row],[Response]]="Female",0,1)=2,E1010,Table13[[#This Row],[Response]]),"")</f>
        <v>Male</v>
      </c>
      <c r="F1011" s="1">
        <v>11</v>
      </c>
      <c r="G1011" s="1">
        <v>5</v>
      </c>
      <c r="H1011" s="2" t="s">
        <v>8</v>
      </c>
      <c r="I101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12" spans="1:11">
      <c r="A1012" s="2" t="s">
        <v>24</v>
      </c>
      <c r="B1012" s="2" t="s">
        <v>28</v>
      </c>
      <c r="C1012" s="1">
        <v>5</v>
      </c>
      <c r="D1012" s="1" t="s">
        <v>6</v>
      </c>
      <c r="E1012" s="5" t="str">
        <f>IF(Table13[[#This Row],[Pre or Post]]="Pre",IF(IF(Table13[[#This Row],[Response]]="Male",0,1)+IF(Table13[[#This Row],[Response]]="Female",0,1)=2,E1011,Table13[[#This Row],[Response]]),"")</f>
        <v>Male</v>
      </c>
      <c r="F1012" s="1">
        <v>2</v>
      </c>
      <c r="G1012" s="1" t="s">
        <v>7</v>
      </c>
      <c r="H1012" s="2" t="s">
        <v>8</v>
      </c>
      <c r="I101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13" spans="1:11">
      <c r="A1013" s="2" t="s">
        <v>24</v>
      </c>
      <c r="B1013" s="2" t="s">
        <v>28</v>
      </c>
      <c r="C1013" s="1">
        <v>5</v>
      </c>
      <c r="D1013" s="1" t="s">
        <v>6</v>
      </c>
      <c r="E1013" s="5" t="str">
        <f>IF(Table13[[#This Row],[Pre or Post]]="Pre",IF(IF(Table13[[#This Row],[Response]]="Male",0,1)+IF(Table13[[#This Row],[Response]]="Female",0,1)=2,E1012,Table13[[#This Row],[Response]]),"")</f>
        <v>Male</v>
      </c>
      <c r="F1013" s="1">
        <v>3</v>
      </c>
      <c r="G1013" s="1" t="s">
        <v>9</v>
      </c>
      <c r="H1013" s="2" t="s">
        <v>8</v>
      </c>
      <c r="I101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14" spans="1:11">
      <c r="A1014" s="2" t="s">
        <v>24</v>
      </c>
      <c r="B1014" s="2" t="s">
        <v>28</v>
      </c>
      <c r="C1014" s="1">
        <v>5</v>
      </c>
      <c r="D1014" s="1" t="s">
        <v>6</v>
      </c>
      <c r="E1014" s="5" t="str">
        <f>IF(Table13[[#This Row],[Pre or Post]]="Pre",IF(IF(Table13[[#This Row],[Response]]="Male",0,1)+IF(Table13[[#This Row],[Response]]="Female",0,1)=2,E1013,Table13[[#This Row],[Response]]),"")</f>
        <v>Male</v>
      </c>
      <c r="F1014" s="1">
        <v>4</v>
      </c>
      <c r="G1014" s="1" t="s">
        <v>9</v>
      </c>
      <c r="H1014" s="2" t="s">
        <v>8</v>
      </c>
      <c r="I101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15" spans="1:11">
      <c r="A1015" s="2" t="s">
        <v>24</v>
      </c>
      <c r="B1015" s="2" t="s">
        <v>28</v>
      </c>
      <c r="C1015" s="1">
        <v>5</v>
      </c>
      <c r="D1015" s="1" t="s">
        <v>6</v>
      </c>
      <c r="E1015" s="5" t="str">
        <f>IF(Table13[[#This Row],[Pre or Post]]="Pre",IF(IF(Table13[[#This Row],[Response]]="Male",0,1)+IF(Table13[[#This Row],[Response]]="Female",0,1)=2,E1014,Table13[[#This Row],[Response]]),"")</f>
        <v>Male</v>
      </c>
      <c r="F1015" s="1">
        <v>5</v>
      </c>
      <c r="G1015" s="1" t="s">
        <v>8</v>
      </c>
      <c r="H1015" s="2" t="s">
        <v>8</v>
      </c>
      <c r="I101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16" spans="1:11">
      <c r="A1016" s="2" t="s">
        <v>24</v>
      </c>
      <c r="B1016" s="2" t="s">
        <v>28</v>
      </c>
      <c r="C1016" s="1">
        <v>5</v>
      </c>
      <c r="D1016" s="1" t="s">
        <v>6</v>
      </c>
      <c r="E1016" s="5" t="str">
        <f>IF(Table13[[#This Row],[Pre or Post]]="Pre",IF(IF(Table13[[#This Row],[Response]]="Male",0,1)+IF(Table13[[#This Row],[Response]]="Female",0,1)=2,E1015,Table13[[#This Row],[Response]]),"")</f>
        <v>Male</v>
      </c>
      <c r="F1016" s="1">
        <v>6</v>
      </c>
      <c r="G1016" s="1" t="s">
        <v>8</v>
      </c>
      <c r="H1016" s="2" t="s">
        <v>8</v>
      </c>
      <c r="I101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17" spans="1:11">
      <c r="A1017" s="2" t="s">
        <v>24</v>
      </c>
      <c r="B1017" s="2" t="s">
        <v>28</v>
      </c>
      <c r="C1017" s="1">
        <v>5</v>
      </c>
      <c r="D1017" s="1" t="s">
        <v>6</v>
      </c>
      <c r="E1017" s="5" t="str">
        <f>IF(Table13[[#This Row],[Pre or Post]]="Pre",IF(IF(Table13[[#This Row],[Response]]="Male",0,1)+IF(Table13[[#This Row],[Response]]="Female",0,1)=2,E1016,Table13[[#This Row],[Response]]),"")</f>
        <v>Male</v>
      </c>
      <c r="F1017" s="1">
        <v>7</v>
      </c>
      <c r="G1017" s="1" t="s">
        <v>9</v>
      </c>
      <c r="H1017" s="2" t="s">
        <v>8</v>
      </c>
      <c r="I101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18" spans="1:11">
      <c r="A1018" s="2" t="s">
        <v>24</v>
      </c>
      <c r="B1018" s="2" t="s">
        <v>28</v>
      </c>
      <c r="C1018" s="1">
        <v>5</v>
      </c>
      <c r="D1018" s="1" t="s">
        <v>6</v>
      </c>
      <c r="E1018" s="5" t="str">
        <f>IF(Table13[[#This Row],[Pre or Post]]="Pre",IF(IF(Table13[[#This Row],[Response]]="Male",0,1)+IF(Table13[[#This Row],[Response]]="Female",0,1)=2,E1017,Table13[[#This Row],[Response]]),"")</f>
        <v>Male</v>
      </c>
      <c r="F1018" s="1">
        <v>8</v>
      </c>
      <c r="G1018" s="1"/>
      <c r="H1018" s="2" t="s">
        <v>8</v>
      </c>
      <c r="I101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19" spans="1:11">
      <c r="A1019" s="2" t="s">
        <v>24</v>
      </c>
      <c r="B1019" s="2" t="s">
        <v>28</v>
      </c>
      <c r="C1019" s="1">
        <v>5</v>
      </c>
      <c r="D1019" s="1" t="s">
        <v>6</v>
      </c>
      <c r="E1019" s="5" t="str">
        <f>IF(Table13[[#This Row],[Pre or Post]]="Pre",IF(IF(Table13[[#This Row],[Response]]="Male",0,1)+IF(Table13[[#This Row],[Response]]="Female",0,1)=2,E1018,Table13[[#This Row],[Response]]),"")</f>
        <v>Male</v>
      </c>
      <c r="F1019" s="1">
        <v>9</v>
      </c>
      <c r="G1019" s="1">
        <v>3</v>
      </c>
      <c r="H1019" s="2" t="s">
        <v>8</v>
      </c>
      <c r="I101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20" spans="1:11">
      <c r="A1020" s="2" t="s">
        <v>24</v>
      </c>
      <c r="B1020" s="2" t="s">
        <v>28</v>
      </c>
      <c r="C1020" s="1">
        <v>5</v>
      </c>
      <c r="D1020" s="1" t="s">
        <v>6</v>
      </c>
      <c r="E1020" s="5" t="str">
        <f>IF(Table13[[#This Row],[Pre or Post]]="Pre",IF(IF(Table13[[#This Row],[Response]]="Male",0,1)+IF(Table13[[#This Row],[Response]]="Female",0,1)=2,E1019,Table13[[#This Row],[Response]]),"")</f>
        <v>Male</v>
      </c>
      <c r="F1020" s="1">
        <v>10</v>
      </c>
      <c r="G1020" s="1">
        <v>3</v>
      </c>
      <c r="H1020" s="2" t="s">
        <v>8</v>
      </c>
      <c r="I102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21" spans="1:11">
      <c r="A1021" s="2" t="s">
        <v>24</v>
      </c>
      <c r="B1021" s="2" t="s">
        <v>28</v>
      </c>
      <c r="C1021" s="1">
        <v>5</v>
      </c>
      <c r="D1021" s="1" t="s">
        <v>6</v>
      </c>
      <c r="E1021" s="5" t="str">
        <f>IF(Table13[[#This Row],[Pre or Post]]="Pre",IF(IF(Table13[[#This Row],[Response]]="Male",0,1)+IF(Table13[[#This Row],[Response]]="Female",0,1)=2,E1020,Table13[[#This Row],[Response]]),"")</f>
        <v>Male</v>
      </c>
      <c r="F1021" s="1">
        <v>11</v>
      </c>
      <c r="G1021" s="1">
        <v>2</v>
      </c>
      <c r="H1021" s="2" t="s">
        <v>8</v>
      </c>
      <c r="I102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22" spans="1:11">
      <c r="A1022" s="2" t="s">
        <v>24</v>
      </c>
      <c r="B1022" s="2" t="s">
        <v>28</v>
      </c>
      <c r="C1022" s="1">
        <v>6</v>
      </c>
      <c r="D1022" s="1" t="s">
        <v>6</v>
      </c>
      <c r="E1022" s="5" t="str">
        <f>IF(Table13[[#This Row],[Pre or Post]]="Pre",IF(IF(Table13[[#This Row],[Response]]="Male",0,1)+IF(Table13[[#This Row],[Response]]="Female",0,1)=2,E1021,Table13[[#This Row],[Response]]),"")</f>
        <v>Male</v>
      </c>
      <c r="F1022" s="1">
        <v>2</v>
      </c>
      <c r="G1022" s="1" t="s">
        <v>7</v>
      </c>
      <c r="H1022" s="2" t="s">
        <v>8</v>
      </c>
      <c r="I102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23" spans="1:11">
      <c r="A1023" s="2" t="s">
        <v>24</v>
      </c>
      <c r="B1023" s="2" t="s">
        <v>28</v>
      </c>
      <c r="C1023" s="1">
        <v>6</v>
      </c>
      <c r="D1023" s="1" t="s">
        <v>6</v>
      </c>
      <c r="E1023" s="5" t="str">
        <f>IF(Table13[[#This Row],[Pre or Post]]="Pre",IF(IF(Table13[[#This Row],[Response]]="Male",0,1)+IF(Table13[[#This Row],[Response]]="Female",0,1)=2,E1022,Table13[[#This Row],[Response]]),"")</f>
        <v>Male</v>
      </c>
      <c r="F1023" s="1">
        <v>3</v>
      </c>
      <c r="G1023" s="1" t="s">
        <v>9</v>
      </c>
      <c r="H1023" s="2" t="s">
        <v>8</v>
      </c>
      <c r="I102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24" spans="1:11">
      <c r="A1024" s="2" t="s">
        <v>24</v>
      </c>
      <c r="B1024" s="2" t="s">
        <v>28</v>
      </c>
      <c r="C1024" s="1">
        <v>6</v>
      </c>
      <c r="D1024" s="1" t="s">
        <v>6</v>
      </c>
      <c r="E1024" s="5" t="str">
        <f>IF(Table13[[#This Row],[Pre or Post]]="Pre",IF(IF(Table13[[#This Row],[Response]]="Male",0,1)+IF(Table13[[#This Row],[Response]]="Female",0,1)=2,E1023,Table13[[#This Row],[Response]]),"")</f>
        <v>Male</v>
      </c>
      <c r="F1024" s="1">
        <v>4</v>
      </c>
      <c r="G1024" s="1" t="s">
        <v>8</v>
      </c>
      <c r="H1024" s="2" t="s">
        <v>8</v>
      </c>
      <c r="I102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25" spans="1:11">
      <c r="A1025" s="2" t="s">
        <v>24</v>
      </c>
      <c r="B1025" s="2" t="s">
        <v>28</v>
      </c>
      <c r="C1025" s="1">
        <v>6</v>
      </c>
      <c r="D1025" s="1" t="s">
        <v>6</v>
      </c>
      <c r="E1025" s="5" t="str">
        <f>IF(Table13[[#This Row],[Pre or Post]]="Pre",IF(IF(Table13[[#This Row],[Response]]="Male",0,1)+IF(Table13[[#This Row],[Response]]="Female",0,1)=2,E1024,Table13[[#This Row],[Response]]),"")</f>
        <v>Male</v>
      </c>
      <c r="F1025" s="1">
        <v>5</v>
      </c>
      <c r="G1025" s="1" t="s">
        <v>8</v>
      </c>
      <c r="H1025" s="2" t="s">
        <v>8</v>
      </c>
      <c r="I102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26" spans="1:11">
      <c r="A1026" s="2" t="s">
        <v>24</v>
      </c>
      <c r="B1026" s="2" t="s">
        <v>28</v>
      </c>
      <c r="C1026" s="1">
        <v>6</v>
      </c>
      <c r="D1026" s="1" t="s">
        <v>6</v>
      </c>
      <c r="E1026" s="5" t="str">
        <f>IF(Table13[[#This Row],[Pre or Post]]="Pre",IF(IF(Table13[[#This Row],[Response]]="Male",0,1)+IF(Table13[[#This Row],[Response]]="Female",0,1)=2,E1025,Table13[[#This Row],[Response]]),"")</f>
        <v>Male</v>
      </c>
      <c r="F1026" s="1">
        <v>6</v>
      </c>
      <c r="G1026" s="1" t="s">
        <v>8</v>
      </c>
      <c r="H1026" s="2" t="s">
        <v>8</v>
      </c>
      <c r="I102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27" spans="1:11">
      <c r="A1027" s="2" t="s">
        <v>24</v>
      </c>
      <c r="B1027" s="2" t="s">
        <v>28</v>
      </c>
      <c r="C1027" s="1">
        <v>6</v>
      </c>
      <c r="D1027" s="1" t="s">
        <v>6</v>
      </c>
      <c r="E1027" s="5" t="str">
        <f>IF(Table13[[#This Row],[Pre or Post]]="Pre",IF(IF(Table13[[#This Row],[Response]]="Male",0,1)+IF(Table13[[#This Row],[Response]]="Female",0,1)=2,E1026,Table13[[#This Row],[Response]]),"")</f>
        <v>Male</v>
      </c>
      <c r="F1027" s="1">
        <v>7</v>
      </c>
      <c r="G1027" s="1" t="s">
        <v>9</v>
      </c>
      <c r="H1027" s="2" t="s">
        <v>8</v>
      </c>
      <c r="I102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28" spans="1:11">
      <c r="A1028" s="2" t="s">
        <v>24</v>
      </c>
      <c r="B1028" s="2" t="s">
        <v>28</v>
      </c>
      <c r="C1028" s="1">
        <v>6</v>
      </c>
      <c r="D1028" s="1" t="s">
        <v>6</v>
      </c>
      <c r="E1028" s="5" t="str">
        <f>IF(Table13[[#This Row],[Pre or Post]]="Pre",IF(IF(Table13[[#This Row],[Response]]="Male",0,1)+IF(Table13[[#This Row],[Response]]="Female",0,1)=2,E1027,Table13[[#This Row],[Response]]),"")</f>
        <v>Male</v>
      </c>
      <c r="F1028" s="1">
        <v>8</v>
      </c>
      <c r="G1028" s="1"/>
      <c r="H1028" s="2" t="s">
        <v>8</v>
      </c>
      <c r="I102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29" spans="1:11">
      <c r="A1029" s="2" t="s">
        <v>24</v>
      </c>
      <c r="B1029" s="2" t="s">
        <v>28</v>
      </c>
      <c r="C1029" s="1">
        <v>6</v>
      </c>
      <c r="D1029" s="1" t="s">
        <v>6</v>
      </c>
      <c r="E1029" s="5" t="str">
        <f>IF(Table13[[#This Row],[Pre or Post]]="Pre",IF(IF(Table13[[#This Row],[Response]]="Male",0,1)+IF(Table13[[#This Row],[Response]]="Female",0,1)=2,E1028,Table13[[#This Row],[Response]]),"")</f>
        <v>Male</v>
      </c>
      <c r="F1029" s="1">
        <v>9</v>
      </c>
      <c r="G1029" s="1">
        <v>3</v>
      </c>
      <c r="H1029" s="2" t="s">
        <v>8</v>
      </c>
      <c r="I102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30" spans="1:11">
      <c r="A1030" s="2" t="s">
        <v>24</v>
      </c>
      <c r="B1030" s="2" t="s">
        <v>28</v>
      </c>
      <c r="C1030" s="1">
        <v>6</v>
      </c>
      <c r="D1030" s="1" t="s">
        <v>6</v>
      </c>
      <c r="E1030" s="5" t="str">
        <f>IF(Table13[[#This Row],[Pre or Post]]="Pre",IF(IF(Table13[[#This Row],[Response]]="Male",0,1)+IF(Table13[[#This Row],[Response]]="Female",0,1)=2,E1029,Table13[[#This Row],[Response]]),"")</f>
        <v>Male</v>
      </c>
      <c r="F1030" s="1">
        <v>10</v>
      </c>
      <c r="G1030" s="1">
        <v>2</v>
      </c>
      <c r="H1030" s="2" t="s">
        <v>8</v>
      </c>
      <c r="I103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31" spans="1:11">
      <c r="A1031" s="2" t="s">
        <v>24</v>
      </c>
      <c r="B1031" s="2" t="s">
        <v>28</v>
      </c>
      <c r="C1031" s="1">
        <v>6</v>
      </c>
      <c r="D1031" s="1" t="s">
        <v>6</v>
      </c>
      <c r="E1031" s="5" t="str">
        <f>IF(Table13[[#This Row],[Pre or Post]]="Pre",IF(IF(Table13[[#This Row],[Response]]="Male",0,1)+IF(Table13[[#This Row],[Response]]="Female",0,1)=2,E1030,Table13[[#This Row],[Response]]),"")</f>
        <v>Male</v>
      </c>
      <c r="F1031" s="1">
        <v>11</v>
      </c>
      <c r="G1031" s="2">
        <v>2</v>
      </c>
      <c r="H1031" s="2" t="s">
        <v>8</v>
      </c>
      <c r="I103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32" spans="1:11">
      <c r="A1032" s="2" t="s">
        <v>24</v>
      </c>
      <c r="B1032" s="2" t="s">
        <v>28</v>
      </c>
      <c r="C1032" s="1">
        <v>7</v>
      </c>
      <c r="D1032" s="1" t="s">
        <v>6</v>
      </c>
      <c r="E1032" s="5" t="str">
        <f>IF(Table13[[#This Row],[Pre or Post]]="Pre",IF(IF(Table13[[#This Row],[Response]]="Male",0,1)+IF(Table13[[#This Row],[Response]]="Female",0,1)=2,E1031,Table13[[#This Row],[Response]]),"")</f>
        <v>Male</v>
      </c>
      <c r="F1032" s="1">
        <v>2</v>
      </c>
      <c r="G1032" s="1" t="s">
        <v>7</v>
      </c>
      <c r="H1032" s="2" t="s">
        <v>8</v>
      </c>
      <c r="I103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33" spans="1:11">
      <c r="A1033" s="2" t="s">
        <v>24</v>
      </c>
      <c r="B1033" s="2" t="s">
        <v>28</v>
      </c>
      <c r="C1033" s="1">
        <v>7</v>
      </c>
      <c r="D1033" s="1" t="s">
        <v>6</v>
      </c>
      <c r="E1033" s="5" t="str">
        <f>IF(Table13[[#This Row],[Pre or Post]]="Pre",IF(IF(Table13[[#This Row],[Response]]="Male",0,1)+IF(Table13[[#This Row],[Response]]="Female",0,1)=2,E1032,Table13[[#This Row],[Response]]),"")</f>
        <v>Male</v>
      </c>
      <c r="F1033" s="1">
        <v>3</v>
      </c>
      <c r="G1033" s="1" t="s">
        <v>8</v>
      </c>
      <c r="H1033" s="2" t="s">
        <v>8</v>
      </c>
      <c r="I103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34" spans="1:11">
      <c r="A1034" s="2" t="s">
        <v>24</v>
      </c>
      <c r="B1034" s="2" t="s">
        <v>28</v>
      </c>
      <c r="C1034" s="1">
        <v>7</v>
      </c>
      <c r="D1034" s="1" t="s">
        <v>6</v>
      </c>
      <c r="E1034" s="5" t="str">
        <f>IF(Table13[[#This Row],[Pre or Post]]="Pre",IF(IF(Table13[[#This Row],[Response]]="Male",0,1)+IF(Table13[[#This Row],[Response]]="Female",0,1)=2,E1033,Table13[[#This Row],[Response]]),"")</f>
        <v>Male</v>
      </c>
      <c r="F1034" s="1">
        <v>4</v>
      </c>
      <c r="G1034" s="1" t="s">
        <v>9</v>
      </c>
      <c r="H1034" s="2" t="s">
        <v>8</v>
      </c>
      <c r="I103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35" spans="1:11">
      <c r="A1035" s="2" t="s">
        <v>24</v>
      </c>
      <c r="B1035" s="2" t="s">
        <v>28</v>
      </c>
      <c r="C1035" s="1">
        <v>7</v>
      </c>
      <c r="D1035" s="1" t="s">
        <v>6</v>
      </c>
      <c r="E1035" s="5" t="str">
        <f>IF(Table13[[#This Row],[Pre or Post]]="Pre",IF(IF(Table13[[#This Row],[Response]]="Male",0,1)+IF(Table13[[#This Row],[Response]]="Female",0,1)=2,E1034,Table13[[#This Row],[Response]]),"")</f>
        <v>Male</v>
      </c>
      <c r="F1035" s="1">
        <v>5</v>
      </c>
      <c r="G1035" s="1" t="s">
        <v>8</v>
      </c>
      <c r="H1035" s="2" t="s">
        <v>8</v>
      </c>
      <c r="I103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36" spans="1:11">
      <c r="A1036" s="2" t="s">
        <v>24</v>
      </c>
      <c r="B1036" s="2" t="s">
        <v>28</v>
      </c>
      <c r="C1036" s="1">
        <v>7</v>
      </c>
      <c r="D1036" s="1" t="s">
        <v>6</v>
      </c>
      <c r="E1036" s="5" t="str">
        <f>IF(Table13[[#This Row],[Pre or Post]]="Pre",IF(IF(Table13[[#This Row],[Response]]="Male",0,1)+IF(Table13[[#This Row],[Response]]="Female",0,1)=2,E1035,Table13[[#This Row],[Response]]),"")</f>
        <v>Male</v>
      </c>
      <c r="F1036" s="1">
        <v>6</v>
      </c>
      <c r="G1036" s="1" t="s">
        <v>8</v>
      </c>
      <c r="H1036" s="2" t="s">
        <v>8</v>
      </c>
      <c r="I103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37" spans="1:11">
      <c r="A1037" s="2" t="s">
        <v>24</v>
      </c>
      <c r="B1037" s="2" t="s">
        <v>28</v>
      </c>
      <c r="C1037" s="1">
        <v>7</v>
      </c>
      <c r="D1037" s="1" t="s">
        <v>6</v>
      </c>
      <c r="E1037" s="5" t="str">
        <f>IF(Table13[[#This Row],[Pre or Post]]="Pre",IF(IF(Table13[[#This Row],[Response]]="Male",0,1)+IF(Table13[[#This Row],[Response]]="Female",0,1)=2,E1036,Table13[[#This Row],[Response]]),"")</f>
        <v>Male</v>
      </c>
      <c r="F1037" s="1">
        <v>7</v>
      </c>
      <c r="G1037" s="1" t="s">
        <v>9</v>
      </c>
      <c r="H1037" s="2" t="s">
        <v>8</v>
      </c>
      <c r="I103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38" spans="1:11">
      <c r="A1038" s="2" t="s">
        <v>24</v>
      </c>
      <c r="B1038" s="2" t="s">
        <v>28</v>
      </c>
      <c r="C1038" s="1">
        <v>7</v>
      </c>
      <c r="D1038" s="1" t="s">
        <v>6</v>
      </c>
      <c r="E1038" s="5" t="str">
        <f>IF(Table13[[#This Row],[Pre or Post]]="Pre",IF(IF(Table13[[#This Row],[Response]]="Male",0,1)+IF(Table13[[#This Row],[Response]]="Female",0,1)=2,E1037,Table13[[#This Row],[Response]]),"")</f>
        <v>Male</v>
      </c>
      <c r="F1038" s="1">
        <v>8</v>
      </c>
      <c r="G1038" s="1"/>
      <c r="H1038" s="2" t="s">
        <v>8</v>
      </c>
      <c r="I103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39" spans="1:11">
      <c r="A1039" s="2" t="s">
        <v>24</v>
      </c>
      <c r="B1039" s="2" t="s">
        <v>28</v>
      </c>
      <c r="C1039" s="1">
        <v>7</v>
      </c>
      <c r="D1039" s="1" t="s">
        <v>6</v>
      </c>
      <c r="E1039" s="5" t="str">
        <f>IF(Table13[[#This Row],[Pre or Post]]="Pre",IF(IF(Table13[[#This Row],[Response]]="Male",0,1)+IF(Table13[[#This Row],[Response]]="Female",0,1)=2,E1038,Table13[[#This Row],[Response]]),"")</f>
        <v>Male</v>
      </c>
      <c r="F1039" s="1">
        <v>9</v>
      </c>
      <c r="G1039" s="1">
        <v>3</v>
      </c>
      <c r="H1039" s="2" t="s">
        <v>8</v>
      </c>
      <c r="I103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40" spans="1:11">
      <c r="A1040" s="2" t="s">
        <v>24</v>
      </c>
      <c r="B1040" s="2" t="s">
        <v>28</v>
      </c>
      <c r="C1040" s="1">
        <v>7</v>
      </c>
      <c r="D1040" s="1" t="s">
        <v>6</v>
      </c>
      <c r="E1040" s="5" t="str">
        <f>IF(Table13[[#This Row],[Pre or Post]]="Pre",IF(IF(Table13[[#This Row],[Response]]="Male",0,1)+IF(Table13[[#This Row],[Response]]="Female",0,1)=2,E1039,Table13[[#This Row],[Response]]),"")</f>
        <v>Male</v>
      </c>
      <c r="F1040" s="1">
        <v>10</v>
      </c>
      <c r="G1040" s="1">
        <v>2</v>
      </c>
      <c r="H1040" s="2" t="s">
        <v>8</v>
      </c>
      <c r="I104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41" spans="1:11">
      <c r="A1041" s="2" t="s">
        <v>24</v>
      </c>
      <c r="B1041" s="2" t="s">
        <v>28</v>
      </c>
      <c r="C1041" s="1">
        <v>7</v>
      </c>
      <c r="D1041" s="1" t="s">
        <v>6</v>
      </c>
      <c r="E1041" s="5" t="str">
        <f>IF(Table13[[#This Row],[Pre or Post]]="Pre",IF(IF(Table13[[#This Row],[Response]]="Male",0,1)+IF(Table13[[#This Row],[Response]]="Female",0,1)=2,E1040,Table13[[#This Row],[Response]]),"")</f>
        <v>Male</v>
      </c>
      <c r="F1041" s="1">
        <v>11</v>
      </c>
      <c r="G1041" s="2">
        <v>2</v>
      </c>
      <c r="H1041" s="2" t="s">
        <v>8</v>
      </c>
      <c r="I104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42" spans="1:11">
      <c r="A1042" s="2" t="s">
        <v>24</v>
      </c>
      <c r="B1042" s="2" t="s">
        <v>28</v>
      </c>
      <c r="C1042" s="1">
        <v>8</v>
      </c>
      <c r="D1042" s="1" t="s">
        <v>6</v>
      </c>
      <c r="E1042" s="5" t="str">
        <f>IF(Table13[[#This Row],[Pre or Post]]="Pre",IF(IF(Table13[[#This Row],[Response]]="Male",0,1)+IF(Table13[[#This Row],[Response]]="Female",0,1)=2,E1041,Table13[[#This Row],[Response]]),"")</f>
        <v>Male</v>
      </c>
      <c r="F1042" s="1">
        <v>2</v>
      </c>
      <c r="G1042" s="1" t="s">
        <v>7</v>
      </c>
      <c r="H1042" s="2" t="s">
        <v>8</v>
      </c>
      <c r="I104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43" spans="1:11">
      <c r="A1043" s="2" t="s">
        <v>24</v>
      </c>
      <c r="B1043" s="2" t="s">
        <v>28</v>
      </c>
      <c r="C1043" s="1">
        <v>8</v>
      </c>
      <c r="D1043" s="1" t="s">
        <v>6</v>
      </c>
      <c r="E1043" s="5" t="str">
        <f>IF(Table13[[#This Row],[Pre or Post]]="Pre",IF(IF(Table13[[#This Row],[Response]]="Male",0,1)+IF(Table13[[#This Row],[Response]]="Female",0,1)=2,E1042,Table13[[#This Row],[Response]]),"")</f>
        <v>Male</v>
      </c>
      <c r="F1043" s="1">
        <v>3</v>
      </c>
      <c r="G1043" s="1" t="s">
        <v>8</v>
      </c>
      <c r="H1043" s="2" t="s">
        <v>8</v>
      </c>
      <c r="I104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44" spans="1:11">
      <c r="A1044" s="2" t="s">
        <v>24</v>
      </c>
      <c r="B1044" s="2" t="s">
        <v>28</v>
      </c>
      <c r="C1044" s="1">
        <v>8</v>
      </c>
      <c r="D1044" s="1" t="s">
        <v>6</v>
      </c>
      <c r="E1044" s="5" t="str">
        <f>IF(Table13[[#This Row],[Pre or Post]]="Pre",IF(IF(Table13[[#This Row],[Response]]="Male",0,1)+IF(Table13[[#This Row],[Response]]="Female",0,1)=2,E1043,Table13[[#This Row],[Response]]),"")</f>
        <v>Male</v>
      </c>
      <c r="F1044" s="1">
        <v>4</v>
      </c>
      <c r="G1044" s="1" t="s">
        <v>9</v>
      </c>
      <c r="H1044" s="2" t="s">
        <v>8</v>
      </c>
      <c r="I104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45" spans="1:11">
      <c r="A1045" s="2" t="s">
        <v>24</v>
      </c>
      <c r="B1045" s="2" t="s">
        <v>28</v>
      </c>
      <c r="C1045" s="1">
        <v>8</v>
      </c>
      <c r="D1045" s="1" t="s">
        <v>6</v>
      </c>
      <c r="E1045" s="5" t="str">
        <f>IF(Table13[[#This Row],[Pre or Post]]="Pre",IF(IF(Table13[[#This Row],[Response]]="Male",0,1)+IF(Table13[[#This Row],[Response]]="Female",0,1)=2,E1044,Table13[[#This Row],[Response]]),"")</f>
        <v>Male</v>
      </c>
      <c r="F1045" s="1">
        <v>5</v>
      </c>
      <c r="G1045" s="1" t="s">
        <v>8</v>
      </c>
      <c r="H1045" s="2" t="s">
        <v>8</v>
      </c>
      <c r="I104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46" spans="1:11">
      <c r="A1046" s="2" t="s">
        <v>24</v>
      </c>
      <c r="B1046" s="2" t="s">
        <v>28</v>
      </c>
      <c r="C1046" s="1">
        <v>8</v>
      </c>
      <c r="D1046" s="1" t="s">
        <v>6</v>
      </c>
      <c r="E1046" s="5" t="str">
        <f>IF(Table13[[#This Row],[Pre or Post]]="Pre",IF(IF(Table13[[#This Row],[Response]]="Male",0,1)+IF(Table13[[#This Row],[Response]]="Female",0,1)=2,E1045,Table13[[#This Row],[Response]]),"")</f>
        <v>Male</v>
      </c>
      <c r="F1046" s="1">
        <v>6</v>
      </c>
      <c r="G1046" s="1" t="s">
        <v>8</v>
      </c>
      <c r="H1046" s="2" t="s">
        <v>8</v>
      </c>
      <c r="I104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47" spans="1:11">
      <c r="A1047" s="2" t="s">
        <v>24</v>
      </c>
      <c r="B1047" s="2" t="s">
        <v>28</v>
      </c>
      <c r="C1047" s="1">
        <v>8</v>
      </c>
      <c r="D1047" s="1" t="s">
        <v>6</v>
      </c>
      <c r="E1047" s="5" t="str">
        <f>IF(Table13[[#This Row],[Pre or Post]]="Pre",IF(IF(Table13[[#This Row],[Response]]="Male",0,1)+IF(Table13[[#This Row],[Response]]="Female",0,1)=2,E1046,Table13[[#This Row],[Response]]),"")</f>
        <v>Male</v>
      </c>
      <c r="F1047" s="1">
        <v>7</v>
      </c>
      <c r="G1047" s="1" t="s">
        <v>9</v>
      </c>
      <c r="H1047" s="2" t="s">
        <v>8</v>
      </c>
      <c r="I104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48" spans="1:11">
      <c r="A1048" s="2" t="s">
        <v>24</v>
      </c>
      <c r="B1048" s="2" t="s">
        <v>28</v>
      </c>
      <c r="C1048" s="1">
        <v>8</v>
      </c>
      <c r="D1048" s="1" t="s">
        <v>6</v>
      </c>
      <c r="E1048" s="5" t="str">
        <f>IF(Table13[[#This Row],[Pre or Post]]="Pre",IF(IF(Table13[[#This Row],[Response]]="Male",0,1)+IF(Table13[[#This Row],[Response]]="Female",0,1)=2,E1047,Table13[[#This Row],[Response]]),"")</f>
        <v>Male</v>
      </c>
      <c r="F1048" s="1">
        <v>8</v>
      </c>
      <c r="G1048" s="1"/>
      <c r="H1048" s="2" t="s">
        <v>8</v>
      </c>
      <c r="I104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49" spans="1:11">
      <c r="A1049" s="2" t="s">
        <v>24</v>
      </c>
      <c r="B1049" s="2" t="s">
        <v>28</v>
      </c>
      <c r="C1049" s="1">
        <v>8</v>
      </c>
      <c r="D1049" s="1" t="s">
        <v>6</v>
      </c>
      <c r="E1049" s="5" t="str">
        <f>IF(Table13[[#This Row],[Pre or Post]]="Pre",IF(IF(Table13[[#This Row],[Response]]="Male",0,1)+IF(Table13[[#This Row],[Response]]="Female",0,1)=2,E1048,Table13[[#This Row],[Response]]),"")</f>
        <v>Male</v>
      </c>
      <c r="F1049" s="1">
        <v>9</v>
      </c>
      <c r="G1049" s="1">
        <v>3</v>
      </c>
      <c r="H1049" s="2" t="s">
        <v>8</v>
      </c>
      <c r="I104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50" spans="1:11">
      <c r="A1050" s="2" t="s">
        <v>24</v>
      </c>
      <c r="B1050" s="2" t="s">
        <v>28</v>
      </c>
      <c r="C1050" s="1">
        <v>8</v>
      </c>
      <c r="D1050" s="1" t="s">
        <v>6</v>
      </c>
      <c r="E1050" s="5" t="str">
        <f>IF(Table13[[#This Row],[Pre or Post]]="Pre",IF(IF(Table13[[#This Row],[Response]]="Male",0,1)+IF(Table13[[#This Row],[Response]]="Female",0,1)=2,E1049,Table13[[#This Row],[Response]]),"")</f>
        <v>Male</v>
      </c>
      <c r="F1050" s="1">
        <v>10</v>
      </c>
      <c r="G1050" s="1">
        <v>2</v>
      </c>
      <c r="H1050" s="2" t="s">
        <v>8</v>
      </c>
      <c r="I105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51" spans="1:11">
      <c r="A1051" s="2" t="s">
        <v>24</v>
      </c>
      <c r="B1051" s="2" t="s">
        <v>28</v>
      </c>
      <c r="C1051" s="1">
        <v>8</v>
      </c>
      <c r="D1051" s="1" t="s">
        <v>6</v>
      </c>
      <c r="E1051" s="5" t="str">
        <f>IF(Table13[[#This Row],[Pre or Post]]="Pre",IF(IF(Table13[[#This Row],[Response]]="Male",0,1)+IF(Table13[[#This Row],[Response]]="Female",0,1)=2,E1050,Table13[[#This Row],[Response]]),"")</f>
        <v>Male</v>
      </c>
      <c r="F1051" s="2">
        <v>11</v>
      </c>
      <c r="G1051" s="1">
        <v>2</v>
      </c>
      <c r="H1051" s="2" t="s">
        <v>8</v>
      </c>
      <c r="I105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52" spans="1:11">
      <c r="A1052" s="2" t="s">
        <v>24</v>
      </c>
      <c r="B1052" s="2" t="s">
        <v>28</v>
      </c>
      <c r="C1052" s="1">
        <v>9</v>
      </c>
      <c r="D1052" s="1" t="s">
        <v>6</v>
      </c>
      <c r="E1052" s="5" t="str">
        <f>IF(Table13[[#This Row],[Pre or Post]]="Pre",IF(IF(Table13[[#This Row],[Response]]="Male",0,1)+IF(Table13[[#This Row],[Response]]="Female",0,1)=2,E1051,Table13[[#This Row],[Response]]),"")</f>
        <v>Female</v>
      </c>
      <c r="F1052" s="1">
        <v>2</v>
      </c>
      <c r="G1052" s="1" t="s">
        <v>13</v>
      </c>
      <c r="H1052" s="2" t="s">
        <v>8</v>
      </c>
      <c r="I105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53" spans="1:11">
      <c r="A1053" s="2" t="s">
        <v>24</v>
      </c>
      <c r="B1053" s="2" t="s">
        <v>28</v>
      </c>
      <c r="C1053" s="1">
        <v>9</v>
      </c>
      <c r="D1053" s="1" t="s">
        <v>6</v>
      </c>
      <c r="E1053" s="5" t="str">
        <f>IF(Table13[[#This Row],[Pre or Post]]="Pre",IF(IF(Table13[[#This Row],[Response]]="Male",0,1)+IF(Table13[[#This Row],[Response]]="Female",0,1)=2,E1052,Table13[[#This Row],[Response]]),"")</f>
        <v>Female</v>
      </c>
      <c r="F1053" s="1">
        <v>3</v>
      </c>
      <c r="G1053" s="1" t="s">
        <v>8</v>
      </c>
      <c r="H1053" s="2" t="s">
        <v>8</v>
      </c>
      <c r="I105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54" spans="1:11">
      <c r="A1054" s="2" t="s">
        <v>24</v>
      </c>
      <c r="B1054" s="2" t="s">
        <v>28</v>
      </c>
      <c r="C1054" s="1">
        <v>9</v>
      </c>
      <c r="D1054" s="1" t="s">
        <v>6</v>
      </c>
      <c r="E1054" s="5" t="str">
        <f>IF(Table13[[#This Row],[Pre or Post]]="Pre",IF(IF(Table13[[#This Row],[Response]]="Male",0,1)+IF(Table13[[#This Row],[Response]]="Female",0,1)=2,E1053,Table13[[#This Row],[Response]]),"")</f>
        <v>Female</v>
      </c>
      <c r="F1054" s="1">
        <v>4</v>
      </c>
      <c r="G1054" s="1" t="s">
        <v>8</v>
      </c>
      <c r="H1054" s="2" t="s">
        <v>8</v>
      </c>
      <c r="I105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55" spans="1:11">
      <c r="A1055" s="2" t="s">
        <v>24</v>
      </c>
      <c r="B1055" s="2" t="s">
        <v>28</v>
      </c>
      <c r="C1055" s="1">
        <v>9</v>
      </c>
      <c r="D1055" s="1" t="s">
        <v>6</v>
      </c>
      <c r="E1055" s="5" t="str">
        <f>IF(Table13[[#This Row],[Pre or Post]]="Pre",IF(IF(Table13[[#This Row],[Response]]="Male",0,1)+IF(Table13[[#This Row],[Response]]="Female",0,1)=2,E1054,Table13[[#This Row],[Response]]),"")</f>
        <v>Female</v>
      </c>
      <c r="F1055" s="1">
        <v>5</v>
      </c>
      <c r="G1055" s="1" t="s">
        <v>8</v>
      </c>
      <c r="H1055" s="2" t="s">
        <v>8</v>
      </c>
      <c r="I105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56" spans="1:11">
      <c r="A1056" s="2" t="s">
        <v>24</v>
      </c>
      <c r="B1056" s="2" t="s">
        <v>28</v>
      </c>
      <c r="C1056" s="1">
        <v>9</v>
      </c>
      <c r="D1056" s="1" t="s">
        <v>6</v>
      </c>
      <c r="E1056" s="5" t="str">
        <f>IF(Table13[[#This Row],[Pre or Post]]="Pre",IF(IF(Table13[[#This Row],[Response]]="Male",0,1)+IF(Table13[[#This Row],[Response]]="Female",0,1)=2,E1055,Table13[[#This Row],[Response]]),"")</f>
        <v>Female</v>
      </c>
      <c r="F1056" s="1">
        <v>6</v>
      </c>
      <c r="G1056" s="1" t="s">
        <v>8</v>
      </c>
      <c r="H1056" s="2" t="s">
        <v>8</v>
      </c>
      <c r="I105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57" spans="1:11">
      <c r="A1057" s="2" t="s">
        <v>24</v>
      </c>
      <c r="B1057" s="2" t="s">
        <v>28</v>
      </c>
      <c r="C1057" s="1">
        <v>9</v>
      </c>
      <c r="D1057" s="1" t="s">
        <v>6</v>
      </c>
      <c r="E1057" s="5" t="str">
        <f>IF(Table13[[#This Row],[Pre or Post]]="Pre",IF(IF(Table13[[#This Row],[Response]]="Male",0,1)+IF(Table13[[#This Row],[Response]]="Female",0,1)=2,E1056,Table13[[#This Row],[Response]]),"")</f>
        <v>Female</v>
      </c>
      <c r="F1057" s="1">
        <v>7</v>
      </c>
      <c r="G1057" s="1" t="s">
        <v>9</v>
      </c>
      <c r="H1057" s="2" t="s">
        <v>8</v>
      </c>
      <c r="I105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58" spans="1:11">
      <c r="A1058" s="2" t="s">
        <v>24</v>
      </c>
      <c r="B1058" s="2" t="s">
        <v>28</v>
      </c>
      <c r="C1058" s="1">
        <v>9</v>
      </c>
      <c r="D1058" s="1" t="s">
        <v>6</v>
      </c>
      <c r="E1058" s="5" t="str">
        <f>IF(Table13[[#This Row],[Pre or Post]]="Pre",IF(IF(Table13[[#This Row],[Response]]="Male",0,1)+IF(Table13[[#This Row],[Response]]="Female",0,1)=2,E1057,Table13[[#This Row],[Response]]),"")</f>
        <v>Female</v>
      </c>
      <c r="F1058" s="1">
        <v>8</v>
      </c>
      <c r="G1058" s="1"/>
      <c r="H1058" s="2" t="s">
        <v>8</v>
      </c>
      <c r="I105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59" spans="1:11">
      <c r="A1059" s="2" t="s">
        <v>24</v>
      </c>
      <c r="B1059" s="2" t="s">
        <v>28</v>
      </c>
      <c r="C1059" s="1">
        <v>9</v>
      </c>
      <c r="D1059" s="1" t="s">
        <v>6</v>
      </c>
      <c r="E1059" s="5" t="str">
        <f>IF(Table13[[#This Row],[Pre or Post]]="Pre",IF(IF(Table13[[#This Row],[Response]]="Male",0,1)+IF(Table13[[#This Row],[Response]]="Female",0,1)=2,E1058,Table13[[#This Row],[Response]]),"")</f>
        <v>Female</v>
      </c>
      <c r="F1059" s="1">
        <v>9</v>
      </c>
      <c r="G1059" s="1">
        <v>2</v>
      </c>
      <c r="H1059" s="2" t="s">
        <v>8</v>
      </c>
      <c r="I105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60" spans="1:11">
      <c r="A1060" s="2" t="s">
        <v>24</v>
      </c>
      <c r="B1060" s="2" t="s">
        <v>28</v>
      </c>
      <c r="C1060" s="1">
        <v>9</v>
      </c>
      <c r="D1060" s="1" t="s">
        <v>6</v>
      </c>
      <c r="E1060" s="5" t="str">
        <f>IF(Table13[[#This Row],[Pre or Post]]="Pre",IF(IF(Table13[[#This Row],[Response]]="Male",0,1)+IF(Table13[[#This Row],[Response]]="Female",0,1)=2,E1059,Table13[[#This Row],[Response]]),"")</f>
        <v>Female</v>
      </c>
      <c r="F1060" s="1">
        <v>10</v>
      </c>
      <c r="G1060" s="1">
        <v>3</v>
      </c>
      <c r="H1060" s="2" t="s">
        <v>8</v>
      </c>
      <c r="I106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61" spans="1:11">
      <c r="A1061" s="2" t="s">
        <v>24</v>
      </c>
      <c r="B1061" s="2" t="s">
        <v>28</v>
      </c>
      <c r="C1061" s="1">
        <v>9</v>
      </c>
      <c r="D1061" s="1" t="s">
        <v>6</v>
      </c>
      <c r="E1061" s="5" t="str">
        <f>IF(Table13[[#This Row],[Pre or Post]]="Pre",IF(IF(Table13[[#This Row],[Response]]="Male",0,1)+IF(Table13[[#This Row],[Response]]="Female",0,1)=2,E1060,Table13[[#This Row],[Response]]),"")</f>
        <v>Female</v>
      </c>
      <c r="F1061" s="1">
        <v>11</v>
      </c>
      <c r="G1061" s="1">
        <v>3</v>
      </c>
      <c r="H1061" s="2" t="s">
        <v>8</v>
      </c>
      <c r="I106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62" spans="1:11">
      <c r="A1062" s="2" t="s">
        <v>24</v>
      </c>
      <c r="B1062" s="2" t="s">
        <v>28</v>
      </c>
      <c r="C1062" s="1">
        <v>10</v>
      </c>
      <c r="D1062" s="1" t="s">
        <v>6</v>
      </c>
      <c r="E1062" s="5" t="str">
        <f>IF(Table13[[#This Row],[Pre or Post]]="Pre",IF(IF(Table13[[#This Row],[Response]]="Male",0,1)+IF(Table13[[#This Row],[Response]]="Female",0,1)=2,E1061,Table13[[#This Row],[Response]]),"")</f>
        <v>Female</v>
      </c>
      <c r="F1062" s="1">
        <v>2</v>
      </c>
      <c r="G1062" s="1" t="s">
        <v>13</v>
      </c>
      <c r="H1062" s="2" t="s">
        <v>8</v>
      </c>
      <c r="I106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63" spans="1:11">
      <c r="A1063" s="2" t="s">
        <v>24</v>
      </c>
      <c r="B1063" s="2" t="s">
        <v>28</v>
      </c>
      <c r="C1063" s="1">
        <v>10</v>
      </c>
      <c r="D1063" s="1" t="s">
        <v>6</v>
      </c>
      <c r="E1063" s="5" t="str">
        <f>IF(Table13[[#This Row],[Pre or Post]]="Pre",IF(IF(Table13[[#This Row],[Response]]="Male",0,1)+IF(Table13[[#This Row],[Response]]="Female",0,1)=2,E1062,Table13[[#This Row],[Response]]),"")</f>
        <v>Female</v>
      </c>
      <c r="F1063" s="1">
        <v>3</v>
      </c>
      <c r="G1063" s="1" t="s">
        <v>8</v>
      </c>
      <c r="H1063" s="2" t="s">
        <v>8</v>
      </c>
      <c r="I106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64" spans="1:11">
      <c r="A1064" s="2" t="s">
        <v>24</v>
      </c>
      <c r="B1064" s="2" t="s">
        <v>28</v>
      </c>
      <c r="C1064" s="1">
        <v>10</v>
      </c>
      <c r="D1064" s="1" t="s">
        <v>6</v>
      </c>
      <c r="E1064" s="5" t="str">
        <f>IF(Table13[[#This Row],[Pre or Post]]="Pre",IF(IF(Table13[[#This Row],[Response]]="Male",0,1)+IF(Table13[[#This Row],[Response]]="Female",0,1)=2,E1063,Table13[[#This Row],[Response]]),"")</f>
        <v>Female</v>
      </c>
      <c r="F1064" s="1">
        <v>4</v>
      </c>
      <c r="G1064" s="1" t="s">
        <v>8</v>
      </c>
      <c r="H1064" s="2" t="s">
        <v>8</v>
      </c>
      <c r="I106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65" spans="1:11">
      <c r="A1065" s="2" t="s">
        <v>24</v>
      </c>
      <c r="B1065" s="2" t="s">
        <v>28</v>
      </c>
      <c r="C1065" s="1">
        <v>10</v>
      </c>
      <c r="D1065" s="1" t="s">
        <v>6</v>
      </c>
      <c r="E1065" s="5" t="str">
        <f>IF(Table13[[#This Row],[Pre or Post]]="Pre",IF(IF(Table13[[#This Row],[Response]]="Male",0,1)+IF(Table13[[#This Row],[Response]]="Female",0,1)=2,E1064,Table13[[#This Row],[Response]]),"")</f>
        <v>Female</v>
      </c>
      <c r="F1065" s="1">
        <v>5</v>
      </c>
      <c r="G1065" s="1" t="s">
        <v>8</v>
      </c>
      <c r="H1065" s="2" t="s">
        <v>8</v>
      </c>
      <c r="I106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66" spans="1:11">
      <c r="A1066" s="2" t="s">
        <v>24</v>
      </c>
      <c r="B1066" s="2" t="s">
        <v>28</v>
      </c>
      <c r="C1066" s="1">
        <v>10</v>
      </c>
      <c r="D1066" s="1" t="s">
        <v>6</v>
      </c>
      <c r="E1066" s="5" t="str">
        <f>IF(Table13[[#This Row],[Pre or Post]]="Pre",IF(IF(Table13[[#This Row],[Response]]="Male",0,1)+IF(Table13[[#This Row],[Response]]="Female",0,1)=2,E1065,Table13[[#This Row],[Response]]),"")</f>
        <v>Female</v>
      </c>
      <c r="F1066" s="1">
        <v>6</v>
      </c>
      <c r="G1066" s="1" t="s">
        <v>8</v>
      </c>
      <c r="H1066" s="2" t="s">
        <v>8</v>
      </c>
      <c r="I106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67" spans="1:11">
      <c r="A1067" s="2" t="s">
        <v>24</v>
      </c>
      <c r="B1067" s="2" t="s">
        <v>28</v>
      </c>
      <c r="C1067" s="1">
        <v>10</v>
      </c>
      <c r="D1067" s="1" t="s">
        <v>6</v>
      </c>
      <c r="E1067" s="5" t="str">
        <f>IF(Table13[[#This Row],[Pre or Post]]="Pre",IF(IF(Table13[[#This Row],[Response]]="Male",0,1)+IF(Table13[[#This Row],[Response]]="Female",0,1)=2,E1066,Table13[[#This Row],[Response]]),"")</f>
        <v>Female</v>
      </c>
      <c r="F1067" s="1">
        <v>7</v>
      </c>
      <c r="G1067" s="1" t="s">
        <v>8</v>
      </c>
      <c r="H1067" s="2" t="s">
        <v>8</v>
      </c>
      <c r="I106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68" spans="1:11">
      <c r="A1068" s="2" t="s">
        <v>24</v>
      </c>
      <c r="B1068" s="2" t="s">
        <v>28</v>
      </c>
      <c r="C1068" s="1">
        <v>10</v>
      </c>
      <c r="D1068" s="1" t="s">
        <v>6</v>
      </c>
      <c r="E1068" s="5" t="str">
        <f>IF(Table13[[#This Row],[Pre or Post]]="Pre",IF(IF(Table13[[#This Row],[Response]]="Male",0,1)+IF(Table13[[#This Row],[Response]]="Female",0,1)=2,E1067,Table13[[#This Row],[Response]]),"")</f>
        <v>Female</v>
      </c>
      <c r="F1068" s="1">
        <v>8</v>
      </c>
      <c r="G1068" s="1"/>
      <c r="H1068" s="2" t="s">
        <v>8</v>
      </c>
      <c r="I106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69" spans="1:11">
      <c r="A1069" s="2" t="s">
        <v>24</v>
      </c>
      <c r="B1069" s="2" t="s">
        <v>28</v>
      </c>
      <c r="C1069" s="1">
        <v>10</v>
      </c>
      <c r="D1069" s="1" t="s">
        <v>6</v>
      </c>
      <c r="E1069" s="5" t="str">
        <f>IF(Table13[[#This Row],[Pre or Post]]="Pre",IF(IF(Table13[[#This Row],[Response]]="Male",0,1)+IF(Table13[[#This Row],[Response]]="Female",0,1)=2,E1068,Table13[[#This Row],[Response]]),"")</f>
        <v>Female</v>
      </c>
      <c r="F1069" s="1">
        <v>9</v>
      </c>
      <c r="G1069" s="1">
        <v>3</v>
      </c>
      <c r="H1069" s="2" t="s">
        <v>8</v>
      </c>
      <c r="I106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70" spans="1:11">
      <c r="A1070" s="2" t="s">
        <v>24</v>
      </c>
      <c r="B1070" s="2" t="s">
        <v>28</v>
      </c>
      <c r="C1070" s="1">
        <v>10</v>
      </c>
      <c r="D1070" s="1" t="s">
        <v>6</v>
      </c>
      <c r="E1070" s="5" t="str">
        <f>IF(Table13[[#This Row],[Pre or Post]]="Pre",IF(IF(Table13[[#This Row],[Response]]="Male",0,1)+IF(Table13[[#This Row],[Response]]="Female",0,1)=2,E1069,Table13[[#This Row],[Response]]),"")</f>
        <v>Female</v>
      </c>
      <c r="F1070" s="1">
        <v>10</v>
      </c>
      <c r="G1070" s="1">
        <v>3</v>
      </c>
      <c r="H1070" s="2" t="s">
        <v>8</v>
      </c>
      <c r="I107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71" spans="1:11">
      <c r="A1071" s="2" t="s">
        <v>24</v>
      </c>
      <c r="B1071" s="2" t="s">
        <v>28</v>
      </c>
      <c r="C1071" s="1">
        <v>10</v>
      </c>
      <c r="D1071" s="1" t="s">
        <v>6</v>
      </c>
      <c r="E1071" s="5" t="str">
        <f>IF(Table13[[#This Row],[Pre or Post]]="Pre",IF(IF(Table13[[#This Row],[Response]]="Male",0,1)+IF(Table13[[#This Row],[Response]]="Female",0,1)=2,E1070,Table13[[#This Row],[Response]]),"")</f>
        <v>Female</v>
      </c>
      <c r="F1071" s="1">
        <v>11</v>
      </c>
      <c r="G1071" s="1">
        <v>3</v>
      </c>
      <c r="H1071" s="2" t="s">
        <v>8</v>
      </c>
      <c r="I107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72" spans="1:11">
      <c r="A1072" s="2" t="s">
        <v>24</v>
      </c>
      <c r="B1072" s="2" t="s">
        <v>28</v>
      </c>
      <c r="C1072" s="1">
        <v>11</v>
      </c>
      <c r="D1072" s="1" t="s">
        <v>6</v>
      </c>
      <c r="E1072" s="5" t="str">
        <f>IF(Table13[[#This Row],[Pre or Post]]="Pre",IF(IF(Table13[[#This Row],[Response]]="Male",0,1)+IF(Table13[[#This Row],[Response]]="Female",0,1)=2,E1071,Table13[[#This Row],[Response]]),"")</f>
        <v>Female</v>
      </c>
      <c r="F1072" s="1">
        <v>2</v>
      </c>
      <c r="G1072" s="1" t="s">
        <v>13</v>
      </c>
      <c r="H1072" s="2" t="s">
        <v>8</v>
      </c>
      <c r="I107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73" spans="1:11">
      <c r="A1073" s="2" t="s">
        <v>24</v>
      </c>
      <c r="B1073" s="2" t="s">
        <v>28</v>
      </c>
      <c r="C1073" s="1">
        <v>11</v>
      </c>
      <c r="D1073" s="1" t="s">
        <v>6</v>
      </c>
      <c r="E1073" s="5" t="str">
        <f>IF(Table13[[#This Row],[Pre or Post]]="Pre",IF(IF(Table13[[#This Row],[Response]]="Male",0,1)+IF(Table13[[#This Row],[Response]]="Female",0,1)=2,E1072,Table13[[#This Row],[Response]]),"")</f>
        <v>Female</v>
      </c>
      <c r="F1073" s="1">
        <v>3</v>
      </c>
      <c r="G1073" s="1" t="s">
        <v>8</v>
      </c>
      <c r="H1073" s="2" t="s">
        <v>8</v>
      </c>
      <c r="I107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74" spans="1:11">
      <c r="A1074" s="2" t="s">
        <v>24</v>
      </c>
      <c r="B1074" s="2" t="s">
        <v>28</v>
      </c>
      <c r="C1074" s="1">
        <v>11</v>
      </c>
      <c r="D1074" s="1" t="s">
        <v>6</v>
      </c>
      <c r="E1074" s="5" t="str">
        <f>IF(Table13[[#This Row],[Pre or Post]]="Pre",IF(IF(Table13[[#This Row],[Response]]="Male",0,1)+IF(Table13[[#This Row],[Response]]="Female",0,1)=2,E1073,Table13[[#This Row],[Response]]),"")</f>
        <v>Female</v>
      </c>
      <c r="F1074" s="1">
        <v>4</v>
      </c>
      <c r="G1074" s="1" t="s">
        <v>8</v>
      </c>
      <c r="H1074" s="2" t="s">
        <v>8</v>
      </c>
      <c r="I107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75" spans="1:11">
      <c r="A1075" s="2" t="s">
        <v>24</v>
      </c>
      <c r="B1075" s="2" t="s">
        <v>28</v>
      </c>
      <c r="C1075" s="1">
        <v>11</v>
      </c>
      <c r="D1075" s="1" t="s">
        <v>6</v>
      </c>
      <c r="E1075" s="5" t="str">
        <f>IF(Table13[[#This Row],[Pre or Post]]="Pre",IF(IF(Table13[[#This Row],[Response]]="Male",0,1)+IF(Table13[[#This Row],[Response]]="Female",0,1)=2,E1074,Table13[[#This Row],[Response]]),"")</f>
        <v>Female</v>
      </c>
      <c r="F1075" s="1">
        <v>5</v>
      </c>
      <c r="G1075" s="1" t="s">
        <v>8</v>
      </c>
      <c r="H1075" s="2" t="s">
        <v>8</v>
      </c>
      <c r="I107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76" spans="1:11">
      <c r="A1076" s="2" t="s">
        <v>24</v>
      </c>
      <c r="B1076" s="2" t="s">
        <v>28</v>
      </c>
      <c r="C1076" s="1">
        <v>11</v>
      </c>
      <c r="D1076" s="1" t="s">
        <v>6</v>
      </c>
      <c r="E1076" s="5" t="str">
        <f>IF(Table13[[#This Row],[Pre or Post]]="Pre",IF(IF(Table13[[#This Row],[Response]]="Male",0,1)+IF(Table13[[#This Row],[Response]]="Female",0,1)=2,E1075,Table13[[#This Row],[Response]]),"")</f>
        <v>Female</v>
      </c>
      <c r="F1076" s="1">
        <v>6</v>
      </c>
      <c r="G1076" s="1" t="s">
        <v>8</v>
      </c>
      <c r="H1076" s="2" t="s">
        <v>8</v>
      </c>
      <c r="I107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77" spans="1:11">
      <c r="A1077" s="2" t="s">
        <v>24</v>
      </c>
      <c r="B1077" s="2" t="s">
        <v>28</v>
      </c>
      <c r="C1077" s="1">
        <v>11</v>
      </c>
      <c r="D1077" s="1" t="s">
        <v>6</v>
      </c>
      <c r="E1077" s="5" t="str">
        <f>IF(Table13[[#This Row],[Pre or Post]]="Pre",IF(IF(Table13[[#This Row],[Response]]="Male",0,1)+IF(Table13[[#This Row],[Response]]="Female",0,1)=2,E1076,Table13[[#This Row],[Response]]),"")</f>
        <v>Female</v>
      </c>
      <c r="F1077" s="1">
        <v>7</v>
      </c>
      <c r="G1077" s="1" t="s">
        <v>8</v>
      </c>
      <c r="H1077" s="2" t="s">
        <v>8</v>
      </c>
      <c r="I107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78" spans="1:11">
      <c r="A1078" s="2" t="s">
        <v>24</v>
      </c>
      <c r="B1078" s="2" t="s">
        <v>28</v>
      </c>
      <c r="C1078" s="1">
        <v>11</v>
      </c>
      <c r="D1078" s="1" t="s">
        <v>6</v>
      </c>
      <c r="E1078" s="5" t="str">
        <f>IF(Table13[[#This Row],[Pre or Post]]="Pre",IF(IF(Table13[[#This Row],[Response]]="Male",0,1)+IF(Table13[[#This Row],[Response]]="Female",0,1)=2,E1077,Table13[[#This Row],[Response]]),"")</f>
        <v>Female</v>
      </c>
      <c r="F1078" s="1">
        <v>8</v>
      </c>
      <c r="G1078" s="1"/>
      <c r="H1078" s="2" t="s">
        <v>8</v>
      </c>
      <c r="I107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79" spans="1:11">
      <c r="A1079" s="2" t="s">
        <v>24</v>
      </c>
      <c r="B1079" s="2" t="s">
        <v>28</v>
      </c>
      <c r="C1079" s="1">
        <v>11</v>
      </c>
      <c r="D1079" s="1" t="s">
        <v>6</v>
      </c>
      <c r="E1079" s="5" t="str">
        <f>IF(Table13[[#This Row],[Pre or Post]]="Pre",IF(IF(Table13[[#This Row],[Response]]="Male",0,1)+IF(Table13[[#This Row],[Response]]="Female",0,1)=2,E1078,Table13[[#This Row],[Response]]),"")</f>
        <v>Female</v>
      </c>
      <c r="F1079" s="1">
        <v>9</v>
      </c>
      <c r="G1079" s="1">
        <v>3</v>
      </c>
      <c r="H1079" s="2" t="s">
        <v>8</v>
      </c>
      <c r="I107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80" spans="1:11">
      <c r="A1080" s="2" t="s">
        <v>24</v>
      </c>
      <c r="B1080" s="2" t="s">
        <v>28</v>
      </c>
      <c r="C1080" s="1">
        <v>11</v>
      </c>
      <c r="D1080" s="1" t="s">
        <v>6</v>
      </c>
      <c r="E1080" s="5" t="str">
        <f>IF(Table13[[#This Row],[Pre or Post]]="Pre",IF(IF(Table13[[#This Row],[Response]]="Male",0,1)+IF(Table13[[#This Row],[Response]]="Female",0,1)=2,E1079,Table13[[#This Row],[Response]]),"")</f>
        <v>Female</v>
      </c>
      <c r="F1080" s="1">
        <v>10</v>
      </c>
      <c r="G1080" s="1">
        <v>3</v>
      </c>
      <c r="H1080" s="2" t="s">
        <v>8</v>
      </c>
      <c r="I108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81" spans="1:11">
      <c r="A1081" s="2" t="s">
        <v>24</v>
      </c>
      <c r="B1081" s="2" t="s">
        <v>28</v>
      </c>
      <c r="C1081" s="1">
        <v>11</v>
      </c>
      <c r="D1081" s="1" t="s">
        <v>6</v>
      </c>
      <c r="E1081" s="5" t="str">
        <f>IF(Table13[[#This Row],[Pre or Post]]="Pre",IF(IF(Table13[[#This Row],[Response]]="Male",0,1)+IF(Table13[[#This Row],[Response]]="Female",0,1)=2,E1080,Table13[[#This Row],[Response]]),"")</f>
        <v>Female</v>
      </c>
      <c r="F1081" s="1">
        <v>11</v>
      </c>
      <c r="G1081" s="1">
        <v>3</v>
      </c>
      <c r="H1081" s="2" t="s">
        <v>8</v>
      </c>
      <c r="I108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82" spans="1:11">
      <c r="A1082" s="2" t="s">
        <v>24</v>
      </c>
      <c r="B1082" s="2" t="s">
        <v>28</v>
      </c>
      <c r="C1082" s="1">
        <v>12</v>
      </c>
      <c r="D1082" s="1" t="s">
        <v>6</v>
      </c>
      <c r="E1082" s="5" t="str">
        <f>IF(Table13[[#This Row],[Pre or Post]]="Pre",IF(IF(Table13[[#This Row],[Response]]="Male",0,1)+IF(Table13[[#This Row],[Response]]="Female",0,1)=2,E1081,Table13[[#This Row],[Response]]),"")</f>
        <v>Male</v>
      </c>
      <c r="F1082" s="1">
        <v>2</v>
      </c>
      <c r="G1082" s="2" t="s">
        <v>7</v>
      </c>
      <c r="H1082" s="2" t="s">
        <v>8</v>
      </c>
      <c r="I108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83" spans="1:11">
      <c r="A1083" s="2" t="s">
        <v>24</v>
      </c>
      <c r="B1083" s="2" t="s">
        <v>28</v>
      </c>
      <c r="C1083" s="1">
        <v>12</v>
      </c>
      <c r="D1083" s="1" t="s">
        <v>6</v>
      </c>
      <c r="E1083" s="5" t="str">
        <f>IF(Table13[[#This Row],[Pre or Post]]="Pre",IF(IF(Table13[[#This Row],[Response]]="Male",0,1)+IF(Table13[[#This Row],[Response]]="Female",0,1)=2,E1082,Table13[[#This Row],[Response]]),"")</f>
        <v>Male</v>
      </c>
      <c r="F1083" s="1">
        <v>3</v>
      </c>
      <c r="G1083" s="2" t="s">
        <v>8</v>
      </c>
      <c r="H1083" s="2" t="s">
        <v>8</v>
      </c>
      <c r="I108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84" spans="1:11">
      <c r="A1084" s="2" t="s">
        <v>24</v>
      </c>
      <c r="B1084" s="2" t="s">
        <v>28</v>
      </c>
      <c r="C1084" s="1">
        <v>12</v>
      </c>
      <c r="D1084" s="1" t="s">
        <v>6</v>
      </c>
      <c r="E1084" s="5" t="str">
        <f>IF(Table13[[#This Row],[Pre or Post]]="Pre",IF(IF(Table13[[#This Row],[Response]]="Male",0,1)+IF(Table13[[#This Row],[Response]]="Female",0,1)=2,E1083,Table13[[#This Row],[Response]]),"")</f>
        <v>Male</v>
      </c>
      <c r="F1084" s="1">
        <v>4</v>
      </c>
      <c r="G1084" s="2" t="s">
        <v>8</v>
      </c>
      <c r="H1084" s="2" t="s">
        <v>8</v>
      </c>
      <c r="I108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85" spans="1:11">
      <c r="A1085" s="2" t="s">
        <v>24</v>
      </c>
      <c r="B1085" s="2" t="s">
        <v>28</v>
      </c>
      <c r="C1085" s="1">
        <v>12</v>
      </c>
      <c r="D1085" s="1" t="s">
        <v>6</v>
      </c>
      <c r="E1085" s="5" t="str">
        <f>IF(Table13[[#This Row],[Pre or Post]]="Pre",IF(IF(Table13[[#This Row],[Response]]="Male",0,1)+IF(Table13[[#This Row],[Response]]="Female",0,1)=2,E1084,Table13[[#This Row],[Response]]),"")</f>
        <v>Male</v>
      </c>
      <c r="F1085" s="1">
        <v>5</v>
      </c>
      <c r="G1085" s="2" t="s">
        <v>8</v>
      </c>
      <c r="H1085" s="2" t="s">
        <v>8</v>
      </c>
      <c r="I108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86" spans="1:11">
      <c r="A1086" s="2" t="s">
        <v>24</v>
      </c>
      <c r="B1086" s="2" t="s">
        <v>28</v>
      </c>
      <c r="C1086" s="1">
        <v>12</v>
      </c>
      <c r="D1086" s="1" t="s">
        <v>6</v>
      </c>
      <c r="E1086" s="5" t="str">
        <f>IF(Table13[[#This Row],[Pre or Post]]="Pre",IF(IF(Table13[[#This Row],[Response]]="Male",0,1)+IF(Table13[[#This Row],[Response]]="Female",0,1)=2,E1085,Table13[[#This Row],[Response]]),"")</f>
        <v>Male</v>
      </c>
      <c r="F1086" s="1">
        <v>6</v>
      </c>
      <c r="G1086" s="2" t="s">
        <v>8</v>
      </c>
      <c r="H1086" s="2" t="s">
        <v>8</v>
      </c>
      <c r="I108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87" spans="1:11">
      <c r="A1087" s="2" t="s">
        <v>24</v>
      </c>
      <c r="B1087" s="2" t="s">
        <v>28</v>
      </c>
      <c r="C1087" s="1">
        <v>12</v>
      </c>
      <c r="D1087" s="1" t="s">
        <v>6</v>
      </c>
      <c r="E1087" s="5" t="str">
        <f>IF(Table13[[#This Row],[Pre or Post]]="Pre",IF(IF(Table13[[#This Row],[Response]]="Male",0,1)+IF(Table13[[#This Row],[Response]]="Female",0,1)=2,E1086,Table13[[#This Row],[Response]]),"")</f>
        <v>Male</v>
      </c>
      <c r="F1087" s="1">
        <v>7</v>
      </c>
      <c r="G1087" s="2" t="s">
        <v>9</v>
      </c>
      <c r="H1087" s="2" t="s">
        <v>8</v>
      </c>
      <c r="I108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88" spans="1:11">
      <c r="A1088" s="2" t="s">
        <v>24</v>
      </c>
      <c r="B1088" s="2" t="s">
        <v>28</v>
      </c>
      <c r="C1088" s="1">
        <v>12</v>
      </c>
      <c r="D1088" s="1" t="s">
        <v>6</v>
      </c>
      <c r="E1088" s="5" t="str">
        <f>IF(Table13[[#This Row],[Pre or Post]]="Pre",IF(IF(Table13[[#This Row],[Response]]="Male",0,1)+IF(Table13[[#This Row],[Response]]="Female",0,1)=2,E1087,Table13[[#This Row],[Response]]),"")</f>
        <v>Male</v>
      </c>
      <c r="F1088" s="1">
        <v>8</v>
      </c>
      <c r="G1088" s="2"/>
      <c r="H1088" s="2" t="s">
        <v>8</v>
      </c>
      <c r="I108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89" spans="1:11">
      <c r="A1089" s="2" t="s">
        <v>24</v>
      </c>
      <c r="B1089" s="2" t="s">
        <v>28</v>
      </c>
      <c r="C1089" s="1">
        <v>12</v>
      </c>
      <c r="D1089" s="1" t="s">
        <v>6</v>
      </c>
      <c r="E1089" s="5" t="str">
        <f>IF(Table13[[#This Row],[Pre or Post]]="Pre",IF(IF(Table13[[#This Row],[Response]]="Male",0,1)+IF(Table13[[#This Row],[Response]]="Female",0,1)=2,E1088,Table13[[#This Row],[Response]]),"")</f>
        <v>Male</v>
      </c>
      <c r="F1089" s="1">
        <v>9</v>
      </c>
      <c r="G1089" s="2">
        <v>3</v>
      </c>
      <c r="H1089" s="2" t="s">
        <v>8</v>
      </c>
      <c r="I108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90" spans="1:11">
      <c r="A1090" s="2" t="s">
        <v>24</v>
      </c>
      <c r="B1090" s="2" t="s">
        <v>28</v>
      </c>
      <c r="C1090" s="1">
        <v>12</v>
      </c>
      <c r="D1090" s="1" t="s">
        <v>6</v>
      </c>
      <c r="E1090" s="5" t="str">
        <f>IF(Table13[[#This Row],[Pre or Post]]="Pre",IF(IF(Table13[[#This Row],[Response]]="Male",0,1)+IF(Table13[[#This Row],[Response]]="Female",0,1)=2,E1089,Table13[[#This Row],[Response]]),"")</f>
        <v>Male</v>
      </c>
      <c r="F1090" s="1">
        <v>10</v>
      </c>
      <c r="G1090" s="2">
        <v>2</v>
      </c>
      <c r="H1090" s="2" t="s">
        <v>8</v>
      </c>
      <c r="I109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91" spans="1:11">
      <c r="A1091" s="2" t="s">
        <v>24</v>
      </c>
      <c r="B1091" s="2" t="s">
        <v>28</v>
      </c>
      <c r="C1091" s="1">
        <v>12</v>
      </c>
      <c r="D1091" s="1" t="s">
        <v>6</v>
      </c>
      <c r="E1091" s="5" t="str">
        <f>IF(Table13[[#This Row],[Pre or Post]]="Pre",IF(IF(Table13[[#This Row],[Response]]="Male",0,1)+IF(Table13[[#This Row],[Response]]="Female",0,1)=2,E1090,Table13[[#This Row],[Response]]),"")</f>
        <v>Male</v>
      </c>
      <c r="F1091" s="1">
        <v>11</v>
      </c>
      <c r="G1091" s="2">
        <v>3</v>
      </c>
      <c r="H1091" s="2" t="s">
        <v>8</v>
      </c>
      <c r="I109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92" spans="1:11">
      <c r="A1092" s="2" t="s">
        <v>24</v>
      </c>
      <c r="B1092" s="2" t="s">
        <v>28</v>
      </c>
      <c r="C1092" s="1">
        <v>13</v>
      </c>
      <c r="D1092" s="1" t="s">
        <v>6</v>
      </c>
      <c r="E1092" s="5" t="str">
        <f>IF(Table13[[#This Row],[Pre or Post]]="Pre",IF(IF(Table13[[#This Row],[Response]]="Male",0,1)+IF(Table13[[#This Row],[Response]]="Female",0,1)=2,E1091,Table13[[#This Row],[Response]]),"")</f>
        <v>Male</v>
      </c>
      <c r="F1092" s="1">
        <v>2</v>
      </c>
      <c r="G1092" s="2" t="s">
        <v>7</v>
      </c>
      <c r="H1092" s="2" t="s">
        <v>8</v>
      </c>
      <c r="I109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93" spans="1:11">
      <c r="A1093" s="2" t="s">
        <v>24</v>
      </c>
      <c r="B1093" s="2" t="s">
        <v>28</v>
      </c>
      <c r="C1093" s="1">
        <v>13</v>
      </c>
      <c r="D1093" s="1" t="s">
        <v>6</v>
      </c>
      <c r="E1093" s="5" t="str">
        <f>IF(Table13[[#This Row],[Pre or Post]]="Pre",IF(IF(Table13[[#This Row],[Response]]="Male",0,1)+IF(Table13[[#This Row],[Response]]="Female",0,1)=2,E1092,Table13[[#This Row],[Response]]),"")</f>
        <v>Male</v>
      </c>
      <c r="F1093" s="1">
        <v>3</v>
      </c>
      <c r="G1093" s="2" t="s">
        <v>8</v>
      </c>
      <c r="H1093" s="2" t="s">
        <v>8</v>
      </c>
      <c r="I109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94" spans="1:11">
      <c r="A1094" s="2" t="s">
        <v>24</v>
      </c>
      <c r="B1094" s="2" t="s">
        <v>28</v>
      </c>
      <c r="C1094" s="1">
        <v>13</v>
      </c>
      <c r="D1094" s="1" t="s">
        <v>6</v>
      </c>
      <c r="E1094" s="5" t="str">
        <f>IF(Table13[[#This Row],[Pre or Post]]="Pre",IF(IF(Table13[[#This Row],[Response]]="Male",0,1)+IF(Table13[[#This Row],[Response]]="Female",0,1)=2,E1093,Table13[[#This Row],[Response]]),"")</f>
        <v>Male</v>
      </c>
      <c r="F1094" s="1">
        <v>4</v>
      </c>
      <c r="G1094" s="2" t="s">
        <v>8</v>
      </c>
      <c r="H1094" s="2" t="s">
        <v>8</v>
      </c>
      <c r="I109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95" spans="1:11">
      <c r="A1095" s="2" t="s">
        <v>24</v>
      </c>
      <c r="B1095" s="2" t="s">
        <v>28</v>
      </c>
      <c r="C1095" s="1">
        <v>13</v>
      </c>
      <c r="D1095" s="1" t="s">
        <v>6</v>
      </c>
      <c r="E1095" s="5" t="str">
        <f>IF(Table13[[#This Row],[Pre or Post]]="Pre",IF(IF(Table13[[#This Row],[Response]]="Male",0,1)+IF(Table13[[#This Row],[Response]]="Female",0,1)=2,E1094,Table13[[#This Row],[Response]]),"")</f>
        <v>Male</v>
      </c>
      <c r="F1095" s="1">
        <v>5</v>
      </c>
      <c r="G1095" s="2" t="s">
        <v>8</v>
      </c>
      <c r="H1095" s="2" t="s">
        <v>8</v>
      </c>
      <c r="I109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96" spans="1:11">
      <c r="A1096" s="2" t="s">
        <v>24</v>
      </c>
      <c r="B1096" s="2" t="s">
        <v>28</v>
      </c>
      <c r="C1096" s="1">
        <v>13</v>
      </c>
      <c r="D1096" s="1" t="s">
        <v>6</v>
      </c>
      <c r="E1096" s="5" t="str">
        <f>IF(Table13[[#This Row],[Pre or Post]]="Pre",IF(IF(Table13[[#This Row],[Response]]="Male",0,1)+IF(Table13[[#This Row],[Response]]="Female",0,1)=2,E1095,Table13[[#This Row],[Response]]),"")</f>
        <v>Male</v>
      </c>
      <c r="F1096" s="1">
        <v>6</v>
      </c>
      <c r="G1096" s="2" t="s">
        <v>8</v>
      </c>
      <c r="H1096" s="2" t="s">
        <v>8</v>
      </c>
      <c r="I109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97" spans="1:11">
      <c r="A1097" s="2" t="s">
        <v>24</v>
      </c>
      <c r="B1097" s="2" t="s">
        <v>28</v>
      </c>
      <c r="C1097" s="1">
        <v>13</v>
      </c>
      <c r="D1097" s="1" t="s">
        <v>6</v>
      </c>
      <c r="E1097" s="5" t="str">
        <f>IF(Table13[[#This Row],[Pre or Post]]="Pre",IF(IF(Table13[[#This Row],[Response]]="Male",0,1)+IF(Table13[[#This Row],[Response]]="Female",0,1)=2,E1096,Table13[[#This Row],[Response]]),"")</f>
        <v>Male</v>
      </c>
      <c r="F1097" s="1">
        <v>7</v>
      </c>
      <c r="G1097" s="2" t="s">
        <v>9</v>
      </c>
      <c r="H1097" s="2" t="s">
        <v>8</v>
      </c>
      <c r="I109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98" spans="1:11">
      <c r="A1098" s="2" t="s">
        <v>24</v>
      </c>
      <c r="B1098" s="2" t="s">
        <v>28</v>
      </c>
      <c r="C1098" s="1">
        <v>13</v>
      </c>
      <c r="D1098" s="1" t="s">
        <v>6</v>
      </c>
      <c r="E1098" s="5" t="str">
        <f>IF(Table13[[#This Row],[Pre or Post]]="Pre",IF(IF(Table13[[#This Row],[Response]]="Male",0,1)+IF(Table13[[#This Row],[Response]]="Female",0,1)=2,E1097,Table13[[#This Row],[Response]]),"")</f>
        <v>Male</v>
      </c>
      <c r="F1098" s="1">
        <v>8</v>
      </c>
      <c r="G1098" s="2"/>
      <c r="H1098" s="2" t="s">
        <v>8</v>
      </c>
      <c r="I109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099" spans="1:11">
      <c r="A1099" s="2" t="s">
        <v>24</v>
      </c>
      <c r="B1099" s="2" t="s">
        <v>28</v>
      </c>
      <c r="C1099" s="1">
        <v>13</v>
      </c>
      <c r="D1099" s="1" t="s">
        <v>6</v>
      </c>
      <c r="E1099" s="5" t="str">
        <f>IF(Table13[[#This Row],[Pre or Post]]="Pre",IF(IF(Table13[[#This Row],[Response]]="Male",0,1)+IF(Table13[[#This Row],[Response]]="Female",0,1)=2,E1098,Table13[[#This Row],[Response]]),"")</f>
        <v>Male</v>
      </c>
      <c r="F1099" s="1">
        <v>9</v>
      </c>
      <c r="G1099" s="2">
        <v>3</v>
      </c>
      <c r="H1099" s="2" t="s">
        <v>8</v>
      </c>
      <c r="I109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0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0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00" spans="1:11">
      <c r="A1100" s="2" t="s">
        <v>24</v>
      </c>
      <c r="B1100" s="2" t="s">
        <v>28</v>
      </c>
      <c r="C1100" s="1">
        <v>13</v>
      </c>
      <c r="D1100" s="1" t="s">
        <v>6</v>
      </c>
      <c r="E1100" s="5" t="str">
        <f>IF(Table13[[#This Row],[Pre or Post]]="Pre",IF(IF(Table13[[#This Row],[Response]]="Male",0,1)+IF(Table13[[#This Row],[Response]]="Female",0,1)=2,E1099,Table13[[#This Row],[Response]]),"")</f>
        <v>Male</v>
      </c>
      <c r="F1100" s="1">
        <v>10</v>
      </c>
      <c r="G1100" s="2">
        <v>3</v>
      </c>
      <c r="H1100" s="2" t="s">
        <v>8</v>
      </c>
      <c r="I110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01" spans="1:11">
      <c r="A1101" s="2" t="s">
        <v>24</v>
      </c>
      <c r="B1101" s="2" t="s">
        <v>28</v>
      </c>
      <c r="C1101" s="1">
        <v>13</v>
      </c>
      <c r="D1101" s="1" t="s">
        <v>6</v>
      </c>
      <c r="E1101" s="5" t="str">
        <f>IF(Table13[[#This Row],[Pre or Post]]="Pre",IF(IF(Table13[[#This Row],[Response]]="Male",0,1)+IF(Table13[[#This Row],[Response]]="Female",0,1)=2,E1100,Table13[[#This Row],[Response]]),"")</f>
        <v>Male</v>
      </c>
      <c r="F1101" s="1">
        <v>11</v>
      </c>
      <c r="G1101" s="2">
        <v>3</v>
      </c>
      <c r="H1101" s="2" t="s">
        <v>8</v>
      </c>
      <c r="I110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02" spans="1:11">
      <c r="A1102" s="2" t="s">
        <v>24</v>
      </c>
      <c r="B1102" s="2" t="s">
        <v>28</v>
      </c>
      <c r="C1102" s="1">
        <v>1</v>
      </c>
      <c r="D1102" s="1" t="s">
        <v>16</v>
      </c>
      <c r="E1102" s="5" t="str">
        <f>IF(Table13[[#This Row],[Pre or Post]]="Pre",IF(IF(Table13[[#This Row],[Response]]="Male",0,1)+IF(Table13[[#This Row],[Response]]="Female",0,1)=2,E1101,Table13[[#This Row],[Response]]),"")</f>
        <v/>
      </c>
      <c r="F1102" s="1">
        <v>2</v>
      </c>
      <c r="G1102" s="2">
        <v>4</v>
      </c>
      <c r="H1102" s="2" t="s">
        <v>8</v>
      </c>
      <c r="I110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03" spans="1:11">
      <c r="A1103" s="2" t="s">
        <v>24</v>
      </c>
      <c r="B1103" s="2" t="s">
        <v>28</v>
      </c>
      <c r="C1103" s="1">
        <v>1</v>
      </c>
      <c r="D1103" s="1" t="s">
        <v>16</v>
      </c>
      <c r="E1103" s="5" t="str">
        <f>IF(Table13[[#This Row],[Pre or Post]]="Pre",IF(IF(Table13[[#This Row],[Response]]="Male",0,1)+IF(Table13[[#This Row],[Response]]="Female",0,1)=2,E1102,Table13[[#This Row],[Response]]),"")</f>
        <v/>
      </c>
      <c r="F1103" s="1">
        <v>3</v>
      </c>
      <c r="G1103" s="2">
        <v>3</v>
      </c>
      <c r="H1103" s="2" t="s">
        <v>8</v>
      </c>
      <c r="I110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04" spans="1:11">
      <c r="A1104" s="2" t="s">
        <v>24</v>
      </c>
      <c r="B1104" s="2" t="s">
        <v>28</v>
      </c>
      <c r="C1104" s="1">
        <v>1</v>
      </c>
      <c r="D1104" s="1" t="s">
        <v>16</v>
      </c>
      <c r="E1104" s="5" t="str">
        <f>IF(Table13[[#This Row],[Pre or Post]]="Pre",IF(IF(Table13[[#This Row],[Response]]="Male",0,1)+IF(Table13[[#This Row],[Response]]="Female",0,1)=2,E1103,Table13[[#This Row],[Response]]),"")</f>
        <v/>
      </c>
      <c r="F1104" s="1">
        <v>4</v>
      </c>
      <c r="G1104" s="2">
        <v>5</v>
      </c>
      <c r="H1104" s="2" t="s">
        <v>8</v>
      </c>
      <c r="I110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05" spans="1:11">
      <c r="A1105" s="2" t="s">
        <v>24</v>
      </c>
      <c r="B1105" s="2" t="s">
        <v>28</v>
      </c>
      <c r="C1105" s="1">
        <v>1</v>
      </c>
      <c r="D1105" s="1" t="s">
        <v>16</v>
      </c>
      <c r="E1105" s="5" t="str">
        <f>IF(Table13[[#This Row],[Pre or Post]]="Pre",IF(IF(Table13[[#This Row],[Response]]="Male",0,1)+IF(Table13[[#This Row],[Response]]="Female",0,1)=2,E1104,Table13[[#This Row],[Response]]),"")</f>
        <v/>
      </c>
      <c r="F1105" s="1">
        <v>5</v>
      </c>
      <c r="G1105" s="2">
        <v>3</v>
      </c>
      <c r="H1105" s="2" t="s">
        <v>8</v>
      </c>
      <c r="I110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06" spans="1:11">
      <c r="A1106" s="2" t="s">
        <v>24</v>
      </c>
      <c r="B1106" s="2" t="s">
        <v>28</v>
      </c>
      <c r="C1106" s="1">
        <v>1</v>
      </c>
      <c r="D1106" s="1" t="s">
        <v>16</v>
      </c>
      <c r="E1106" s="5" t="str">
        <f>IF(Table13[[#This Row],[Pre or Post]]="Pre",IF(IF(Table13[[#This Row],[Response]]="Male",0,1)+IF(Table13[[#This Row],[Response]]="Female",0,1)=2,E1105,Table13[[#This Row],[Response]]),"")</f>
        <v/>
      </c>
      <c r="F1106" s="1">
        <v>6</v>
      </c>
      <c r="G1106" s="2">
        <v>5</v>
      </c>
      <c r="H1106" s="2" t="s">
        <v>8</v>
      </c>
      <c r="I110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07" spans="1:11">
      <c r="A1107" s="2" t="s">
        <v>24</v>
      </c>
      <c r="B1107" s="2" t="s">
        <v>28</v>
      </c>
      <c r="C1107" s="1">
        <v>1</v>
      </c>
      <c r="D1107" s="1" t="s">
        <v>16</v>
      </c>
      <c r="E1107" s="5" t="str">
        <f>IF(Table13[[#This Row],[Pre or Post]]="Pre",IF(IF(Table13[[#This Row],[Response]]="Male",0,1)+IF(Table13[[#This Row],[Response]]="Female",0,1)=2,E1106,Table13[[#This Row],[Response]]),"")</f>
        <v/>
      </c>
      <c r="F1107" s="1">
        <v>7</v>
      </c>
      <c r="G1107" s="2">
        <v>4</v>
      </c>
      <c r="H1107" s="2" t="s">
        <v>8</v>
      </c>
      <c r="I110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08" spans="1:11">
      <c r="A1108" s="2" t="s">
        <v>24</v>
      </c>
      <c r="B1108" s="2" t="s">
        <v>28</v>
      </c>
      <c r="C1108" s="1">
        <v>1</v>
      </c>
      <c r="D1108" s="1" t="s">
        <v>16</v>
      </c>
      <c r="E1108" s="5" t="str">
        <f>IF(Table13[[#This Row],[Pre or Post]]="Pre",IF(IF(Table13[[#This Row],[Response]]="Male",0,1)+IF(Table13[[#This Row],[Response]]="Female",0,1)=2,E1107,Table13[[#This Row],[Response]]),"")</f>
        <v/>
      </c>
      <c r="F1108" s="1">
        <v>8</v>
      </c>
      <c r="G1108" s="2" t="s">
        <v>8</v>
      </c>
      <c r="H1108" s="2" t="s">
        <v>8</v>
      </c>
      <c r="I110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09" spans="1:11">
      <c r="A1109" s="2" t="s">
        <v>24</v>
      </c>
      <c r="B1109" s="2" t="s">
        <v>28</v>
      </c>
      <c r="C1109" s="1">
        <v>1</v>
      </c>
      <c r="D1109" s="1" t="s">
        <v>16</v>
      </c>
      <c r="E1109" s="5" t="str">
        <f>IF(Table13[[#This Row],[Pre or Post]]="Pre",IF(IF(Table13[[#This Row],[Response]]="Male",0,1)+IF(Table13[[#This Row],[Response]]="Female",0,1)=2,E1108,Table13[[#This Row],[Response]]),"")</f>
        <v/>
      </c>
      <c r="F1109" s="1">
        <v>9</v>
      </c>
      <c r="G1109" s="2" t="s">
        <v>17</v>
      </c>
      <c r="H1109" s="2" t="s">
        <v>8</v>
      </c>
      <c r="I110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10" spans="1:11">
      <c r="A1110" s="2" t="s">
        <v>24</v>
      </c>
      <c r="B1110" s="2" t="s">
        <v>28</v>
      </c>
      <c r="C1110" s="1">
        <v>1</v>
      </c>
      <c r="D1110" s="1" t="s">
        <v>16</v>
      </c>
      <c r="E1110" s="5" t="str">
        <f>IF(Table13[[#This Row],[Pre or Post]]="Pre",IF(IF(Table13[[#This Row],[Response]]="Male",0,1)+IF(Table13[[#This Row],[Response]]="Female",0,1)=2,E1109,Table13[[#This Row],[Response]]),"")</f>
        <v/>
      </c>
      <c r="F1110" s="1">
        <v>10</v>
      </c>
      <c r="G1110" s="2" t="s">
        <v>18</v>
      </c>
      <c r="H1110" s="2" t="s">
        <v>8</v>
      </c>
      <c r="I111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11" spans="1:11">
      <c r="A1111" s="2" t="s">
        <v>24</v>
      </c>
      <c r="B1111" s="2" t="s">
        <v>28</v>
      </c>
      <c r="C1111" s="1">
        <v>1</v>
      </c>
      <c r="D1111" s="1" t="s">
        <v>16</v>
      </c>
      <c r="E1111" s="5" t="str">
        <f>IF(Table13[[#This Row],[Pre or Post]]="Pre",IF(IF(Table13[[#This Row],[Response]]="Male",0,1)+IF(Table13[[#This Row],[Response]]="Female",0,1)=2,E1110,Table13[[#This Row],[Response]]),"")</f>
        <v/>
      </c>
      <c r="F1111" s="1">
        <v>11</v>
      </c>
      <c r="G1111" s="2" t="s">
        <v>9</v>
      </c>
      <c r="H1111" s="2" t="s">
        <v>8</v>
      </c>
      <c r="I111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12" spans="1:11">
      <c r="A1112" s="2" t="s">
        <v>24</v>
      </c>
      <c r="B1112" s="2" t="s">
        <v>28</v>
      </c>
      <c r="C1112" s="1">
        <v>2</v>
      </c>
      <c r="D1112" s="1" t="s">
        <v>16</v>
      </c>
      <c r="E1112" s="5" t="str">
        <f>IF(Table13[[#This Row],[Pre or Post]]="Pre",IF(IF(Table13[[#This Row],[Response]]="Male",0,1)+IF(Table13[[#This Row],[Response]]="Female",0,1)=2,E1111,Table13[[#This Row],[Response]]),"")</f>
        <v/>
      </c>
      <c r="F1112" s="1">
        <v>2</v>
      </c>
      <c r="G1112" s="2">
        <v>4</v>
      </c>
      <c r="H1112" s="2" t="s">
        <v>8</v>
      </c>
      <c r="I111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13" spans="1:11">
      <c r="A1113" s="2" t="s">
        <v>24</v>
      </c>
      <c r="B1113" s="2" t="s">
        <v>28</v>
      </c>
      <c r="C1113" s="1">
        <v>2</v>
      </c>
      <c r="D1113" s="1" t="s">
        <v>16</v>
      </c>
      <c r="E1113" s="5" t="str">
        <f>IF(Table13[[#This Row],[Pre or Post]]="Pre",IF(IF(Table13[[#This Row],[Response]]="Male",0,1)+IF(Table13[[#This Row],[Response]]="Female",0,1)=2,E1112,Table13[[#This Row],[Response]]),"")</f>
        <v/>
      </c>
      <c r="F1113" s="1">
        <v>3</v>
      </c>
      <c r="G1113" s="2">
        <v>3</v>
      </c>
      <c r="H1113" s="2" t="s">
        <v>8</v>
      </c>
      <c r="I111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14" spans="1:11">
      <c r="A1114" s="2" t="s">
        <v>24</v>
      </c>
      <c r="B1114" s="2" t="s">
        <v>28</v>
      </c>
      <c r="C1114" s="1">
        <v>2</v>
      </c>
      <c r="D1114" s="1" t="s">
        <v>16</v>
      </c>
      <c r="E1114" s="5" t="str">
        <f>IF(Table13[[#This Row],[Pre or Post]]="Pre",IF(IF(Table13[[#This Row],[Response]]="Male",0,1)+IF(Table13[[#This Row],[Response]]="Female",0,1)=2,E1113,Table13[[#This Row],[Response]]),"")</f>
        <v/>
      </c>
      <c r="F1114" s="1">
        <v>4</v>
      </c>
      <c r="G1114" s="2">
        <v>2</v>
      </c>
      <c r="H1114" s="2" t="s">
        <v>8</v>
      </c>
      <c r="I111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15" spans="1:11">
      <c r="A1115" s="2" t="s">
        <v>24</v>
      </c>
      <c r="B1115" s="2" t="s">
        <v>28</v>
      </c>
      <c r="C1115" s="1">
        <v>2</v>
      </c>
      <c r="D1115" s="1" t="s">
        <v>16</v>
      </c>
      <c r="E1115" s="5" t="str">
        <f>IF(Table13[[#This Row],[Pre or Post]]="Pre",IF(IF(Table13[[#This Row],[Response]]="Male",0,1)+IF(Table13[[#This Row],[Response]]="Female",0,1)=2,E1114,Table13[[#This Row],[Response]]),"")</f>
        <v/>
      </c>
      <c r="F1115" s="1">
        <v>5</v>
      </c>
      <c r="G1115" s="2">
        <v>4</v>
      </c>
      <c r="H1115" s="2" t="s">
        <v>8</v>
      </c>
      <c r="I111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16" spans="1:11">
      <c r="A1116" s="2" t="s">
        <v>24</v>
      </c>
      <c r="B1116" s="2" t="s">
        <v>28</v>
      </c>
      <c r="C1116" s="1">
        <v>2</v>
      </c>
      <c r="D1116" s="1" t="s">
        <v>16</v>
      </c>
      <c r="E1116" s="5" t="str">
        <f>IF(Table13[[#This Row],[Pre or Post]]="Pre",IF(IF(Table13[[#This Row],[Response]]="Male",0,1)+IF(Table13[[#This Row],[Response]]="Female",0,1)=2,E1115,Table13[[#This Row],[Response]]),"")</f>
        <v/>
      </c>
      <c r="F1116" s="1">
        <v>6</v>
      </c>
      <c r="G1116" s="2">
        <v>3</v>
      </c>
      <c r="H1116" s="2" t="s">
        <v>8</v>
      </c>
      <c r="I111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17" spans="1:11">
      <c r="A1117" s="2" t="s">
        <v>24</v>
      </c>
      <c r="B1117" s="2" t="s">
        <v>28</v>
      </c>
      <c r="C1117" s="1">
        <v>2</v>
      </c>
      <c r="D1117" s="1" t="s">
        <v>16</v>
      </c>
      <c r="E1117" s="5" t="str">
        <f>IF(Table13[[#This Row],[Pre or Post]]="Pre",IF(IF(Table13[[#This Row],[Response]]="Male",0,1)+IF(Table13[[#This Row],[Response]]="Female",0,1)=2,E1116,Table13[[#This Row],[Response]]),"")</f>
        <v/>
      </c>
      <c r="F1117" s="1">
        <v>7</v>
      </c>
      <c r="G1117" s="2">
        <v>3</v>
      </c>
      <c r="H1117" s="2" t="s">
        <v>8</v>
      </c>
      <c r="I111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18" spans="1:11">
      <c r="A1118" s="2" t="s">
        <v>24</v>
      </c>
      <c r="B1118" s="2" t="s">
        <v>28</v>
      </c>
      <c r="C1118" s="1">
        <v>2</v>
      </c>
      <c r="D1118" s="1" t="s">
        <v>16</v>
      </c>
      <c r="E1118" s="5" t="str">
        <f>IF(Table13[[#This Row],[Pre or Post]]="Pre",IF(IF(Table13[[#This Row],[Response]]="Male",0,1)+IF(Table13[[#This Row],[Response]]="Female",0,1)=2,E1117,Table13[[#This Row],[Response]]),"")</f>
        <v/>
      </c>
      <c r="F1118" s="1">
        <v>8</v>
      </c>
      <c r="G1118" s="2" t="s">
        <v>9</v>
      </c>
      <c r="H1118" s="2" t="s">
        <v>8</v>
      </c>
      <c r="I111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19" spans="1:11">
      <c r="A1119" s="2" t="s">
        <v>24</v>
      </c>
      <c r="B1119" s="2" t="s">
        <v>28</v>
      </c>
      <c r="C1119" s="1">
        <v>2</v>
      </c>
      <c r="D1119" s="1" t="s">
        <v>16</v>
      </c>
      <c r="E1119" s="5" t="str">
        <f>IF(Table13[[#This Row],[Pre or Post]]="Pre",IF(IF(Table13[[#This Row],[Response]]="Male",0,1)+IF(Table13[[#This Row],[Response]]="Female",0,1)=2,E1118,Table13[[#This Row],[Response]]),"")</f>
        <v/>
      </c>
      <c r="F1119" s="1">
        <v>9</v>
      </c>
      <c r="G1119" s="2"/>
      <c r="H1119" s="2" t="s">
        <v>8</v>
      </c>
      <c r="I111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20" spans="1:11">
      <c r="A1120" s="2" t="s">
        <v>24</v>
      </c>
      <c r="B1120" s="2" t="s">
        <v>28</v>
      </c>
      <c r="C1120" s="1">
        <v>2</v>
      </c>
      <c r="D1120" s="1" t="s">
        <v>16</v>
      </c>
      <c r="E1120" s="5" t="str">
        <f>IF(Table13[[#This Row],[Pre or Post]]="Pre",IF(IF(Table13[[#This Row],[Response]]="Male",0,1)+IF(Table13[[#This Row],[Response]]="Female",0,1)=2,E1119,Table13[[#This Row],[Response]]),"")</f>
        <v/>
      </c>
      <c r="F1120" s="1">
        <v>10</v>
      </c>
      <c r="G1120" s="2" t="s">
        <v>18</v>
      </c>
      <c r="H1120" s="2" t="s">
        <v>8</v>
      </c>
      <c r="I112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21" spans="1:11">
      <c r="A1121" s="2" t="s">
        <v>24</v>
      </c>
      <c r="B1121" s="2" t="s">
        <v>28</v>
      </c>
      <c r="C1121" s="1">
        <v>2</v>
      </c>
      <c r="D1121" s="1" t="s">
        <v>16</v>
      </c>
      <c r="E1121" s="5" t="str">
        <f>IF(Table13[[#This Row],[Pre or Post]]="Pre",IF(IF(Table13[[#This Row],[Response]]="Male",0,1)+IF(Table13[[#This Row],[Response]]="Female",0,1)=2,E1120,Table13[[#This Row],[Response]]),"")</f>
        <v/>
      </c>
      <c r="F1121" s="1">
        <v>11</v>
      </c>
      <c r="G1121" s="2" t="s">
        <v>8</v>
      </c>
      <c r="H1121" s="2" t="s">
        <v>8</v>
      </c>
      <c r="I112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22" spans="1:11">
      <c r="A1122" s="2" t="s">
        <v>24</v>
      </c>
      <c r="B1122" s="2" t="s">
        <v>28</v>
      </c>
      <c r="C1122" s="1">
        <v>3</v>
      </c>
      <c r="D1122" s="1" t="s">
        <v>16</v>
      </c>
      <c r="E1122" s="5" t="str">
        <f>IF(Table13[[#This Row],[Pre or Post]]="Pre",IF(IF(Table13[[#This Row],[Response]]="Male",0,1)+IF(Table13[[#This Row],[Response]]="Female",0,1)=2,E1121,Table13[[#This Row],[Response]]),"")</f>
        <v/>
      </c>
      <c r="F1122" s="1">
        <v>2</v>
      </c>
      <c r="G1122" s="2">
        <v>3</v>
      </c>
      <c r="H1122" s="2" t="s">
        <v>8</v>
      </c>
      <c r="I112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23" spans="1:11">
      <c r="A1123" s="2" t="s">
        <v>24</v>
      </c>
      <c r="B1123" s="2" t="s">
        <v>28</v>
      </c>
      <c r="C1123" s="1">
        <v>3</v>
      </c>
      <c r="D1123" s="1" t="s">
        <v>16</v>
      </c>
      <c r="E1123" s="5" t="str">
        <f>IF(Table13[[#This Row],[Pre or Post]]="Pre",IF(IF(Table13[[#This Row],[Response]]="Male",0,1)+IF(Table13[[#This Row],[Response]]="Female",0,1)=2,E1122,Table13[[#This Row],[Response]]),"")</f>
        <v/>
      </c>
      <c r="F1123" s="1">
        <v>3</v>
      </c>
      <c r="G1123" s="2">
        <v>2</v>
      </c>
      <c r="H1123" s="2" t="s">
        <v>8</v>
      </c>
      <c r="I112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24" spans="1:11">
      <c r="A1124" s="2" t="s">
        <v>24</v>
      </c>
      <c r="B1124" s="2" t="s">
        <v>28</v>
      </c>
      <c r="C1124" s="1">
        <v>3</v>
      </c>
      <c r="D1124" s="1" t="s">
        <v>16</v>
      </c>
      <c r="E1124" s="5" t="str">
        <f>IF(Table13[[#This Row],[Pre or Post]]="Pre",IF(IF(Table13[[#This Row],[Response]]="Male",0,1)+IF(Table13[[#This Row],[Response]]="Female",0,1)=2,E1123,Table13[[#This Row],[Response]]),"")</f>
        <v/>
      </c>
      <c r="F1124" s="1">
        <v>4</v>
      </c>
      <c r="G1124" s="2">
        <v>2</v>
      </c>
      <c r="H1124" s="2" t="s">
        <v>8</v>
      </c>
      <c r="I112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25" spans="1:11">
      <c r="A1125" s="2" t="s">
        <v>24</v>
      </c>
      <c r="B1125" s="2" t="s">
        <v>28</v>
      </c>
      <c r="C1125" s="1">
        <v>3</v>
      </c>
      <c r="D1125" s="1" t="s">
        <v>16</v>
      </c>
      <c r="E1125" s="5" t="str">
        <f>IF(Table13[[#This Row],[Pre or Post]]="Pre",IF(IF(Table13[[#This Row],[Response]]="Male",0,1)+IF(Table13[[#This Row],[Response]]="Female",0,1)=2,E1124,Table13[[#This Row],[Response]]),"")</f>
        <v/>
      </c>
      <c r="F1125" s="1">
        <v>5</v>
      </c>
      <c r="G1125" s="2">
        <v>4</v>
      </c>
      <c r="H1125" s="2" t="s">
        <v>8</v>
      </c>
      <c r="I112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26" spans="1:11">
      <c r="A1126" s="2" t="s">
        <v>24</v>
      </c>
      <c r="B1126" s="2" t="s">
        <v>28</v>
      </c>
      <c r="C1126" s="1">
        <v>3</v>
      </c>
      <c r="D1126" s="1" t="s">
        <v>16</v>
      </c>
      <c r="E1126" s="5" t="str">
        <f>IF(Table13[[#This Row],[Pre or Post]]="Pre",IF(IF(Table13[[#This Row],[Response]]="Male",0,1)+IF(Table13[[#This Row],[Response]]="Female",0,1)=2,E1125,Table13[[#This Row],[Response]]),"")</f>
        <v/>
      </c>
      <c r="F1126" s="1">
        <v>6</v>
      </c>
      <c r="G1126" s="2">
        <v>2</v>
      </c>
      <c r="H1126" s="2" t="s">
        <v>8</v>
      </c>
      <c r="I112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27" spans="1:11">
      <c r="A1127" s="2" t="s">
        <v>24</v>
      </c>
      <c r="B1127" s="2" t="s">
        <v>28</v>
      </c>
      <c r="C1127" s="1">
        <v>3</v>
      </c>
      <c r="D1127" s="1" t="s">
        <v>16</v>
      </c>
      <c r="E1127" s="5" t="str">
        <f>IF(Table13[[#This Row],[Pre or Post]]="Pre",IF(IF(Table13[[#This Row],[Response]]="Male",0,1)+IF(Table13[[#This Row],[Response]]="Female",0,1)=2,E1126,Table13[[#This Row],[Response]]),"")</f>
        <v/>
      </c>
      <c r="F1127" s="1">
        <v>7</v>
      </c>
      <c r="G1127" s="2">
        <v>2</v>
      </c>
      <c r="H1127" s="2" t="s">
        <v>8</v>
      </c>
      <c r="I112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28" spans="1:11">
      <c r="A1128" s="2" t="s">
        <v>24</v>
      </c>
      <c r="B1128" s="2" t="s">
        <v>28</v>
      </c>
      <c r="C1128" s="1">
        <v>3</v>
      </c>
      <c r="D1128" s="1" t="s">
        <v>16</v>
      </c>
      <c r="E1128" s="5" t="str">
        <f>IF(Table13[[#This Row],[Pre or Post]]="Pre",IF(IF(Table13[[#This Row],[Response]]="Male",0,1)+IF(Table13[[#This Row],[Response]]="Female",0,1)=2,E1127,Table13[[#This Row],[Response]]),"")</f>
        <v/>
      </c>
      <c r="F1128" s="1">
        <v>8</v>
      </c>
      <c r="G1128" s="2" t="s">
        <v>9</v>
      </c>
      <c r="H1128" s="2" t="s">
        <v>8</v>
      </c>
      <c r="I112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29" spans="1:11">
      <c r="A1129" s="2" t="s">
        <v>24</v>
      </c>
      <c r="B1129" s="2" t="s">
        <v>28</v>
      </c>
      <c r="C1129" s="1">
        <v>3</v>
      </c>
      <c r="D1129" s="1" t="s">
        <v>16</v>
      </c>
      <c r="E1129" s="5" t="str">
        <f>IF(Table13[[#This Row],[Pre or Post]]="Pre",IF(IF(Table13[[#This Row],[Response]]="Male",0,1)+IF(Table13[[#This Row],[Response]]="Female",0,1)=2,E1128,Table13[[#This Row],[Response]]),"")</f>
        <v/>
      </c>
      <c r="F1129" s="1">
        <v>9</v>
      </c>
      <c r="G1129" s="2"/>
      <c r="H1129" s="2" t="s">
        <v>8</v>
      </c>
      <c r="I112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30" spans="1:11">
      <c r="A1130" s="2" t="s">
        <v>24</v>
      </c>
      <c r="B1130" s="2" t="s">
        <v>28</v>
      </c>
      <c r="C1130" s="1">
        <v>3</v>
      </c>
      <c r="D1130" s="1" t="s">
        <v>16</v>
      </c>
      <c r="E1130" s="5" t="str">
        <f>IF(Table13[[#This Row],[Pre or Post]]="Pre",IF(IF(Table13[[#This Row],[Response]]="Male",0,1)+IF(Table13[[#This Row],[Response]]="Female",0,1)=2,E1129,Table13[[#This Row],[Response]]),"")</f>
        <v/>
      </c>
      <c r="F1130" s="1">
        <v>10</v>
      </c>
      <c r="G1130" s="2"/>
      <c r="H1130" s="2" t="s">
        <v>8</v>
      </c>
      <c r="I113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31" spans="1:11">
      <c r="A1131" s="2" t="s">
        <v>24</v>
      </c>
      <c r="B1131" s="2" t="s">
        <v>28</v>
      </c>
      <c r="C1131" s="1">
        <v>3</v>
      </c>
      <c r="D1131" s="1" t="s">
        <v>16</v>
      </c>
      <c r="E1131" s="5" t="str">
        <f>IF(Table13[[#This Row],[Pre or Post]]="Pre",IF(IF(Table13[[#This Row],[Response]]="Male",0,1)+IF(Table13[[#This Row],[Response]]="Female",0,1)=2,E1130,Table13[[#This Row],[Response]]),"")</f>
        <v/>
      </c>
      <c r="F1131" s="1">
        <v>11</v>
      </c>
      <c r="G1131" s="2"/>
      <c r="H1131" s="2" t="s">
        <v>8</v>
      </c>
      <c r="I113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32" spans="1:11">
      <c r="A1132" s="2" t="s">
        <v>24</v>
      </c>
      <c r="B1132" s="2" t="s">
        <v>28</v>
      </c>
      <c r="C1132" s="1">
        <v>4</v>
      </c>
      <c r="D1132" s="1" t="s">
        <v>16</v>
      </c>
      <c r="E1132" s="5" t="str">
        <f>IF(Table13[[#This Row],[Pre or Post]]="Pre",IF(IF(Table13[[#This Row],[Response]]="Male",0,1)+IF(Table13[[#This Row],[Response]]="Female",0,1)=2,E1131,Table13[[#This Row],[Response]]),"")</f>
        <v/>
      </c>
      <c r="F1132" s="1">
        <v>2</v>
      </c>
      <c r="G1132" s="2">
        <v>4</v>
      </c>
      <c r="H1132" s="2" t="s">
        <v>8</v>
      </c>
      <c r="I113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33" spans="1:11">
      <c r="A1133" s="2" t="s">
        <v>24</v>
      </c>
      <c r="B1133" s="2" t="s">
        <v>28</v>
      </c>
      <c r="C1133" s="1">
        <v>4</v>
      </c>
      <c r="D1133" s="1" t="s">
        <v>16</v>
      </c>
      <c r="E1133" s="5" t="str">
        <f>IF(Table13[[#This Row],[Pre or Post]]="Pre",IF(IF(Table13[[#This Row],[Response]]="Male",0,1)+IF(Table13[[#This Row],[Response]]="Female",0,1)=2,E1132,Table13[[#This Row],[Response]]),"")</f>
        <v/>
      </c>
      <c r="F1133" s="1">
        <v>3</v>
      </c>
      <c r="G1133" s="2">
        <v>4</v>
      </c>
      <c r="H1133" s="2" t="s">
        <v>8</v>
      </c>
      <c r="I113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34" spans="1:11">
      <c r="A1134" s="2" t="s">
        <v>24</v>
      </c>
      <c r="B1134" s="2" t="s">
        <v>28</v>
      </c>
      <c r="C1134" s="1">
        <v>4</v>
      </c>
      <c r="D1134" s="1" t="s">
        <v>16</v>
      </c>
      <c r="E1134" s="5" t="str">
        <f>IF(Table13[[#This Row],[Pre or Post]]="Pre",IF(IF(Table13[[#This Row],[Response]]="Male",0,1)+IF(Table13[[#This Row],[Response]]="Female",0,1)=2,E1133,Table13[[#This Row],[Response]]),"")</f>
        <v/>
      </c>
      <c r="F1134" s="1">
        <v>4</v>
      </c>
      <c r="G1134" s="2">
        <v>5</v>
      </c>
      <c r="H1134" s="2" t="s">
        <v>8</v>
      </c>
      <c r="I113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35" spans="1:11">
      <c r="A1135" s="2" t="s">
        <v>24</v>
      </c>
      <c r="B1135" s="2" t="s">
        <v>28</v>
      </c>
      <c r="C1135" s="1">
        <v>4</v>
      </c>
      <c r="D1135" s="1" t="s">
        <v>16</v>
      </c>
      <c r="E1135" s="5" t="str">
        <f>IF(Table13[[#This Row],[Pre or Post]]="Pre",IF(IF(Table13[[#This Row],[Response]]="Male",0,1)+IF(Table13[[#This Row],[Response]]="Female",0,1)=2,E1134,Table13[[#This Row],[Response]]),"")</f>
        <v/>
      </c>
      <c r="F1135" s="1">
        <v>5</v>
      </c>
      <c r="G1135" s="2">
        <v>4</v>
      </c>
      <c r="H1135" s="2" t="s">
        <v>8</v>
      </c>
      <c r="I113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36" spans="1:11">
      <c r="A1136" s="2" t="s">
        <v>24</v>
      </c>
      <c r="B1136" s="2" t="s">
        <v>28</v>
      </c>
      <c r="C1136" s="1">
        <v>4</v>
      </c>
      <c r="D1136" s="1" t="s">
        <v>16</v>
      </c>
      <c r="E1136" s="5" t="str">
        <f>IF(Table13[[#This Row],[Pre or Post]]="Pre",IF(IF(Table13[[#This Row],[Response]]="Male",0,1)+IF(Table13[[#This Row],[Response]]="Female",0,1)=2,E1135,Table13[[#This Row],[Response]]),"")</f>
        <v/>
      </c>
      <c r="F1136" s="1">
        <v>6</v>
      </c>
      <c r="G1136" s="2">
        <v>5</v>
      </c>
      <c r="H1136" s="2" t="s">
        <v>8</v>
      </c>
      <c r="I113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37" spans="1:11">
      <c r="A1137" s="2" t="s">
        <v>24</v>
      </c>
      <c r="B1137" s="2" t="s">
        <v>28</v>
      </c>
      <c r="C1137" s="1">
        <v>4</v>
      </c>
      <c r="D1137" s="1" t="s">
        <v>16</v>
      </c>
      <c r="E1137" s="5" t="str">
        <f>IF(Table13[[#This Row],[Pre or Post]]="Pre",IF(IF(Table13[[#This Row],[Response]]="Male",0,1)+IF(Table13[[#This Row],[Response]]="Female",0,1)=2,E1136,Table13[[#This Row],[Response]]),"")</f>
        <v/>
      </c>
      <c r="F1137" s="1">
        <v>7</v>
      </c>
      <c r="G1137" s="2">
        <v>5</v>
      </c>
      <c r="H1137" s="2" t="s">
        <v>8</v>
      </c>
      <c r="I113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38" spans="1:11">
      <c r="A1138" s="2" t="s">
        <v>24</v>
      </c>
      <c r="B1138" s="2" t="s">
        <v>28</v>
      </c>
      <c r="C1138" s="1">
        <v>4</v>
      </c>
      <c r="D1138" s="1" t="s">
        <v>16</v>
      </c>
      <c r="E1138" s="5" t="str">
        <f>IF(Table13[[#This Row],[Pre or Post]]="Pre",IF(IF(Table13[[#This Row],[Response]]="Male",0,1)+IF(Table13[[#This Row],[Response]]="Female",0,1)=2,E1137,Table13[[#This Row],[Response]]),"")</f>
        <v/>
      </c>
      <c r="F1138" s="1">
        <v>8</v>
      </c>
      <c r="G1138" s="2" t="s">
        <v>8</v>
      </c>
      <c r="H1138" s="2" t="s">
        <v>8</v>
      </c>
      <c r="I113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39" spans="1:11">
      <c r="A1139" s="2" t="s">
        <v>24</v>
      </c>
      <c r="B1139" s="2" t="s">
        <v>28</v>
      </c>
      <c r="C1139" s="1">
        <v>4</v>
      </c>
      <c r="D1139" s="1" t="s">
        <v>16</v>
      </c>
      <c r="E1139" s="5" t="str">
        <f>IF(Table13[[#This Row],[Pre or Post]]="Pre",IF(IF(Table13[[#This Row],[Response]]="Male",0,1)+IF(Table13[[#This Row],[Response]]="Female",0,1)=2,E1138,Table13[[#This Row],[Response]]),"")</f>
        <v/>
      </c>
      <c r="F1139" s="1">
        <v>9</v>
      </c>
      <c r="G1139" s="2" t="s">
        <v>17</v>
      </c>
      <c r="H1139" s="2" t="s">
        <v>8</v>
      </c>
      <c r="I113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40" spans="1:11">
      <c r="A1140" s="2" t="s">
        <v>24</v>
      </c>
      <c r="B1140" s="2" t="s">
        <v>28</v>
      </c>
      <c r="C1140" s="1">
        <v>4</v>
      </c>
      <c r="D1140" s="1" t="s">
        <v>16</v>
      </c>
      <c r="E1140" s="5" t="str">
        <f>IF(Table13[[#This Row],[Pre or Post]]="Pre",IF(IF(Table13[[#This Row],[Response]]="Male",0,1)+IF(Table13[[#This Row],[Response]]="Female",0,1)=2,E1139,Table13[[#This Row],[Response]]),"")</f>
        <v/>
      </c>
      <c r="F1140" s="1">
        <v>10</v>
      </c>
      <c r="G1140" s="2" t="s">
        <v>19</v>
      </c>
      <c r="H1140" s="2" t="s">
        <v>8</v>
      </c>
      <c r="I114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41" spans="1:11">
      <c r="A1141" s="2" t="s">
        <v>24</v>
      </c>
      <c r="B1141" s="2" t="s">
        <v>28</v>
      </c>
      <c r="C1141" s="1">
        <v>4</v>
      </c>
      <c r="D1141" s="1" t="s">
        <v>16</v>
      </c>
      <c r="E1141" s="5" t="str">
        <f>IF(Table13[[#This Row],[Pre or Post]]="Pre",IF(IF(Table13[[#This Row],[Response]]="Male",0,1)+IF(Table13[[#This Row],[Response]]="Female",0,1)=2,E1140,Table13[[#This Row],[Response]]),"")</f>
        <v/>
      </c>
      <c r="F1141" s="1">
        <v>11</v>
      </c>
      <c r="G1141" s="2" t="s">
        <v>9</v>
      </c>
      <c r="H1141" s="2" t="s">
        <v>8</v>
      </c>
      <c r="I114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42" spans="1:11">
      <c r="A1142" s="2" t="s">
        <v>24</v>
      </c>
      <c r="B1142" s="2" t="s">
        <v>28</v>
      </c>
      <c r="C1142" s="1">
        <v>5</v>
      </c>
      <c r="D1142" s="1" t="s">
        <v>16</v>
      </c>
      <c r="E1142" s="5" t="str">
        <f>IF(Table13[[#This Row],[Pre or Post]]="Pre",IF(IF(Table13[[#This Row],[Response]]="Male",0,1)+IF(Table13[[#This Row],[Response]]="Female",0,1)=2,E1141,Table13[[#This Row],[Response]]),"")</f>
        <v/>
      </c>
      <c r="F1142" s="1">
        <v>2</v>
      </c>
      <c r="G1142" s="2">
        <v>3</v>
      </c>
      <c r="H1142" s="2" t="s">
        <v>8</v>
      </c>
      <c r="I114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43" spans="1:11">
      <c r="A1143" s="2" t="s">
        <v>24</v>
      </c>
      <c r="B1143" s="2" t="s">
        <v>28</v>
      </c>
      <c r="C1143" s="1">
        <v>5</v>
      </c>
      <c r="D1143" s="1" t="s">
        <v>16</v>
      </c>
      <c r="E1143" s="5" t="str">
        <f>IF(Table13[[#This Row],[Pre or Post]]="Pre",IF(IF(Table13[[#This Row],[Response]]="Male",0,1)+IF(Table13[[#This Row],[Response]]="Female",0,1)=2,E1142,Table13[[#This Row],[Response]]),"")</f>
        <v/>
      </c>
      <c r="F1143" s="1">
        <v>3</v>
      </c>
      <c r="G1143" s="2">
        <v>3</v>
      </c>
      <c r="H1143" s="2" t="s">
        <v>8</v>
      </c>
      <c r="I114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44" spans="1:11">
      <c r="A1144" s="2" t="s">
        <v>24</v>
      </c>
      <c r="B1144" s="2" t="s">
        <v>28</v>
      </c>
      <c r="C1144" s="1">
        <v>5</v>
      </c>
      <c r="D1144" s="1" t="s">
        <v>16</v>
      </c>
      <c r="E1144" s="5" t="str">
        <f>IF(Table13[[#This Row],[Pre or Post]]="Pre",IF(IF(Table13[[#This Row],[Response]]="Male",0,1)+IF(Table13[[#This Row],[Response]]="Female",0,1)=2,E1143,Table13[[#This Row],[Response]]),"")</f>
        <v/>
      </c>
      <c r="F1144" s="1">
        <v>4</v>
      </c>
      <c r="G1144" s="2">
        <v>3</v>
      </c>
      <c r="H1144" s="2" t="s">
        <v>8</v>
      </c>
      <c r="I114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45" spans="1:11">
      <c r="A1145" s="2" t="s">
        <v>24</v>
      </c>
      <c r="B1145" s="2" t="s">
        <v>28</v>
      </c>
      <c r="C1145" s="1">
        <v>5</v>
      </c>
      <c r="D1145" s="1" t="s">
        <v>16</v>
      </c>
      <c r="E1145" s="5" t="str">
        <f>IF(Table13[[#This Row],[Pre or Post]]="Pre",IF(IF(Table13[[#This Row],[Response]]="Male",0,1)+IF(Table13[[#This Row],[Response]]="Female",0,1)=2,E1144,Table13[[#This Row],[Response]]),"")</f>
        <v/>
      </c>
      <c r="F1145" s="1">
        <v>5</v>
      </c>
      <c r="G1145" s="2">
        <v>4</v>
      </c>
      <c r="H1145" s="2" t="s">
        <v>8</v>
      </c>
      <c r="I114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46" spans="1:11">
      <c r="A1146" s="2" t="s">
        <v>24</v>
      </c>
      <c r="B1146" s="2" t="s">
        <v>28</v>
      </c>
      <c r="C1146" s="1">
        <v>5</v>
      </c>
      <c r="D1146" s="1" t="s">
        <v>16</v>
      </c>
      <c r="E1146" s="5" t="str">
        <f>IF(Table13[[#This Row],[Pre or Post]]="Pre",IF(IF(Table13[[#This Row],[Response]]="Male",0,1)+IF(Table13[[#This Row],[Response]]="Female",0,1)=2,E1145,Table13[[#This Row],[Response]]),"")</f>
        <v/>
      </c>
      <c r="F1146" s="1">
        <v>6</v>
      </c>
      <c r="G1146" s="2">
        <v>3</v>
      </c>
      <c r="H1146" s="2" t="s">
        <v>8</v>
      </c>
      <c r="I114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47" spans="1:11">
      <c r="A1147" s="2" t="s">
        <v>24</v>
      </c>
      <c r="B1147" s="2" t="s">
        <v>28</v>
      </c>
      <c r="C1147" s="1">
        <v>5</v>
      </c>
      <c r="D1147" s="1" t="s">
        <v>16</v>
      </c>
      <c r="E1147" s="5" t="str">
        <f>IF(Table13[[#This Row],[Pre or Post]]="Pre",IF(IF(Table13[[#This Row],[Response]]="Male",0,1)+IF(Table13[[#This Row],[Response]]="Female",0,1)=2,E1146,Table13[[#This Row],[Response]]),"")</f>
        <v/>
      </c>
      <c r="F1147" s="1">
        <v>7</v>
      </c>
      <c r="G1147" s="2">
        <v>3</v>
      </c>
      <c r="H1147" s="2" t="s">
        <v>8</v>
      </c>
      <c r="I114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48" spans="1:11">
      <c r="A1148" s="2" t="s">
        <v>24</v>
      </c>
      <c r="B1148" s="2" t="s">
        <v>28</v>
      </c>
      <c r="C1148" s="1">
        <v>5</v>
      </c>
      <c r="D1148" s="1" t="s">
        <v>16</v>
      </c>
      <c r="E1148" s="5" t="str">
        <f>IF(Table13[[#This Row],[Pre or Post]]="Pre",IF(IF(Table13[[#This Row],[Response]]="Male",0,1)+IF(Table13[[#This Row],[Response]]="Female",0,1)=2,E1147,Table13[[#This Row],[Response]]),"")</f>
        <v/>
      </c>
      <c r="F1148" s="1">
        <v>8</v>
      </c>
      <c r="G1148" s="2" t="s">
        <v>8</v>
      </c>
      <c r="H1148" s="2" t="s">
        <v>8</v>
      </c>
      <c r="I114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49" spans="1:11">
      <c r="A1149" s="2" t="s">
        <v>24</v>
      </c>
      <c r="B1149" s="2" t="s">
        <v>28</v>
      </c>
      <c r="C1149" s="1">
        <v>5</v>
      </c>
      <c r="D1149" s="1" t="s">
        <v>16</v>
      </c>
      <c r="E1149" s="5" t="str">
        <f>IF(Table13[[#This Row],[Pre or Post]]="Pre",IF(IF(Table13[[#This Row],[Response]]="Male",0,1)+IF(Table13[[#This Row],[Response]]="Female",0,1)=2,E1148,Table13[[#This Row],[Response]]),"")</f>
        <v/>
      </c>
      <c r="F1149" s="1">
        <v>9</v>
      </c>
      <c r="G1149" s="2" t="s">
        <v>17</v>
      </c>
      <c r="H1149" s="2" t="s">
        <v>8</v>
      </c>
      <c r="I114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50" spans="1:11">
      <c r="A1150" s="2" t="s">
        <v>24</v>
      </c>
      <c r="B1150" s="2" t="s">
        <v>28</v>
      </c>
      <c r="C1150" s="1">
        <v>5</v>
      </c>
      <c r="D1150" s="1" t="s">
        <v>16</v>
      </c>
      <c r="E1150" s="5" t="str">
        <f>IF(Table13[[#This Row],[Pre or Post]]="Pre",IF(IF(Table13[[#This Row],[Response]]="Male",0,1)+IF(Table13[[#This Row],[Response]]="Female",0,1)=2,E1149,Table13[[#This Row],[Response]]),"")</f>
        <v/>
      </c>
      <c r="F1150" s="1">
        <v>10</v>
      </c>
      <c r="G1150" s="2" t="s">
        <v>18</v>
      </c>
      <c r="H1150" s="2" t="s">
        <v>8</v>
      </c>
      <c r="I115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51" spans="1:11">
      <c r="A1151" s="2" t="s">
        <v>24</v>
      </c>
      <c r="B1151" s="2" t="s">
        <v>28</v>
      </c>
      <c r="C1151" s="1">
        <v>5</v>
      </c>
      <c r="D1151" s="1" t="s">
        <v>16</v>
      </c>
      <c r="E1151" s="5" t="str">
        <f>IF(Table13[[#This Row],[Pre or Post]]="Pre",IF(IF(Table13[[#This Row],[Response]]="Male",0,1)+IF(Table13[[#This Row],[Response]]="Female",0,1)=2,E1150,Table13[[#This Row],[Response]]),"")</f>
        <v/>
      </c>
      <c r="F1151" s="1">
        <v>11</v>
      </c>
      <c r="G1151" s="2" t="s">
        <v>8</v>
      </c>
      <c r="H1151" s="2" t="s">
        <v>8</v>
      </c>
      <c r="I115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52" spans="1:11">
      <c r="A1152" s="2" t="s">
        <v>24</v>
      </c>
      <c r="B1152" s="2" t="s">
        <v>28</v>
      </c>
      <c r="C1152" s="1">
        <v>6</v>
      </c>
      <c r="D1152" s="1" t="s">
        <v>16</v>
      </c>
      <c r="E1152" s="5" t="str">
        <f>IF(Table13[[#This Row],[Pre or Post]]="Pre",IF(IF(Table13[[#This Row],[Response]]="Male",0,1)+IF(Table13[[#This Row],[Response]]="Female",0,1)=2,E1151,Table13[[#This Row],[Response]]),"")</f>
        <v/>
      </c>
      <c r="F1152" s="1">
        <v>2</v>
      </c>
      <c r="G1152" s="2">
        <v>4</v>
      </c>
      <c r="H1152" s="2" t="s">
        <v>8</v>
      </c>
      <c r="I115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53" spans="1:11">
      <c r="A1153" s="2" t="s">
        <v>24</v>
      </c>
      <c r="B1153" s="2" t="s">
        <v>28</v>
      </c>
      <c r="C1153" s="1">
        <v>6</v>
      </c>
      <c r="D1153" s="1" t="s">
        <v>16</v>
      </c>
      <c r="E1153" s="5" t="str">
        <f>IF(Table13[[#This Row],[Pre or Post]]="Pre",IF(IF(Table13[[#This Row],[Response]]="Male",0,1)+IF(Table13[[#This Row],[Response]]="Female",0,1)=2,E1152,Table13[[#This Row],[Response]]),"")</f>
        <v/>
      </c>
      <c r="F1153" s="1">
        <v>3</v>
      </c>
      <c r="G1153" s="2">
        <v>4</v>
      </c>
      <c r="H1153" s="2" t="s">
        <v>8</v>
      </c>
      <c r="I115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54" spans="1:11">
      <c r="A1154" s="2" t="s">
        <v>24</v>
      </c>
      <c r="B1154" s="2" t="s">
        <v>28</v>
      </c>
      <c r="C1154" s="1">
        <v>6</v>
      </c>
      <c r="D1154" s="1" t="s">
        <v>16</v>
      </c>
      <c r="E1154" s="5" t="str">
        <f>IF(Table13[[#This Row],[Pre or Post]]="Pre",IF(IF(Table13[[#This Row],[Response]]="Male",0,1)+IF(Table13[[#This Row],[Response]]="Female",0,1)=2,E1153,Table13[[#This Row],[Response]]),"")</f>
        <v/>
      </c>
      <c r="F1154" s="1">
        <v>4</v>
      </c>
      <c r="G1154" s="2">
        <v>4</v>
      </c>
      <c r="H1154" s="2" t="s">
        <v>8</v>
      </c>
      <c r="I115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55" spans="1:11">
      <c r="A1155" s="2" t="s">
        <v>24</v>
      </c>
      <c r="B1155" s="2" t="s">
        <v>28</v>
      </c>
      <c r="C1155" s="1">
        <v>6</v>
      </c>
      <c r="D1155" s="1" t="s">
        <v>16</v>
      </c>
      <c r="E1155" s="5" t="str">
        <f>IF(Table13[[#This Row],[Pre or Post]]="Pre",IF(IF(Table13[[#This Row],[Response]]="Male",0,1)+IF(Table13[[#This Row],[Response]]="Female",0,1)=2,E1154,Table13[[#This Row],[Response]]),"")</f>
        <v/>
      </c>
      <c r="F1155" s="1">
        <v>5</v>
      </c>
      <c r="G1155" s="2">
        <v>5</v>
      </c>
      <c r="H1155" s="2" t="s">
        <v>8</v>
      </c>
      <c r="I115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56" spans="1:11">
      <c r="A1156" s="2" t="s">
        <v>24</v>
      </c>
      <c r="B1156" s="2" t="s">
        <v>28</v>
      </c>
      <c r="C1156" s="1">
        <v>6</v>
      </c>
      <c r="D1156" s="1" t="s">
        <v>16</v>
      </c>
      <c r="E1156" s="5" t="str">
        <f>IF(Table13[[#This Row],[Pre or Post]]="Pre",IF(IF(Table13[[#This Row],[Response]]="Male",0,1)+IF(Table13[[#This Row],[Response]]="Female",0,1)=2,E1155,Table13[[#This Row],[Response]]),"")</f>
        <v/>
      </c>
      <c r="F1156" s="1">
        <v>6</v>
      </c>
      <c r="G1156" s="2">
        <v>4</v>
      </c>
      <c r="H1156" s="2" t="s">
        <v>8</v>
      </c>
      <c r="I115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57" spans="1:11">
      <c r="A1157" s="2" t="s">
        <v>24</v>
      </c>
      <c r="B1157" s="2" t="s">
        <v>28</v>
      </c>
      <c r="C1157" s="1">
        <v>6</v>
      </c>
      <c r="D1157" s="1" t="s">
        <v>16</v>
      </c>
      <c r="E1157" s="5" t="str">
        <f>IF(Table13[[#This Row],[Pre or Post]]="Pre",IF(IF(Table13[[#This Row],[Response]]="Male",0,1)+IF(Table13[[#This Row],[Response]]="Female",0,1)=2,E1156,Table13[[#This Row],[Response]]),"")</f>
        <v/>
      </c>
      <c r="F1157" s="1">
        <v>7</v>
      </c>
      <c r="G1157" s="2">
        <v>4</v>
      </c>
      <c r="H1157" s="2" t="s">
        <v>8</v>
      </c>
      <c r="I115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58" spans="1:11">
      <c r="A1158" s="2" t="s">
        <v>24</v>
      </c>
      <c r="B1158" s="2" t="s">
        <v>28</v>
      </c>
      <c r="C1158" s="1">
        <v>6</v>
      </c>
      <c r="D1158" s="1" t="s">
        <v>16</v>
      </c>
      <c r="E1158" s="5" t="str">
        <f>IF(Table13[[#This Row],[Pre or Post]]="Pre",IF(IF(Table13[[#This Row],[Response]]="Male",0,1)+IF(Table13[[#This Row],[Response]]="Female",0,1)=2,E1157,Table13[[#This Row],[Response]]),"")</f>
        <v/>
      </c>
      <c r="F1158" s="1">
        <v>8</v>
      </c>
      <c r="G1158" s="2" t="s">
        <v>8</v>
      </c>
      <c r="H1158" s="2" t="s">
        <v>8</v>
      </c>
      <c r="I115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59" spans="1:11">
      <c r="A1159" s="2" t="s">
        <v>24</v>
      </c>
      <c r="B1159" s="2" t="s">
        <v>28</v>
      </c>
      <c r="C1159" s="1">
        <v>6</v>
      </c>
      <c r="D1159" s="1" t="s">
        <v>16</v>
      </c>
      <c r="E1159" s="5" t="str">
        <f>IF(Table13[[#This Row],[Pre or Post]]="Pre",IF(IF(Table13[[#This Row],[Response]]="Male",0,1)+IF(Table13[[#This Row],[Response]]="Female",0,1)=2,E1158,Table13[[#This Row],[Response]]),"")</f>
        <v/>
      </c>
      <c r="F1159" s="1">
        <v>9</v>
      </c>
      <c r="G1159" s="2" t="s">
        <v>17</v>
      </c>
      <c r="H1159" s="2" t="s">
        <v>8</v>
      </c>
      <c r="I115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60" spans="1:11">
      <c r="A1160" s="2" t="s">
        <v>24</v>
      </c>
      <c r="B1160" s="2" t="s">
        <v>28</v>
      </c>
      <c r="C1160" s="1">
        <v>6</v>
      </c>
      <c r="D1160" s="1" t="s">
        <v>16</v>
      </c>
      <c r="E1160" s="5" t="str">
        <f>IF(Table13[[#This Row],[Pre or Post]]="Pre",IF(IF(Table13[[#This Row],[Response]]="Male",0,1)+IF(Table13[[#This Row],[Response]]="Female",0,1)=2,E1159,Table13[[#This Row],[Response]]),"")</f>
        <v/>
      </c>
      <c r="F1160" s="1">
        <v>10</v>
      </c>
      <c r="G1160" s="2" t="s">
        <v>18</v>
      </c>
      <c r="H1160" s="2" t="s">
        <v>8</v>
      </c>
      <c r="I116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61" spans="1:11">
      <c r="A1161" s="2" t="s">
        <v>24</v>
      </c>
      <c r="B1161" s="2" t="s">
        <v>28</v>
      </c>
      <c r="C1161" s="1">
        <v>6</v>
      </c>
      <c r="D1161" s="1" t="s">
        <v>16</v>
      </c>
      <c r="E1161" s="5" t="str">
        <f>IF(Table13[[#This Row],[Pre or Post]]="Pre",IF(IF(Table13[[#This Row],[Response]]="Male",0,1)+IF(Table13[[#This Row],[Response]]="Female",0,1)=2,E1160,Table13[[#This Row],[Response]]),"")</f>
        <v/>
      </c>
      <c r="F1161" s="1">
        <v>11</v>
      </c>
      <c r="G1161" s="2" t="s">
        <v>9</v>
      </c>
      <c r="H1161" s="2" t="s">
        <v>8</v>
      </c>
      <c r="I116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62" spans="1:11">
      <c r="A1162" s="2" t="s">
        <v>24</v>
      </c>
      <c r="B1162" s="2" t="s">
        <v>28</v>
      </c>
      <c r="C1162" s="1">
        <v>7</v>
      </c>
      <c r="D1162" s="1" t="s">
        <v>16</v>
      </c>
      <c r="E1162" s="5" t="str">
        <f>IF(Table13[[#This Row],[Pre or Post]]="Pre",IF(IF(Table13[[#This Row],[Response]]="Male",0,1)+IF(Table13[[#This Row],[Response]]="Female",0,1)=2,E1161,Table13[[#This Row],[Response]]),"")</f>
        <v/>
      </c>
      <c r="F1162" s="1">
        <v>2</v>
      </c>
      <c r="G1162" s="2">
        <v>2</v>
      </c>
      <c r="H1162" s="2" t="s">
        <v>8</v>
      </c>
      <c r="I116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63" spans="1:11">
      <c r="A1163" s="2" t="s">
        <v>24</v>
      </c>
      <c r="B1163" s="2" t="s">
        <v>28</v>
      </c>
      <c r="C1163" s="1">
        <v>7</v>
      </c>
      <c r="D1163" s="1" t="s">
        <v>16</v>
      </c>
      <c r="E1163" s="5" t="str">
        <f>IF(Table13[[#This Row],[Pre or Post]]="Pre",IF(IF(Table13[[#This Row],[Response]]="Male",0,1)+IF(Table13[[#This Row],[Response]]="Female",0,1)=2,E1162,Table13[[#This Row],[Response]]),"")</f>
        <v/>
      </c>
      <c r="F1163" s="1">
        <v>3</v>
      </c>
      <c r="G1163" s="2">
        <v>2</v>
      </c>
      <c r="H1163" s="2" t="s">
        <v>8</v>
      </c>
      <c r="I116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64" spans="1:11">
      <c r="A1164" s="2" t="s">
        <v>24</v>
      </c>
      <c r="B1164" s="2" t="s">
        <v>28</v>
      </c>
      <c r="C1164" s="1">
        <v>7</v>
      </c>
      <c r="D1164" s="1" t="s">
        <v>16</v>
      </c>
      <c r="E1164" s="5" t="str">
        <f>IF(Table13[[#This Row],[Pre or Post]]="Pre",IF(IF(Table13[[#This Row],[Response]]="Male",0,1)+IF(Table13[[#This Row],[Response]]="Female",0,1)=2,E1163,Table13[[#This Row],[Response]]),"")</f>
        <v/>
      </c>
      <c r="F1164" s="1">
        <v>4</v>
      </c>
      <c r="G1164" s="2">
        <v>3</v>
      </c>
      <c r="H1164" s="2" t="s">
        <v>8</v>
      </c>
      <c r="I116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65" spans="1:11">
      <c r="A1165" s="2" t="s">
        <v>24</v>
      </c>
      <c r="B1165" s="2" t="s">
        <v>28</v>
      </c>
      <c r="C1165" s="1">
        <v>7</v>
      </c>
      <c r="D1165" s="1" t="s">
        <v>16</v>
      </c>
      <c r="E1165" s="5" t="str">
        <f>IF(Table13[[#This Row],[Pre or Post]]="Pre",IF(IF(Table13[[#This Row],[Response]]="Male",0,1)+IF(Table13[[#This Row],[Response]]="Female",0,1)=2,E1164,Table13[[#This Row],[Response]]),"")</f>
        <v/>
      </c>
      <c r="F1165" s="1">
        <v>5</v>
      </c>
      <c r="G1165" s="2">
        <v>3</v>
      </c>
      <c r="H1165" s="2" t="s">
        <v>8</v>
      </c>
      <c r="I116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66" spans="1:11">
      <c r="A1166" s="2" t="s">
        <v>24</v>
      </c>
      <c r="B1166" s="2" t="s">
        <v>28</v>
      </c>
      <c r="C1166" s="1">
        <v>7</v>
      </c>
      <c r="D1166" s="1" t="s">
        <v>16</v>
      </c>
      <c r="E1166" s="5" t="str">
        <f>IF(Table13[[#This Row],[Pre or Post]]="Pre",IF(IF(Table13[[#This Row],[Response]]="Male",0,1)+IF(Table13[[#This Row],[Response]]="Female",0,1)=2,E1165,Table13[[#This Row],[Response]]),"")</f>
        <v/>
      </c>
      <c r="F1166" s="1">
        <v>6</v>
      </c>
      <c r="G1166" s="2">
        <v>4</v>
      </c>
      <c r="H1166" s="2" t="s">
        <v>8</v>
      </c>
      <c r="I116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67" spans="1:11">
      <c r="A1167" s="2" t="s">
        <v>24</v>
      </c>
      <c r="B1167" s="2" t="s">
        <v>28</v>
      </c>
      <c r="C1167" s="1">
        <v>7</v>
      </c>
      <c r="D1167" s="1" t="s">
        <v>16</v>
      </c>
      <c r="E1167" s="5" t="str">
        <f>IF(Table13[[#This Row],[Pre or Post]]="Pre",IF(IF(Table13[[#This Row],[Response]]="Male",0,1)+IF(Table13[[#This Row],[Response]]="Female",0,1)=2,E1166,Table13[[#This Row],[Response]]),"")</f>
        <v/>
      </c>
      <c r="F1167" s="1">
        <v>7</v>
      </c>
      <c r="G1167" s="2">
        <v>4</v>
      </c>
      <c r="H1167" s="2" t="s">
        <v>8</v>
      </c>
      <c r="I116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68" spans="1:11">
      <c r="A1168" s="2" t="s">
        <v>24</v>
      </c>
      <c r="B1168" s="2" t="s">
        <v>28</v>
      </c>
      <c r="C1168" s="1">
        <v>7</v>
      </c>
      <c r="D1168" s="1" t="s">
        <v>16</v>
      </c>
      <c r="E1168" s="5" t="str">
        <f>IF(Table13[[#This Row],[Pre or Post]]="Pre",IF(IF(Table13[[#This Row],[Response]]="Male",0,1)+IF(Table13[[#This Row],[Response]]="Female",0,1)=2,E1167,Table13[[#This Row],[Response]]),"")</f>
        <v/>
      </c>
      <c r="F1168" s="1">
        <v>8</v>
      </c>
      <c r="G1168" s="2" t="s">
        <v>8</v>
      </c>
      <c r="H1168" s="2" t="s">
        <v>8</v>
      </c>
      <c r="I116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69" spans="1:11">
      <c r="A1169" s="2" t="s">
        <v>24</v>
      </c>
      <c r="B1169" s="2" t="s">
        <v>28</v>
      </c>
      <c r="C1169" s="1">
        <v>7</v>
      </c>
      <c r="D1169" s="1" t="s">
        <v>16</v>
      </c>
      <c r="E1169" s="5" t="str">
        <f>IF(Table13[[#This Row],[Pre or Post]]="Pre",IF(IF(Table13[[#This Row],[Response]]="Male",0,1)+IF(Table13[[#This Row],[Response]]="Female",0,1)=2,E1168,Table13[[#This Row],[Response]]),"")</f>
        <v/>
      </c>
      <c r="F1169" s="1">
        <v>9</v>
      </c>
      <c r="G1169" s="2" t="s">
        <v>17</v>
      </c>
      <c r="H1169" s="2" t="s">
        <v>8</v>
      </c>
      <c r="I116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70" spans="1:11">
      <c r="A1170" s="2" t="s">
        <v>24</v>
      </c>
      <c r="B1170" s="2" t="s">
        <v>28</v>
      </c>
      <c r="C1170" s="1">
        <v>7</v>
      </c>
      <c r="D1170" s="1" t="s">
        <v>16</v>
      </c>
      <c r="E1170" s="5" t="str">
        <f>IF(Table13[[#This Row],[Pre or Post]]="Pre",IF(IF(Table13[[#This Row],[Response]]="Male",0,1)+IF(Table13[[#This Row],[Response]]="Female",0,1)=2,E1169,Table13[[#This Row],[Response]]),"")</f>
        <v/>
      </c>
      <c r="F1170" s="1">
        <v>10</v>
      </c>
      <c r="G1170" s="2" t="s">
        <v>18</v>
      </c>
      <c r="H1170" s="2" t="s">
        <v>8</v>
      </c>
      <c r="I117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71" spans="1:11">
      <c r="A1171" s="2" t="s">
        <v>24</v>
      </c>
      <c r="B1171" s="2" t="s">
        <v>28</v>
      </c>
      <c r="C1171" s="1">
        <v>7</v>
      </c>
      <c r="D1171" s="1" t="s">
        <v>16</v>
      </c>
      <c r="E1171" s="5" t="str">
        <f>IF(Table13[[#This Row],[Pre or Post]]="Pre",IF(IF(Table13[[#This Row],[Response]]="Male",0,1)+IF(Table13[[#This Row],[Response]]="Female",0,1)=2,E1170,Table13[[#This Row],[Response]]),"")</f>
        <v/>
      </c>
      <c r="F1171" s="1">
        <v>11</v>
      </c>
      <c r="G1171" s="2" t="s">
        <v>9</v>
      </c>
      <c r="H1171" s="2" t="s">
        <v>8</v>
      </c>
      <c r="I117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72" spans="1:11">
      <c r="A1172" s="2" t="s">
        <v>24</v>
      </c>
      <c r="B1172" s="2" t="s">
        <v>28</v>
      </c>
      <c r="C1172" s="1">
        <v>8</v>
      </c>
      <c r="D1172" s="1" t="s">
        <v>16</v>
      </c>
      <c r="E1172" s="5" t="str">
        <f>IF(Table13[[#This Row],[Pre or Post]]="Pre",IF(IF(Table13[[#This Row],[Response]]="Male",0,1)+IF(Table13[[#This Row],[Response]]="Female",0,1)=2,E1171,Table13[[#This Row],[Response]]),"")</f>
        <v/>
      </c>
      <c r="F1172" s="1">
        <v>2</v>
      </c>
      <c r="G1172" s="1">
        <v>3</v>
      </c>
      <c r="H1172" s="2" t="s">
        <v>8</v>
      </c>
      <c r="I117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73" spans="1:11">
      <c r="A1173" s="2" t="s">
        <v>24</v>
      </c>
      <c r="B1173" s="2" t="s">
        <v>28</v>
      </c>
      <c r="C1173" s="1">
        <v>8</v>
      </c>
      <c r="D1173" s="1" t="s">
        <v>16</v>
      </c>
      <c r="E1173" s="5" t="str">
        <f>IF(Table13[[#This Row],[Pre or Post]]="Pre",IF(IF(Table13[[#This Row],[Response]]="Male",0,1)+IF(Table13[[#This Row],[Response]]="Female",0,1)=2,E1172,Table13[[#This Row],[Response]]),"")</f>
        <v/>
      </c>
      <c r="F1173" s="1">
        <v>3</v>
      </c>
      <c r="G1173" s="1">
        <v>3</v>
      </c>
      <c r="H1173" s="2" t="s">
        <v>8</v>
      </c>
      <c r="I117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74" spans="1:11">
      <c r="A1174" s="2" t="s">
        <v>24</v>
      </c>
      <c r="B1174" s="2" t="s">
        <v>28</v>
      </c>
      <c r="C1174" s="1">
        <v>8</v>
      </c>
      <c r="D1174" s="1" t="s">
        <v>16</v>
      </c>
      <c r="E1174" s="5" t="str">
        <f>IF(Table13[[#This Row],[Pre or Post]]="Pre",IF(IF(Table13[[#This Row],[Response]]="Male",0,1)+IF(Table13[[#This Row],[Response]]="Female",0,1)=2,E1173,Table13[[#This Row],[Response]]),"")</f>
        <v/>
      </c>
      <c r="F1174" s="1">
        <v>4</v>
      </c>
      <c r="G1174" s="1">
        <v>2</v>
      </c>
      <c r="H1174" s="2" t="s">
        <v>8</v>
      </c>
      <c r="I117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75" spans="1:11">
      <c r="A1175" s="2" t="s">
        <v>24</v>
      </c>
      <c r="B1175" s="2" t="s">
        <v>28</v>
      </c>
      <c r="C1175" s="1">
        <v>8</v>
      </c>
      <c r="D1175" s="1" t="s">
        <v>16</v>
      </c>
      <c r="E1175" s="5" t="str">
        <f>IF(Table13[[#This Row],[Pre or Post]]="Pre",IF(IF(Table13[[#This Row],[Response]]="Male",0,1)+IF(Table13[[#This Row],[Response]]="Female",0,1)=2,E1174,Table13[[#This Row],[Response]]),"")</f>
        <v/>
      </c>
      <c r="F1175" s="1">
        <v>5</v>
      </c>
      <c r="G1175" s="1">
        <v>4</v>
      </c>
      <c r="H1175" s="2" t="s">
        <v>8</v>
      </c>
      <c r="I117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76" spans="1:11">
      <c r="A1176" s="2" t="s">
        <v>24</v>
      </c>
      <c r="B1176" s="2" t="s">
        <v>28</v>
      </c>
      <c r="C1176" s="1">
        <v>8</v>
      </c>
      <c r="D1176" s="1" t="s">
        <v>16</v>
      </c>
      <c r="E1176" s="5" t="str">
        <f>IF(Table13[[#This Row],[Pre or Post]]="Pre",IF(IF(Table13[[#This Row],[Response]]="Male",0,1)+IF(Table13[[#This Row],[Response]]="Female",0,1)=2,E1175,Table13[[#This Row],[Response]]),"")</f>
        <v/>
      </c>
      <c r="F1176" s="1">
        <v>6</v>
      </c>
      <c r="G1176" s="1">
        <v>4</v>
      </c>
      <c r="H1176" s="2" t="s">
        <v>8</v>
      </c>
      <c r="I117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77" spans="1:11">
      <c r="A1177" s="2" t="s">
        <v>24</v>
      </c>
      <c r="B1177" s="2" t="s">
        <v>28</v>
      </c>
      <c r="C1177" s="1">
        <v>8</v>
      </c>
      <c r="D1177" s="1" t="s">
        <v>16</v>
      </c>
      <c r="E1177" s="5" t="str">
        <f>IF(Table13[[#This Row],[Pre or Post]]="Pre",IF(IF(Table13[[#This Row],[Response]]="Male",0,1)+IF(Table13[[#This Row],[Response]]="Female",0,1)=2,E1176,Table13[[#This Row],[Response]]),"")</f>
        <v/>
      </c>
      <c r="F1177" s="1">
        <v>7</v>
      </c>
      <c r="G1177" s="1">
        <v>4</v>
      </c>
      <c r="H1177" s="2" t="s">
        <v>8</v>
      </c>
      <c r="I117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78" spans="1:11">
      <c r="A1178" s="2" t="s">
        <v>24</v>
      </c>
      <c r="B1178" s="2" t="s">
        <v>28</v>
      </c>
      <c r="C1178" s="1">
        <v>8</v>
      </c>
      <c r="D1178" s="1" t="s">
        <v>16</v>
      </c>
      <c r="E1178" s="5" t="str">
        <f>IF(Table13[[#This Row],[Pre or Post]]="Pre",IF(IF(Table13[[#This Row],[Response]]="Male",0,1)+IF(Table13[[#This Row],[Response]]="Female",0,1)=2,E1177,Table13[[#This Row],[Response]]),"")</f>
        <v/>
      </c>
      <c r="F1178" s="1">
        <v>8</v>
      </c>
      <c r="G1178" s="1" t="s">
        <v>8</v>
      </c>
      <c r="H1178" s="2" t="s">
        <v>8</v>
      </c>
      <c r="I117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79" spans="1:11">
      <c r="A1179" s="2" t="s">
        <v>24</v>
      </c>
      <c r="B1179" s="2" t="s">
        <v>28</v>
      </c>
      <c r="C1179" s="1">
        <v>8</v>
      </c>
      <c r="D1179" s="1" t="s">
        <v>16</v>
      </c>
      <c r="E1179" s="5" t="str">
        <f>IF(Table13[[#This Row],[Pre or Post]]="Pre",IF(IF(Table13[[#This Row],[Response]]="Male",0,1)+IF(Table13[[#This Row],[Response]]="Female",0,1)=2,E1178,Table13[[#This Row],[Response]]),"")</f>
        <v/>
      </c>
      <c r="F1179" s="1">
        <v>9</v>
      </c>
      <c r="G1179" s="1" t="s">
        <v>17</v>
      </c>
      <c r="H1179" s="2" t="s">
        <v>8</v>
      </c>
      <c r="I117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80" spans="1:11">
      <c r="A1180" s="2" t="s">
        <v>24</v>
      </c>
      <c r="B1180" s="2" t="s">
        <v>28</v>
      </c>
      <c r="C1180" s="1">
        <v>8</v>
      </c>
      <c r="D1180" s="1" t="s">
        <v>16</v>
      </c>
      <c r="E1180" s="5" t="str">
        <f>IF(Table13[[#This Row],[Pre or Post]]="Pre",IF(IF(Table13[[#This Row],[Response]]="Male",0,1)+IF(Table13[[#This Row],[Response]]="Female",0,1)=2,E1179,Table13[[#This Row],[Response]]),"")</f>
        <v/>
      </c>
      <c r="F1180" s="1">
        <v>10</v>
      </c>
      <c r="G1180" s="1" t="s">
        <v>18</v>
      </c>
      <c r="H1180" s="2" t="s">
        <v>8</v>
      </c>
      <c r="I118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81" spans="1:11">
      <c r="A1181" s="2" t="s">
        <v>24</v>
      </c>
      <c r="B1181" s="2" t="s">
        <v>28</v>
      </c>
      <c r="C1181" s="1">
        <v>8</v>
      </c>
      <c r="D1181" s="1" t="s">
        <v>16</v>
      </c>
      <c r="E1181" s="5" t="str">
        <f>IF(Table13[[#This Row],[Pre or Post]]="Pre",IF(IF(Table13[[#This Row],[Response]]="Male",0,1)+IF(Table13[[#This Row],[Response]]="Female",0,1)=2,E1180,Table13[[#This Row],[Response]]),"")</f>
        <v/>
      </c>
      <c r="F1181" s="2">
        <v>11</v>
      </c>
      <c r="G1181" s="1" t="s">
        <v>9</v>
      </c>
      <c r="H1181" s="2" t="s">
        <v>8</v>
      </c>
      <c r="I118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82" spans="1:11">
      <c r="A1182" s="2" t="s">
        <v>24</v>
      </c>
      <c r="B1182" s="2" t="s">
        <v>28</v>
      </c>
      <c r="C1182" s="1">
        <v>9</v>
      </c>
      <c r="D1182" s="1" t="s">
        <v>16</v>
      </c>
      <c r="E1182" s="5" t="str">
        <f>IF(Table13[[#This Row],[Pre or Post]]="Pre",IF(IF(Table13[[#This Row],[Response]]="Male",0,1)+IF(Table13[[#This Row],[Response]]="Female",0,1)=2,E1181,Table13[[#This Row],[Response]]),"")</f>
        <v/>
      </c>
      <c r="F1182" s="1">
        <v>2</v>
      </c>
      <c r="G1182" s="1">
        <v>2</v>
      </c>
      <c r="H1182" s="2" t="s">
        <v>8</v>
      </c>
      <c r="I118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83" spans="1:11">
      <c r="A1183" s="2" t="s">
        <v>24</v>
      </c>
      <c r="B1183" s="2" t="s">
        <v>28</v>
      </c>
      <c r="C1183" s="1">
        <v>9</v>
      </c>
      <c r="D1183" s="1" t="s">
        <v>16</v>
      </c>
      <c r="E1183" s="5" t="str">
        <f>IF(Table13[[#This Row],[Pre or Post]]="Pre",IF(IF(Table13[[#This Row],[Response]]="Male",0,1)+IF(Table13[[#This Row],[Response]]="Female",0,1)=2,E1182,Table13[[#This Row],[Response]]),"")</f>
        <v/>
      </c>
      <c r="F1183" s="1">
        <v>3</v>
      </c>
      <c r="G1183" s="1">
        <v>3</v>
      </c>
      <c r="H1183" s="2" t="s">
        <v>8</v>
      </c>
      <c r="I118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84" spans="1:11">
      <c r="A1184" s="2" t="s">
        <v>24</v>
      </c>
      <c r="B1184" s="2" t="s">
        <v>28</v>
      </c>
      <c r="C1184" s="1">
        <v>9</v>
      </c>
      <c r="D1184" s="1" t="s">
        <v>16</v>
      </c>
      <c r="E1184" s="5" t="str">
        <f>IF(Table13[[#This Row],[Pre or Post]]="Pre",IF(IF(Table13[[#This Row],[Response]]="Male",0,1)+IF(Table13[[#This Row],[Response]]="Female",0,1)=2,E1183,Table13[[#This Row],[Response]]),"")</f>
        <v/>
      </c>
      <c r="F1184" s="1">
        <v>4</v>
      </c>
      <c r="G1184" s="1">
        <v>2</v>
      </c>
      <c r="H1184" s="2" t="s">
        <v>8</v>
      </c>
      <c r="I118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85" spans="1:11">
      <c r="A1185" s="2" t="s">
        <v>24</v>
      </c>
      <c r="B1185" s="2" t="s">
        <v>28</v>
      </c>
      <c r="C1185" s="1">
        <v>9</v>
      </c>
      <c r="D1185" s="1" t="s">
        <v>16</v>
      </c>
      <c r="E1185" s="5" t="str">
        <f>IF(Table13[[#This Row],[Pre or Post]]="Pre",IF(IF(Table13[[#This Row],[Response]]="Male",0,1)+IF(Table13[[#This Row],[Response]]="Female",0,1)=2,E1184,Table13[[#This Row],[Response]]),"")</f>
        <v/>
      </c>
      <c r="F1185" s="1">
        <v>5</v>
      </c>
      <c r="G1185" s="1">
        <v>3</v>
      </c>
      <c r="H1185" s="2" t="s">
        <v>8</v>
      </c>
      <c r="I118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86" spans="1:11">
      <c r="A1186" s="2" t="s">
        <v>24</v>
      </c>
      <c r="B1186" s="2" t="s">
        <v>28</v>
      </c>
      <c r="C1186" s="1">
        <v>9</v>
      </c>
      <c r="D1186" s="1" t="s">
        <v>16</v>
      </c>
      <c r="E1186" s="5" t="str">
        <f>IF(Table13[[#This Row],[Pre or Post]]="Pre",IF(IF(Table13[[#This Row],[Response]]="Male",0,1)+IF(Table13[[#This Row],[Response]]="Female",0,1)=2,E1185,Table13[[#This Row],[Response]]),"")</f>
        <v/>
      </c>
      <c r="F1186" s="1">
        <v>6</v>
      </c>
      <c r="G1186" s="1">
        <v>2</v>
      </c>
      <c r="H1186" s="2" t="s">
        <v>8</v>
      </c>
      <c r="I118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87" spans="1:11">
      <c r="A1187" s="2" t="s">
        <v>24</v>
      </c>
      <c r="B1187" s="2" t="s">
        <v>28</v>
      </c>
      <c r="C1187" s="1">
        <v>9</v>
      </c>
      <c r="D1187" s="1" t="s">
        <v>16</v>
      </c>
      <c r="E1187" s="5" t="str">
        <f>IF(Table13[[#This Row],[Pre or Post]]="Pre",IF(IF(Table13[[#This Row],[Response]]="Male",0,1)+IF(Table13[[#This Row],[Response]]="Female",0,1)=2,E1186,Table13[[#This Row],[Response]]),"")</f>
        <v/>
      </c>
      <c r="F1187" s="1">
        <v>7</v>
      </c>
      <c r="G1187" s="1">
        <v>3</v>
      </c>
      <c r="H1187" s="2" t="s">
        <v>8</v>
      </c>
      <c r="I118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88" spans="1:11">
      <c r="A1188" s="2" t="s">
        <v>24</v>
      </c>
      <c r="B1188" s="2" t="s">
        <v>28</v>
      </c>
      <c r="C1188" s="1">
        <v>9</v>
      </c>
      <c r="D1188" s="1" t="s">
        <v>16</v>
      </c>
      <c r="E1188" s="5" t="str">
        <f>IF(Table13[[#This Row],[Pre or Post]]="Pre",IF(IF(Table13[[#This Row],[Response]]="Male",0,1)+IF(Table13[[#This Row],[Response]]="Female",0,1)=2,E1187,Table13[[#This Row],[Response]]),"")</f>
        <v/>
      </c>
      <c r="F1188" s="1">
        <v>8</v>
      </c>
      <c r="G1188" s="1" t="s">
        <v>9</v>
      </c>
      <c r="H1188" s="2" t="s">
        <v>8</v>
      </c>
      <c r="I118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89" spans="1:11">
      <c r="A1189" s="2" t="s">
        <v>24</v>
      </c>
      <c r="B1189" s="2" t="s">
        <v>28</v>
      </c>
      <c r="C1189" s="1">
        <v>9</v>
      </c>
      <c r="D1189" s="1" t="s">
        <v>16</v>
      </c>
      <c r="E1189" s="5" t="str">
        <f>IF(Table13[[#This Row],[Pre or Post]]="Pre",IF(IF(Table13[[#This Row],[Response]]="Male",0,1)+IF(Table13[[#This Row],[Response]]="Female",0,1)=2,E1188,Table13[[#This Row],[Response]]),"")</f>
        <v/>
      </c>
      <c r="F1189" s="1">
        <v>9</v>
      </c>
      <c r="G1189" s="1"/>
      <c r="H1189" s="2" t="s">
        <v>8</v>
      </c>
      <c r="I118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90" spans="1:11">
      <c r="A1190" s="2" t="s">
        <v>24</v>
      </c>
      <c r="B1190" s="2" t="s">
        <v>28</v>
      </c>
      <c r="C1190" s="1">
        <v>9</v>
      </c>
      <c r="D1190" s="1" t="s">
        <v>16</v>
      </c>
      <c r="E1190" s="5" t="str">
        <f>IF(Table13[[#This Row],[Pre or Post]]="Pre",IF(IF(Table13[[#This Row],[Response]]="Male",0,1)+IF(Table13[[#This Row],[Response]]="Female",0,1)=2,E1189,Table13[[#This Row],[Response]]),"")</f>
        <v/>
      </c>
      <c r="F1190" s="1">
        <v>10</v>
      </c>
      <c r="G1190" s="1"/>
      <c r="H1190" s="2" t="s">
        <v>8</v>
      </c>
      <c r="I119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91" spans="1:11">
      <c r="A1191" s="2" t="s">
        <v>24</v>
      </c>
      <c r="B1191" s="2" t="s">
        <v>28</v>
      </c>
      <c r="C1191" s="1">
        <v>9</v>
      </c>
      <c r="D1191" s="1" t="s">
        <v>16</v>
      </c>
      <c r="E1191" s="5" t="str">
        <f>IF(Table13[[#This Row],[Pre or Post]]="Pre",IF(IF(Table13[[#This Row],[Response]]="Male",0,1)+IF(Table13[[#This Row],[Response]]="Female",0,1)=2,E1190,Table13[[#This Row],[Response]]),"")</f>
        <v/>
      </c>
      <c r="F1191" s="1">
        <v>11</v>
      </c>
      <c r="G1191" s="1"/>
      <c r="H1191" s="2" t="s">
        <v>8</v>
      </c>
      <c r="I119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92" spans="1:11">
      <c r="A1192" s="2" t="s">
        <v>24</v>
      </c>
      <c r="B1192" s="2" t="s">
        <v>28</v>
      </c>
      <c r="C1192" s="1">
        <v>10</v>
      </c>
      <c r="D1192" s="1" t="s">
        <v>16</v>
      </c>
      <c r="E1192" s="5" t="str">
        <f>IF(Table13[[#This Row],[Pre or Post]]="Pre",IF(IF(Table13[[#This Row],[Response]]="Male",0,1)+IF(Table13[[#This Row],[Response]]="Female",0,1)=2,E1191,Table13[[#This Row],[Response]]),"")</f>
        <v/>
      </c>
      <c r="F1192" s="1">
        <v>2</v>
      </c>
      <c r="G1192" s="1">
        <v>3</v>
      </c>
      <c r="H1192" s="2" t="s">
        <v>8</v>
      </c>
      <c r="I119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93" spans="1:11">
      <c r="A1193" s="2" t="s">
        <v>24</v>
      </c>
      <c r="B1193" s="2" t="s">
        <v>28</v>
      </c>
      <c r="C1193" s="1">
        <v>10</v>
      </c>
      <c r="D1193" s="1" t="s">
        <v>16</v>
      </c>
      <c r="E1193" s="5" t="str">
        <f>IF(Table13[[#This Row],[Pre or Post]]="Pre",IF(IF(Table13[[#This Row],[Response]]="Male",0,1)+IF(Table13[[#This Row],[Response]]="Female",0,1)=2,E1192,Table13[[#This Row],[Response]]),"")</f>
        <v/>
      </c>
      <c r="F1193" s="1">
        <v>3</v>
      </c>
      <c r="G1193" s="1">
        <v>4</v>
      </c>
      <c r="H1193" s="2" t="s">
        <v>8</v>
      </c>
      <c r="I119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94" spans="1:11">
      <c r="A1194" s="2" t="s">
        <v>24</v>
      </c>
      <c r="B1194" s="2" t="s">
        <v>28</v>
      </c>
      <c r="C1194" s="1">
        <v>10</v>
      </c>
      <c r="D1194" s="1" t="s">
        <v>16</v>
      </c>
      <c r="E1194" s="5" t="str">
        <f>IF(Table13[[#This Row],[Pre or Post]]="Pre",IF(IF(Table13[[#This Row],[Response]]="Male",0,1)+IF(Table13[[#This Row],[Response]]="Female",0,1)=2,E1193,Table13[[#This Row],[Response]]),"")</f>
        <v/>
      </c>
      <c r="F1194" s="1">
        <v>4</v>
      </c>
      <c r="G1194" s="1">
        <v>4</v>
      </c>
      <c r="H1194" s="2" t="s">
        <v>8</v>
      </c>
      <c r="I119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95" spans="1:11">
      <c r="A1195" s="2" t="s">
        <v>24</v>
      </c>
      <c r="B1195" s="2" t="s">
        <v>28</v>
      </c>
      <c r="C1195" s="1">
        <v>10</v>
      </c>
      <c r="D1195" s="1" t="s">
        <v>16</v>
      </c>
      <c r="E1195" s="5" t="str">
        <f>IF(Table13[[#This Row],[Pre or Post]]="Pre",IF(IF(Table13[[#This Row],[Response]]="Male",0,1)+IF(Table13[[#This Row],[Response]]="Female",0,1)=2,E1194,Table13[[#This Row],[Response]]),"")</f>
        <v/>
      </c>
      <c r="F1195" s="1">
        <v>5</v>
      </c>
      <c r="G1195" s="1">
        <v>4</v>
      </c>
      <c r="H1195" s="2" t="s">
        <v>8</v>
      </c>
      <c r="I119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96" spans="1:11">
      <c r="A1196" s="2" t="s">
        <v>24</v>
      </c>
      <c r="B1196" s="2" t="s">
        <v>28</v>
      </c>
      <c r="C1196" s="1">
        <v>10</v>
      </c>
      <c r="D1196" s="1" t="s">
        <v>16</v>
      </c>
      <c r="E1196" s="5" t="str">
        <f>IF(Table13[[#This Row],[Pre or Post]]="Pre",IF(IF(Table13[[#This Row],[Response]]="Male",0,1)+IF(Table13[[#This Row],[Response]]="Female",0,1)=2,E1195,Table13[[#This Row],[Response]]),"")</f>
        <v/>
      </c>
      <c r="F1196" s="1">
        <v>6</v>
      </c>
      <c r="G1196" s="1">
        <v>4</v>
      </c>
      <c r="H1196" s="2" t="s">
        <v>8</v>
      </c>
      <c r="I119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97" spans="1:11">
      <c r="A1197" s="2" t="s">
        <v>24</v>
      </c>
      <c r="B1197" s="2" t="s">
        <v>28</v>
      </c>
      <c r="C1197" s="1">
        <v>10</v>
      </c>
      <c r="D1197" s="1" t="s">
        <v>16</v>
      </c>
      <c r="E1197" s="5" t="str">
        <f>IF(Table13[[#This Row],[Pre or Post]]="Pre",IF(IF(Table13[[#This Row],[Response]]="Male",0,1)+IF(Table13[[#This Row],[Response]]="Female",0,1)=2,E1196,Table13[[#This Row],[Response]]),"")</f>
        <v/>
      </c>
      <c r="F1197" s="1">
        <v>7</v>
      </c>
      <c r="G1197" s="1">
        <v>3</v>
      </c>
      <c r="H1197" s="2" t="s">
        <v>8</v>
      </c>
      <c r="I119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98" spans="1:11">
      <c r="A1198" s="2" t="s">
        <v>24</v>
      </c>
      <c r="B1198" s="2" t="s">
        <v>28</v>
      </c>
      <c r="C1198" s="1">
        <v>10</v>
      </c>
      <c r="D1198" s="1" t="s">
        <v>16</v>
      </c>
      <c r="E1198" s="5" t="str">
        <f>IF(Table13[[#This Row],[Pre or Post]]="Pre",IF(IF(Table13[[#This Row],[Response]]="Male",0,1)+IF(Table13[[#This Row],[Response]]="Female",0,1)=2,E1197,Table13[[#This Row],[Response]]),"")</f>
        <v/>
      </c>
      <c r="F1198" s="1">
        <v>8</v>
      </c>
      <c r="G1198" s="1"/>
      <c r="H1198" s="2" t="s">
        <v>8</v>
      </c>
      <c r="I119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199" spans="1:11">
      <c r="A1199" s="2" t="s">
        <v>24</v>
      </c>
      <c r="B1199" s="2" t="s">
        <v>28</v>
      </c>
      <c r="C1199" s="1">
        <v>10</v>
      </c>
      <c r="D1199" s="1" t="s">
        <v>16</v>
      </c>
      <c r="E1199" s="5" t="str">
        <f>IF(Table13[[#This Row],[Pre or Post]]="Pre",IF(IF(Table13[[#This Row],[Response]]="Male",0,1)+IF(Table13[[#This Row],[Response]]="Female",0,1)=2,E1198,Table13[[#This Row],[Response]]),"")</f>
        <v/>
      </c>
      <c r="F1199" s="1">
        <v>9</v>
      </c>
      <c r="G1199" s="1" t="s">
        <v>17</v>
      </c>
      <c r="H1199" s="2" t="s">
        <v>8</v>
      </c>
      <c r="I119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1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1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00" spans="1:11">
      <c r="A1200" s="2" t="s">
        <v>24</v>
      </c>
      <c r="B1200" s="2" t="s">
        <v>28</v>
      </c>
      <c r="C1200" s="1">
        <v>10</v>
      </c>
      <c r="D1200" s="1" t="s">
        <v>16</v>
      </c>
      <c r="E1200" s="5" t="str">
        <f>IF(Table13[[#This Row],[Pre or Post]]="Pre",IF(IF(Table13[[#This Row],[Response]]="Male",0,1)+IF(Table13[[#This Row],[Response]]="Female",0,1)=2,E1199,Table13[[#This Row],[Response]]),"")</f>
        <v/>
      </c>
      <c r="F1200" s="1">
        <v>10</v>
      </c>
      <c r="G1200" s="1" t="s">
        <v>19</v>
      </c>
      <c r="H1200" s="2" t="s">
        <v>8</v>
      </c>
      <c r="I120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01" spans="1:11">
      <c r="A1201" s="2" t="s">
        <v>24</v>
      </c>
      <c r="B1201" s="2" t="s">
        <v>28</v>
      </c>
      <c r="C1201" s="1">
        <v>10</v>
      </c>
      <c r="D1201" s="1" t="s">
        <v>16</v>
      </c>
      <c r="E1201" s="5" t="str">
        <f>IF(Table13[[#This Row],[Pre or Post]]="Pre",IF(IF(Table13[[#This Row],[Response]]="Male",0,1)+IF(Table13[[#This Row],[Response]]="Female",0,1)=2,E1200,Table13[[#This Row],[Response]]),"")</f>
        <v/>
      </c>
      <c r="F1201" s="1">
        <v>11</v>
      </c>
      <c r="G1201" s="1" t="s">
        <v>9</v>
      </c>
      <c r="H1201" s="2" t="s">
        <v>8</v>
      </c>
      <c r="I120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02" spans="1:11">
      <c r="A1202" s="2" t="s">
        <v>24</v>
      </c>
      <c r="B1202" s="2" t="s">
        <v>28</v>
      </c>
      <c r="C1202" s="1">
        <v>11</v>
      </c>
      <c r="D1202" s="1" t="s">
        <v>16</v>
      </c>
      <c r="E1202" s="5" t="str">
        <f>IF(Table13[[#This Row],[Pre or Post]]="Pre",IF(IF(Table13[[#This Row],[Response]]="Male",0,1)+IF(Table13[[#This Row],[Response]]="Female",0,1)=2,E1201,Table13[[#This Row],[Response]]),"")</f>
        <v/>
      </c>
      <c r="F1202" s="1">
        <v>2</v>
      </c>
      <c r="G1202" s="1">
        <v>3</v>
      </c>
      <c r="H1202" s="2" t="s">
        <v>8</v>
      </c>
      <c r="I120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03" spans="1:11">
      <c r="A1203" s="2" t="s">
        <v>24</v>
      </c>
      <c r="B1203" s="2" t="s">
        <v>28</v>
      </c>
      <c r="C1203" s="1">
        <v>11</v>
      </c>
      <c r="D1203" s="1" t="s">
        <v>16</v>
      </c>
      <c r="E1203" s="5" t="str">
        <f>IF(Table13[[#This Row],[Pre or Post]]="Pre",IF(IF(Table13[[#This Row],[Response]]="Male",0,1)+IF(Table13[[#This Row],[Response]]="Female",0,1)=2,E1202,Table13[[#This Row],[Response]]),"")</f>
        <v/>
      </c>
      <c r="F1203" s="1">
        <v>3</v>
      </c>
      <c r="G1203" s="1">
        <v>2</v>
      </c>
      <c r="H1203" s="2" t="s">
        <v>8</v>
      </c>
      <c r="I120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04" spans="1:11">
      <c r="A1204" s="2" t="s">
        <v>24</v>
      </c>
      <c r="B1204" s="2" t="s">
        <v>28</v>
      </c>
      <c r="C1204" s="1">
        <v>11</v>
      </c>
      <c r="D1204" s="1" t="s">
        <v>16</v>
      </c>
      <c r="E1204" s="5" t="str">
        <f>IF(Table13[[#This Row],[Pre or Post]]="Pre",IF(IF(Table13[[#This Row],[Response]]="Male",0,1)+IF(Table13[[#This Row],[Response]]="Female",0,1)=2,E1203,Table13[[#This Row],[Response]]),"")</f>
        <v/>
      </c>
      <c r="F1204" s="1">
        <v>4</v>
      </c>
      <c r="G1204" s="1">
        <v>3</v>
      </c>
      <c r="H1204" s="2" t="s">
        <v>8</v>
      </c>
      <c r="I120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05" spans="1:11">
      <c r="A1205" s="2" t="s">
        <v>24</v>
      </c>
      <c r="B1205" s="2" t="s">
        <v>28</v>
      </c>
      <c r="C1205" s="1">
        <v>11</v>
      </c>
      <c r="D1205" s="1" t="s">
        <v>16</v>
      </c>
      <c r="E1205" s="5" t="str">
        <f>IF(Table13[[#This Row],[Pre or Post]]="Pre",IF(IF(Table13[[#This Row],[Response]]="Male",0,1)+IF(Table13[[#This Row],[Response]]="Female",0,1)=2,E1204,Table13[[#This Row],[Response]]),"")</f>
        <v/>
      </c>
      <c r="F1205" s="1">
        <v>5</v>
      </c>
      <c r="G1205" s="1">
        <v>4</v>
      </c>
      <c r="H1205" s="2" t="s">
        <v>8</v>
      </c>
      <c r="I120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06" spans="1:11">
      <c r="A1206" s="2" t="s">
        <v>24</v>
      </c>
      <c r="B1206" s="2" t="s">
        <v>28</v>
      </c>
      <c r="C1206" s="1">
        <v>11</v>
      </c>
      <c r="D1206" s="1" t="s">
        <v>16</v>
      </c>
      <c r="E1206" s="5" t="str">
        <f>IF(Table13[[#This Row],[Pre or Post]]="Pre",IF(IF(Table13[[#This Row],[Response]]="Male",0,1)+IF(Table13[[#This Row],[Response]]="Female",0,1)=2,E1205,Table13[[#This Row],[Response]]),"")</f>
        <v/>
      </c>
      <c r="F1206" s="1">
        <v>6</v>
      </c>
      <c r="G1206" s="1">
        <v>2</v>
      </c>
      <c r="H1206" s="2" t="s">
        <v>8</v>
      </c>
      <c r="I120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07" spans="1:11">
      <c r="A1207" s="2" t="s">
        <v>24</v>
      </c>
      <c r="B1207" s="2" t="s">
        <v>28</v>
      </c>
      <c r="C1207" s="1">
        <v>11</v>
      </c>
      <c r="D1207" s="1" t="s">
        <v>16</v>
      </c>
      <c r="E1207" s="5" t="str">
        <f>IF(Table13[[#This Row],[Pre or Post]]="Pre",IF(IF(Table13[[#This Row],[Response]]="Male",0,1)+IF(Table13[[#This Row],[Response]]="Female",0,1)=2,E1206,Table13[[#This Row],[Response]]),"")</f>
        <v/>
      </c>
      <c r="F1207" s="1">
        <v>7</v>
      </c>
      <c r="G1207" s="1">
        <v>4</v>
      </c>
      <c r="H1207" s="2" t="s">
        <v>8</v>
      </c>
      <c r="I120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08" spans="1:11">
      <c r="A1208" s="2" t="s">
        <v>24</v>
      </c>
      <c r="B1208" s="2" t="s">
        <v>28</v>
      </c>
      <c r="C1208" s="1">
        <v>11</v>
      </c>
      <c r="D1208" s="1" t="s">
        <v>16</v>
      </c>
      <c r="E1208" s="5" t="str">
        <f>IF(Table13[[#This Row],[Pre or Post]]="Pre",IF(IF(Table13[[#This Row],[Response]]="Male",0,1)+IF(Table13[[#This Row],[Response]]="Female",0,1)=2,E1207,Table13[[#This Row],[Response]]),"")</f>
        <v/>
      </c>
      <c r="F1208" s="1">
        <v>8</v>
      </c>
      <c r="G1208" s="1" t="s">
        <v>8</v>
      </c>
      <c r="H1208" s="2" t="s">
        <v>8</v>
      </c>
      <c r="I120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09" spans="1:11">
      <c r="A1209" s="2" t="s">
        <v>24</v>
      </c>
      <c r="B1209" s="2" t="s">
        <v>28</v>
      </c>
      <c r="C1209" s="1">
        <v>11</v>
      </c>
      <c r="D1209" s="1" t="s">
        <v>16</v>
      </c>
      <c r="E1209" s="5" t="str">
        <f>IF(Table13[[#This Row],[Pre or Post]]="Pre",IF(IF(Table13[[#This Row],[Response]]="Male",0,1)+IF(Table13[[#This Row],[Response]]="Female",0,1)=2,E1208,Table13[[#This Row],[Response]]),"")</f>
        <v/>
      </c>
      <c r="F1209" s="1">
        <v>9</v>
      </c>
      <c r="G1209" s="1" t="s">
        <v>17</v>
      </c>
      <c r="H1209" s="2" t="s">
        <v>8</v>
      </c>
      <c r="I120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10" spans="1:11">
      <c r="A1210" s="2" t="s">
        <v>24</v>
      </c>
      <c r="B1210" s="2" t="s">
        <v>28</v>
      </c>
      <c r="C1210" s="1">
        <v>11</v>
      </c>
      <c r="D1210" s="1" t="s">
        <v>16</v>
      </c>
      <c r="E1210" s="5" t="str">
        <f>IF(Table13[[#This Row],[Pre or Post]]="Pre",IF(IF(Table13[[#This Row],[Response]]="Male",0,1)+IF(Table13[[#This Row],[Response]]="Female",0,1)=2,E1209,Table13[[#This Row],[Response]]),"")</f>
        <v/>
      </c>
      <c r="F1210" s="1">
        <v>10</v>
      </c>
      <c r="G1210" s="1" t="s">
        <v>18</v>
      </c>
      <c r="H1210" s="2" t="s">
        <v>8</v>
      </c>
      <c r="I121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11" spans="1:11">
      <c r="A1211" s="2" t="s">
        <v>24</v>
      </c>
      <c r="B1211" s="2" t="s">
        <v>28</v>
      </c>
      <c r="C1211" s="1">
        <v>11</v>
      </c>
      <c r="D1211" s="1" t="s">
        <v>16</v>
      </c>
      <c r="E1211" s="5" t="str">
        <f>IF(Table13[[#This Row],[Pre or Post]]="Pre",IF(IF(Table13[[#This Row],[Response]]="Male",0,1)+IF(Table13[[#This Row],[Response]]="Female",0,1)=2,E1210,Table13[[#This Row],[Response]]),"")</f>
        <v/>
      </c>
      <c r="F1211" s="1">
        <v>11</v>
      </c>
      <c r="G1211" s="1" t="s">
        <v>9</v>
      </c>
      <c r="H1211" s="2" t="s">
        <v>8</v>
      </c>
      <c r="I121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12" spans="1:11">
      <c r="A1212" s="2" t="s">
        <v>24</v>
      </c>
      <c r="B1212" s="2" t="s">
        <v>28</v>
      </c>
      <c r="C1212" s="1">
        <v>12</v>
      </c>
      <c r="D1212" s="1" t="s">
        <v>16</v>
      </c>
      <c r="E1212" s="5" t="str">
        <f>IF(Table13[[#This Row],[Pre or Post]]="Pre",IF(IF(Table13[[#This Row],[Response]]="Male",0,1)+IF(Table13[[#This Row],[Response]]="Female",0,1)=2,E1211,Table13[[#This Row],[Response]]),"")</f>
        <v/>
      </c>
      <c r="F1212" s="1">
        <v>2</v>
      </c>
      <c r="G1212" s="1">
        <v>3</v>
      </c>
      <c r="H1212" s="2" t="s">
        <v>8</v>
      </c>
      <c r="I121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13" spans="1:11">
      <c r="A1213" s="2" t="s">
        <v>24</v>
      </c>
      <c r="B1213" s="2" t="s">
        <v>28</v>
      </c>
      <c r="C1213" s="1">
        <v>12</v>
      </c>
      <c r="D1213" s="1" t="s">
        <v>16</v>
      </c>
      <c r="E1213" s="5" t="str">
        <f>IF(Table13[[#This Row],[Pre or Post]]="Pre",IF(IF(Table13[[#This Row],[Response]]="Male",0,1)+IF(Table13[[#This Row],[Response]]="Female",0,1)=2,E1212,Table13[[#This Row],[Response]]),"")</f>
        <v/>
      </c>
      <c r="F1213" s="1">
        <v>3</v>
      </c>
      <c r="G1213" s="1">
        <v>3</v>
      </c>
      <c r="H1213" s="2" t="s">
        <v>8</v>
      </c>
      <c r="I121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14" spans="1:11">
      <c r="A1214" s="2" t="s">
        <v>24</v>
      </c>
      <c r="B1214" s="2" t="s">
        <v>28</v>
      </c>
      <c r="C1214" s="1">
        <v>12</v>
      </c>
      <c r="D1214" s="1" t="s">
        <v>16</v>
      </c>
      <c r="E1214" s="5" t="str">
        <f>IF(Table13[[#This Row],[Pre or Post]]="Pre",IF(IF(Table13[[#This Row],[Response]]="Male",0,1)+IF(Table13[[#This Row],[Response]]="Female",0,1)=2,E1213,Table13[[#This Row],[Response]]),"")</f>
        <v/>
      </c>
      <c r="F1214" s="1">
        <v>4</v>
      </c>
      <c r="G1214" s="1">
        <v>2</v>
      </c>
      <c r="H1214" s="2" t="s">
        <v>8</v>
      </c>
      <c r="I121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15" spans="1:11">
      <c r="A1215" s="2" t="s">
        <v>24</v>
      </c>
      <c r="B1215" s="2" t="s">
        <v>28</v>
      </c>
      <c r="C1215" s="1">
        <v>12</v>
      </c>
      <c r="D1215" s="1" t="s">
        <v>16</v>
      </c>
      <c r="E1215" s="5" t="str">
        <f>IF(Table13[[#This Row],[Pre or Post]]="Pre",IF(IF(Table13[[#This Row],[Response]]="Male",0,1)+IF(Table13[[#This Row],[Response]]="Female",0,1)=2,E1214,Table13[[#This Row],[Response]]),"")</f>
        <v/>
      </c>
      <c r="F1215" s="1">
        <v>5</v>
      </c>
      <c r="G1215" s="1">
        <v>3</v>
      </c>
      <c r="H1215" s="2" t="s">
        <v>8</v>
      </c>
      <c r="I121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16" spans="1:11">
      <c r="A1216" s="2" t="s">
        <v>24</v>
      </c>
      <c r="B1216" s="2" t="s">
        <v>28</v>
      </c>
      <c r="C1216" s="1">
        <v>12</v>
      </c>
      <c r="D1216" s="1" t="s">
        <v>16</v>
      </c>
      <c r="E1216" s="5" t="str">
        <f>IF(Table13[[#This Row],[Pre or Post]]="Pre",IF(IF(Table13[[#This Row],[Response]]="Male",0,1)+IF(Table13[[#This Row],[Response]]="Female",0,1)=2,E1215,Table13[[#This Row],[Response]]),"")</f>
        <v/>
      </c>
      <c r="F1216" s="1">
        <v>6</v>
      </c>
      <c r="G1216" s="1">
        <v>2</v>
      </c>
      <c r="H1216" s="2" t="s">
        <v>8</v>
      </c>
      <c r="I121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17" spans="1:11">
      <c r="A1217" s="2" t="s">
        <v>24</v>
      </c>
      <c r="B1217" s="2" t="s">
        <v>28</v>
      </c>
      <c r="C1217" s="1">
        <v>12</v>
      </c>
      <c r="D1217" s="1" t="s">
        <v>16</v>
      </c>
      <c r="E1217" s="5" t="str">
        <f>IF(Table13[[#This Row],[Pre or Post]]="Pre",IF(IF(Table13[[#This Row],[Response]]="Male",0,1)+IF(Table13[[#This Row],[Response]]="Female",0,1)=2,E1216,Table13[[#This Row],[Response]]),"")</f>
        <v/>
      </c>
      <c r="F1217" s="1">
        <v>7</v>
      </c>
      <c r="G1217" s="1">
        <v>2</v>
      </c>
      <c r="H1217" s="2" t="s">
        <v>8</v>
      </c>
      <c r="I121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18" spans="1:11">
      <c r="A1218" s="2" t="s">
        <v>24</v>
      </c>
      <c r="B1218" s="2" t="s">
        <v>28</v>
      </c>
      <c r="C1218" s="1">
        <v>12</v>
      </c>
      <c r="D1218" s="1" t="s">
        <v>16</v>
      </c>
      <c r="E1218" s="5" t="str">
        <f>IF(Table13[[#This Row],[Pre or Post]]="Pre",IF(IF(Table13[[#This Row],[Response]]="Male",0,1)+IF(Table13[[#This Row],[Response]]="Female",0,1)=2,E1217,Table13[[#This Row],[Response]]),"")</f>
        <v/>
      </c>
      <c r="F1218" s="1">
        <v>8</v>
      </c>
      <c r="G1218" s="1" t="s">
        <v>9</v>
      </c>
      <c r="H1218" s="2" t="s">
        <v>8</v>
      </c>
      <c r="I121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19" spans="1:11">
      <c r="A1219" s="2" t="s">
        <v>24</v>
      </c>
      <c r="B1219" s="2" t="s">
        <v>28</v>
      </c>
      <c r="C1219" s="1">
        <v>12</v>
      </c>
      <c r="D1219" s="1" t="s">
        <v>16</v>
      </c>
      <c r="E1219" s="5" t="str">
        <f>IF(Table13[[#This Row],[Pre or Post]]="Pre",IF(IF(Table13[[#This Row],[Response]]="Male",0,1)+IF(Table13[[#This Row],[Response]]="Female",0,1)=2,E1218,Table13[[#This Row],[Response]]),"")</f>
        <v/>
      </c>
      <c r="F1219" s="1">
        <v>9</v>
      </c>
      <c r="G1219" s="1" t="s">
        <v>17</v>
      </c>
      <c r="H1219" s="2" t="s">
        <v>8</v>
      </c>
      <c r="I121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20" spans="1:11">
      <c r="A1220" s="2" t="s">
        <v>24</v>
      </c>
      <c r="B1220" s="2" t="s">
        <v>28</v>
      </c>
      <c r="C1220" s="1">
        <v>12</v>
      </c>
      <c r="D1220" s="1" t="s">
        <v>16</v>
      </c>
      <c r="E1220" s="5" t="str">
        <f>IF(Table13[[#This Row],[Pre or Post]]="Pre",IF(IF(Table13[[#This Row],[Response]]="Male",0,1)+IF(Table13[[#This Row],[Response]]="Female",0,1)=2,E1219,Table13[[#This Row],[Response]]),"")</f>
        <v/>
      </c>
      <c r="F1220" s="1">
        <v>10</v>
      </c>
      <c r="G1220" s="1" t="s">
        <v>29</v>
      </c>
      <c r="H1220" s="2" t="s">
        <v>8</v>
      </c>
      <c r="I122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21" spans="1:11">
      <c r="A1221" s="2" t="s">
        <v>24</v>
      </c>
      <c r="B1221" s="2" t="s">
        <v>28</v>
      </c>
      <c r="C1221" s="1">
        <v>12</v>
      </c>
      <c r="D1221" s="1" t="s">
        <v>16</v>
      </c>
      <c r="E1221" s="5" t="str">
        <f>IF(Table13[[#This Row],[Pre or Post]]="Pre",IF(IF(Table13[[#This Row],[Response]]="Male",0,1)+IF(Table13[[#This Row],[Response]]="Female",0,1)=2,E1220,Table13[[#This Row],[Response]]),"")</f>
        <v/>
      </c>
      <c r="F1221" s="1">
        <v>11</v>
      </c>
      <c r="G1221" s="1" t="s">
        <v>8</v>
      </c>
      <c r="H1221" s="2" t="s">
        <v>8</v>
      </c>
      <c r="I122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22" spans="1:11">
      <c r="A1222" s="2" t="s">
        <v>24</v>
      </c>
      <c r="B1222" s="2" t="s">
        <v>28</v>
      </c>
      <c r="C1222" s="1">
        <v>13</v>
      </c>
      <c r="D1222" s="1" t="s">
        <v>16</v>
      </c>
      <c r="E1222" s="5" t="str">
        <f>IF(Table13[[#This Row],[Pre or Post]]="Pre",IF(IF(Table13[[#This Row],[Response]]="Male",0,1)+IF(Table13[[#This Row],[Response]]="Female",0,1)=2,E1221,Table13[[#This Row],[Response]]),"")</f>
        <v/>
      </c>
      <c r="F1222" s="1">
        <v>2</v>
      </c>
      <c r="G1222" s="1">
        <v>3.5</v>
      </c>
      <c r="H1222" s="2" t="s">
        <v>8</v>
      </c>
      <c r="I1222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23" spans="1:11">
      <c r="A1223" s="2" t="s">
        <v>24</v>
      </c>
      <c r="B1223" s="2" t="s">
        <v>28</v>
      </c>
      <c r="C1223" s="1">
        <v>13</v>
      </c>
      <c r="D1223" s="1" t="s">
        <v>16</v>
      </c>
      <c r="E1223" s="5" t="str">
        <f>IF(Table13[[#This Row],[Pre or Post]]="Pre",IF(IF(Table13[[#This Row],[Response]]="Male",0,1)+IF(Table13[[#This Row],[Response]]="Female",0,1)=2,E1222,Table13[[#This Row],[Response]]),"")</f>
        <v/>
      </c>
      <c r="F1223" s="1">
        <v>3</v>
      </c>
      <c r="G1223" s="1">
        <v>3.5</v>
      </c>
      <c r="H1223" s="2" t="s">
        <v>8</v>
      </c>
      <c r="I1223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24" spans="1:11">
      <c r="A1224" s="2" t="s">
        <v>24</v>
      </c>
      <c r="B1224" s="2" t="s">
        <v>28</v>
      </c>
      <c r="C1224" s="1">
        <v>13</v>
      </c>
      <c r="D1224" s="1" t="s">
        <v>16</v>
      </c>
      <c r="E1224" s="5" t="str">
        <f>IF(Table13[[#This Row],[Pre or Post]]="Pre",IF(IF(Table13[[#This Row],[Response]]="Male",0,1)+IF(Table13[[#This Row],[Response]]="Female",0,1)=2,E1223,Table13[[#This Row],[Response]]),"")</f>
        <v/>
      </c>
      <c r="F1224" s="1">
        <v>4</v>
      </c>
      <c r="G1224" s="1">
        <v>3</v>
      </c>
      <c r="H1224" s="2" t="s">
        <v>8</v>
      </c>
      <c r="I1224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25" spans="1:11">
      <c r="A1225" s="2" t="s">
        <v>24</v>
      </c>
      <c r="B1225" s="2" t="s">
        <v>28</v>
      </c>
      <c r="C1225" s="1">
        <v>13</v>
      </c>
      <c r="D1225" s="1" t="s">
        <v>16</v>
      </c>
      <c r="E1225" s="5" t="str">
        <f>IF(Table13[[#This Row],[Pre or Post]]="Pre",IF(IF(Table13[[#This Row],[Response]]="Male",0,1)+IF(Table13[[#This Row],[Response]]="Female",0,1)=2,E1224,Table13[[#This Row],[Response]]),"")</f>
        <v/>
      </c>
      <c r="F1225" s="1">
        <v>5</v>
      </c>
      <c r="G1225" s="1">
        <v>4</v>
      </c>
      <c r="H1225" s="2" t="s">
        <v>8</v>
      </c>
      <c r="I1225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26" spans="1:11">
      <c r="A1226" s="2" t="s">
        <v>24</v>
      </c>
      <c r="B1226" s="2" t="s">
        <v>28</v>
      </c>
      <c r="C1226" s="1">
        <v>13</v>
      </c>
      <c r="D1226" s="1" t="s">
        <v>16</v>
      </c>
      <c r="E1226" s="5" t="str">
        <f>IF(Table13[[#This Row],[Pre or Post]]="Pre",IF(IF(Table13[[#This Row],[Response]]="Male",0,1)+IF(Table13[[#This Row],[Response]]="Female",0,1)=2,E1225,Table13[[#This Row],[Response]]),"")</f>
        <v/>
      </c>
      <c r="F1226" s="1">
        <v>6</v>
      </c>
      <c r="G1226" s="1">
        <v>3</v>
      </c>
      <c r="H1226" s="2" t="s">
        <v>8</v>
      </c>
      <c r="I1226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27" spans="1:11">
      <c r="A1227" s="2" t="s">
        <v>24</v>
      </c>
      <c r="B1227" s="2" t="s">
        <v>28</v>
      </c>
      <c r="C1227" s="1">
        <v>13</v>
      </c>
      <c r="D1227" s="1" t="s">
        <v>16</v>
      </c>
      <c r="E1227" s="5" t="str">
        <f>IF(Table13[[#This Row],[Pre or Post]]="Pre",IF(IF(Table13[[#This Row],[Response]]="Male",0,1)+IF(Table13[[#This Row],[Response]]="Female",0,1)=2,E1226,Table13[[#This Row],[Response]]),"")</f>
        <v/>
      </c>
      <c r="F1227" s="1">
        <v>7</v>
      </c>
      <c r="G1227" s="1">
        <v>4</v>
      </c>
      <c r="H1227" s="2" t="s">
        <v>8</v>
      </c>
      <c r="I1227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28" spans="1:11">
      <c r="A1228" s="2" t="s">
        <v>24</v>
      </c>
      <c r="B1228" s="2" t="s">
        <v>28</v>
      </c>
      <c r="C1228" s="1">
        <v>13</v>
      </c>
      <c r="D1228" s="1" t="s">
        <v>16</v>
      </c>
      <c r="E1228" s="5" t="str">
        <f>IF(Table13[[#This Row],[Pre or Post]]="Pre",IF(IF(Table13[[#This Row],[Response]]="Male",0,1)+IF(Table13[[#This Row],[Response]]="Female",0,1)=2,E1227,Table13[[#This Row],[Response]]),"")</f>
        <v/>
      </c>
      <c r="F1228" s="1">
        <v>8</v>
      </c>
      <c r="G1228" s="1" t="s">
        <v>8</v>
      </c>
      <c r="H1228" s="2" t="s">
        <v>8</v>
      </c>
      <c r="I1228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29" spans="1:11">
      <c r="A1229" s="2" t="s">
        <v>24</v>
      </c>
      <c r="B1229" s="2" t="s">
        <v>28</v>
      </c>
      <c r="C1229" s="1">
        <v>13</v>
      </c>
      <c r="D1229" s="1" t="s">
        <v>16</v>
      </c>
      <c r="E1229" s="5" t="str">
        <f>IF(Table13[[#This Row],[Pre or Post]]="Pre",IF(IF(Table13[[#This Row],[Response]]="Male",0,1)+IF(Table13[[#This Row],[Response]]="Female",0,1)=2,E1228,Table13[[#This Row],[Response]]),"")</f>
        <v/>
      </c>
      <c r="F1229" s="1">
        <v>9</v>
      </c>
      <c r="G1229" s="1" t="s">
        <v>17</v>
      </c>
      <c r="H1229" s="2" t="s">
        <v>8</v>
      </c>
      <c r="I1229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30" spans="1:11">
      <c r="A1230" s="2" t="s">
        <v>24</v>
      </c>
      <c r="B1230" s="2" t="s">
        <v>28</v>
      </c>
      <c r="C1230" s="1">
        <v>13</v>
      </c>
      <c r="D1230" s="1" t="s">
        <v>16</v>
      </c>
      <c r="E1230" s="5" t="str">
        <f>IF(Table13[[#This Row],[Pre or Post]]="Pre",IF(IF(Table13[[#This Row],[Response]]="Male",0,1)+IF(Table13[[#This Row],[Response]]="Female",0,1)=2,E1229,Table13[[#This Row],[Response]]),"")</f>
        <v/>
      </c>
      <c r="F1230" s="1">
        <v>10</v>
      </c>
      <c r="G1230" s="1" t="s">
        <v>19</v>
      </c>
      <c r="H1230" s="2" t="s">
        <v>8</v>
      </c>
      <c r="I1230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31" spans="1:11">
      <c r="A1231" s="2" t="s">
        <v>24</v>
      </c>
      <c r="B1231" s="2" t="s">
        <v>28</v>
      </c>
      <c r="C1231" s="1">
        <v>13</v>
      </c>
      <c r="D1231" s="1" t="s">
        <v>16</v>
      </c>
      <c r="E1231" s="5" t="str">
        <f>IF(Table13[[#This Row],[Pre or Post]]="Pre",IF(IF(Table13[[#This Row],[Response]]="Male",0,1)+IF(Table13[[#This Row],[Response]]="Female",0,1)=2,E1230,Table13[[#This Row],[Response]]),"")</f>
        <v/>
      </c>
      <c r="F1231" s="1">
        <v>11</v>
      </c>
      <c r="G1231" s="1"/>
      <c r="H1231" s="2" t="s">
        <v>8</v>
      </c>
      <c r="I1231" s="5" t="str">
        <f>IF(Table13[[#This Row],[Session]]="Alpha","Girls",IF(Table13[[#This Row],[Session]]="Beta","Boys",IF(Table13[[#This Row],[Session]]="Gamma","Boys",IF(Table13[[#This Row],[Session]]="Delta","Boys","Mixed"))))</f>
        <v>Mixed</v>
      </c>
      <c r="J12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1:30PM</v>
      </c>
      <c r="K12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Rosemary</v>
      </c>
    </row>
    <row r="1232" spans="1:11">
      <c r="A1232" s="2" t="s">
        <v>24</v>
      </c>
      <c r="B1232" s="2" t="s">
        <v>30</v>
      </c>
      <c r="C1232" s="1">
        <v>1</v>
      </c>
      <c r="D1232" s="2" t="s">
        <v>16</v>
      </c>
      <c r="E1232" s="6" t="str">
        <f>IF(Table13[[#This Row],[Pre or Post]]="Pre",IF(IF(Table13[[#This Row],[Response]]="Male",0,1)+IF(Table13[[#This Row],[Response]]="Female",0,1)=2,E1231,Table13[[#This Row],[Response]]),"")</f>
        <v/>
      </c>
      <c r="F1232" s="1">
        <v>2</v>
      </c>
      <c r="G1232" s="2">
        <v>4</v>
      </c>
      <c r="H1232" s="2" t="s">
        <v>9</v>
      </c>
      <c r="I123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33" spans="1:11">
      <c r="A1233" s="2" t="s">
        <v>24</v>
      </c>
      <c r="B1233" s="2" t="s">
        <v>30</v>
      </c>
      <c r="C1233" s="1">
        <v>1</v>
      </c>
      <c r="D1233" s="2" t="s">
        <v>16</v>
      </c>
      <c r="E1233" s="6" t="str">
        <f>IF(Table13[[#This Row],[Pre or Post]]="Pre",IF(IF(Table13[[#This Row],[Response]]="Male",0,1)+IF(Table13[[#This Row],[Response]]="Female",0,1)=2,E1232,Table13[[#This Row],[Response]]),"")</f>
        <v/>
      </c>
      <c r="F1233" s="1">
        <v>3</v>
      </c>
      <c r="G1233" s="1">
        <v>3</v>
      </c>
      <c r="H1233" s="2" t="s">
        <v>9</v>
      </c>
      <c r="I123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34" spans="1:11">
      <c r="A1234" s="2" t="s">
        <v>24</v>
      </c>
      <c r="B1234" s="2" t="s">
        <v>30</v>
      </c>
      <c r="C1234" s="1">
        <v>1</v>
      </c>
      <c r="D1234" s="2" t="s">
        <v>16</v>
      </c>
      <c r="E1234" s="6" t="str">
        <f>IF(Table13[[#This Row],[Pre or Post]]="Pre",IF(IF(Table13[[#This Row],[Response]]="Male",0,1)+IF(Table13[[#This Row],[Response]]="Female",0,1)=2,E1233,Table13[[#This Row],[Response]]),"")</f>
        <v/>
      </c>
      <c r="F1234" s="1">
        <v>4</v>
      </c>
      <c r="G1234" s="1">
        <v>3</v>
      </c>
      <c r="H1234" s="2" t="s">
        <v>9</v>
      </c>
      <c r="I123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35" spans="1:11">
      <c r="A1235" s="2" t="s">
        <v>24</v>
      </c>
      <c r="B1235" s="2" t="s">
        <v>30</v>
      </c>
      <c r="C1235" s="1">
        <v>1</v>
      </c>
      <c r="D1235" s="2" t="s">
        <v>16</v>
      </c>
      <c r="E1235" s="6" t="str">
        <f>IF(Table13[[#This Row],[Pre or Post]]="Pre",IF(IF(Table13[[#This Row],[Response]]="Male",0,1)+IF(Table13[[#This Row],[Response]]="Female",0,1)=2,E1234,Table13[[#This Row],[Response]]),"")</f>
        <v/>
      </c>
      <c r="F1235" s="1">
        <v>12</v>
      </c>
      <c r="G1235" s="1">
        <v>2</v>
      </c>
      <c r="H1235" s="2" t="s">
        <v>9</v>
      </c>
      <c r="I123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36" spans="1:11">
      <c r="A1236" s="2" t="s">
        <v>24</v>
      </c>
      <c r="B1236" s="2" t="s">
        <v>30</v>
      </c>
      <c r="C1236" s="1">
        <v>1</v>
      </c>
      <c r="D1236" s="2" t="s">
        <v>16</v>
      </c>
      <c r="E1236" s="6" t="str">
        <f>IF(Table13[[#This Row],[Pre or Post]]="Pre",IF(IF(Table13[[#This Row],[Response]]="Male",0,1)+IF(Table13[[#This Row],[Response]]="Female",0,1)=2,E1235,Table13[[#This Row],[Response]]),"")</f>
        <v/>
      </c>
      <c r="F1236" s="1">
        <v>13</v>
      </c>
      <c r="G1236" s="1">
        <v>3</v>
      </c>
      <c r="H1236" s="2" t="s">
        <v>9</v>
      </c>
      <c r="I123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37" spans="1:11">
      <c r="A1237" s="2" t="s">
        <v>24</v>
      </c>
      <c r="B1237" s="2" t="s">
        <v>30</v>
      </c>
      <c r="C1237" s="1">
        <v>1</v>
      </c>
      <c r="D1237" s="2" t="s">
        <v>16</v>
      </c>
      <c r="E1237" s="6" t="str">
        <f>IF(Table13[[#This Row],[Pre or Post]]="Pre",IF(IF(Table13[[#This Row],[Response]]="Male",0,1)+IF(Table13[[#This Row],[Response]]="Female",0,1)=2,E1236,Table13[[#This Row],[Response]]),"")</f>
        <v/>
      </c>
      <c r="F1237" s="1">
        <v>5</v>
      </c>
      <c r="G1237" s="1">
        <v>4</v>
      </c>
      <c r="H1237" s="2" t="s">
        <v>9</v>
      </c>
      <c r="I123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38" spans="1:11">
      <c r="A1238" s="2" t="s">
        <v>24</v>
      </c>
      <c r="B1238" s="2" t="s">
        <v>30</v>
      </c>
      <c r="C1238" s="1">
        <v>1</v>
      </c>
      <c r="D1238" s="2" t="s">
        <v>16</v>
      </c>
      <c r="E1238" s="6" t="str">
        <f>IF(Table13[[#This Row],[Pre or Post]]="Pre",IF(IF(Table13[[#This Row],[Response]]="Male",0,1)+IF(Table13[[#This Row],[Response]]="Female",0,1)=2,E1237,Table13[[#This Row],[Response]]),"")</f>
        <v/>
      </c>
      <c r="F1238" s="1">
        <v>6</v>
      </c>
      <c r="G1238" s="1">
        <v>5</v>
      </c>
      <c r="H1238" s="2" t="s">
        <v>9</v>
      </c>
      <c r="I123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39" spans="1:11">
      <c r="A1239" s="2" t="s">
        <v>24</v>
      </c>
      <c r="B1239" s="2" t="s">
        <v>30</v>
      </c>
      <c r="C1239" s="1">
        <v>1</v>
      </c>
      <c r="D1239" s="2" t="s">
        <v>16</v>
      </c>
      <c r="E1239" s="6" t="str">
        <f>IF(Table13[[#This Row],[Pre or Post]]="Pre",IF(IF(Table13[[#This Row],[Response]]="Male",0,1)+IF(Table13[[#This Row],[Response]]="Female",0,1)=2,E1238,Table13[[#This Row],[Response]]),"")</f>
        <v/>
      </c>
      <c r="F1239" s="1">
        <v>15</v>
      </c>
      <c r="G1239" s="1">
        <v>4</v>
      </c>
      <c r="H1239" s="2" t="s">
        <v>9</v>
      </c>
      <c r="I123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40" spans="1:11">
      <c r="A1240" s="2" t="s">
        <v>24</v>
      </c>
      <c r="B1240" s="2" t="s">
        <v>30</v>
      </c>
      <c r="C1240" s="1">
        <v>1</v>
      </c>
      <c r="D1240" s="2" t="s">
        <v>16</v>
      </c>
      <c r="E1240" s="6" t="str">
        <f>IF(Table13[[#This Row],[Pre or Post]]="Pre",IF(IF(Table13[[#This Row],[Response]]="Male",0,1)+IF(Table13[[#This Row],[Response]]="Female",0,1)=2,E1239,Table13[[#This Row],[Response]]),"")</f>
        <v/>
      </c>
      <c r="F1240" s="1">
        <v>14</v>
      </c>
      <c r="G1240" s="1">
        <v>5</v>
      </c>
      <c r="H1240" s="2" t="s">
        <v>9</v>
      </c>
      <c r="I124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41" spans="1:11">
      <c r="A1241" s="2" t="s">
        <v>24</v>
      </c>
      <c r="B1241" s="2" t="s">
        <v>30</v>
      </c>
      <c r="C1241" s="1">
        <v>1</v>
      </c>
      <c r="D1241" s="2" t="s">
        <v>16</v>
      </c>
      <c r="E1241" s="6" t="str">
        <f>IF(Table13[[#This Row],[Pre or Post]]="Pre",IF(IF(Table13[[#This Row],[Response]]="Male",0,1)+IF(Table13[[#This Row],[Response]]="Female",0,1)=2,E1240,Table13[[#This Row],[Response]]),"")</f>
        <v/>
      </c>
      <c r="F1241" s="1">
        <v>7</v>
      </c>
      <c r="G1241" s="1">
        <v>3</v>
      </c>
      <c r="H1241" s="2" t="s">
        <v>9</v>
      </c>
      <c r="I124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42" spans="1:11">
      <c r="A1242" s="2" t="s">
        <v>24</v>
      </c>
      <c r="B1242" s="2" t="s">
        <v>30</v>
      </c>
      <c r="C1242" s="1">
        <v>1</v>
      </c>
      <c r="D1242" s="2" t="s">
        <v>16</v>
      </c>
      <c r="E1242" s="6" t="str">
        <f>IF(Table13[[#This Row],[Pre or Post]]="Pre",IF(IF(Table13[[#This Row],[Response]]="Male",0,1)+IF(Table13[[#This Row],[Response]]="Female",0,1)=2,E1241,Table13[[#This Row],[Response]]),"")</f>
        <v/>
      </c>
      <c r="F1242" s="1">
        <v>16</v>
      </c>
      <c r="G1242" s="1">
        <v>4</v>
      </c>
      <c r="H1242" s="2" t="s">
        <v>9</v>
      </c>
      <c r="I124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43" spans="1:11">
      <c r="A1243" s="2" t="s">
        <v>24</v>
      </c>
      <c r="B1243" s="2" t="s">
        <v>30</v>
      </c>
      <c r="C1243" s="1">
        <v>1</v>
      </c>
      <c r="D1243" s="2" t="s">
        <v>16</v>
      </c>
      <c r="E1243" s="6" t="str">
        <f>IF(Table13[[#This Row],[Pre or Post]]="Pre",IF(IF(Table13[[#This Row],[Response]]="Male",0,1)+IF(Table13[[#This Row],[Response]]="Female",0,1)=2,E1242,Table13[[#This Row],[Response]]),"")</f>
        <v/>
      </c>
      <c r="F1243" s="1">
        <v>17</v>
      </c>
      <c r="G1243" s="1">
        <v>5</v>
      </c>
      <c r="H1243" s="2" t="s">
        <v>9</v>
      </c>
      <c r="I124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44" spans="1:11">
      <c r="A1244" s="2" t="s">
        <v>24</v>
      </c>
      <c r="B1244" s="2" t="s">
        <v>30</v>
      </c>
      <c r="C1244" s="1">
        <v>1</v>
      </c>
      <c r="D1244" s="2" t="s">
        <v>16</v>
      </c>
      <c r="E1244" s="6" t="str">
        <f>IF(Table13[[#This Row],[Pre or Post]]="Pre",IF(IF(Table13[[#This Row],[Response]]="Male",0,1)+IF(Table13[[#This Row],[Response]]="Female",0,1)=2,E1243,Table13[[#This Row],[Response]]),"")</f>
        <v/>
      </c>
      <c r="F1244" s="1">
        <v>8</v>
      </c>
      <c r="G1244" s="1" t="s">
        <v>8</v>
      </c>
      <c r="H1244" s="2" t="s">
        <v>9</v>
      </c>
      <c r="I124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45" spans="1:11">
      <c r="A1245" s="2" t="s">
        <v>24</v>
      </c>
      <c r="B1245" s="2" t="s">
        <v>30</v>
      </c>
      <c r="C1245" s="1">
        <v>1</v>
      </c>
      <c r="D1245" s="2" t="s">
        <v>16</v>
      </c>
      <c r="E1245" s="6" t="str">
        <f>IF(Table13[[#This Row],[Pre or Post]]="Pre",IF(IF(Table13[[#This Row],[Response]]="Male",0,1)+IF(Table13[[#This Row],[Response]]="Female",0,1)=2,E1244,Table13[[#This Row],[Response]]),"")</f>
        <v/>
      </c>
      <c r="F1245" s="1">
        <v>9</v>
      </c>
      <c r="G1245" s="1"/>
      <c r="H1245" s="2" t="s">
        <v>9</v>
      </c>
      <c r="I124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46" spans="1:11">
      <c r="A1246" s="2" t="s">
        <v>24</v>
      </c>
      <c r="B1246" s="2" t="s">
        <v>30</v>
      </c>
      <c r="C1246" s="1">
        <v>1</v>
      </c>
      <c r="D1246" s="2" t="s">
        <v>16</v>
      </c>
      <c r="E1246" s="6" t="str">
        <f>IF(Table13[[#This Row],[Pre or Post]]="Pre",IF(IF(Table13[[#This Row],[Response]]="Male",0,1)+IF(Table13[[#This Row],[Response]]="Female",0,1)=2,E1245,Table13[[#This Row],[Response]]),"")</f>
        <v/>
      </c>
      <c r="F1246" s="1">
        <v>10</v>
      </c>
      <c r="G1246" s="1" t="s">
        <v>18</v>
      </c>
      <c r="H1246" s="2" t="s">
        <v>9</v>
      </c>
      <c r="I124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47" spans="1:11">
      <c r="A1247" s="2" t="s">
        <v>24</v>
      </c>
      <c r="B1247" s="2" t="s">
        <v>30</v>
      </c>
      <c r="C1247" s="1">
        <v>2</v>
      </c>
      <c r="D1247" s="2" t="s">
        <v>16</v>
      </c>
      <c r="E1247" s="6" t="str">
        <f>IF(Table13[[#This Row],[Pre or Post]]="Pre",IF(IF(Table13[[#This Row],[Response]]="Male",0,1)+IF(Table13[[#This Row],[Response]]="Female",0,1)=2,E1246,Table13[[#This Row],[Response]]),"")</f>
        <v/>
      </c>
      <c r="F1247" s="1">
        <v>2</v>
      </c>
      <c r="G1247" s="1">
        <v>4</v>
      </c>
      <c r="H1247" s="2" t="s">
        <v>9</v>
      </c>
      <c r="I124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48" spans="1:11">
      <c r="A1248" s="2" t="s">
        <v>24</v>
      </c>
      <c r="B1248" s="2" t="s">
        <v>30</v>
      </c>
      <c r="C1248" s="1">
        <v>2</v>
      </c>
      <c r="D1248" s="2" t="s">
        <v>16</v>
      </c>
      <c r="E1248" s="6" t="str">
        <f>IF(Table13[[#This Row],[Pre or Post]]="Pre",IF(IF(Table13[[#This Row],[Response]]="Male",0,1)+IF(Table13[[#This Row],[Response]]="Female",0,1)=2,E1247,Table13[[#This Row],[Response]]),"")</f>
        <v/>
      </c>
      <c r="F1248" s="1">
        <v>3</v>
      </c>
      <c r="G1248" s="1">
        <v>3</v>
      </c>
      <c r="H1248" s="2" t="s">
        <v>9</v>
      </c>
      <c r="I124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49" spans="1:11">
      <c r="A1249" s="2" t="s">
        <v>24</v>
      </c>
      <c r="B1249" s="2" t="s">
        <v>30</v>
      </c>
      <c r="C1249" s="1">
        <v>2</v>
      </c>
      <c r="D1249" s="2" t="s">
        <v>16</v>
      </c>
      <c r="E1249" s="6" t="str">
        <f>IF(Table13[[#This Row],[Pre or Post]]="Pre",IF(IF(Table13[[#This Row],[Response]]="Male",0,1)+IF(Table13[[#This Row],[Response]]="Female",0,1)=2,E1248,Table13[[#This Row],[Response]]),"")</f>
        <v/>
      </c>
      <c r="F1249" s="1">
        <v>4</v>
      </c>
      <c r="G1249" s="1">
        <v>4</v>
      </c>
      <c r="H1249" s="2" t="s">
        <v>9</v>
      </c>
      <c r="I124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50" spans="1:11">
      <c r="A1250" s="2" t="s">
        <v>24</v>
      </c>
      <c r="B1250" s="2" t="s">
        <v>30</v>
      </c>
      <c r="C1250" s="1">
        <v>2</v>
      </c>
      <c r="D1250" s="2" t="s">
        <v>16</v>
      </c>
      <c r="E1250" s="6" t="str">
        <f>IF(Table13[[#This Row],[Pre or Post]]="Pre",IF(IF(Table13[[#This Row],[Response]]="Male",0,1)+IF(Table13[[#This Row],[Response]]="Female",0,1)=2,E1249,Table13[[#This Row],[Response]]),"")</f>
        <v/>
      </c>
      <c r="F1250" s="1">
        <v>12</v>
      </c>
      <c r="G1250" s="1">
        <v>2</v>
      </c>
      <c r="H1250" s="2" t="s">
        <v>9</v>
      </c>
      <c r="I125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51" spans="1:11">
      <c r="A1251" s="2" t="s">
        <v>24</v>
      </c>
      <c r="B1251" s="2" t="s">
        <v>30</v>
      </c>
      <c r="C1251" s="1">
        <v>2</v>
      </c>
      <c r="D1251" s="2" t="s">
        <v>16</v>
      </c>
      <c r="E1251" s="6" t="str">
        <f>IF(Table13[[#This Row],[Pre or Post]]="Pre",IF(IF(Table13[[#This Row],[Response]]="Male",0,1)+IF(Table13[[#This Row],[Response]]="Female",0,1)=2,E1250,Table13[[#This Row],[Response]]),"")</f>
        <v/>
      </c>
      <c r="F1251" s="1">
        <v>13</v>
      </c>
      <c r="G1251" s="1">
        <v>4</v>
      </c>
      <c r="H1251" s="2" t="s">
        <v>9</v>
      </c>
      <c r="I125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52" spans="1:11">
      <c r="A1252" s="2" t="s">
        <v>24</v>
      </c>
      <c r="B1252" s="2" t="s">
        <v>30</v>
      </c>
      <c r="C1252" s="1">
        <v>2</v>
      </c>
      <c r="D1252" s="2" t="s">
        <v>16</v>
      </c>
      <c r="E1252" s="6" t="str">
        <f>IF(Table13[[#This Row],[Pre or Post]]="Pre",IF(IF(Table13[[#This Row],[Response]]="Male",0,1)+IF(Table13[[#This Row],[Response]]="Female",0,1)=2,E1251,Table13[[#This Row],[Response]]),"")</f>
        <v/>
      </c>
      <c r="F1252" s="1">
        <v>5</v>
      </c>
      <c r="G1252" s="1">
        <v>5</v>
      </c>
      <c r="H1252" s="2" t="s">
        <v>9</v>
      </c>
      <c r="I125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53" spans="1:11">
      <c r="A1253" s="2" t="s">
        <v>24</v>
      </c>
      <c r="B1253" s="2" t="s">
        <v>30</v>
      </c>
      <c r="C1253" s="1">
        <v>2</v>
      </c>
      <c r="D1253" s="2" t="s">
        <v>16</v>
      </c>
      <c r="E1253" s="6" t="str">
        <f>IF(Table13[[#This Row],[Pre or Post]]="Pre",IF(IF(Table13[[#This Row],[Response]]="Male",0,1)+IF(Table13[[#This Row],[Response]]="Female",0,1)=2,E1252,Table13[[#This Row],[Response]]),"")</f>
        <v/>
      </c>
      <c r="F1253" s="1">
        <v>6</v>
      </c>
      <c r="G1253" s="1">
        <v>5</v>
      </c>
      <c r="H1253" s="2" t="s">
        <v>9</v>
      </c>
      <c r="I125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54" spans="1:11">
      <c r="A1254" s="2" t="s">
        <v>24</v>
      </c>
      <c r="B1254" s="2" t="s">
        <v>30</v>
      </c>
      <c r="C1254" s="1">
        <v>2</v>
      </c>
      <c r="D1254" s="2" t="s">
        <v>16</v>
      </c>
      <c r="E1254" s="6" t="str">
        <f>IF(Table13[[#This Row],[Pre or Post]]="Pre",IF(IF(Table13[[#This Row],[Response]]="Male",0,1)+IF(Table13[[#This Row],[Response]]="Female",0,1)=2,E1253,Table13[[#This Row],[Response]]),"")</f>
        <v/>
      </c>
      <c r="F1254" s="1">
        <v>15</v>
      </c>
      <c r="G1254" s="1">
        <v>3</v>
      </c>
      <c r="H1254" s="2" t="s">
        <v>9</v>
      </c>
      <c r="I125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55" spans="1:11">
      <c r="A1255" s="2" t="s">
        <v>24</v>
      </c>
      <c r="B1255" s="2" t="s">
        <v>30</v>
      </c>
      <c r="C1255" s="1">
        <v>2</v>
      </c>
      <c r="D1255" s="2" t="s">
        <v>16</v>
      </c>
      <c r="E1255" s="6" t="str">
        <f>IF(Table13[[#This Row],[Pre or Post]]="Pre",IF(IF(Table13[[#This Row],[Response]]="Male",0,1)+IF(Table13[[#This Row],[Response]]="Female",0,1)=2,E1254,Table13[[#This Row],[Response]]),"")</f>
        <v/>
      </c>
      <c r="F1255" s="1">
        <v>14</v>
      </c>
      <c r="G1255" s="1">
        <v>3</v>
      </c>
      <c r="H1255" s="2" t="s">
        <v>9</v>
      </c>
      <c r="I125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56" spans="1:11">
      <c r="A1256" s="2" t="s">
        <v>24</v>
      </c>
      <c r="B1256" s="2" t="s">
        <v>30</v>
      </c>
      <c r="C1256" s="1">
        <v>2</v>
      </c>
      <c r="D1256" s="2" t="s">
        <v>16</v>
      </c>
      <c r="E1256" s="6" t="str">
        <f>IF(Table13[[#This Row],[Pre or Post]]="Pre",IF(IF(Table13[[#This Row],[Response]]="Male",0,1)+IF(Table13[[#This Row],[Response]]="Female",0,1)=2,E1255,Table13[[#This Row],[Response]]),"")</f>
        <v/>
      </c>
      <c r="F1256" s="1">
        <v>7</v>
      </c>
      <c r="G1256" s="1">
        <v>4</v>
      </c>
      <c r="H1256" s="2" t="s">
        <v>9</v>
      </c>
      <c r="I125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57" spans="1:11">
      <c r="A1257" s="2" t="s">
        <v>24</v>
      </c>
      <c r="B1257" s="2" t="s">
        <v>30</v>
      </c>
      <c r="C1257" s="1">
        <v>2</v>
      </c>
      <c r="D1257" s="2" t="s">
        <v>16</v>
      </c>
      <c r="E1257" s="6" t="str">
        <f>IF(Table13[[#This Row],[Pre or Post]]="Pre",IF(IF(Table13[[#This Row],[Response]]="Male",0,1)+IF(Table13[[#This Row],[Response]]="Female",0,1)=2,E1256,Table13[[#This Row],[Response]]),"")</f>
        <v/>
      </c>
      <c r="F1257" s="1">
        <v>16</v>
      </c>
      <c r="G1257" s="1">
        <v>2</v>
      </c>
      <c r="H1257" s="2" t="s">
        <v>9</v>
      </c>
      <c r="I125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58" spans="1:11">
      <c r="A1258" s="2" t="s">
        <v>24</v>
      </c>
      <c r="B1258" s="2" t="s">
        <v>30</v>
      </c>
      <c r="C1258" s="1">
        <v>2</v>
      </c>
      <c r="D1258" s="2" t="s">
        <v>16</v>
      </c>
      <c r="E1258" s="6" t="str">
        <f>IF(Table13[[#This Row],[Pre or Post]]="Pre",IF(IF(Table13[[#This Row],[Response]]="Male",0,1)+IF(Table13[[#This Row],[Response]]="Female",0,1)=2,E1257,Table13[[#This Row],[Response]]),"")</f>
        <v/>
      </c>
      <c r="F1258" s="1">
        <v>17</v>
      </c>
      <c r="G1258" s="1">
        <v>5</v>
      </c>
      <c r="H1258" s="2" t="s">
        <v>9</v>
      </c>
      <c r="I125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59" spans="1:11">
      <c r="A1259" s="2" t="s">
        <v>24</v>
      </c>
      <c r="B1259" s="2" t="s">
        <v>30</v>
      </c>
      <c r="C1259" s="1">
        <v>2</v>
      </c>
      <c r="D1259" s="2" t="s">
        <v>16</v>
      </c>
      <c r="E1259" s="6" t="str">
        <f>IF(Table13[[#This Row],[Pre or Post]]="Pre",IF(IF(Table13[[#This Row],[Response]]="Male",0,1)+IF(Table13[[#This Row],[Response]]="Female",0,1)=2,E1258,Table13[[#This Row],[Response]]),"")</f>
        <v/>
      </c>
      <c r="F1259" s="1">
        <v>8</v>
      </c>
      <c r="G1259" s="1" t="s">
        <v>8</v>
      </c>
      <c r="H1259" s="2" t="s">
        <v>9</v>
      </c>
      <c r="I125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60" spans="1:11">
      <c r="A1260" s="2" t="s">
        <v>24</v>
      </c>
      <c r="B1260" s="2" t="s">
        <v>30</v>
      </c>
      <c r="C1260" s="1">
        <v>2</v>
      </c>
      <c r="D1260" s="2" t="s">
        <v>16</v>
      </c>
      <c r="E1260" s="6" t="str">
        <f>IF(Table13[[#This Row],[Pre or Post]]="Pre",IF(IF(Table13[[#This Row],[Response]]="Male",0,1)+IF(Table13[[#This Row],[Response]]="Female",0,1)=2,E1259,Table13[[#This Row],[Response]]),"")</f>
        <v/>
      </c>
      <c r="F1260" s="1">
        <v>9</v>
      </c>
      <c r="G1260" s="1" t="s">
        <v>17</v>
      </c>
      <c r="H1260" s="2" t="s">
        <v>9</v>
      </c>
      <c r="I126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61" spans="1:11">
      <c r="A1261" s="2" t="s">
        <v>24</v>
      </c>
      <c r="B1261" s="2" t="s">
        <v>30</v>
      </c>
      <c r="C1261" s="1">
        <v>2</v>
      </c>
      <c r="D1261" s="2" t="s">
        <v>16</v>
      </c>
      <c r="E1261" s="6" t="str">
        <f>IF(Table13[[#This Row],[Pre or Post]]="Pre",IF(IF(Table13[[#This Row],[Response]]="Male",0,1)+IF(Table13[[#This Row],[Response]]="Female",0,1)=2,E1260,Table13[[#This Row],[Response]]),"")</f>
        <v/>
      </c>
      <c r="F1261" s="1">
        <v>10</v>
      </c>
      <c r="G1261" s="1" t="s">
        <v>18</v>
      </c>
      <c r="H1261" s="2" t="s">
        <v>9</v>
      </c>
      <c r="I126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62" spans="1:11">
      <c r="A1262" s="2" t="s">
        <v>24</v>
      </c>
      <c r="B1262" s="2" t="s">
        <v>30</v>
      </c>
      <c r="C1262" s="1">
        <v>3</v>
      </c>
      <c r="D1262" s="2" t="s">
        <v>16</v>
      </c>
      <c r="E1262" s="6" t="str">
        <f>IF(Table13[[#This Row],[Pre or Post]]="Pre",IF(IF(Table13[[#This Row],[Response]]="Male",0,1)+IF(Table13[[#This Row],[Response]]="Female",0,1)=2,E1261,Table13[[#This Row],[Response]]),"")</f>
        <v/>
      </c>
      <c r="F1262" s="1">
        <v>2</v>
      </c>
      <c r="G1262" s="1">
        <v>2</v>
      </c>
      <c r="H1262" s="2" t="s">
        <v>9</v>
      </c>
      <c r="I126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63" spans="1:11">
      <c r="A1263" s="2" t="s">
        <v>24</v>
      </c>
      <c r="B1263" s="2" t="s">
        <v>30</v>
      </c>
      <c r="C1263" s="1">
        <v>3</v>
      </c>
      <c r="D1263" s="2" t="s">
        <v>16</v>
      </c>
      <c r="E1263" s="6" t="str">
        <f>IF(Table13[[#This Row],[Pre or Post]]="Pre",IF(IF(Table13[[#This Row],[Response]]="Male",0,1)+IF(Table13[[#This Row],[Response]]="Female",0,1)=2,E1262,Table13[[#This Row],[Response]]),"")</f>
        <v/>
      </c>
      <c r="F1263" s="1">
        <v>3</v>
      </c>
      <c r="G1263" s="1">
        <v>3</v>
      </c>
      <c r="H1263" s="2" t="s">
        <v>9</v>
      </c>
      <c r="I126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64" spans="1:11">
      <c r="A1264" s="2" t="s">
        <v>24</v>
      </c>
      <c r="B1264" s="2" t="s">
        <v>30</v>
      </c>
      <c r="C1264" s="1">
        <v>3</v>
      </c>
      <c r="D1264" s="2" t="s">
        <v>16</v>
      </c>
      <c r="E1264" s="6" t="str">
        <f>IF(Table13[[#This Row],[Pre or Post]]="Pre",IF(IF(Table13[[#This Row],[Response]]="Male",0,1)+IF(Table13[[#This Row],[Response]]="Female",0,1)=2,E1263,Table13[[#This Row],[Response]]),"")</f>
        <v/>
      </c>
      <c r="F1264" s="1">
        <v>4</v>
      </c>
      <c r="G1264" s="1">
        <v>2</v>
      </c>
      <c r="H1264" s="2" t="s">
        <v>9</v>
      </c>
      <c r="I126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65" spans="1:11">
      <c r="A1265" s="2" t="s">
        <v>24</v>
      </c>
      <c r="B1265" s="2" t="s">
        <v>30</v>
      </c>
      <c r="C1265" s="1">
        <v>3</v>
      </c>
      <c r="D1265" s="2" t="s">
        <v>16</v>
      </c>
      <c r="E1265" s="6" t="str">
        <f>IF(Table13[[#This Row],[Pre or Post]]="Pre",IF(IF(Table13[[#This Row],[Response]]="Male",0,1)+IF(Table13[[#This Row],[Response]]="Female",0,1)=2,E1264,Table13[[#This Row],[Response]]),"")</f>
        <v/>
      </c>
      <c r="F1265" s="1">
        <v>12</v>
      </c>
      <c r="G1265" s="1">
        <v>2</v>
      </c>
      <c r="H1265" s="2" t="s">
        <v>9</v>
      </c>
      <c r="I126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66" spans="1:11">
      <c r="A1266" s="2" t="s">
        <v>24</v>
      </c>
      <c r="B1266" s="2" t="s">
        <v>30</v>
      </c>
      <c r="C1266" s="1">
        <v>3</v>
      </c>
      <c r="D1266" s="2" t="s">
        <v>16</v>
      </c>
      <c r="E1266" s="6" t="str">
        <f>IF(Table13[[#This Row],[Pre or Post]]="Pre",IF(IF(Table13[[#This Row],[Response]]="Male",0,1)+IF(Table13[[#This Row],[Response]]="Female",0,1)=2,E1265,Table13[[#This Row],[Response]]),"")</f>
        <v/>
      </c>
      <c r="F1266" s="1">
        <v>13</v>
      </c>
      <c r="G1266" s="1">
        <v>3</v>
      </c>
      <c r="H1266" s="2" t="s">
        <v>9</v>
      </c>
      <c r="I126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67" spans="1:11">
      <c r="A1267" s="2" t="s">
        <v>24</v>
      </c>
      <c r="B1267" s="2" t="s">
        <v>30</v>
      </c>
      <c r="C1267" s="1">
        <v>3</v>
      </c>
      <c r="D1267" s="2" t="s">
        <v>16</v>
      </c>
      <c r="E1267" s="6" t="str">
        <f>IF(Table13[[#This Row],[Pre or Post]]="Pre",IF(IF(Table13[[#This Row],[Response]]="Male",0,1)+IF(Table13[[#This Row],[Response]]="Female",0,1)=2,E1266,Table13[[#This Row],[Response]]),"")</f>
        <v/>
      </c>
      <c r="F1267" s="1">
        <v>5</v>
      </c>
      <c r="G1267" s="1">
        <v>4</v>
      </c>
      <c r="H1267" s="2" t="s">
        <v>9</v>
      </c>
      <c r="I126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68" spans="1:11">
      <c r="A1268" s="2" t="s">
        <v>24</v>
      </c>
      <c r="B1268" s="2" t="s">
        <v>30</v>
      </c>
      <c r="C1268" s="1">
        <v>3</v>
      </c>
      <c r="D1268" s="2" t="s">
        <v>16</v>
      </c>
      <c r="E1268" s="6" t="str">
        <f>IF(Table13[[#This Row],[Pre or Post]]="Pre",IF(IF(Table13[[#This Row],[Response]]="Male",0,1)+IF(Table13[[#This Row],[Response]]="Female",0,1)=2,E1267,Table13[[#This Row],[Response]]),"")</f>
        <v/>
      </c>
      <c r="F1268" s="1">
        <v>6</v>
      </c>
      <c r="G1268" s="1">
        <v>4</v>
      </c>
      <c r="H1268" s="2" t="s">
        <v>9</v>
      </c>
      <c r="I126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69" spans="1:11">
      <c r="A1269" s="2" t="s">
        <v>24</v>
      </c>
      <c r="B1269" s="2" t="s">
        <v>30</v>
      </c>
      <c r="C1269" s="1">
        <v>3</v>
      </c>
      <c r="D1269" s="2" t="s">
        <v>16</v>
      </c>
      <c r="E1269" s="6" t="str">
        <f>IF(Table13[[#This Row],[Pre or Post]]="Pre",IF(IF(Table13[[#This Row],[Response]]="Male",0,1)+IF(Table13[[#This Row],[Response]]="Female",0,1)=2,E1268,Table13[[#This Row],[Response]]),"")</f>
        <v/>
      </c>
      <c r="F1269" s="1">
        <v>15</v>
      </c>
      <c r="G1269" s="1">
        <v>4</v>
      </c>
      <c r="H1269" s="2" t="s">
        <v>9</v>
      </c>
      <c r="I126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70" spans="1:11">
      <c r="A1270" s="2" t="s">
        <v>24</v>
      </c>
      <c r="B1270" s="2" t="s">
        <v>30</v>
      </c>
      <c r="C1270" s="1">
        <v>3</v>
      </c>
      <c r="D1270" s="2" t="s">
        <v>16</v>
      </c>
      <c r="E1270" s="6" t="str">
        <f>IF(Table13[[#This Row],[Pre or Post]]="Pre",IF(IF(Table13[[#This Row],[Response]]="Male",0,1)+IF(Table13[[#This Row],[Response]]="Female",0,1)=2,E1269,Table13[[#This Row],[Response]]),"")</f>
        <v/>
      </c>
      <c r="F1270" s="1">
        <v>14</v>
      </c>
      <c r="G1270" s="1">
        <v>4</v>
      </c>
      <c r="H1270" s="2" t="s">
        <v>9</v>
      </c>
      <c r="I127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71" spans="1:11">
      <c r="A1271" s="2" t="s">
        <v>24</v>
      </c>
      <c r="B1271" s="2" t="s">
        <v>30</v>
      </c>
      <c r="C1271" s="1">
        <v>3</v>
      </c>
      <c r="D1271" s="2" t="s">
        <v>16</v>
      </c>
      <c r="E1271" s="6" t="str">
        <f>IF(Table13[[#This Row],[Pre or Post]]="Pre",IF(IF(Table13[[#This Row],[Response]]="Male",0,1)+IF(Table13[[#This Row],[Response]]="Female",0,1)=2,E1270,Table13[[#This Row],[Response]]),"")</f>
        <v/>
      </c>
      <c r="F1271" s="1">
        <v>7</v>
      </c>
      <c r="G1271" s="1">
        <v>3</v>
      </c>
      <c r="H1271" s="2" t="s">
        <v>9</v>
      </c>
      <c r="I127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72" spans="1:11">
      <c r="A1272" s="2" t="s">
        <v>24</v>
      </c>
      <c r="B1272" s="2" t="s">
        <v>30</v>
      </c>
      <c r="C1272" s="1">
        <v>3</v>
      </c>
      <c r="D1272" s="2" t="s">
        <v>16</v>
      </c>
      <c r="E1272" s="6" t="str">
        <f>IF(Table13[[#This Row],[Pre or Post]]="Pre",IF(IF(Table13[[#This Row],[Response]]="Male",0,1)+IF(Table13[[#This Row],[Response]]="Female",0,1)=2,E1271,Table13[[#This Row],[Response]]),"")</f>
        <v/>
      </c>
      <c r="F1272" s="1">
        <v>16</v>
      </c>
      <c r="G1272" s="1">
        <v>3</v>
      </c>
      <c r="H1272" s="2" t="s">
        <v>9</v>
      </c>
      <c r="I127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73" spans="1:11">
      <c r="A1273" s="2" t="s">
        <v>24</v>
      </c>
      <c r="B1273" s="2" t="s">
        <v>30</v>
      </c>
      <c r="C1273" s="1">
        <v>3</v>
      </c>
      <c r="D1273" s="2" t="s">
        <v>16</v>
      </c>
      <c r="E1273" s="6" t="str">
        <f>IF(Table13[[#This Row],[Pre or Post]]="Pre",IF(IF(Table13[[#This Row],[Response]]="Male",0,1)+IF(Table13[[#This Row],[Response]]="Female",0,1)=2,E1272,Table13[[#This Row],[Response]]),"")</f>
        <v/>
      </c>
      <c r="F1273" s="1">
        <v>17</v>
      </c>
      <c r="G1273" s="1">
        <v>4</v>
      </c>
      <c r="H1273" s="2" t="s">
        <v>9</v>
      </c>
      <c r="I127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74" spans="1:11">
      <c r="A1274" s="2" t="s">
        <v>24</v>
      </c>
      <c r="B1274" s="2" t="s">
        <v>30</v>
      </c>
      <c r="C1274" s="1">
        <v>3</v>
      </c>
      <c r="D1274" s="2" t="s">
        <v>16</v>
      </c>
      <c r="E1274" s="6" t="str">
        <f>IF(Table13[[#This Row],[Pre or Post]]="Pre",IF(IF(Table13[[#This Row],[Response]]="Male",0,1)+IF(Table13[[#This Row],[Response]]="Female",0,1)=2,E1273,Table13[[#This Row],[Response]]),"")</f>
        <v/>
      </c>
      <c r="F1274" s="1">
        <v>8</v>
      </c>
      <c r="G1274" s="1" t="s">
        <v>8</v>
      </c>
      <c r="H1274" s="2" t="s">
        <v>9</v>
      </c>
      <c r="I127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75" spans="1:11">
      <c r="A1275" s="2" t="s">
        <v>24</v>
      </c>
      <c r="B1275" s="2" t="s">
        <v>30</v>
      </c>
      <c r="C1275" s="1">
        <v>3</v>
      </c>
      <c r="D1275" s="2" t="s">
        <v>16</v>
      </c>
      <c r="E1275" s="6" t="str">
        <f>IF(Table13[[#This Row],[Pre or Post]]="Pre",IF(IF(Table13[[#This Row],[Response]]="Male",0,1)+IF(Table13[[#This Row],[Response]]="Female",0,1)=2,E1274,Table13[[#This Row],[Response]]),"")</f>
        <v/>
      </c>
      <c r="F1275" s="1">
        <v>9</v>
      </c>
      <c r="G1275" s="1" t="s">
        <v>17</v>
      </c>
      <c r="H1275" s="2" t="s">
        <v>9</v>
      </c>
      <c r="I127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76" spans="1:11">
      <c r="A1276" s="2" t="s">
        <v>24</v>
      </c>
      <c r="B1276" s="2" t="s">
        <v>30</v>
      </c>
      <c r="C1276" s="1">
        <v>3</v>
      </c>
      <c r="D1276" s="2" t="s">
        <v>16</v>
      </c>
      <c r="E1276" s="6" t="str">
        <f>IF(Table13[[#This Row],[Pre or Post]]="Pre",IF(IF(Table13[[#This Row],[Response]]="Male",0,1)+IF(Table13[[#This Row],[Response]]="Female",0,1)=2,E1275,Table13[[#This Row],[Response]]),"")</f>
        <v/>
      </c>
      <c r="F1276" s="1">
        <v>10</v>
      </c>
      <c r="G1276" s="1" t="s">
        <v>18</v>
      </c>
      <c r="H1276" s="2" t="s">
        <v>9</v>
      </c>
      <c r="I127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77" spans="1:11">
      <c r="A1277" s="2" t="s">
        <v>24</v>
      </c>
      <c r="B1277" s="2" t="s">
        <v>30</v>
      </c>
      <c r="C1277" s="1">
        <v>4</v>
      </c>
      <c r="D1277" s="2" t="s">
        <v>16</v>
      </c>
      <c r="E1277" s="6" t="str">
        <f>IF(Table13[[#This Row],[Pre or Post]]="Pre",IF(IF(Table13[[#This Row],[Response]]="Male",0,1)+IF(Table13[[#This Row],[Response]]="Female",0,1)=2,E1276,Table13[[#This Row],[Response]]),"")</f>
        <v/>
      </c>
      <c r="F1277" s="1">
        <v>2</v>
      </c>
      <c r="G1277" s="1">
        <v>4</v>
      </c>
      <c r="H1277" s="2" t="s">
        <v>9</v>
      </c>
      <c r="I127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78" spans="1:11">
      <c r="A1278" s="2" t="s">
        <v>24</v>
      </c>
      <c r="B1278" s="2" t="s">
        <v>30</v>
      </c>
      <c r="C1278" s="1">
        <v>4</v>
      </c>
      <c r="D1278" s="2" t="s">
        <v>16</v>
      </c>
      <c r="E1278" s="6" t="str">
        <f>IF(Table13[[#This Row],[Pre or Post]]="Pre",IF(IF(Table13[[#This Row],[Response]]="Male",0,1)+IF(Table13[[#This Row],[Response]]="Female",0,1)=2,E1277,Table13[[#This Row],[Response]]),"")</f>
        <v/>
      </c>
      <c r="F1278" s="1">
        <v>3</v>
      </c>
      <c r="G1278" s="1">
        <v>3</v>
      </c>
      <c r="H1278" s="2" t="s">
        <v>9</v>
      </c>
      <c r="I127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79" spans="1:11">
      <c r="A1279" s="2" t="s">
        <v>24</v>
      </c>
      <c r="B1279" s="2" t="s">
        <v>30</v>
      </c>
      <c r="C1279" s="1">
        <v>4</v>
      </c>
      <c r="D1279" s="2" t="s">
        <v>16</v>
      </c>
      <c r="E1279" s="6" t="str">
        <f>IF(Table13[[#This Row],[Pre or Post]]="Pre",IF(IF(Table13[[#This Row],[Response]]="Male",0,1)+IF(Table13[[#This Row],[Response]]="Female",0,1)=2,E1278,Table13[[#This Row],[Response]]),"")</f>
        <v/>
      </c>
      <c r="F1279" s="1">
        <v>4</v>
      </c>
      <c r="G1279" s="1">
        <v>3</v>
      </c>
      <c r="H1279" s="2" t="s">
        <v>9</v>
      </c>
      <c r="I127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80" spans="1:11">
      <c r="A1280" s="2" t="s">
        <v>24</v>
      </c>
      <c r="B1280" s="2" t="s">
        <v>30</v>
      </c>
      <c r="C1280" s="1">
        <v>4</v>
      </c>
      <c r="D1280" s="2" t="s">
        <v>16</v>
      </c>
      <c r="E1280" s="6" t="str">
        <f>IF(Table13[[#This Row],[Pre or Post]]="Pre",IF(IF(Table13[[#This Row],[Response]]="Male",0,1)+IF(Table13[[#This Row],[Response]]="Female",0,1)=2,E1279,Table13[[#This Row],[Response]]),"")</f>
        <v/>
      </c>
      <c r="F1280" s="1">
        <v>12</v>
      </c>
      <c r="G1280" s="1">
        <v>4</v>
      </c>
      <c r="H1280" s="2" t="s">
        <v>9</v>
      </c>
      <c r="I128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81" spans="1:11">
      <c r="A1281" s="2" t="s">
        <v>24</v>
      </c>
      <c r="B1281" s="2" t="s">
        <v>30</v>
      </c>
      <c r="C1281" s="1">
        <v>4</v>
      </c>
      <c r="D1281" s="2" t="s">
        <v>16</v>
      </c>
      <c r="E1281" s="6" t="str">
        <f>IF(Table13[[#This Row],[Pre or Post]]="Pre",IF(IF(Table13[[#This Row],[Response]]="Male",0,1)+IF(Table13[[#This Row],[Response]]="Female",0,1)=2,E1280,Table13[[#This Row],[Response]]),"")</f>
        <v/>
      </c>
      <c r="F1281" s="1">
        <v>13</v>
      </c>
      <c r="G1281" s="1">
        <v>4</v>
      </c>
      <c r="H1281" s="2" t="s">
        <v>9</v>
      </c>
      <c r="I128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82" spans="1:11">
      <c r="A1282" s="2" t="s">
        <v>24</v>
      </c>
      <c r="B1282" s="2" t="s">
        <v>30</v>
      </c>
      <c r="C1282" s="1">
        <v>4</v>
      </c>
      <c r="D1282" s="2" t="s">
        <v>16</v>
      </c>
      <c r="E1282" s="6" t="str">
        <f>IF(Table13[[#This Row],[Pre or Post]]="Pre",IF(IF(Table13[[#This Row],[Response]]="Male",0,1)+IF(Table13[[#This Row],[Response]]="Female",0,1)=2,E1281,Table13[[#This Row],[Response]]),"")</f>
        <v/>
      </c>
      <c r="F1282" s="1">
        <v>5</v>
      </c>
      <c r="G1282" s="1">
        <v>4</v>
      </c>
      <c r="H1282" s="2" t="s">
        <v>9</v>
      </c>
      <c r="I128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83" spans="1:11">
      <c r="A1283" s="2" t="s">
        <v>24</v>
      </c>
      <c r="B1283" s="2" t="s">
        <v>30</v>
      </c>
      <c r="C1283" s="1">
        <v>4</v>
      </c>
      <c r="D1283" s="2" t="s">
        <v>16</v>
      </c>
      <c r="E1283" s="6" t="str">
        <f>IF(Table13[[#This Row],[Pre or Post]]="Pre",IF(IF(Table13[[#This Row],[Response]]="Male",0,1)+IF(Table13[[#This Row],[Response]]="Female",0,1)=2,E1282,Table13[[#This Row],[Response]]),"")</f>
        <v/>
      </c>
      <c r="F1283" s="1">
        <v>6</v>
      </c>
      <c r="G1283" s="1">
        <v>5</v>
      </c>
      <c r="H1283" s="2" t="s">
        <v>9</v>
      </c>
      <c r="I128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84" spans="1:11">
      <c r="A1284" s="2" t="s">
        <v>24</v>
      </c>
      <c r="B1284" s="2" t="s">
        <v>30</v>
      </c>
      <c r="C1284" s="1">
        <v>4</v>
      </c>
      <c r="D1284" s="2" t="s">
        <v>16</v>
      </c>
      <c r="E1284" s="6" t="str">
        <f>IF(Table13[[#This Row],[Pre or Post]]="Pre",IF(IF(Table13[[#This Row],[Response]]="Male",0,1)+IF(Table13[[#This Row],[Response]]="Female",0,1)=2,E1283,Table13[[#This Row],[Response]]),"")</f>
        <v/>
      </c>
      <c r="F1284" s="1">
        <v>15</v>
      </c>
      <c r="G1284" s="1">
        <v>4</v>
      </c>
      <c r="H1284" s="2" t="s">
        <v>9</v>
      </c>
      <c r="I128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85" spans="1:11">
      <c r="A1285" s="2" t="s">
        <v>24</v>
      </c>
      <c r="B1285" s="2" t="s">
        <v>30</v>
      </c>
      <c r="C1285" s="1">
        <v>4</v>
      </c>
      <c r="D1285" s="2" t="s">
        <v>16</v>
      </c>
      <c r="E1285" s="6" t="str">
        <f>IF(Table13[[#This Row],[Pre or Post]]="Pre",IF(IF(Table13[[#This Row],[Response]]="Male",0,1)+IF(Table13[[#This Row],[Response]]="Female",0,1)=2,E1284,Table13[[#This Row],[Response]]),"")</f>
        <v/>
      </c>
      <c r="F1285" s="1">
        <v>14</v>
      </c>
      <c r="G1285" s="1">
        <v>4</v>
      </c>
      <c r="H1285" s="2" t="s">
        <v>9</v>
      </c>
      <c r="I128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86" spans="1:11">
      <c r="A1286" s="2" t="s">
        <v>24</v>
      </c>
      <c r="B1286" s="2" t="s">
        <v>30</v>
      </c>
      <c r="C1286" s="1">
        <v>4</v>
      </c>
      <c r="D1286" s="2" t="s">
        <v>16</v>
      </c>
      <c r="E1286" s="6" t="str">
        <f>IF(Table13[[#This Row],[Pre or Post]]="Pre",IF(IF(Table13[[#This Row],[Response]]="Male",0,1)+IF(Table13[[#This Row],[Response]]="Female",0,1)=2,E1285,Table13[[#This Row],[Response]]),"")</f>
        <v/>
      </c>
      <c r="F1286" s="1">
        <v>7</v>
      </c>
      <c r="G1286" s="1">
        <v>4</v>
      </c>
      <c r="H1286" s="2" t="s">
        <v>9</v>
      </c>
      <c r="I128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87" spans="1:11">
      <c r="A1287" s="2" t="s">
        <v>24</v>
      </c>
      <c r="B1287" s="2" t="s">
        <v>30</v>
      </c>
      <c r="C1287" s="1">
        <v>4</v>
      </c>
      <c r="D1287" s="2" t="s">
        <v>16</v>
      </c>
      <c r="E1287" s="6" t="str">
        <f>IF(Table13[[#This Row],[Pre or Post]]="Pre",IF(IF(Table13[[#This Row],[Response]]="Male",0,1)+IF(Table13[[#This Row],[Response]]="Female",0,1)=2,E1286,Table13[[#This Row],[Response]]),"")</f>
        <v/>
      </c>
      <c r="F1287" s="1">
        <v>16</v>
      </c>
      <c r="G1287" s="1">
        <v>3</v>
      </c>
      <c r="H1287" s="2" t="s">
        <v>9</v>
      </c>
      <c r="I128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88" spans="1:11">
      <c r="A1288" s="2" t="s">
        <v>24</v>
      </c>
      <c r="B1288" s="2" t="s">
        <v>30</v>
      </c>
      <c r="C1288" s="1">
        <v>4</v>
      </c>
      <c r="D1288" s="2" t="s">
        <v>16</v>
      </c>
      <c r="E1288" s="6" t="str">
        <f>IF(Table13[[#This Row],[Pre or Post]]="Pre",IF(IF(Table13[[#This Row],[Response]]="Male",0,1)+IF(Table13[[#This Row],[Response]]="Female",0,1)=2,E1287,Table13[[#This Row],[Response]]),"")</f>
        <v/>
      </c>
      <c r="F1288" s="1">
        <v>17</v>
      </c>
      <c r="G1288" s="1">
        <v>4</v>
      </c>
      <c r="H1288" s="2" t="s">
        <v>9</v>
      </c>
      <c r="I128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89" spans="1:11">
      <c r="A1289" s="2" t="s">
        <v>24</v>
      </c>
      <c r="B1289" s="2" t="s">
        <v>30</v>
      </c>
      <c r="C1289" s="1">
        <v>4</v>
      </c>
      <c r="D1289" s="2" t="s">
        <v>16</v>
      </c>
      <c r="E1289" s="6" t="str">
        <f>IF(Table13[[#This Row],[Pre or Post]]="Pre",IF(IF(Table13[[#This Row],[Response]]="Male",0,1)+IF(Table13[[#This Row],[Response]]="Female",0,1)=2,E1288,Table13[[#This Row],[Response]]),"")</f>
        <v/>
      </c>
      <c r="F1289" s="1">
        <v>8</v>
      </c>
      <c r="G1289" s="1" t="s">
        <v>8</v>
      </c>
      <c r="H1289" s="2" t="s">
        <v>9</v>
      </c>
      <c r="I128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90" spans="1:11">
      <c r="A1290" s="2" t="s">
        <v>24</v>
      </c>
      <c r="B1290" s="2" t="s">
        <v>30</v>
      </c>
      <c r="C1290" s="1">
        <v>4</v>
      </c>
      <c r="D1290" s="2" t="s">
        <v>16</v>
      </c>
      <c r="E1290" s="6" t="str">
        <f>IF(Table13[[#This Row],[Pre or Post]]="Pre",IF(IF(Table13[[#This Row],[Response]]="Male",0,1)+IF(Table13[[#This Row],[Response]]="Female",0,1)=2,E1289,Table13[[#This Row],[Response]]),"")</f>
        <v/>
      </c>
      <c r="F1290" s="1">
        <v>9</v>
      </c>
      <c r="G1290" s="1" t="s">
        <v>17</v>
      </c>
      <c r="H1290" s="2" t="s">
        <v>9</v>
      </c>
      <c r="I129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91" spans="1:11">
      <c r="A1291" s="2" t="s">
        <v>24</v>
      </c>
      <c r="B1291" s="2" t="s">
        <v>30</v>
      </c>
      <c r="C1291" s="1">
        <v>4</v>
      </c>
      <c r="D1291" s="2" t="s">
        <v>16</v>
      </c>
      <c r="E1291" s="6" t="str">
        <f>IF(Table13[[#This Row],[Pre or Post]]="Pre",IF(IF(Table13[[#This Row],[Response]]="Male",0,1)+IF(Table13[[#This Row],[Response]]="Female",0,1)=2,E1290,Table13[[#This Row],[Response]]),"")</f>
        <v/>
      </c>
      <c r="F1291" s="1">
        <v>10</v>
      </c>
      <c r="G1291" s="1" t="s">
        <v>18</v>
      </c>
      <c r="H1291" s="2" t="s">
        <v>9</v>
      </c>
      <c r="I129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92" spans="1:11">
      <c r="A1292" s="2" t="s">
        <v>24</v>
      </c>
      <c r="B1292" s="2" t="s">
        <v>30</v>
      </c>
      <c r="C1292" s="1">
        <v>5</v>
      </c>
      <c r="D1292" s="2" t="s">
        <v>16</v>
      </c>
      <c r="E1292" s="6" t="str">
        <f>IF(Table13[[#This Row],[Pre or Post]]="Pre",IF(IF(Table13[[#This Row],[Response]]="Male",0,1)+IF(Table13[[#This Row],[Response]]="Female",0,1)=2,E1291,Table13[[#This Row],[Response]]),"")</f>
        <v/>
      </c>
      <c r="F1292" s="1">
        <v>2</v>
      </c>
      <c r="G1292" s="1">
        <v>2</v>
      </c>
      <c r="H1292" s="2" t="s">
        <v>9</v>
      </c>
      <c r="I129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93" spans="1:11">
      <c r="A1293" s="2" t="s">
        <v>24</v>
      </c>
      <c r="B1293" s="2" t="s">
        <v>30</v>
      </c>
      <c r="C1293" s="1">
        <v>5</v>
      </c>
      <c r="D1293" s="2" t="s">
        <v>16</v>
      </c>
      <c r="E1293" s="6" t="str">
        <f>IF(Table13[[#This Row],[Pre or Post]]="Pre",IF(IF(Table13[[#This Row],[Response]]="Male",0,1)+IF(Table13[[#This Row],[Response]]="Female",0,1)=2,E1292,Table13[[#This Row],[Response]]),"")</f>
        <v/>
      </c>
      <c r="F1293" s="1">
        <v>3</v>
      </c>
      <c r="G1293" s="1">
        <v>4</v>
      </c>
      <c r="H1293" s="2" t="s">
        <v>9</v>
      </c>
      <c r="I129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94" spans="1:11">
      <c r="A1294" s="2" t="s">
        <v>24</v>
      </c>
      <c r="B1294" s="2" t="s">
        <v>30</v>
      </c>
      <c r="C1294" s="1">
        <v>5</v>
      </c>
      <c r="D1294" s="2" t="s">
        <v>16</v>
      </c>
      <c r="E1294" s="6" t="str">
        <f>IF(Table13[[#This Row],[Pre or Post]]="Pre",IF(IF(Table13[[#This Row],[Response]]="Male",0,1)+IF(Table13[[#This Row],[Response]]="Female",0,1)=2,E1293,Table13[[#This Row],[Response]]),"")</f>
        <v/>
      </c>
      <c r="F1294" s="1">
        <v>4</v>
      </c>
      <c r="G1294" s="1">
        <v>5</v>
      </c>
      <c r="H1294" s="2" t="s">
        <v>9</v>
      </c>
      <c r="I129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95" spans="1:11">
      <c r="A1295" s="2" t="s">
        <v>24</v>
      </c>
      <c r="B1295" s="2" t="s">
        <v>30</v>
      </c>
      <c r="C1295" s="1">
        <v>5</v>
      </c>
      <c r="D1295" s="2" t="s">
        <v>16</v>
      </c>
      <c r="E1295" s="6" t="str">
        <f>IF(Table13[[#This Row],[Pre or Post]]="Pre",IF(IF(Table13[[#This Row],[Response]]="Male",0,1)+IF(Table13[[#This Row],[Response]]="Female",0,1)=2,E1294,Table13[[#This Row],[Response]]),"")</f>
        <v/>
      </c>
      <c r="F1295" s="1">
        <v>12</v>
      </c>
      <c r="G1295" s="1">
        <v>1</v>
      </c>
      <c r="H1295" s="2" t="s">
        <v>9</v>
      </c>
      <c r="I129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96" spans="1:11">
      <c r="A1296" s="2" t="s">
        <v>24</v>
      </c>
      <c r="B1296" s="2" t="s">
        <v>30</v>
      </c>
      <c r="C1296" s="1">
        <v>5</v>
      </c>
      <c r="D1296" s="2" t="s">
        <v>16</v>
      </c>
      <c r="E1296" s="6" t="str">
        <f>IF(Table13[[#This Row],[Pre or Post]]="Pre",IF(IF(Table13[[#This Row],[Response]]="Male",0,1)+IF(Table13[[#This Row],[Response]]="Female",0,1)=2,E1295,Table13[[#This Row],[Response]]),"")</f>
        <v/>
      </c>
      <c r="F1296" s="1">
        <v>13</v>
      </c>
      <c r="G1296" s="1">
        <v>5</v>
      </c>
      <c r="H1296" s="2" t="s">
        <v>9</v>
      </c>
      <c r="I129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97" spans="1:11">
      <c r="A1297" s="2" t="s">
        <v>24</v>
      </c>
      <c r="B1297" s="2" t="s">
        <v>30</v>
      </c>
      <c r="C1297" s="1">
        <v>5</v>
      </c>
      <c r="D1297" s="2" t="s">
        <v>16</v>
      </c>
      <c r="E1297" s="6" t="str">
        <f>IF(Table13[[#This Row],[Pre or Post]]="Pre",IF(IF(Table13[[#This Row],[Response]]="Male",0,1)+IF(Table13[[#This Row],[Response]]="Female",0,1)=2,E1296,Table13[[#This Row],[Response]]),"")</f>
        <v/>
      </c>
      <c r="F1297" s="1">
        <v>5</v>
      </c>
      <c r="G1297" s="1">
        <v>4</v>
      </c>
      <c r="H1297" s="2" t="s">
        <v>9</v>
      </c>
      <c r="I129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98" spans="1:11">
      <c r="A1298" s="2" t="s">
        <v>24</v>
      </c>
      <c r="B1298" s="2" t="s">
        <v>30</v>
      </c>
      <c r="C1298" s="1">
        <v>5</v>
      </c>
      <c r="D1298" s="2" t="s">
        <v>16</v>
      </c>
      <c r="E1298" s="6" t="str">
        <f>IF(Table13[[#This Row],[Pre or Post]]="Pre",IF(IF(Table13[[#This Row],[Response]]="Male",0,1)+IF(Table13[[#This Row],[Response]]="Female",0,1)=2,E1297,Table13[[#This Row],[Response]]),"")</f>
        <v/>
      </c>
      <c r="F1298" s="1">
        <v>6</v>
      </c>
      <c r="G1298" s="1">
        <v>5</v>
      </c>
      <c r="H1298" s="2" t="s">
        <v>9</v>
      </c>
      <c r="I129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299" spans="1:11">
      <c r="A1299" s="2" t="s">
        <v>24</v>
      </c>
      <c r="B1299" s="2" t="s">
        <v>30</v>
      </c>
      <c r="C1299" s="1">
        <v>5</v>
      </c>
      <c r="D1299" s="2" t="s">
        <v>16</v>
      </c>
      <c r="E1299" s="6" t="str">
        <f>IF(Table13[[#This Row],[Pre or Post]]="Pre",IF(IF(Table13[[#This Row],[Response]]="Male",0,1)+IF(Table13[[#This Row],[Response]]="Female",0,1)=2,E1298,Table13[[#This Row],[Response]]),"")</f>
        <v/>
      </c>
      <c r="F1299" s="1">
        <v>15</v>
      </c>
      <c r="G1299" s="1">
        <v>4</v>
      </c>
      <c r="H1299" s="2" t="s">
        <v>9</v>
      </c>
      <c r="I129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2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2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00" spans="1:11">
      <c r="A1300" s="2" t="s">
        <v>24</v>
      </c>
      <c r="B1300" s="2" t="s">
        <v>30</v>
      </c>
      <c r="C1300" s="1">
        <v>5</v>
      </c>
      <c r="D1300" s="2" t="s">
        <v>16</v>
      </c>
      <c r="E1300" s="6" t="str">
        <f>IF(Table13[[#This Row],[Pre or Post]]="Pre",IF(IF(Table13[[#This Row],[Response]]="Male",0,1)+IF(Table13[[#This Row],[Response]]="Female",0,1)=2,E1299,Table13[[#This Row],[Response]]),"")</f>
        <v/>
      </c>
      <c r="F1300" s="1">
        <v>14</v>
      </c>
      <c r="G1300" s="1">
        <v>5</v>
      </c>
      <c r="H1300" s="2" t="s">
        <v>9</v>
      </c>
      <c r="I130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01" spans="1:11">
      <c r="A1301" s="2" t="s">
        <v>24</v>
      </c>
      <c r="B1301" s="2" t="s">
        <v>30</v>
      </c>
      <c r="C1301" s="1">
        <v>5</v>
      </c>
      <c r="D1301" s="2" t="s">
        <v>16</v>
      </c>
      <c r="E1301" s="6" t="str">
        <f>IF(Table13[[#This Row],[Pre or Post]]="Pre",IF(IF(Table13[[#This Row],[Response]]="Male",0,1)+IF(Table13[[#This Row],[Response]]="Female",0,1)=2,E1300,Table13[[#This Row],[Response]]),"")</f>
        <v/>
      </c>
      <c r="F1301" s="1">
        <v>7</v>
      </c>
      <c r="G1301" s="1">
        <v>2</v>
      </c>
      <c r="H1301" s="2" t="s">
        <v>9</v>
      </c>
      <c r="I130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02" spans="1:11">
      <c r="A1302" s="2" t="s">
        <v>24</v>
      </c>
      <c r="B1302" s="2" t="s">
        <v>30</v>
      </c>
      <c r="C1302" s="1">
        <v>5</v>
      </c>
      <c r="D1302" s="2" t="s">
        <v>16</v>
      </c>
      <c r="E1302" s="6" t="str">
        <f>IF(Table13[[#This Row],[Pre or Post]]="Pre",IF(IF(Table13[[#This Row],[Response]]="Male",0,1)+IF(Table13[[#This Row],[Response]]="Female",0,1)=2,E1301,Table13[[#This Row],[Response]]),"")</f>
        <v/>
      </c>
      <c r="F1302" s="1">
        <v>16</v>
      </c>
      <c r="G1302" s="1">
        <v>3</v>
      </c>
      <c r="H1302" s="2" t="s">
        <v>9</v>
      </c>
      <c r="I130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03" spans="1:11">
      <c r="A1303" s="2" t="s">
        <v>24</v>
      </c>
      <c r="B1303" s="2" t="s">
        <v>30</v>
      </c>
      <c r="C1303" s="1">
        <v>5</v>
      </c>
      <c r="D1303" s="2" t="s">
        <v>16</v>
      </c>
      <c r="E1303" s="6" t="str">
        <f>IF(Table13[[#This Row],[Pre or Post]]="Pre",IF(IF(Table13[[#This Row],[Response]]="Male",0,1)+IF(Table13[[#This Row],[Response]]="Female",0,1)=2,E1302,Table13[[#This Row],[Response]]),"")</f>
        <v/>
      </c>
      <c r="F1303" s="1">
        <v>17</v>
      </c>
      <c r="G1303" s="1">
        <v>5</v>
      </c>
      <c r="H1303" s="2" t="s">
        <v>9</v>
      </c>
      <c r="I130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04" spans="1:11">
      <c r="A1304" s="2" t="s">
        <v>24</v>
      </c>
      <c r="B1304" s="2" t="s">
        <v>30</v>
      </c>
      <c r="C1304" s="1">
        <v>5</v>
      </c>
      <c r="D1304" s="2" t="s">
        <v>16</v>
      </c>
      <c r="E1304" s="6" t="str">
        <f>IF(Table13[[#This Row],[Pre or Post]]="Pre",IF(IF(Table13[[#This Row],[Response]]="Male",0,1)+IF(Table13[[#This Row],[Response]]="Female",0,1)=2,E1303,Table13[[#This Row],[Response]]),"")</f>
        <v/>
      </c>
      <c r="F1304" s="1">
        <v>8</v>
      </c>
      <c r="G1304" s="1" t="s">
        <v>8</v>
      </c>
      <c r="H1304" s="2" t="s">
        <v>9</v>
      </c>
      <c r="I130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05" spans="1:11">
      <c r="A1305" s="2" t="s">
        <v>24</v>
      </c>
      <c r="B1305" s="2" t="s">
        <v>30</v>
      </c>
      <c r="C1305" s="1">
        <v>5</v>
      </c>
      <c r="D1305" s="2" t="s">
        <v>16</v>
      </c>
      <c r="E1305" s="6" t="str">
        <f>IF(Table13[[#This Row],[Pre or Post]]="Pre",IF(IF(Table13[[#This Row],[Response]]="Male",0,1)+IF(Table13[[#This Row],[Response]]="Female",0,1)=2,E1304,Table13[[#This Row],[Response]]),"")</f>
        <v/>
      </c>
      <c r="F1305" s="1">
        <v>9</v>
      </c>
      <c r="G1305" s="1" t="s">
        <v>17</v>
      </c>
      <c r="H1305" s="2" t="s">
        <v>9</v>
      </c>
      <c r="I130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06" spans="1:11">
      <c r="A1306" s="2" t="s">
        <v>24</v>
      </c>
      <c r="B1306" s="2" t="s">
        <v>30</v>
      </c>
      <c r="C1306" s="1">
        <v>5</v>
      </c>
      <c r="D1306" s="2" t="s">
        <v>16</v>
      </c>
      <c r="E1306" s="6" t="str">
        <f>IF(Table13[[#This Row],[Pre or Post]]="Pre",IF(IF(Table13[[#This Row],[Response]]="Male",0,1)+IF(Table13[[#This Row],[Response]]="Female",0,1)=2,E1305,Table13[[#This Row],[Response]]),"")</f>
        <v/>
      </c>
      <c r="F1306" s="1">
        <v>10</v>
      </c>
      <c r="G1306" s="1"/>
      <c r="H1306" s="2" t="s">
        <v>9</v>
      </c>
      <c r="I130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07" spans="1:11">
      <c r="A1307" s="2" t="s">
        <v>24</v>
      </c>
      <c r="B1307" s="2" t="s">
        <v>30</v>
      </c>
      <c r="C1307" s="1">
        <v>6</v>
      </c>
      <c r="D1307" s="2" t="s">
        <v>16</v>
      </c>
      <c r="E1307" s="6" t="str">
        <f>IF(Table13[[#This Row],[Pre or Post]]="Pre",IF(IF(Table13[[#This Row],[Response]]="Male",0,1)+IF(Table13[[#This Row],[Response]]="Female",0,1)=2,E1306,Table13[[#This Row],[Response]]),"")</f>
        <v/>
      </c>
      <c r="F1307" s="1">
        <v>2</v>
      </c>
      <c r="G1307" s="1">
        <v>4</v>
      </c>
      <c r="H1307" s="2" t="s">
        <v>9</v>
      </c>
      <c r="I130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08" spans="1:11">
      <c r="A1308" s="2" t="s">
        <v>24</v>
      </c>
      <c r="B1308" s="2" t="s">
        <v>30</v>
      </c>
      <c r="C1308" s="1">
        <v>6</v>
      </c>
      <c r="D1308" s="2" t="s">
        <v>16</v>
      </c>
      <c r="E1308" s="6" t="str">
        <f>IF(Table13[[#This Row],[Pre or Post]]="Pre",IF(IF(Table13[[#This Row],[Response]]="Male",0,1)+IF(Table13[[#This Row],[Response]]="Female",0,1)=2,E1307,Table13[[#This Row],[Response]]),"")</f>
        <v/>
      </c>
      <c r="F1308" s="1">
        <v>3</v>
      </c>
      <c r="G1308" s="1">
        <v>4</v>
      </c>
      <c r="H1308" s="2" t="s">
        <v>9</v>
      </c>
      <c r="I130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09" spans="1:11">
      <c r="A1309" s="2" t="s">
        <v>24</v>
      </c>
      <c r="B1309" s="2" t="s">
        <v>30</v>
      </c>
      <c r="C1309" s="1">
        <v>6</v>
      </c>
      <c r="D1309" s="2" t="s">
        <v>16</v>
      </c>
      <c r="E1309" s="6" t="str">
        <f>IF(Table13[[#This Row],[Pre or Post]]="Pre",IF(IF(Table13[[#This Row],[Response]]="Male",0,1)+IF(Table13[[#This Row],[Response]]="Female",0,1)=2,E1308,Table13[[#This Row],[Response]]),"")</f>
        <v/>
      </c>
      <c r="F1309" s="1">
        <v>4</v>
      </c>
      <c r="G1309" s="1">
        <v>3</v>
      </c>
      <c r="H1309" s="2" t="s">
        <v>9</v>
      </c>
      <c r="I130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10" spans="1:11">
      <c r="A1310" s="2" t="s">
        <v>24</v>
      </c>
      <c r="B1310" s="2" t="s">
        <v>30</v>
      </c>
      <c r="C1310" s="1">
        <v>6</v>
      </c>
      <c r="D1310" s="2" t="s">
        <v>16</v>
      </c>
      <c r="E1310" s="6" t="str">
        <f>IF(Table13[[#This Row],[Pre or Post]]="Pre",IF(IF(Table13[[#This Row],[Response]]="Male",0,1)+IF(Table13[[#This Row],[Response]]="Female",0,1)=2,E1309,Table13[[#This Row],[Response]]),"")</f>
        <v/>
      </c>
      <c r="F1310" s="1">
        <v>12</v>
      </c>
      <c r="G1310" s="1">
        <v>3</v>
      </c>
      <c r="H1310" s="2" t="s">
        <v>9</v>
      </c>
      <c r="I131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11" spans="1:11">
      <c r="A1311" s="2" t="s">
        <v>24</v>
      </c>
      <c r="B1311" s="2" t="s">
        <v>30</v>
      </c>
      <c r="C1311" s="1">
        <v>6</v>
      </c>
      <c r="D1311" s="2" t="s">
        <v>16</v>
      </c>
      <c r="E1311" s="6" t="str">
        <f>IF(Table13[[#This Row],[Pre or Post]]="Pre",IF(IF(Table13[[#This Row],[Response]]="Male",0,1)+IF(Table13[[#This Row],[Response]]="Female",0,1)=2,E1310,Table13[[#This Row],[Response]]),"")</f>
        <v/>
      </c>
      <c r="F1311" s="1">
        <v>13</v>
      </c>
      <c r="G1311" s="1">
        <v>3</v>
      </c>
      <c r="H1311" s="2" t="s">
        <v>9</v>
      </c>
      <c r="I131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12" spans="1:11">
      <c r="A1312" s="2" t="s">
        <v>24</v>
      </c>
      <c r="B1312" s="2" t="s">
        <v>30</v>
      </c>
      <c r="C1312" s="1">
        <v>6</v>
      </c>
      <c r="D1312" s="2" t="s">
        <v>16</v>
      </c>
      <c r="E1312" s="6" t="str">
        <f>IF(Table13[[#This Row],[Pre or Post]]="Pre",IF(IF(Table13[[#This Row],[Response]]="Male",0,1)+IF(Table13[[#This Row],[Response]]="Female",0,1)=2,E1311,Table13[[#This Row],[Response]]),"")</f>
        <v/>
      </c>
      <c r="F1312" s="1">
        <v>5</v>
      </c>
      <c r="G1312" s="1">
        <v>5</v>
      </c>
      <c r="H1312" s="2" t="s">
        <v>9</v>
      </c>
      <c r="I131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13" spans="1:11">
      <c r="A1313" s="2" t="s">
        <v>24</v>
      </c>
      <c r="B1313" s="2" t="s">
        <v>30</v>
      </c>
      <c r="C1313" s="1">
        <v>6</v>
      </c>
      <c r="D1313" s="2" t="s">
        <v>16</v>
      </c>
      <c r="E1313" s="6" t="str">
        <f>IF(Table13[[#This Row],[Pre or Post]]="Pre",IF(IF(Table13[[#This Row],[Response]]="Male",0,1)+IF(Table13[[#This Row],[Response]]="Female",0,1)=2,E1312,Table13[[#This Row],[Response]]),"")</f>
        <v/>
      </c>
      <c r="F1313" s="1">
        <v>6</v>
      </c>
      <c r="G1313" s="1">
        <v>5</v>
      </c>
      <c r="H1313" s="2" t="s">
        <v>9</v>
      </c>
      <c r="I131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14" spans="1:11">
      <c r="A1314" s="2" t="s">
        <v>24</v>
      </c>
      <c r="B1314" s="2" t="s">
        <v>30</v>
      </c>
      <c r="C1314" s="1">
        <v>6</v>
      </c>
      <c r="D1314" s="2" t="s">
        <v>16</v>
      </c>
      <c r="E1314" s="6" t="str">
        <f>IF(Table13[[#This Row],[Pre or Post]]="Pre",IF(IF(Table13[[#This Row],[Response]]="Male",0,1)+IF(Table13[[#This Row],[Response]]="Female",0,1)=2,E1313,Table13[[#This Row],[Response]]),"")</f>
        <v/>
      </c>
      <c r="F1314" s="1">
        <v>15</v>
      </c>
      <c r="G1314" s="1">
        <v>5</v>
      </c>
      <c r="H1314" s="2" t="s">
        <v>9</v>
      </c>
      <c r="I131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15" spans="1:11">
      <c r="A1315" s="2" t="s">
        <v>24</v>
      </c>
      <c r="B1315" s="2" t="s">
        <v>30</v>
      </c>
      <c r="C1315" s="1">
        <v>6</v>
      </c>
      <c r="D1315" s="2" t="s">
        <v>16</v>
      </c>
      <c r="E1315" s="6" t="str">
        <f>IF(Table13[[#This Row],[Pre or Post]]="Pre",IF(IF(Table13[[#This Row],[Response]]="Male",0,1)+IF(Table13[[#This Row],[Response]]="Female",0,1)=2,E1314,Table13[[#This Row],[Response]]),"")</f>
        <v/>
      </c>
      <c r="F1315" s="1">
        <v>14</v>
      </c>
      <c r="G1315" s="1">
        <v>5</v>
      </c>
      <c r="H1315" s="2" t="s">
        <v>9</v>
      </c>
      <c r="I131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16" spans="1:11">
      <c r="A1316" s="2" t="s">
        <v>24</v>
      </c>
      <c r="B1316" s="2" t="s">
        <v>30</v>
      </c>
      <c r="C1316" s="1">
        <v>6</v>
      </c>
      <c r="D1316" s="2" t="s">
        <v>16</v>
      </c>
      <c r="E1316" s="6" t="str">
        <f>IF(Table13[[#This Row],[Pre or Post]]="Pre",IF(IF(Table13[[#This Row],[Response]]="Male",0,1)+IF(Table13[[#This Row],[Response]]="Female",0,1)=2,E1315,Table13[[#This Row],[Response]]),"")</f>
        <v/>
      </c>
      <c r="F1316" s="1">
        <v>7</v>
      </c>
      <c r="G1316" s="1">
        <v>5</v>
      </c>
      <c r="H1316" s="2" t="s">
        <v>9</v>
      </c>
      <c r="I131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17" spans="1:11">
      <c r="A1317" s="2" t="s">
        <v>24</v>
      </c>
      <c r="B1317" s="2" t="s">
        <v>30</v>
      </c>
      <c r="C1317" s="1">
        <v>6</v>
      </c>
      <c r="D1317" s="2" t="s">
        <v>16</v>
      </c>
      <c r="E1317" s="6" t="str">
        <f>IF(Table13[[#This Row],[Pre or Post]]="Pre",IF(IF(Table13[[#This Row],[Response]]="Male",0,1)+IF(Table13[[#This Row],[Response]]="Female",0,1)=2,E1316,Table13[[#This Row],[Response]]),"")</f>
        <v/>
      </c>
      <c r="F1317" s="1">
        <v>16</v>
      </c>
      <c r="G1317" s="1">
        <v>5</v>
      </c>
      <c r="H1317" s="2" t="s">
        <v>9</v>
      </c>
      <c r="I131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18" spans="1:11">
      <c r="A1318" s="2" t="s">
        <v>24</v>
      </c>
      <c r="B1318" s="2" t="s">
        <v>30</v>
      </c>
      <c r="C1318" s="1">
        <v>6</v>
      </c>
      <c r="D1318" s="2" t="s">
        <v>16</v>
      </c>
      <c r="E1318" s="6" t="str">
        <f>IF(Table13[[#This Row],[Pre or Post]]="Pre",IF(IF(Table13[[#This Row],[Response]]="Male",0,1)+IF(Table13[[#This Row],[Response]]="Female",0,1)=2,E1317,Table13[[#This Row],[Response]]),"")</f>
        <v/>
      </c>
      <c r="F1318" s="1">
        <v>17</v>
      </c>
      <c r="G1318" s="1">
        <v>5</v>
      </c>
      <c r="H1318" s="2" t="s">
        <v>9</v>
      </c>
      <c r="I131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19" spans="1:11">
      <c r="A1319" s="2" t="s">
        <v>24</v>
      </c>
      <c r="B1319" s="2" t="s">
        <v>30</v>
      </c>
      <c r="C1319" s="1">
        <v>6</v>
      </c>
      <c r="D1319" s="2" t="s">
        <v>16</v>
      </c>
      <c r="E1319" s="6" t="str">
        <f>IF(Table13[[#This Row],[Pre or Post]]="Pre",IF(IF(Table13[[#This Row],[Response]]="Male",0,1)+IF(Table13[[#This Row],[Response]]="Female",0,1)=2,E1318,Table13[[#This Row],[Response]]),"")</f>
        <v/>
      </c>
      <c r="F1319" s="1">
        <v>8</v>
      </c>
      <c r="G1319" s="1" t="s">
        <v>8</v>
      </c>
      <c r="H1319" s="2" t="s">
        <v>9</v>
      </c>
      <c r="I131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20" spans="1:11">
      <c r="A1320" s="2" t="s">
        <v>24</v>
      </c>
      <c r="B1320" s="2" t="s">
        <v>30</v>
      </c>
      <c r="C1320" s="1">
        <v>6</v>
      </c>
      <c r="D1320" s="2" t="s">
        <v>16</v>
      </c>
      <c r="E1320" s="6" t="str">
        <f>IF(Table13[[#This Row],[Pre or Post]]="Pre",IF(IF(Table13[[#This Row],[Response]]="Male",0,1)+IF(Table13[[#This Row],[Response]]="Female",0,1)=2,E1319,Table13[[#This Row],[Response]]),"")</f>
        <v/>
      </c>
      <c r="F1320" s="1">
        <v>9</v>
      </c>
      <c r="G1320" s="1" t="s">
        <v>17</v>
      </c>
      <c r="H1320" s="2" t="s">
        <v>9</v>
      </c>
      <c r="I132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21" spans="1:11">
      <c r="A1321" s="2" t="s">
        <v>24</v>
      </c>
      <c r="B1321" s="2" t="s">
        <v>30</v>
      </c>
      <c r="C1321" s="1">
        <v>6</v>
      </c>
      <c r="D1321" s="2" t="s">
        <v>16</v>
      </c>
      <c r="E1321" s="6" t="str">
        <f>IF(Table13[[#This Row],[Pre or Post]]="Pre",IF(IF(Table13[[#This Row],[Response]]="Male",0,1)+IF(Table13[[#This Row],[Response]]="Female",0,1)=2,E1320,Table13[[#This Row],[Response]]),"")</f>
        <v/>
      </c>
      <c r="F1321" s="1">
        <v>10</v>
      </c>
      <c r="G1321" s="1" t="s">
        <v>18</v>
      </c>
      <c r="H1321" s="2" t="s">
        <v>9</v>
      </c>
      <c r="I132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22" spans="1:11">
      <c r="A1322" s="2" t="s">
        <v>24</v>
      </c>
      <c r="B1322" s="2" t="s">
        <v>30</v>
      </c>
      <c r="C1322" s="1">
        <v>7</v>
      </c>
      <c r="D1322" s="2" t="s">
        <v>16</v>
      </c>
      <c r="E1322" s="6" t="str">
        <f>IF(Table13[[#This Row],[Pre or Post]]="Pre",IF(IF(Table13[[#This Row],[Response]]="Male",0,1)+IF(Table13[[#This Row],[Response]]="Female",0,1)=2,E1321,Table13[[#This Row],[Response]]),"")</f>
        <v/>
      </c>
      <c r="F1322" s="1">
        <v>2</v>
      </c>
      <c r="G1322" s="1">
        <v>4</v>
      </c>
      <c r="H1322" s="2" t="s">
        <v>9</v>
      </c>
      <c r="I132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23" spans="1:11">
      <c r="A1323" s="2" t="s">
        <v>24</v>
      </c>
      <c r="B1323" s="2" t="s">
        <v>30</v>
      </c>
      <c r="C1323" s="1">
        <v>7</v>
      </c>
      <c r="D1323" s="2" t="s">
        <v>16</v>
      </c>
      <c r="E1323" s="6" t="str">
        <f>IF(Table13[[#This Row],[Pre or Post]]="Pre",IF(IF(Table13[[#This Row],[Response]]="Male",0,1)+IF(Table13[[#This Row],[Response]]="Female",0,1)=2,E1322,Table13[[#This Row],[Response]]),"")</f>
        <v/>
      </c>
      <c r="F1323" s="1">
        <v>3</v>
      </c>
      <c r="G1323" s="1">
        <v>4</v>
      </c>
      <c r="H1323" s="2" t="s">
        <v>9</v>
      </c>
      <c r="I132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24" spans="1:11">
      <c r="A1324" s="2" t="s">
        <v>24</v>
      </c>
      <c r="B1324" s="2" t="s">
        <v>30</v>
      </c>
      <c r="C1324" s="1">
        <v>7</v>
      </c>
      <c r="D1324" s="2" t="s">
        <v>16</v>
      </c>
      <c r="E1324" s="6" t="str">
        <f>IF(Table13[[#This Row],[Pre or Post]]="Pre",IF(IF(Table13[[#This Row],[Response]]="Male",0,1)+IF(Table13[[#This Row],[Response]]="Female",0,1)=2,E1323,Table13[[#This Row],[Response]]),"")</f>
        <v/>
      </c>
      <c r="F1324" s="1">
        <v>4</v>
      </c>
      <c r="G1324" s="1">
        <v>4</v>
      </c>
      <c r="H1324" s="2" t="s">
        <v>9</v>
      </c>
      <c r="I132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25" spans="1:11">
      <c r="A1325" s="2" t="s">
        <v>24</v>
      </c>
      <c r="B1325" s="2" t="s">
        <v>30</v>
      </c>
      <c r="C1325" s="1">
        <v>7</v>
      </c>
      <c r="D1325" s="2" t="s">
        <v>16</v>
      </c>
      <c r="E1325" s="6" t="str">
        <f>IF(Table13[[#This Row],[Pre or Post]]="Pre",IF(IF(Table13[[#This Row],[Response]]="Male",0,1)+IF(Table13[[#This Row],[Response]]="Female",0,1)=2,E1324,Table13[[#This Row],[Response]]),"")</f>
        <v/>
      </c>
      <c r="F1325" s="1">
        <v>12</v>
      </c>
      <c r="G1325" s="1">
        <v>4</v>
      </c>
      <c r="H1325" s="2" t="s">
        <v>9</v>
      </c>
      <c r="I132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26" spans="1:11">
      <c r="A1326" s="2" t="s">
        <v>24</v>
      </c>
      <c r="B1326" s="2" t="s">
        <v>30</v>
      </c>
      <c r="C1326" s="1">
        <v>7</v>
      </c>
      <c r="D1326" s="2" t="s">
        <v>16</v>
      </c>
      <c r="E1326" s="6" t="str">
        <f>IF(Table13[[#This Row],[Pre or Post]]="Pre",IF(IF(Table13[[#This Row],[Response]]="Male",0,1)+IF(Table13[[#This Row],[Response]]="Female",0,1)=2,E1325,Table13[[#This Row],[Response]]),"")</f>
        <v/>
      </c>
      <c r="F1326" s="1">
        <v>13</v>
      </c>
      <c r="G1326" s="1">
        <v>4</v>
      </c>
      <c r="H1326" s="2" t="s">
        <v>9</v>
      </c>
      <c r="I132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27" spans="1:11">
      <c r="A1327" s="2" t="s">
        <v>24</v>
      </c>
      <c r="B1327" s="2" t="s">
        <v>30</v>
      </c>
      <c r="C1327" s="1">
        <v>7</v>
      </c>
      <c r="D1327" s="2" t="s">
        <v>16</v>
      </c>
      <c r="E1327" s="6" t="str">
        <f>IF(Table13[[#This Row],[Pre or Post]]="Pre",IF(IF(Table13[[#This Row],[Response]]="Male",0,1)+IF(Table13[[#This Row],[Response]]="Female",0,1)=2,E1326,Table13[[#This Row],[Response]]),"")</f>
        <v/>
      </c>
      <c r="F1327" s="1">
        <v>5</v>
      </c>
      <c r="G1327" s="1">
        <v>5</v>
      </c>
      <c r="H1327" s="2" t="s">
        <v>9</v>
      </c>
      <c r="I132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28" spans="1:11">
      <c r="A1328" s="2" t="s">
        <v>24</v>
      </c>
      <c r="B1328" s="2" t="s">
        <v>30</v>
      </c>
      <c r="C1328" s="1">
        <v>7</v>
      </c>
      <c r="D1328" s="2" t="s">
        <v>16</v>
      </c>
      <c r="E1328" s="6" t="str">
        <f>IF(Table13[[#This Row],[Pre or Post]]="Pre",IF(IF(Table13[[#This Row],[Response]]="Male",0,1)+IF(Table13[[#This Row],[Response]]="Female",0,1)=2,E1327,Table13[[#This Row],[Response]]),"")</f>
        <v/>
      </c>
      <c r="F1328" s="1">
        <v>6</v>
      </c>
      <c r="G1328" s="1">
        <v>5</v>
      </c>
      <c r="H1328" s="2" t="s">
        <v>9</v>
      </c>
      <c r="I132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29" spans="1:11">
      <c r="A1329" s="2" t="s">
        <v>24</v>
      </c>
      <c r="B1329" s="2" t="s">
        <v>30</v>
      </c>
      <c r="C1329" s="1">
        <v>7</v>
      </c>
      <c r="D1329" s="2" t="s">
        <v>16</v>
      </c>
      <c r="E1329" s="6" t="str">
        <f>IF(Table13[[#This Row],[Pre or Post]]="Pre",IF(IF(Table13[[#This Row],[Response]]="Male",0,1)+IF(Table13[[#This Row],[Response]]="Female",0,1)=2,E1328,Table13[[#This Row],[Response]]),"")</f>
        <v/>
      </c>
      <c r="F1329" s="1">
        <v>15</v>
      </c>
      <c r="G1329" s="1">
        <v>5</v>
      </c>
      <c r="H1329" s="2" t="s">
        <v>9</v>
      </c>
      <c r="I132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30" spans="1:11">
      <c r="A1330" s="2" t="s">
        <v>24</v>
      </c>
      <c r="B1330" s="2" t="s">
        <v>30</v>
      </c>
      <c r="C1330" s="1">
        <v>7</v>
      </c>
      <c r="D1330" s="2" t="s">
        <v>16</v>
      </c>
      <c r="E1330" s="6" t="str">
        <f>IF(Table13[[#This Row],[Pre or Post]]="Pre",IF(IF(Table13[[#This Row],[Response]]="Male",0,1)+IF(Table13[[#This Row],[Response]]="Female",0,1)=2,E1329,Table13[[#This Row],[Response]]),"")</f>
        <v/>
      </c>
      <c r="F1330" s="1">
        <v>14</v>
      </c>
      <c r="G1330" s="1">
        <v>5</v>
      </c>
      <c r="H1330" s="2" t="s">
        <v>9</v>
      </c>
      <c r="I133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31" spans="1:11">
      <c r="A1331" s="2" t="s">
        <v>24</v>
      </c>
      <c r="B1331" s="2" t="s">
        <v>30</v>
      </c>
      <c r="C1331" s="1">
        <v>7</v>
      </c>
      <c r="D1331" s="2" t="s">
        <v>16</v>
      </c>
      <c r="E1331" s="6" t="str">
        <f>IF(Table13[[#This Row],[Pre or Post]]="Pre",IF(IF(Table13[[#This Row],[Response]]="Male",0,1)+IF(Table13[[#This Row],[Response]]="Female",0,1)=2,E1330,Table13[[#This Row],[Response]]),"")</f>
        <v/>
      </c>
      <c r="F1331" s="1">
        <v>7</v>
      </c>
      <c r="G1331" s="1">
        <v>5</v>
      </c>
      <c r="H1331" s="2" t="s">
        <v>9</v>
      </c>
      <c r="I133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32" spans="1:11">
      <c r="A1332" s="2" t="s">
        <v>24</v>
      </c>
      <c r="B1332" s="2" t="s">
        <v>30</v>
      </c>
      <c r="C1332" s="1">
        <v>7</v>
      </c>
      <c r="D1332" s="2" t="s">
        <v>16</v>
      </c>
      <c r="E1332" s="6" t="str">
        <f>IF(Table13[[#This Row],[Pre or Post]]="Pre",IF(IF(Table13[[#This Row],[Response]]="Male",0,1)+IF(Table13[[#This Row],[Response]]="Female",0,1)=2,E1331,Table13[[#This Row],[Response]]),"")</f>
        <v/>
      </c>
      <c r="F1332" s="1">
        <v>16</v>
      </c>
      <c r="G1332" s="1">
        <v>5</v>
      </c>
      <c r="H1332" s="2" t="s">
        <v>9</v>
      </c>
      <c r="I133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33" spans="1:11">
      <c r="A1333" s="2" t="s">
        <v>24</v>
      </c>
      <c r="B1333" s="2" t="s">
        <v>30</v>
      </c>
      <c r="C1333" s="1">
        <v>7</v>
      </c>
      <c r="D1333" s="2" t="s">
        <v>16</v>
      </c>
      <c r="E1333" s="6" t="str">
        <f>IF(Table13[[#This Row],[Pre or Post]]="Pre",IF(IF(Table13[[#This Row],[Response]]="Male",0,1)+IF(Table13[[#This Row],[Response]]="Female",0,1)=2,E1332,Table13[[#This Row],[Response]]),"")</f>
        <v/>
      </c>
      <c r="F1333" s="1">
        <v>17</v>
      </c>
      <c r="G1333" s="1">
        <v>5</v>
      </c>
      <c r="H1333" s="2" t="s">
        <v>9</v>
      </c>
      <c r="I133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34" spans="1:11">
      <c r="A1334" s="2" t="s">
        <v>24</v>
      </c>
      <c r="B1334" s="2" t="s">
        <v>30</v>
      </c>
      <c r="C1334" s="1">
        <v>7</v>
      </c>
      <c r="D1334" s="2" t="s">
        <v>16</v>
      </c>
      <c r="E1334" s="6" t="str">
        <f>IF(Table13[[#This Row],[Pre or Post]]="Pre",IF(IF(Table13[[#This Row],[Response]]="Male",0,1)+IF(Table13[[#This Row],[Response]]="Female",0,1)=2,E1333,Table13[[#This Row],[Response]]),"")</f>
        <v/>
      </c>
      <c r="F1334" s="1">
        <v>8</v>
      </c>
      <c r="G1334" s="1" t="s">
        <v>8</v>
      </c>
      <c r="H1334" s="2" t="s">
        <v>9</v>
      </c>
      <c r="I133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35" spans="1:11">
      <c r="A1335" s="2" t="s">
        <v>24</v>
      </c>
      <c r="B1335" s="2" t="s">
        <v>30</v>
      </c>
      <c r="C1335" s="1">
        <v>7</v>
      </c>
      <c r="D1335" s="2" t="s">
        <v>16</v>
      </c>
      <c r="E1335" s="6" t="str">
        <f>IF(Table13[[#This Row],[Pre or Post]]="Pre",IF(IF(Table13[[#This Row],[Response]]="Male",0,1)+IF(Table13[[#This Row],[Response]]="Female",0,1)=2,E1334,Table13[[#This Row],[Response]]),"")</f>
        <v/>
      </c>
      <c r="F1335" s="1">
        <v>9</v>
      </c>
      <c r="G1335" s="1" t="s">
        <v>17</v>
      </c>
      <c r="H1335" s="2" t="s">
        <v>9</v>
      </c>
      <c r="I133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36" spans="1:11">
      <c r="A1336" s="2" t="s">
        <v>24</v>
      </c>
      <c r="B1336" s="2" t="s">
        <v>30</v>
      </c>
      <c r="C1336" s="1">
        <v>7</v>
      </c>
      <c r="D1336" s="2" t="s">
        <v>16</v>
      </c>
      <c r="E1336" s="6" t="str">
        <f>IF(Table13[[#This Row],[Pre or Post]]="Pre",IF(IF(Table13[[#This Row],[Response]]="Male",0,1)+IF(Table13[[#This Row],[Response]]="Female",0,1)=2,E1335,Table13[[#This Row],[Response]]),"")</f>
        <v/>
      </c>
      <c r="F1336" s="1">
        <v>10</v>
      </c>
      <c r="G1336" s="1" t="s">
        <v>18</v>
      </c>
      <c r="H1336" s="2" t="s">
        <v>9</v>
      </c>
      <c r="I133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37" spans="1:11">
      <c r="A1337" s="2" t="s">
        <v>24</v>
      </c>
      <c r="B1337" s="2" t="s">
        <v>30</v>
      </c>
      <c r="C1337" s="1">
        <v>8</v>
      </c>
      <c r="D1337" s="2" t="s">
        <v>16</v>
      </c>
      <c r="E1337" s="6" t="str">
        <f>IF(Table13[[#This Row],[Pre or Post]]="Pre",IF(IF(Table13[[#This Row],[Response]]="Male",0,1)+IF(Table13[[#This Row],[Response]]="Female",0,1)=2,E1336,Table13[[#This Row],[Response]]),"")</f>
        <v/>
      </c>
      <c r="F1337" s="1">
        <v>2</v>
      </c>
      <c r="G1337" s="1">
        <v>3</v>
      </c>
      <c r="H1337" s="2" t="s">
        <v>9</v>
      </c>
      <c r="I133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38" spans="1:11">
      <c r="A1338" s="2" t="s">
        <v>24</v>
      </c>
      <c r="B1338" s="2" t="s">
        <v>30</v>
      </c>
      <c r="C1338" s="1">
        <v>8</v>
      </c>
      <c r="D1338" s="2" t="s">
        <v>16</v>
      </c>
      <c r="E1338" s="6" t="str">
        <f>IF(Table13[[#This Row],[Pre or Post]]="Pre",IF(IF(Table13[[#This Row],[Response]]="Male",0,1)+IF(Table13[[#This Row],[Response]]="Female",0,1)=2,E1337,Table13[[#This Row],[Response]]),"")</f>
        <v/>
      </c>
      <c r="F1338" s="1">
        <v>3</v>
      </c>
      <c r="G1338" s="1">
        <v>3</v>
      </c>
      <c r="H1338" s="2" t="s">
        <v>9</v>
      </c>
      <c r="I133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39" spans="1:11">
      <c r="A1339" s="2" t="s">
        <v>24</v>
      </c>
      <c r="B1339" s="2" t="s">
        <v>30</v>
      </c>
      <c r="C1339" s="1">
        <v>8</v>
      </c>
      <c r="D1339" s="2" t="s">
        <v>16</v>
      </c>
      <c r="E1339" s="6" t="str">
        <f>IF(Table13[[#This Row],[Pre or Post]]="Pre",IF(IF(Table13[[#This Row],[Response]]="Male",0,1)+IF(Table13[[#This Row],[Response]]="Female",0,1)=2,E1338,Table13[[#This Row],[Response]]),"")</f>
        <v/>
      </c>
      <c r="F1339" s="1">
        <v>4</v>
      </c>
      <c r="G1339" s="1">
        <v>4</v>
      </c>
      <c r="H1339" s="2" t="s">
        <v>9</v>
      </c>
      <c r="I133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40" spans="1:11">
      <c r="A1340" s="2" t="s">
        <v>24</v>
      </c>
      <c r="B1340" s="2" t="s">
        <v>30</v>
      </c>
      <c r="C1340" s="1">
        <v>8</v>
      </c>
      <c r="D1340" s="2" t="s">
        <v>16</v>
      </c>
      <c r="E1340" s="6" t="str">
        <f>IF(Table13[[#This Row],[Pre or Post]]="Pre",IF(IF(Table13[[#This Row],[Response]]="Male",0,1)+IF(Table13[[#This Row],[Response]]="Female",0,1)=2,E1339,Table13[[#This Row],[Response]]),"")</f>
        <v/>
      </c>
      <c r="F1340" s="1">
        <v>12</v>
      </c>
      <c r="G1340" s="1">
        <v>3</v>
      </c>
      <c r="H1340" s="2" t="s">
        <v>9</v>
      </c>
      <c r="I134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41" spans="1:11">
      <c r="A1341" s="2" t="s">
        <v>24</v>
      </c>
      <c r="B1341" s="2" t="s">
        <v>30</v>
      </c>
      <c r="C1341" s="1">
        <v>8</v>
      </c>
      <c r="D1341" s="2" t="s">
        <v>16</v>
      </c>
      <c r="E1341" s="6" t="str">
        <f>IF(Table13[[#This Row],[Pre or Post]]="Pre",IF(IF(Table13[[#This Row],[Response]]="Male",0,1)+IF(Table13[[#This Row],[Response]]="Female",0,1)=2,E1340,Table13[[#This Row],[Response]]),"")</f>
        <v/>
      </c>
      <c r="F1341" s="1">
        <v>13</v>
      </c>
      <c r="G1341" s="1">
        <v>4</v>
      </c>
      <c r="H1341" s="2" t="s">
        <v>9</v>
      </c>
      <c r="I134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42" spans="1:11">
      <c r="A1342" s="2" t="s">
        <v>24</v>
      </c>
      <c r="B1342" s="2" t="s">
        <v>30</v>
      </c>
      <c r="C1342" s="1">
        <v>8</v>
      </c>
      <c r="D1342" s="2" t="s">
        <v>16</v>
      </c>
      <c r="E1342" s="6" t="str">
        <f>IF(Table13[[#This Row],[Pre or Post]]="Pre",IF(IF(Table13[[#This Row],[Response]]="Male",0,1)+IF(Table13[[#This Row],[Response]]="Female",0,1)=2,E1341,Table13[[#This Row],[Response]]),"")</f>
        <v/>
      </c>
      <c r="F1342" s="1">
        <v>5</v>
      </c>
      <c r="G1342" s="1">
        <v>5</v>
      </c>
      <c r="H1342" s="2" t="s">
        <v>9</v>
      </c>
      <c r="I134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43" spans="1:11">
      <c r="A1343" s="2" t="s">
        <v>24</v>
      </c>
      <c r="B1343" s="2" t="s">
        <v>30</v>
      </c>
      <c r="C1343" s="1">
        <v>8</v>
      </c>
      <c r="D1343" s="2" t="s">
        <v>16</v>
      </c>
      <c r="E1343" s="6" t="str">
        <f>IF(Table13[[#This Row],[Pre or Post]]="Pre",IF(IF(Table13[[#This Row],[Response]]="Male",0,1)+IF(Table13[[#This Row],[Response]]="Female",0,1)=2,E1342,Table13[[#This Row],[Response]]),"")</f>
        <v/>
      </c>
      <c r="F1343" s="1">
        <v>6</v>
      </c>
      <c r="G1343" s="1">
        <v>4</v>
      </c>
      <c r="H1343" s="2" t="s">
        <v>9</v>
      </c>
      <c r="I134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44" spans="1:11">
      <c r="A1344" s="2" t="s">
        <v>24</v>
      </c>
      <c r="B1344" s="2" t="s">
        <v>30</v>
      </c>
      <c r="C1344" s="1">
        <v>8</v>
      </c>
      <c r="D1344" s="2" t="s">
        <v>16</v>
      </c>
      <c r="E1344" s="6" t="str">
        <f>IF(Table13[[#This Row],[Pre or Post]]="Pre",IF(IF(Table13[[#This Row],[Response]]="Male",0,1)+IF(Table13[[#This Row],[Response]]="Female",0,1)=2,E1343,Table13[[#This Row],[Response]]),"")</f>
        <v/>
      </c>
      <c r="F1344" s="1">
        <v>15</v>
      </c>
      <c r="G1344" s="1">
        <v>3</v>
      </c>
      <c r="H1344" s="2" t="s">
        <v>9</v>
      </c>
      <c r="I134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45" spans="1:11">
      <c r="A1345" s="2" t="s">
        <v>24</v>
      </c>
      <c r="B1345" s="2" t="s">
        <v>30</v>
      </c>
      <c r="C1345" s="1">
        <v>8</v>
      </c>
      <c r="D1345" s="2" t="s">
        <v>16</v>
      </c>
      <c r="E1345" s="6" t="str">
        <f>IF(Table13[[#This Row],[Pre or Post]]="Pre",IF(IF(Table13[[#This Row],[Response]]="Male",0,1)+IF(Table13[[#This Row],[Response]]="Female",0,1)=2,E1344,Table13[[#This Row],[Response]]),"")</f>
        <v/>
      </c>
      <c r="F1345" s="1">
        <v>14</v>
      </c>
      <c r="G1345" s="1">
        <v>4</v>
      </c>
      <c r="H1345" s="2" t="s">
        <v>9</v>
      </c>
      <c r="I134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46" spans="1:11">
      <c r="A1346" s="2" t="s">
        <v>24</v>
      </c>
      <c r="B1346" s="2" t="s">
        <v>30</v>
      </c>
      <c r="C1346" s="1">
        <v>8</v>
      </c>
      <c r="D1346" s="2" t="s">
        <v>16</v>
      </c>
      <c r="E1346" s="6" t="str">
        <f>IF(Table13[[#This Row],[Pre or Post]]="Pre",IF(IF(Table13[[#This Row],[Response]]="Male",0,1)+IF(Table13[[#This Row],[Response]]="Female",0,1)=2,E1345,Table13[[#This Row],[Response]]),"")</f>
        <v/>
      </c>
      <c r="F1346" s="1">
        <v>7</v>
      </c>
      <c r="G1346" s="1">
        <v>4</v>
      </c>
      <c r="H1346" s="2" t="s">
        <v>9</v>
      </c>
      <c r="I134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47" spans="1:11">
      <c r="A1347" s="2" t="s">
        <v>24</v>
      </c>
      <c r="B1347" s="2" t="s">
        <v>30</v>
      </c>
      <c r="C1347" s="1">
        <v>8</v>
      </c>
      <c r="D1347" s="2" t="s">
        <v>16</v>
      </c>
      <c r="E1347" s="6" t="str">
        <f>IF(Table13[[#This Row],[Pre or Post]]="Pre",IF(IF(Table13[[#This Row],[Response]]="Male",0,1)+IF(Table13[[#This Row],[Response]]="Female",0,1)=2,E1346,Table13[[#This Row],[Response]]),"")</f>
        <v/>
      </c>
      <c r="F1347" s="1">
        <v>16</v>
      </c>
      <c r="G1347" s="1">
        <v>4</v>
      </c>
      <c r="H1347" s="2" t="s">
        <v>9</v>
      </c>
      <c r="I134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48" spans="1:11">
      <c r="A1348" s="2" t="s">
        <v>24</v>
      </c>
      <c r="B1348" s="2" t="s">
        <v>30</v>
      </c>
      <c r="C1348" s="1">
        <v>8</v>
      </c>
      <c r="D1348" s="2" t="s">
        <v>16</v>
      </c>
      <c r="E1348" s="6" t="str">
        <f>IF(Table13[[#This Row],[Pre or Post]]="Pre",IF(IF(Table13[[#This Row],[Response]]="Male",0,1)+IF(Table13[[#This Row],[Response]]="Female",0,1)=2,E1347,Table13[[#This Row],[Response]]),"")</f>
        <v/>
      </c>
      <c r="F1348" s="1">
        <v>17</v>
      </c>
      <c r="G1348" s="1">
        <v>4</v>
      </c>
      <c r="H1348" s="2" t="s">
        <v>9</v>
      </c>
      <c r="I134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49" spans="1:11">
      <c r="A1349" s="2" t="s">
        <v>24</v>
      </c>
      <c r="B1349" s="2" t="s">
        <v>30</v>
      </c>
      <c r="C1349" s="1">
        <v>8</v>
      </c>
      <c r="D1349" s="2" t="s">
        <v>16</v>
      </c>
      <c r="E1349" s="6" t="str">
        <f>IF(Table13[[#This Row],[Pre or Post]]="Pre",IF(IF(Table13[[#This Row],[Response]]="Male",0,1)+IF(Table13[[#This Row],[Response]]="Female",0,1)=2,E1348,Table13[[#This Row],[Response]]),"")</f>
        <v/>
      </c>
      <c r="F1349" s="1">
        <v>8</v>
      </c>
      <c r="G1349" s="1" t="s">
        <v>8</v>
      </c>
      <c r="H1349" s="2" t="s">
        <v>9</v>
      </c>
      <c r="I134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50" spans="1:11">
      <c r="A1350" s="2" t="s">
        <v>24</v>
      </c>
      <c r="B1350" s="2" t="s">
        <v>30</v>
      </c>
      <c r="C1350" s="1">
        <v>8</v>
      </c>
      <c r="D1350" s="2" t="s">
        <v>16</v>
      </c>
      <c r="E1350" s="6" t="str">
        <f>IF(Table13[[#This Row],[Pre or Post]]="Pre",IF(IF(Table13[[#This Row],[Response]]="Male",0,1)+IF(Table13[[#This Row],[Response]]="Female",0,1)=2,E1349,Table13[[#This Row],[Response]]),"")</f>
        <v/>
      </c>
      <c r="F1350" s="1">
        <v>9</v>
      </c>
      <c r="G1350" s="1" t="s">
        <v>17</v>
      </c>
      <c r="H1350" s="2" t="s">
        <v>9</v>
      </c>
      <c r="I135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51" spans="1:11">
      <c r="A1351" s="2" t="s">
        <v>24</v>
      </c>
      <c r="B1351" s="2" t="s">
        <v>30</v>
      </c>
      <c r="C1351" s="1">
        <v>8</v>
      </c>
      <c r="D1351" s="2" t="s">
        <v>16</v>
      </c>
      <c r="E1351" s="6" t="str">
        <f>IF(Table13[[#This Row],[Pre or Post]]="Pre",IF(IF(Table13[[#This Row],[Response]]="Male",0,1)+IF(Table13[[#This Row],[Response]]="Female",0,1)=2,E1350,Table13[[#This Row],[Response]]),"")</f>
        <v/>
      </c>
      <c r="F1351" s="1">
        <v>10</v>
      </c>
      <c r="G1351" s="1" t="s">
        <v>19</v>
      </c>
      <c r="H1351" s="2" t="s">
        <v>9</v>
      </c>
      <c r="I135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52" spans="1:11">
      <c r="A1352" s="2" t="s">
        <v>24</v>
      </c>
      <c r="B1352" s="2" t="s">
        <v>30</v>
      </c>
      <c r="C1352" s="1">
        <v>9</v>
      </c>
      <c r="D1352" s="2" t="s">
        <v>16</v>
      </c>
      <c r="E1352" s="6" t="str">
        <f>IF(Table13[[#This Row],[Pre or Post]]="Pre",IF(IF(Table13[[#This Row],[Response]]="Male",0,1)+IF(Table13[[#This Row],[Response]]="Female",0,1)=2,E1351,Table13[[#This Row],[Response]]),"")</f>
        <v/>
      </c>
      <c r="F1352" s="1">
        <v>2</v>
      </c>
      <c r="G1352" s="1">
        <v>4</v>
      </c>
      <c r="H1352" s="2" t="s">
        <v>9</v>
      </c>
      <c r="I135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53" spans="1:11">
      <c r="A1353" s="2" t="s">
        <v>24</v>
      </c>
      <c r="B1353" s="2" t="s">
        <v>30</v>
      </c>
      <c r="C1353" s="1">
        <v>9</v>
      </c>
      <c r="D1353" s="2" t="s">
        <v>16</v>
      </c>
      <c r="E1353" s="6" t="str">
        <f>IF(Table13[[#This Row],[Pre or Post]]="Pre",IF(IF(Table13[[#This Row],[Response]]="Male",0,1)+IF(Table13[[#This Row],[Response]]="Female",0,1)=2,E1352,Table13[[#This Row],[Response]]),"")</f>
        <v/>
      </c>
      <c r="F1353" s="1">
        <v>3</v>
      </c>
      <c r="G1353" s="1">
        <v>3</v>
      </c>
      <c r="H1353" s="2" t="s">
        <v>9</v>
      </c>
      <c r="I135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54" spans="1:11">
      <c r="A1354" s="2" t="s">
        <v>24</v>
      </c>
      <c r="B1354" s="2" t="s">
        <v>30</v>
      </c>
      <c r="C1354" s="1">
        <v>9</v>
      </c>
      <c r="D1354" s="2" t="s">
        <v>16</v>
      </c>
      <c r="E1354" s="6" t="str">
        <f>IF(Table13[[#This Row],[Pre or Post]]="Pre",IF(IF(Table13[[#This Row],[Response]]="Male",0,1)+IF(Table13[[#This Row],[Response]]="Female",0,1)=2,E1353,Table13[[#This Row],[Response]]),"")</f>
        <v/>
      </c>
      <c r="F1354" s="1">
        <v>4</v>
      </c>
      <c r="G1354" s="1">
        <v>4</v>
      </c>
      <c r="H1354" s="2" t="s">
        <v>9</v>
      </c>
      <c r="I135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55" spans="1:11">
      <c r="A1355" s="2" t="s">
        <v>24</v>
      </c>
      <c r="B1355" s="2" t="s">
        <v>30</v>
      </c>
      <c r="C1355" s="1">
        <v>9</v>
      </c>
      <c r="D1355" s="2" t="s">
        <v>16</v>
      </c>
      <c r="E1355" s="6" t="str">
        <f>IF(Table13[[#This Row],[Pre or Post]]="Pre",IF(IF(Table13[[#This Row],[Response]]="Male",0,1)+IF(Table13[[#This Row],[Response]]="Female",0,1)=2,E1354,Table13[[#This Row],[Response]]),"")</f>
        <v/>
      </c>
      <c r="F1355" s="1">
        <v>12</v>
      </c>
      <c r="G1355" s="1"/>
      <c r="H1355" s="2" t="s">
        <v>9</v>
      </c>
      <c r="I135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56" spans="1:11">
      <c r="A1356" s="2" t="s">
        <v>24</v>
      </c>
      <c r="B1356" s="2" t="s">
        <v>30</v>
      </c>
      <c r="C1356" s="1">
        <v>9</v>
      </c>
      <c r="D1356" s="2" t="s">
        <v>16</v>
      </c>
      <c r="E1356" s="6" t="str">
        <f>IF(Table13[[#This Row],[Pre or Post]]="Pre",IF(IF(Table13[[#This Row],[Response]]="Male",0,1)+IF(Table13[[#This Row],[Response]]="Female",0,1)=2,E1355,Table13[[#This Row],[Response]]),"")</f>
        <v/>
      </c>
      <c r="F1356" s="1">
        <v>13</v>
      </c>
      <c r="G1356" s="1">
        <v>3</v>
      </c>
      <c r="H1356" s="2" t="s">
        <v>9</v>
      </c>
      <c r="I135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57" spans="1:11">
      <c r="A1357" s="2" t="s">
        <v>24</v>
      </c>
      <c r="B1357" s="2" t="s">
        <v>30</v>
      </c>
      <c r="C1357" s="1">
        <v>9</v>
      </c>
      <c r="D1357" s="2" t="s">
        <v>16</v>
      </c>
      <c r="E1357" s="6" t="str">
        <f>IF(Table13[[#This Row],[Pre or Post]]="Pre",IF(IF(Table13[[#This Row],[Response]]="Male",0,1)+IF(Table13[[#This Row],[Response]]="Female",0,1)=2,E1356,Table13[[#This Row],[Response]]),"")</f>
        <v/>
      </c>
      <c r="F1357" s="1">
        <v>5</v>
      </c>
      <c r="G1357" s="1">
        <v>3</v>
      </c>
      <c r="H1357" s="2" t="s">
        <v>9</v>
      </c>
      <c r="I135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58" spans="1:11">
      <c r="A1358" s="2" t="s">
        <v>24</v>
      </c>
      <c r="B1358" s="2" t="s">
        <v>30</v>
      </c>
      <c r="C1358" s="1">
        <v>9</v>
      </c>
      <c r="D1358" s="2" t="s">
        <v>16</v>
      </c>
      <c r="E1358" s="6" t="str">
        <f>IF(Table13[[#This Row],[Pre or Post]]="Pre",IF(IF(Table13[[#This Row],[Response]]="Male",0,1)+IF(Table13[[#This Row],[Response]]="Female",0,1)=2,E1357,Table13[[#This Row],[Response]]),"")</f>
        <v/>
      </c>
      <c r="F1358" s="1">
        <v>6</v>
      </c>
      <c r="G1358" s="1">
        <v>5</v>
      </c>
      <c r="H1358" s="2" t="s">
        <v>9</v>
      </c>
      <c r="I135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59" spans="1:11">
      <c r="A1359" s="2" t="s">
        <v>24</v>
      </c>
      <c r="B1359" s="2" t="s">
        <v>30</v>
      </c>
      <c r="C1359" s="1">
        <v>9</v>
      </c>
      <c r="D1359" s="2" t="s">
        <v>16</v>
      </c>
      <c r="E1359" s="6" t="str">
        <f>IF(Table13[[#This Row],[Pre or Post]]="Pre",IF(IF(Table13[[#This Row],[Response]]="Male",0,1)+IF(Table13[[#This Row],[Response]]="Female",0,1)=2,E1358,Table13[[#This Row],[Response]]),"")</f>
        <v/>
      </c>
      <c r="F1359" s="1">
        <v>15</v>
      </c>
      <c r="G1359" s="1"/>
      <c r="H1359" s="2" t="s">
        <v>9</v>
      </c>
      <c r="I135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60" spans="1:11">
      <c r="A1360" s="2" t="s">
        <v>24</v>
      </c>
      <c r="B1360" s="2" t="s">
        <v>30</v>
      </c>
      <c r="C1360" s="1">
        <v>9</v>
      </c>
      <c r="D1360" s="2" t="s">
        <v>16</v>
      </c>
      <c r="E1360" s="6" t="str">
        <f>IF(Table13[[#This Row],[Pre or Post]]="Pre",IF(IF(Table13[[#This Row],[Response]]="Male",0,1)+IF(Table13[[#This Row],[Response]]="Female",0,1)=2,E1359,Table13[[#This Row],[Response]]),"")</f>
        <v/>
      </c>
      <c r="F1360" s="1">
        <v>14</v>
      </c>
      <c r="G1360" s="1">
        <v>4</v>
      </c>
      <c r="H1360" s="2" t="s">
        <v>9</v>
      </c>
      <c r="I136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61" spans="1:11">
      <c r="A1361" s="2" t="s">
        <v>24</v>
      </c>
      <c r="B1361" s="2" t="s">
        <v>30</v>
      </c>
      <c r="C1361" s="1">
        <v>9</v>
      </c>
      <c r="D1361" s="2" t="s">
        <v>16</v>
      </c>
      <c r="E1361" s="6" t="str">
        <f>IF(Table13[[#This Row],[Pre or Post]]="Pre",IF(IF(Table13[[#This Row],[Response]]="Male",0,1)+IF(Table13[[#This Row],[Response]]="Female",0,1)=2,E1360,Table13[[#This Row],[Response]]),"")</f>
        <v/>
      </c>
      <c r="F1361" s="1">
        <v>7</v>
      </c>
      <c r="G1361" s="1">
        <v>4</v>
      </c>
      <c r="H1361" s="2" t="s">
        <v>9</v>
      </c>
      <c r="I136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62" spans="1:11">
      <c r="A1362" s="2" t="s">
        <v>24</v>
      </c>
      <c r="B1362" s="2" t="s">
        <v>30</v>
      </c>
      <c r="C1362" s="1">
        <v>9</v>
      </c>
      <c r="D1362" s="2" t="s">
        <v>16</v>
      </c>
      <c r="E1362" s="6" t="str">
        <f>IF(Table13[[#This Row],[Pre or Post]]="Pre",IF(IF(Table13[[#This Row],[Response]]="Male",0,1)+IF(Table13[[#This Row],[Response]]="Female",0,1)=2,E1361,Table13[[#This Row],[Response]]),"")</f>
        <v/>
      </c>
      <c r="F1362" s="1">
        <v>16</v>
      </c>
      <c r="G1362" s="1">
        <v>2</v>
      </c>
      <c r="H1362" s="2" t="s">
        <v>9</v>
      </c>
      <c r="I136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63" spans="1:11">
      <c r="A1363" s="2" t="s">
        <v>24</v>
      </c>
      <c r="B1363" s="2" t="s">
        <v>30</v>
      </c>
      <c r="C1363" s="1">
        <v>9</v>
      </c>
      <c r="D1363" s="2" t="s">
        <v>16</v>
      </c>
      <c r="E1363" s="6" t="str">
        <f>IF(Table13[[#This Row],[Pre or Post]]="Pre",IF(IF(Table13[[#This Row],[Response]]="Male",0,1)+IF(Table13[[#This Row],[Response]]="Female",0,1)=2,E1362,Table13[[#This Row],[Response]]),"")</f>
        <v/>
      </c>
      <c r="F1363" s="1">
        <v>17</v>
      </c>
      <c r="G1363" s="1">
        <v>4</v>
      </c>
      <c r="H1363" s="2" t="s">
        <v>9</v>
      </c>
      <c r="I136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64" spans="1:11">
      <c r="A1364" s="2" t="s">
        <v>24</v>
      </c>
      <c r="B1364" s="2" t="s">
        <v>30</v>
      </c>
      <c r="C1364" s="1">
        <v>9</v>
      </c>
      <c r="D1364" s="2" t="s">
        <v>16</v>
      </c>
      <c r="E1364" s="6" t="str">
        <f>IF(Table13[[#This Row],[Pre or Post]]="Pre",IF(IF(Table13[[#This Row],[Response]]="Male",0,1)+IF(Table13[[#This Row],[Response]]="Female",0,1)=2,E1363,Table13[[#This Row],[Response]]),"")</f>
        <v/>
      </c>
      <c r="F1364" s="1">
        <v>8</v>
      </c>
      <c r="G1364" s="1" t="s">
        <v>8</v>
      </c>
      <c r="H1364" s="2" t="s">
        <v>9</v>
      </c>
      <c r="I136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65" spans="1:11">
      <c r="A1365" s="2" t="s">
        <v>24</v>
      </c>
      <c r="B1365" s="2" t="s">
        <v>30</v>
      </c>
      <c r="C1365" s="1">
        <v>9</v>
      </c>
      <c r="D1365" s="2" t="s">
        <v>16</v>
      </c>
      <c r="E1365" s="6" t="str">
        <f>IF(Table13[[#This Row],[Pre or Post]]="Pre",IF(IF(Table13[[#This Row],[Response]]="Male",0,1)+IF(Table13[[#This Row],[Response]]="Female",0,1)=2,E1364,Table13[[#This Row],[Response]]),"")</f>
        <v/>
      </c>
      <c r="F1365" s="1">
        <v>9</v>
      </c>
      <c r="G1365" s="1" t="s">
        <v>17</v>
      </c>
      <c r="H1365" s="2" t="s">
        <v>9</v>
      </c>
      <c r="I136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66" spans="1:11">
      <c r="A1366" s="2" t="s">
        <v>24</v>
      </c>
      <c r="B1366" s="2" t="s">
        <v>30</v>
      </c>
      <c r="C1366" s="1">
        <v>9</v>
      </c>
      <c r="D1366" s="2" t="s">
        <v>16</v>
      </c>
      <c r="E1366" s="6" t="str">
        <f>IF(Table13[[#This Row],[Pre or Post]]="Pre",IF(IF(Table13[[#This Row],[Response]]="Male",0,1)+IF(Table13[[#This Row],[Response]]="Female",0,1)=2,E1365,Table13[[#This Row],[Response]]),"")</f>
        <v/>
      </c>
      <c r="F1366" s="1">
        <v>10</v>
      </c>
      <c r="G1366" s="1" t="s">
        <v>19</v>
      </c>
      <c r="H1366" s="2" t="s">
        <v>9</v>
      </c>
      <c r="I136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67" spans="1:11">
      <c r="A1367" s="2" t="s">
        <v>24</v>
      </c>
      <c r="B1367" s="2" t="s">
        <v>30</v>
      </c>
      <c r="C1367" s="1">
        <v>10</v>
      </c>
      <c r="D1367" s="2" t="s">
        <v>16</v>
      </c>
      <c r="E1367" s="6" t="str">
        <f>IF(Table13[[#This Row],[Pre or Post]]="Pre",IF(IF(Table13[[#This Row],[Response]]="Male",0,1)+IF(Table13[[#This Row],[Response]]="Female",0,1)=2,E1366,Table13[[#This Row],[Response]]),"")</f>
        <v/>
      </c>
      <c r="F1367" s="1">
        <v>2</v>
      </c>
      <c r="G1367" s="1">
        <v>3</v>
      </c>
      <c r="H1367" s="2" t="s">
        <v>9</v>
      </c>
      <c r="I136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68" spans="1:11">
      <c r="A1368" s="2" t="s">
        <v>24</v>
      </c>
      <c r="B1368" s="2" t="s">
        <v>30</v>
      </c>
      <c r="C1368" s="1">
        <v>10</v>
      </c>
      <c r="D1368" s="2" t="s">
        <v>16</v>
      </c>
      <c r="E1368" s="6" t="str">
        <f>IF(Table13[[#This Row],[Pre or Post]]="Pre",IF(IF(Table13[[#This Row],[Response]]="Male",0,1)+IF(Table13[[#This Row],[Response]]="Female",0,1)=2,E1367,Table13[[#This Row],[Response]]),"")</f>
        <v/>
      </c>
      <c r="F1368" s="1">
        <v>3</v>
      </c>
      <c r="G1368" s="1">
        <v>3</v>
      </c>
      <c r="H1368" s="2" t="s">
        <v>9</v>
      </c>
      <c r="I136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69" spans="1:11">
      <c r="A1369" s="2" t="s">
        <v>24</v>
      </c>
      <c r="B1369" s="2" t="s">
        <v>30</v>
      </c>
      <c r="C1369" s="1">
        <v>10</v>
      </c>
      <c r="D1369" s="2" t="s">
        <v>16</v>
      </c>
      <c r="E1369" s="6" t="str">
        <f>IF(Table13[[#This Row],[Pre or Post]]="Pre",IF(IF(Table13[[#This Row],[Response]]="Male",0,1)+IF(Table13[[#This Row],[Response]]="Female",0,1)=2,E1368,Table13[[#This Row],[Response]]),"")</f>
        <v/>
      </c>
      <c r="F1369" s="1">
        <v>4</v>
      </c>
      <c r="G1369" s="1">
        <v>4</v>
      </c>
      <c r="H1369" s="2" t="s">
        <v>9</v>
      </c>
      <c r="I136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70" spans="1:11">
      <c r="A1370" s="2" t="s">
        <v>24</v>
      </c>
      <c r="B1370" s="2" t="s">
        <v>30</v>
      </c>
      <c r="C1370" s="1">
        <v>10</v>
      </c>
      <c r="D1370" s="2" t="s">
        <v>16</v>
      </c>
      <c r="E1370" s="6" t="str">
        <f>IF(Table13[[#This Row],[Pre or Post]]="Pre",IF(IF(Table13[[#This Row],[Response]]="Male",0,1)+IF(Table13[[#This Row],[Response]]="Female",0,1)=2,E1369,Table13[[#This Row],[Response]]),"")</f>
        <v/>
      </c>
      <c r="F1370" s="1">
        <v>12</v>
      </c>
      <c r="G1370" s="1">
        <v>3</v>
      </c>
      <c r="H1370" s="2" t="s">
        <v>9</v>
      </c>
      <c r="I137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71" spans="1:11">
      <c r="A1371" s="2" t="s">
        <v>24</v>
      </c>
      <c r="B1371" s="2" t="s">
        <v>30</v>
      </c>
      <c r="C1371" s="1">
        <v>10</v>
      </c>
      <c r="D1371" s="2" t="s">
        <v>16</v>
      </c>
      <c r="E1371" s="6" t="str">
        <f>IF(Table13[[#This Row],[Pre or Post]]="Pre",IF(IF(Table13[[#This Row],[Response]]="Male",0,1)+IF(Table13[[#This Row],[Response]]="Female",0,1)=2,E1370,Table13[[#This Row],[Response]]),"")</f>
        <v/>
      </c>
      <c r="F1371" s="1">
        <v>13</v>
      </c>
      <c r="G1371" s="1">
        <v>3</v>
      </c>
      <c r="H1371" s="2" t="s">
        <v>9</v>
      </c>
      <c r="I137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72" spans="1:11">
      <c r="A1372" s="2" t="s">
        <v>24</v>
      </c>
      <c r="B1372" s="2" t="s">
        <v>30</v>
      </c>
      <c r="C1372" s="1">
        <v>10</v>
      </c>
      <c r="D1372" s="2" t="s">
        <v>16</v>
      </c>
      <c r="E1372" s="6" t="str">
        <f>IF(Table13[[#This Row],[Pre or Post]]="Pre",IF(IF(Table13[[#This Row],[Response]]="Male",0,1)+IF(Table13[[#This Row],[Response]]="Female",0,1)=2,E1371,Table13[[#This Row],[Response]]),"")</f>
        <v/>
      </c>
      <c r="F1372" s="1">
        <v>5</v>
      </c>
      <c r="G1372" s="1">
        <v>4</v>
      </c>
      <c r="H1372" s="2" t="s">
        <v>9</v>
      </c>
      <c r="I137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73" spans="1:11">
      <c r="A1373" s="2" t="s">
        <v>24</v>
      </c>
      <c r="B1373" s="2" t="s">
        <v>30</v>
      </c>
      <c r="C1373" s="1">
        <v>10</v>
      </c>
      <c r="D1373" s="2" t="s">
        <v>16</v>
      </c>
      <c r="E1373" s="6" t="str">
        <f>IF(Table13[[#This Row],[Pre or Post]]="Pre",IF(IF(Table13[[#This Row],[Response]]="Male",0,1)+IF(Table13[[#This Row],[Response]]="Female",0,1)=2,E1372,Table13[[#This Row],[Response]]),"")</f>
        <v/>
      </c>
      <c r="F1373" s="1">
        <v>6</v>
      </c>
      <c r="G1373" s="1">
        <v>5</v>
      </c>
      <c r="H1373" s="2" t="s">
        <v>9</v>
      </c>
      <c r="I137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74" spans="1:11">
      <c r="A1374" s="2" t="s">
        <v>24</v>
      </c>
      <c r="B1374" s="2" t="s">
        <v>30</v>
      </c>
      <c r="C1374" s="1">
        <v>10</v>
      </c>
      <c r="D1374" s="2" t="s">
        <v>16</v>
      </c>
      <c r="E1374" s="6" t="str">
        <f>IF(Table13[[#This Row],[Pre or Post]]="Pre",IF(IF(Table13[[#This Row],[Response]]="Male",0,1)+IF(Table13[[#This Row],[Response]]="Female",0,1)=2,E1373,Table13[[#This Row],[Response]]),"")</f>
        <v/>
      </c>
      <c r="F1374" s="1">
        <v>15</v>
      </c>
      <c r="G1374" s="1">
        <v>2</v>
      </c>
      <c r="H1374" s="2" t="s">
        <v>9</v>
      </c>
      <c r="I137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75" spans="1:11">
      <c r="A1375" s="2" t="s">
        <v>24</v>
      </c>
      <c r="B1375" s="2" t="s">
        <v>30</v>
      </c>
      <c r="C1375" s="1">
        <v>10</v>
      </c>
      <c r="D1375" s="2" t="s">
        <v>16</v>
      </c>
      <c r="E1375" s="6" t="str">
        <f>IF(Table13[[#This Row],[Pre or Post]]="Pre",IF(IF(Table13[[#This Row],[Response]]="Male",0,1)+IF(Table13[[#This Row],[Response]]="Female",0,1)=2,E1374,Table13[[#This Row],[Response]]),"")</f>
        <v/>
      </c>
      <c r="F1375" s="1">
        <v>14</v>
      </c>
      <c r="G1375" s="1">
        <v>3</v>
      </c>
      <c r="H1375" s="2" t="s">
        <v>9</v>
      </c>
      <c r="I137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76" spans="1:11">
      <c r="A1376" s="2" t="s">
        <v>24</v>
      </c>
      <c r="B1376" s="2" t="s">
        <v>30</v>
      </c>
      <c r="C1376" s="1">
        <v>10</v>
      </c>
      <c r="D1376" s="2" t="s">
        <v>16</v>
      </c>
      <c r="E1376" s="6" t="str">
        <f>IF(Table13[[#This Row],[Pre or Post]]="Pre",IF(IF(Table13[[#This Row],[Response]]="Male",0,1)+IF(Table13[[#This Row],[Response]]="Female",0,1)=2,E1375,Table13[[#This Row],[Response]]),"")</f>
        <v/>
      </c>
      <c r="F1376" s="1">
        <v>7</v>
      </c>
      <c r="G1376" s="1">
        <v>4</v>
      </c>
      <c r="H1376" s="2" t="s">
        <v>9</v>
      </c>
      <c r="I137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77" spans="1:11">
      <c r="A1377" s="2" t="s">
        <v>24</v>
      </c>
      <c r="B1377" s="2" t="s">
        <v>30</v>
      </c>
      <c r="C1377" s="1">
        <v>10</v>
      </c>
      <c r="D1377" s="2" t="s">
        <v>16</v>
      </c>
      <c r="E1377" s="6" t="str">
        <f>IF(Table13[[#This Row],[Pre or Post]]="Pre",IF(IF(Table13[[#This Row],[Response]]="Male",0,1)+IF(Table13[[#This Row],[Response]]="Female",0,1)=2,E1376,Table13[[#This Row],[Response]]),"")</f>
        <v/>
      </c>
      <c r="F1377" s="1">
        <v>16</v>
      </c>
      <c r="G1377" s="1">
        <v>1</v>
      </c>
      <c r="H1377" s="2" t="s">
        <v>9</v>
      </c>
      <c r="I137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78" spans="1:11">
      <c r="A1378" s="2" t="s">
        <v>24</v>
      </c>
      <c r="B1378" s="2" t="s">
        <v>30</v>
      </c>
      <c r="C1378" s="1">
        <v>10</v>
      </c>
      <c r="D1378" s="2" t="s">
        <v>16</v>
      </c>
      <c r="E1378" s="6" t="str">
        <f>IF(Table13[[#This Row],[Pre or Post]]="Pre",IF(IF(Table13[[#This Row],[Response]]="Male",0,1)+IF(Table13[[#This Row],[Response]]="Female",0,1)=2,E1377,Table13[[#This Row],[Response]]),"")</f>
        <v/>
      </c>
      <c r="F1378" s="1">
        <v>17</v>
      </c>
      <c r="G1378" s="1">
        <v>3</v>
      </c>
      <c r="H1378" s="2" t="s">
        <v>9</v>
      </c>
      <c r="I137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79" spans="1:11">
      <c r="A1379" s="2" t="s">
        <v>24</v>
      </c>
      <c r="B1379" s="2" t="s">
        <v>30</v>
      </c>
      <c r="C1379" s="1">
        <v>10</v>
      </c>
      <c r="D1379" s="2" t="s">
        <v>16</v>
      </c>
      <c r="E1379" s="6" t="str">
        <f>IF(Table13[[#This Row],[Pre or Post]]="Pre",IF(IF(Table13[[#This Row],[Response]]="Male",0,1)+IF(Table13[[#This Row],[Response]]="Female",0,1)=2,E1378,Table13[[#This Row],[Response]]),"")</f>
        <v/>
      </c>
      <c r="F1379" s="1">
        <v>8</v>
      </c>
      <c r="G1379" s="1" t="s">
        <v>8</v>
      </c>
      <c r="H1379" s="2" t="s">
        <v>9</v>
      </c>
      <c r="I137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80" spans="1:11">
      <c r="A1380" s="2" t="s">
        <v>24</v>
      </c>
      <c r="B1380" s="2" t="s">
        <v>30</v>
      </c>
      <c r="C1380" s="1">
        <v>10</v>
      </c>
      <c r="D1380" s="2" t="s">
        <v>16</v>
      </c>
      <c r="E1380" s="6" t="str">
        <f>IF(Table13[[#This Row],[Pre or Post]]="Pre",IF(IF(Table13[[#This Row],[Response]]="Male",0,1)+IF(Table13[[#This Row],[Response]]="Female",0,1)=2,E1379,Table13[[#This Row],[Response]]),"")</f>
        <v/>
      </c>
      <c r="F1380" s="1">
        <v>9</v>
      </c>
      <c r="G1380" s="1" t="s">
        <v>17</v>
      </c>
      <c r="H1380" s="2" t="s">
        <v>9</v>
      </c>
      <c r="I138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81" spans="1:11">
      <c r="A1381" s="2" t="s">
        <v>24</v>
      </c>
      <c r="B1381" s="2" t="s">
        <v>30</v>
      </c>
      <c r="C1381" s="1">
        <v>10</v>
      </c>
      <c r="D1381" s="2" t="s">
        <v>16</v>
      </c>
      <c r="E1381" s="6" t="str">
        <f>IF(Table13[[#This Row],[Pre or Post]]="Pre",IF(IF(Table13[[#This Row],[Response]]="Male",0,1)+IF(Table13[[#This Row],[Response]]="Female",0,1)=2,E1380,Table13[[#This Row],[Response]]),"")</f>
        <v/>
      </c>
      <c r="F1381" s="1">
        <v>10</v>
      </c>
      <c r="G1381" s="1" t="s">
        <v>18</v>
      </c>
      <c r="H1381" s="2" t="s">
        <v>9</v>
      </c>
      <c r="I138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82" spans="1:11">
      <c r="A1382" s="2" t="s">
        <v>24</v>
      </c>
      <c r="B1382" s="2" t="s">
        <v>30</v>
      </c>
      <c r="C1382" s="1">
        <v>11</v>
      </c>
      <c r="D1382" s="2" t="s">
        <v>16</v>
      </c>
      <c r="E1382" s="6" t="str">
        <f>IF(Table13[[#This Row],[Pre or Post]]="Pre",IF(IF(Table13[[#This Row],[Response]]="Male",0,1)+IF(Table13[[#This Row],[Response]]="Female",0,1)=2,E1381,Table13[[#This Row],[Response]]),"")</f>
        <v/>
      </c>
      <c r="F1382" s="1">
        <v>2</v>
      </c>
      <c r="G1382" s="1">
        <v>4</v>
      </c>
      <c r="H1382" s="2" t="s">
        <v>9</v>
      </c>
      <c r="I138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83" spans="1:11">
      <c r="A1383" s="2" t="s">
        <v>24</v>
      </c>
      <c r="B1383" s="2" t="s">
        <v>30</v>
      </c>
      <c r="C1383" s="1">
        <v>11</v>
      </c>
      <c r="D1383" s="2" t="s">
        <v>16</v>
      </c>
      <c r="E1383" s="6" t="str">
        <f>IF(Table13[[#This Row],[Pre or Post]]="Pre",IF(IF(Table13[[#This Row],[Response]]="Male",0,1)+IF(Table13[[#This Row],[Response]]="Female",0,1)=2,E1382,Table13[[#This Row],[Response]]),"")</f>
        <v/>
      </c>
      <c r="F1383" s="1">
        <v>3</v>
      </c>
      <c r="G1383" s="1">
        <v>3</v>
      </c>
      <c r="H1383" s="2" t="s">
        <v>9</v>
      </c>
      <c r="I138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84" spans="1:11">
      <c r="A1384" s="2" t="s">
        <v>24</v>
      </c>
      <c r="B1384" s="2" t="s">
        <v>30</v>
      </c>
      <c r="C1384" s="1">
        <v>11</v>
      </c>
      <c r="D1384" s="2" t="s">
        <v>16</v>
      </c>
      <c r="E1384" s="6" t="str">
        <f>IF(Table13[[#This Row],[Pre or Post]]="Pre",IF(IF(Table13[[#This Row],[Response]]="Male",0,1)+IF(Table13[[#This Row],[Response]]="Female",0,1)=2,E1383,Table13[[#This Row],[Response]]),"")</f>
        <v/>
      </c>
      <c r="F1384" s="1">
        <v>4</v>
      </c>
      <c r="G1384" s="1">
        <v>2</v>
      </c>
      <c r="H1384" s="2" t="s">
        <v>9</v>
      </c>
      <c r="I138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85" spans="1:11">
      <c r="A1385" s="2" t="s">
        <v>24</v>
      </c>
      <c r="B1385" s="2" t="s">
        <v>30</v>
      </c>
      <c r="C1385" s="1">
        <v>11</v>
      </c>
      <c r="D1385" s="2" t="s">
        <v>16</v>
      </c>
      <c r="E1385" s="6" t="str">
        <f>IF(Table13[[#This Row],[Pre or Post]]="Pre",IF(IF(Table13[[#This Row],[Response]]="Male",0,1)+IF(Table13[[#This Row],[Response]]="Female",0,1)=2,E1384,Table13[[#This Row],[Response]]),"")</f>
        <v/>
      </c>
      <c r="F1385" s="1">
        <v>12</v>
      </c>
      <c r="G1385" s="1">
        <v>1</v>
      </c>
      <c r="H1385" s="2" t="s">
        <v>9</v>
      </c>
      <c r="I138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86" spans="1:11">
      <c r="A1386" s="2" t="s">
        <v>24</v>
      </c>
      <c r="B1386" s="2" t="s">
        <v>30</v>
      </c>
      <c r="C1386" s="1">
        <v>11</v>
      </c>
      <c r="D1386" s="2" t="s">
        <v>16</v>
      </c>
      <c r="E1386" s="6" t="str">
        <f>IF(Table13[[#This Row],[Pre or Post]]="Pre",IF(IF(Table13[[#This Row],[Response]]="Male",0,1)+IF(Table13[[#This Row],[Response]]="Female",0,1)=2,E1385,Table13[[#This Row],[Response]]),"")</f>
        <v/>
      </c>
      <c r="F1386" s="1">
        <v>13</v>
      </c>
      <c r="G1386" s="1">
        <v>5</v>
      </c>
      <c r="H1386" s="2" t="s">
        <v>9</v>
      </c>
      <c r="I138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87" spans="1:11">
      <c r="A1387" s="2" t="s">
        <v>24</v>
      </c>
      <c r="B1387" s="2" t="s">
        <v>30</v>
      </c>
      <c r="C1387" s="1">
        <v>11</v>
      </c>
      <c r="D1387" s="2" t="s">
        <v>16</v>
      </c>
      <c r="E1387" s="6" t="str">
        <f>IF(Table13[[#This Row],[Pre or Post]]="Pre",IF(IF(Table13[[#This Row],[Response]]="Male",0,1)+IF(Table13[[#This Row],[Response]]="Female",0,1)=2,E1386,Table13[[#This Row],[Response]]),"")</f>
        <v/>
      </c>
      <c r="F1387" s="1">
        <v>5</v>
      </c>
      <c r="G1387" s="1">
        <v>5</v>
      </c>
      <c r="H1387" s="2" t="s">
        <v>9</v>
      </c>
      <c r="I138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88" spans="1:11">
      <c r="A1388" s="2" t="s">
        <v>24</v>
      </c>
      <c r="B1388" s="2" t="s">
        <v>30</v>
      </c>
      <c r="C1388" s="1">
        <v>11</v>
      </c>
      <c r="D1388" s="2" t="s">
        <v>16</v>
      </c>
      <c r="E1388" s="6" t="str">
        <f>IF(Table13[[#This Row],[Pre or Post]]="Pre",IF(IF(Table13[[#This Row],[Response]]="Male",0,1)+IF(Table13[[#This Row],[Response]]="Female",0,1)=2,E1387,Table13[[#This Row],[Response]]),"")</f>
        <v/>
      </c>
      <c r="F1388" s="1">
        <v>6</v>
      </c>
      <c r="G1388" s="1">
        <v>3</v>
      </c>
      <c r="H1388" s="2" t="s">
        <v>9</v>
      </c>
      <c r="I138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89" spans="1:11">
      <c r="A1389" s="2" t="s">
        <v>24</v>
      </c>
      <c r="B1389" s="2" t="s">
        <v>30</v>
      </c>
      <c r="C1389" s="1">
        <v>11</v>
      </c>
      <c r="D1389" s="2" t="s">
        <v>16</v>
      </c>
      <c r="E1389" s="6" t="str">
        <f>IF(Table13[[#This Row],[Pre or Post]]="Pre",IF(IF(Table13[[#This Row],[Response]]="Male",0,1)+IF(Table13[[#This Row],[Response]]="Female",0,1)=2,E1388,Table13[[#This Row],[Response]]),"")</f>
        <v/>
      </c>
      <c r="F1389" s="1">
        <v>15</v>
      </c>
      <c r="G1389" s="1"/>
      <c r="H1389" s="2" t="s">
        <v>9</v>
      </c>
      <c r="I138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90" spans="1:11">
      <c r="A1390" s="2" t="s">
        <v>24</v>
      </c>
      <c r="B1390" s="2" t="s">
        <v>30</v>
      </c>
      <c r="C1390" s="1">
        <v>11</v>
      </c>
      <c r="D1390" s="2" t="s">
        <v>16</v>
      </c>
      <c r="E1390" s="6" t="str">
        <f>IF(Table13[[#This Row],[Pre or Post]]="Pre",IF(IF(Table13[[#This Row],[Response]]="Male",0,1)+IF(Table13[[#This Row],[Response]]="Female",0,1)=2,E1389,Table13[[#This Row],[Response]]),"")</f>
        <v/>
      </c>
      <c r="F1390" s="1">
        <v>14</v>
      </c>
      <c r="G1390" s="1">
        <v>5</v>
      </c>
      <c r="H1390" s="2" t="s">
        <v>9</v>
      </c>
      <c r="I139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91" spans="1:11">
      <c r="A1391" s="2" t="s">
        <v>24</v>
      </c>
      <c r="B1391" s="2" t="s">
        <v>30</v>
      </c>
      <c r="C1391" s="1">
        <v>11</v>
      </c>
      <c r="D1391" s="2" t="s">
        <v>16</v>
      </c>
      <c r="E1391" s="6" t="str">
        <f>IF(Table13[[#This Row],[Pre or Post]]="Pre",IF(IF(Table13[[#This Row],[Response]]="Male",0,1)+IF(Table13[[#This Row],[Response]]="Female",0,1)=2,E1390,Table13[[#This Row],[Response]]),"")</f>
        <v/>
      </c>
      <c r="F1391" s="1">
        <v>7</v>
      </c>
      <c r="G1391" s="1">
        <v>4</v>
      </c>
      <c r="H1391" s="2" t="s">
        <v>9</v>
      </c>
      <c r="I139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92" spans="1:11">
      <c r="A1392" s="2" t="s">
        <v>24</v>
      </c>
      <c r="B1392" s="2" t="s">
        <v>30</v>
      </c>
      <c r="C1392" s="1">
        <v>11</v>
      </c>
      <c r="D1392" s="2" t="s">
        <v>16</v>
      </c>
      <c r="E1392" s="6" t="str">
        <f>IF(Table13[[#This Row],[Pre or Post]]="Pre",IF(IF(Table13[[#This Row],[Response]]="Male",0,1)+IF(Table13[[#This Row],[Response]]="Female",0,1)=2,E1391,Table13[[#This Row],[Response]]),"")</f>
        <v/>
      </c>
      <c r="F1392" s="1">
        <v>16</v>
      </c>
      <c r="G1392" s="1"/>
      <c r="H1392" s="2" t="s">
        <v>9</v>
      </c>
      <c r="I139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93" spans="1:11">
      <c r="A1393" s="2" t="s">
        <v>24</v>
      </c>
      <c r="B1393" s="2" t="s">
        <v>30</v>
      </c>
      <c r="C1393" s="1">
        <v>11</v>
      </c>
      <c r="D1393" s="2" t="s">
        <v>16</v>
      </c>
      <c r="E1393" s="6" t="str">
        <f>IF(Table13[[#This Row],[Pre or Post]]="Pre",IF(IF(Table13[[#This Row],[Response]]="Male",0,1)+IF(Table13[[#This Row],[Response]]="Female",0,1)=2,E1392,Table13[[#This Row],[Response]]),"")</f>
        <v/>
      </c>
      <c r="F1393" s="1">
        <v>17</v>
      </c>
      <c r="G1393" s="1">
        <v>5</v>
      </c>
      <c r="H1393" s="2" t="s">
        <v>9</v>
      </c>
      <c r="I139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94" spans="1:11">
      <c r="A1394" s="2" t="s">
        <v>24</v>
      </c>
      <c r="B1394" s="2" t="s">
        <v>30</v>
      </c>
      <c r="C1394" s="1">
        <v>11</v>
      </c>
      <c r="D1394" s="2" t="s">
        <v>16</v>
      </c>
      <c r="E1394" s="6" t="str">
        <f>IF(Table13[[#This Row],[Pre or Post]]="Pre",IF(IF(Table13[[#This Row],[Response]]="Male",0,1)+IF(Table13[[#This Row],[Response]]="Female",0,1)=2,E1393,Table13[[#This Row],[Response]]),"")</f>
        <v/>
      </c>
      <c r="F1394" s="1">
        <v>8</v>
      </c>
      <c r="G1394" s="1"/>
      <c r="H1394" s="2" t="s">
        <v>9</v>
      </c>
      <c r="I139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95" spans="1:11">
      <c r="A1395" s="2" t="s">
        <v>24</v>
      </c>
      <c r="B1395" s="2" t="s">
        <v>30</v>
      </c>
      <c r="C1395" s="1">
        <v>11</v>
      </c>
      <c r="D1395" s="2" t="s">
        <v>16</v>
      </c>
      <c r="E1395" s="6" t="str">
        <f>IF(Table13[[#This Row],[Pre or Post]]="Pre",IF(IF(Table13[[#This Row],[Response]]="Male",0,1)+IF(Table13[[#This Row],[Response]]="Female",0,1)=2,E1394,Table13[[#This Row],[Response]]),"")</f>
        <v/>
      </c>
      <c r="F1395" s="1">
        <v>9</v>
      </c>
      <c r="G1395" s="1"/>
      <c r="H1395" s="2" t="s">
        <v>9</v>
      </c>
      <c r="I139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96" spans="1:11">
      <c r="A1396" s="2" t="s">
        <v>24</v>
      </c>
      <c r="B1396" s="2" t="s">
        <v>30</v>
      </c>
      <c r="C1396" s="1">
        <v>11</v>
      </c>
      <c r="D1396" s="2" t="s">
        <v>16</v>
      </c>
      <c r="E1396" s="6" t="str">
        <f>IF(Table13[[#This Row],[Pre or Post]]="Pre",IF(IF(Table13[[#This Row],[Response]]="Male",0,1)+IF(Table13[[#This Row],[Response]]="Female",0,1)=2,E1395,Table13[[#This Row],[Response]]),"")</f>
        <v/>
      </c>
      <c r="F1396" s="1">
        <v>10</v>
      </c>
      <c r="G1396" s="1"/>
      <c r="H1396" s="2" t="s">
        <v>9</v>
      </c>
      <c r="I139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97" spans="1:11">
      <c r="A1397" s="2" t="s">
        <v>24</v>
      </c>
      <c r="B1397" s="2" t="s">
        <v>30</v>
      </c>
      <c r="C1397" s="1">
        <v>12</v>
      </c>
      <c r="D1397" s="2" t="s">
        <v>16</v>
      </c>
      <c r="E1397" s="6" t="str">
        <f>IF(Table13[[#This Row],[Pre or Post]]="Pre",IF(IF(Table13[[#This Row],[Response]]="Male",0,1)+IF(Table13[[#This Row],[Response]]="Female",0,1)=2,E1396,Table13[[#This Row],[Response]]),"")</f>
        <v/>
      </c>
      <c r="F1397" s="1">
        <v>2</v>
      </c>
      <c r="G1397" s="1">
        <v>5</v>
      </c>
      <c r="H1397" s="2" t="s">
        <v>9</v>
      </c>
      <c r="I139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98" spans="1:11">
      <c r="A1398" s="2" t="s">
        <v>24</v>
      </c>
      <c r="B1398" s="2" t="s">
        <v>30</v>
      </c>
      <c r="C1398" s="1">
        <v>12</v>
      </c>
      <c r="D1398" s="2" t="s">
        <v>16</v>
      </c>
      <c r="E1398" s="6" t="str">
        <f>IF(Table13[[#This Row],[Pre or Post]]="Pre",IF(IF(Table13[[#This Row],[Response]]="Male",0,1)+IF(Table13[[#This Row],[Response]]="Female",0,1)=2,E1397,Table13[[#This Row],[Response]]),"")</f>
        <v/>
      </c>
      <c r="F1398" s="1">
        <v>3</v>
      </c>
      <c r="G1398" s="1">
        <v>4</v>
      </c>
      <c r="H1398" s="2" t="s">
        <v>9</v>
      </c>
      <c r="I139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399" spans="1:11">
      <c r="A1399" s="2" t="s">
        <v>24</v>
      </c>
      <c r="B1399" s="2" t="s">
        <v>30</v>
      </c>
      <c r="C1399" s="1">
        <v>12</v>
      </c>
      <c r="D1399" s="2" t="s">
        <v>16</v>
      </c>
      <c r="E1399" s="6" t="str">
        <f>IF(Table13[[#This Row],[Pre or Post]]="Pre",IF(IF(Table13[[#This Row],[Response]]="Male",0,1)+IF(Table13[[#This Row],[Response]]="Female",0,1)=2,E1398,Table13[[#This Row],[Response]]),"")</f>
        <v/>
      </c>
      <c r="F1399" s="1">
        <v>4</v>
      </c>
      <c r="G1399" s="1">
        <v>4</v>
      </c>
      <c r="H1399" s="2" t="s">
        <v>9</v>
      </c>
      <c r="I139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3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3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00" spans="1:11">
      <c r="A1400" s="2" t="s">
        <v>24</v>
      </c>
      <c r="B1400" s="2" t="s">
        <v>30</v>
      </c>
      <c r="C1400" s="1">
        <v>12</v>
      </c>
      <c r="D1400" s="2" t="s">
        <v>16</v>
      </c>
      <c r="E1400" s="6" t="str">
        <f>IF(Table13[[#This Row],[Pre or Post]]="Pre",IF(IF(Table13[[#This Row],[Response]]="Male",0,1)+IF(Table13[[#This Row],[Response]]="Female",0,1)=2,E1399,Table13[[#This Row],[Response]]),"")</f>
        <v/>
      </c>
      <c r="F1400" s="1">
        <v>12</v>
      </c>
      <c r="G1400" s="1">
        <v>4</v>
      </c>
      <c r="H1400" s="2" t="s">
        <v>9</v>
      </c>
      <c r="I140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01" spans="1:11">
      <c r="A1401" s="2" t="s">
        <v>24</v>
      </c>
      <c r="B1401" s="2" t="s">
        <v>30</v>
      </c>
      <c r="C1401" s="1">
        <v>12</v>
      </c>
      <c r="D1401" s="2" t="s">
        <v>16</v>
      </c>
      <c r="E1401" s="6" t="str">
        <f>IF(Table13[[#This Row],[Pre or Post]]="Pre",IF(IF(Table13[[#This Row],[Response]]="Male",0,1)+IF(Table13[[#This Row],[Response]]="Female",0,1)=2,E1400,Table13[[#This Row],[Response]]),"")</f>
        <v/>
      </c>
      <c r="F1401" s="1">
        <v>13</v>
      </c>
      <c r="G1401" s="1">
        <v>4</v>
      </c>
      <c r="H1401" s="2" t="s">
        <v>9</v>
      </c>
      <c r="I140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02" spans="1:11">
      <c r="A1402" s="2" t="s">
        <v>24</v>
      </c>
      <c r="B1402" s="2" t="s">
        <v>30</v>
      </c>
      <c r="C1402" s="1">
        <v>12</v>
      </c>
      <c r="D1402" s="2" t="s">
        <v>16</v>
      </c>
      <c r="E1402" s="6" t="str">
        <f>IF(Table13[[#This Row],[Pre or Post]]="Pre",IF(IF(Table13[[#This Row],[Response]]="Male",0,1)+IF(Table13[[#This Row],[Response]]="Female",0,1)=2,E1401,Table13[[#This Row],[Response]]),"")</f>
        <v/>
      </c>
      <c r="F1402" s="1">
        <v>5</v>
      </c>
      <c r="G1402" s="1">
        <v>5</v>
      </c>
      <c r="H1402" s="2" t="s">
        <v>9</v>
      </c>
      <c r="I140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03" spans="1:11">
      <c r="A1403" s="2" t="s">
        <v>24</v>
      </c>
      <c r="B1403" s="2" t="s">
        <v>30</v>
      </c>
      <c r="C1403" s="1">
        <v>12</v>
      </c>
      <c r="D1403" s="2" t="s">
        <v>16</v>
      </c>
      <c r="E1403" s="6" t="str">
        <f>IF(Table13[[#This Row],[Pre or Post]]="Pre",IF(IF(Table13[[#This Row],[Response]]="Male",0,1)+IF(Table13[[#This Row],[Response]]="Female",0,1)=2,E1402,Table13[[#This Row],[Response]]),"")</f>
        <v/>
      </c>
      <c r="F1403" s="1">
        <v>6</v>
      </c>
      <c r="G1403" s="1">
        <v>5</v>
      </c>
      <c r="H1403" s="2" t="s">
        <v>9</v>
      </c>
      <c r="I140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04" spans="1:11">
      <c r="A1404" s="2" t="s">
        <v>24</v>
      </c>
      <c r="B1404" s="2" t="s">
        <v>30</v>
      </c>
      <c r="C1404" s="1">
        <v>12</v>
      </c>
      <c r="D1404" s="2" t="s">
        <v>16</v>
      </c>
      <c r="E1404" s="6" t="str">
        <f>IF(Table13[[#This Row],[Pre or Post]]="Pre",IF(IF(Table13[[#This Row],[Response]]="Male",0,1)+IF(Table13[[#This Row],[Response]]="Female",0,1)=2,E1403,Table13[[#This Row],[Response]]),"")</f>
        <v/>
      </c>
      <c r="F1404" s="1">
        <v>15</v>
      </c>
      <c r="G1404" s="1">
        <v>4</v>
      </c>
      <c r="H1404" s="2" t="s">
        <v>9</v>
      </c>
      <c r="I140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05" spans="1:11">
      <c r="A1405" s="2" t="s">
        <v>24</v>
      </c>
      <c r="B1405" s="2" t="s">
        <v>30</v>
      </c>
      <c r="C1405" s="1">
        <v>12</v>
      </c>
      <c r="D1405" s="2" t="s">
        <v>16</v>
      </c>
      <c r="E1405" s="6" t="str">
        <f>IF(Table13[[#This Row],[Pre or Post]]="Pre",IF(IF(Table13[[#This Row],[Response]]="Male",0,1)+IF(Table13[[#This Row],[Response]]="Female",0,1)=2,E1404,Table13[[#This Row],[Response]]),"")</f>
        <v/>
      </c>
      <c r="F1405" s="1">
        <v>14</v>
      </c>
      <c r="G1405" s="1">
        <v>5</v>
      </c>
      <c r="H1405" s="2" t="s">
        <v>9</v>
      </c>
      <c r="I140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06" spans="1:11">
      <c r="A1406" s="2" t="s">
        <v>24</v>
      </c>
      <c r="B1406" s="2" t="s">
        <v>30</v>
      </c>
      <c r="C1406" s="1">
        <v>12</v>
      </c>
      <c r="D1406" s="2" t="s">
        <v>16</v>
      </c>
      <c r="E1406" s="6" t="str">
        <f>IF(Table13[[#This Row],[Pre or Post]]="Pre",IF(IF(Table13[[#This Row],[Response]]="Male",0,1)+IF(Table13[[#This Row],[Response]]="Female",0,1)=2,E1405,Table13[[#This Row],[Response]]),"")</f>
        <v/>
      </c>
      <c r="F1406" s="1">
        <v>7</v>
      </c>
      <c r="G1406" s="1">
        <v>4</v>
      </c>
      <c r="H1406" s="2" t="s">
        <v>9</v>
      </c>
      <c r="I140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07" spans="1:11">
      <c r="A1407" s="2" t="s">
        <v>24</v>
      </c>
      <c r="B1407" s="2" t="s">
        <v>30</v>
      </c>
      <c r="C1407" s="1">
        <v>12</v>
      </c>
      <c r="D1407" s="2" t="s">
        <v>16</v>
      </c>
      <c r="E1407" s="6" t="str">
        <f>IF(Table13[[#This Row],[Pre or Post]]="Pre",IF(IF(Table13[[#This Row],[Response]]="Male",0,1)+IF(Table13[[#This Row],[Response]]="Female",0,1)=2,E1406,Table13[[#This Row],[Response]]),"")</f>
        <v/>
      </c>
      <c r="F1407" s="1">
        <v>16</v>
      </c>
      <c r="G1407" s="1">
        <v>4</v>
      </c>
      <c r="H1407" s="2" t="s">
        <v>9</v>
      </c>
      <c r="I140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08" spans="1:11">
      <c r="A1408" s="2" t="s">
        <v>24</v>
      </c>
      <c r="B1408" s="2" t="s">
        <v>30</v>
      </c>
      <c r="C1408" s="1">
        <v>12</v>
      </c>
      <c r="D1408" s="2" t="s">
        <v>16</v>
      </c>
      <c r="E1408" s="6" t="str">
        <f>IF(Table13[[#This Row],[Pre or Post]]="Pre",IF(IF(Table13[[#This Row],[Response]]="Male",0,1)+IF(Table13[[#This Row],[Response]]="Female",0,1)=2,E1407,Table13[[#This Row],[Response]]),"")</f>
        <v/>
      </c>
      <c r="F1408" s="1">
        <v>17</v>
      </c>
      <c r="G1408" s="1">
        <v>5</v>
      </c>
      <c r="H1408" s="2" t="s">
        <v>9</v>
      </c>
      <c r="I140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09" spans="1:11">
      <c r="A1409" s="2" t="s">
        <v>24</v>
      </c>
      <c r="B1409" s="2" t="s">
        <v>30</v>
      </c>
      <c r="C1409" s="1">
        <v>12</v>
      </c>
      <c r="D1409" s="2" t="s">
        <v>16</v>
      </c>
      <c r="E1409" s="6" t="str">
        <f>IF(Table13[[#This Row],[Pre or Post]]="Pre",IF(IF(Table13[[#This Row],[Response]]="Male",0,1)+IF(Table13[[#This Row],[Response]]="Female",0,1)=2,E1408,Table13[[#This Row],[Response]]),"")</f>
        <v/>
      </c>
      <c r="F1409" s="1">
        <v>8</v>
      </c>
      <c r="G1409" s="1" t="s">
        <v>8</v>
      </c>
      <c r="H1409" s="2" t="s">
        <v>9</v>
      </c>
      <c r="I140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10" spans="1:11">
      <c r="A1410" s="2" t="s">
        <v>24</v>
      </c>
      <c r="B1410" s="2" t="s">
        <v>30</v>
      </c>
      <c r="C1410" s="1">
        <v>12</v>
      </c>
      <c r="D1410" s="2" t="s">
        <v>16</v>
      </c>
      <c r="E1410" s="6" t="str">
        <f>IF(Table13[[#This Row],[Pre or Post]]="Pre",IF(IF(Table13[[#This Row],[Response]]="Male",0,1)+IF(Table13[[#This Row],[Response]]="Female",0,1)=2,E1409,Table13[[#This Row],[Response]]),"")</f>
        <v/>
      </c>
      <c r="F1410" s="1">
        <v>9</v>
      </c>
      <c r="G1410" s="1" t="s">
        <v>17</v>
      </c>
      <c r="H1410" s="2" t="s">
        <v>9</v>
      </c>
      <c r="I141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11" spans="1:11">
      <c r="A1411" s="2" t="s">
        <v>24</v>
      </c>
      <c r="B1411" s="2" t="s">
        <v>30</v>
      </c>
      <c r="C1411" s="1">
        <v>12</v>
      </c>
      <c r="D1411" s="2" t="s">
        <v>16</v>
      </c>
      <c r="E1411" s="6" t="str">
        <f>IF(Table13[[#This Row],[Pre or Post]]="Pre",IF(IF(Table13[[#This Row],[Response]]="Male",0,1)+IF(Table13[[#This Row],[Response]]="Female",0,1)=2,E1410,Table13[[#This Row],[Response]]),"")</f>
        <v/>
      </c>
      <c r="F1411" s="1">
        <v>10</v>
      </c>
      <c r="G1411" s="1" t="s">
        <v>18</v>
      </c>
      <c r="H1411" s="2" t="s">
        <v>9</v>
      </c>
      <c r="I141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12" spans="1:11">
      <c r="A1412" s="2" t="s">
        <v>24</v>
      </c>
      <c r="B1412" s="2" t="s">
        <v>30</v>
      </c>
      <c r="C1412" s="1">
        <v>13</v>
      </c>
      <c r="D1412" s="2" t="s">
        <v>16</v>
      </c>
      <c r="E1412" s="6" t="str">
        <f>IF(Table13[[#This Row],[Pre or Post]]="Pre",IF(IF(Table13[[#This Row],[Response]]="Male",0,1)+IF(Table13[[#This Row],[Response]]="Female",0,1)=2,E1411,Table13[[#This Row],[Response]]),"")</f>
        <v/>
      </c>
      <c r="F1412" s="1">
        <v>2</v>
      </c>
      <c r="G1412" s="1">
        <v>4</v>
      </c>
      <c r="H1412" s="2" t="s">
        <v>9</v>
      </c>
      <c r="I141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13" spans="1:11">
      <c r="A1413" s="2" t="s">
        <v>24</v>
      </c>
      <c r="B1413" s="2" t="s">
        <v>30</v>
      </c>
      <c r="C1413" s="1">
        <v>13</v>
      </c>
      <c r="D1413" s="2" t="s">
        <v>16</v>
      </c>
      <c r="E1413" s="6" t="str">
        <f>IF(Table13[[#This Row],[Pre or Post]]="Pre",IF(IF(Table13[[#This Row],[Response]]="Male",0,1)+IF(Table13[[#This Row],[Response]]="Female",0,1)=2,E1412,Table13[[#This Row],[Response]]),"")</f>
        <v/>
      </c>
      <c r="F1413" s="1">
        <v>3</v>
      </c>
      <c r="G1413" s="1">
        <v>3</v>
      </c>
      <c r="H1413" s="2" t="s">
        <v>9</v>
      </c>
      <c r="I141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14" spans="1:11">
      <c r="A1414" s="2" t="s">
        <v>24</v>
      </c>
      <c r="B1414" s="2" t="s">
        <v>30</v>
      </c>
      <c r="C1414" s="1">
        <v>13</v>
      </c>
      <c r="D1414" s="2" t="s">
        <v>16</v>
      </c>
      <c r="E1414" s="6" t="str">
        <f>IF(Table13[[#This Row],[Pre or Post]]="Pre",IF(IF(Table13[[#This Row],[Response]]="Male",0,1)+IF(Table13[[#This Row],[Response]]="Female",0,1)=2,E1413,Table13[[#This Row],[Response]]),"")</f>
        <v/>
      </c>
      <c r="F1414" s="1">
        <v>4</v>
      </c>
      <c r="G1414" s="1">
        <v>3</v>
      </c>
      <c r="H1414" s="2" t="s">
        <v>9</v>
      </c>
      <c r="I141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15" spans="1:11">
      <c r="A1415" s="2" t="s">
        <v>24</v>
      </c>
      <c r="B1415" s="2" t="s">
        <v>30</v>
      </c>
      <c r="C1415" s="1">
        <v>13</v>
      </c>
      <c r="D1415" s="2" t="s">
        <v>16</v>
      </c>
      <c r="E1415" s="6" t="str">
        <f>IF(Table13[[#This Row],[Pre or Post]]="Pre",IF(IF(Table13[[#This Row],[Response]]="Male",0,1)+IF(Table13[[#This Row],[Response]]="Female",0,1)=2,E1414,Table13[[#This Row],[Response]]),"")</f>
        <v/>
      </c>
      <c r="F1415" s="1">
        <v>12</v>
      </c>
      <c r="G1415" s="1">
        <v>2</v>
      </c>
      <c r="H1415" s="2" t="s">
        <v>9</v>
      </c>
      <c r="I141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16" spans="1:11">
      <c r="A1416" s="2" t="s">
        <v>24</v>
      </c>
      <c r="B1416" s="2" t="s">
        <v>30</v>
      </c>
      <c r="C1416" s="1">
        <v>13</v>
      </c>
      <c r="D1416" s="2" t="s">
        <v>16</v>
      </c>
      <c r="E1416" s="6" t="str">
        <f>IF(Table13[[#This Row],[Pre or Post]]="Pre",IF(IF(Table13[[#This Row],[Response]]="Male",0,1)+IF(Table13[[#This Row],[Response]]="Female",0,1)=2,E1415,Table13[[#This Row],[Response]]),"")</f>
        <v/>
      </c>
      <c r="F1416" s="1">
        <v>13</v>
      </c>
      <c r="G1416" s="1">
        <v>5</v>
      </c>
      <c r="H1416" s="2" t="s">
        <v>9</v>
      </c>
      <c r="I141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17" spans="1:11">
      <c r="A1417" s="2" t="s">
        <v>24</v>
      </c>
      <c r="B1417" s="2" t="s">
        <v>30</v>
      </c>
      <c r="C1417" s="1">
        <v>13</v>
      </c>
      <c r="D1417" s="2" t="s">
        <v>16</v>
      </c>
      <c r="E1417" s="6" t="str">
        <f>IF(Table13[[#This Row],[Pre or Post]]="Pre",IF(IF(Table13[[#This Row],[Response]]="Male",0,1)+IF(Table13[[#This Row],[Response]]="Female",0,1)=2,E1416,Table13[[#This Row],[Response]]),"")</f>
        <v/>
      </c>
      <c r="F1417" s="1">
        <v>5</v>
      </c>
      <c r="G1417" s="1">
        <v>4</v>
      </c>
      <c r="H1417" s="2" t="s">
        <v>9</v>
      </c>
      <c r="I141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18" spans="1:11">
      <c r="A1418" s="2" t="s">
        <v>24</v>
      </c>
      <c r="B1418" s="2" t="s">
        <v>30</v>
      </c>
      <c r="C1418" s="1">
        <v>13</v>
      </c>
      <c r="D1418" s="2" t="s">
        <v>16</v>
      </c>
      <c r="E1418" s="6" t="str">
        <f>IF(Table13[[#This Row],[Pre or Post]]="Pre",IF(IF(Table13[[#This Row],[Response]]="Male",0,1)+IF(Table13[[#This Row],[Response]]="Female",0,1)=2,E1417,Table13[[#This Row],[Response]]),"")</f>
        <v/>
      </c>
      <c r="F1418" s="1">
        <v>6</v>
      </c>
      <c r="G1418" s="1">
        <v>3</v>
      </c>
      <c r="H1418" s="2" t="s">
        <v>9</v>
      </c>
      <c r="I141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19" spans="1:11">
      <c r="A1419" s="2" t="s">
        <v>24</v>
      </c>
      <c r="B1419" s="2" t="s">
        <v>30</v>
      </c>
      <c r="C1419" s="1">
        <v>13</v>
      </c>
      <c r="D1419" s="2" t="s">
        <v>16</v>
      </c>
      <c r="E1419" s="6" t="str">
        <f>IF(Table13[[#This Row],[Pre or Post]]="Pre",IF(IF(Table13[[#This Row],[Response]]="Male",0,1)+IF(Table13[[#This Row],[Response]]="Female",0,1)=2,E1418,Table13[[#This Row],[Response]]),"")</f>
        <v/>
      </c>
      <c r="F1419" s="1">
        <v>15</v>
      </c>
      <c r="G1419" s="1">
        <v>4</v>
      </c>
      <c r="H1419" s="2" t="s">
        <v>9</v>
      </c>
      <c r="I141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20" spans="1:11">
      <c r="A1420" s="2" t="s">
        <v>24</v>
      </c>
      <c r="B1420" s="2" t="s">
        <v>30</v>
      </c>
      <c r="C1420" s="1">
        <v>13</v>
      </c>
      <c r="D1420" s="2" t="s">
        <v>16</v>
      </c>
      <c r="E1420" s="6" t="str">
        <f>IF(Table13[[#This Row],[Pre or Post]]="Pre",IF(IF(Table13[[#This Row],[Response]]="Male",0,1)+IF(Table13[[#This Row],[Response]]="Female",0,1)=2,E1419,Table13[[#This Row],[Response]]),"")</f>
        <v/>
      </c>
      <c r="F1420" s="1">
        <v>14</v>
      </c>
      <c r="G1420" s="1">
        <v>5</v>
      </c>
      <c r="H1420" s="2" t="s">
        <v>9</v>
      </c>
      <c r="I142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21" spans="1:11">
      <c r="A1421" s="2" t="s">
        <v>24</v>
      </c>
      <c r="B1421" s="2" t="s">
        <v>30</v>
      </c>
      <c r="C1421" s="1">
        <v>13</v>
      </c>
      <c r="D1421" s="2" t="s">
        <v>16</v>
      </c>
      <c r="E1421" s="6" t="str">
        <f>IF(Table13[[#This Row],[Pre or Post]]="Pre",IF(IF(Table13[[#This Row],[Response]]="Male",0,1)+IF(Table13[[#This Row],[Response]]="Female",0,1)=2,E1420,Table13[[#This Row],[Response]]),"")</f>
        <v/>
      </c>
      <c r="F1421" s="1">
        <v>7</v>
      </c>
      <c r="G1421" s="1">
        <v>3</v>
      </c>
      <c r="H1421" s="2" t="s">
        <v>9</v>
      </c>
      <c r="I142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22" spans="1:11">
      <c r="A1422" s="2" t="s">
        <v>24</v>
      </c>
      <c r="B1422" s="2" t="s">
        <v>30</v>
      </c>
      <c r="C1422" s="1">
        <v>13</v>
      </c>
      <c r="D1422" s="2" t="s">
        <v>16</v>
      </c>
      <c r="E1422" s="6" t="str">
        <f>IF(Table13[[#This Row],[Pre or Post]]="Pre",IF(IF(Table13[[#This Row],[Response]]="Male",0,1)+IF(Table13[[#This Row],[Response]]="Female",0,1)=2,E1421,Table13[[#This Row],[Response]]),"")</f>
        <v/>
      </c>
      <c r="F1422" s="1">
        <v>16</v>
      </c>
      <c r="G1422" s="1">
        <v>4</v>
      </c>
      <c r="H1422" s="2" t="s">
        <v>9</v>
      </c>
      <c r="I142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23" spans="1:11">
      <c r="A1423" s="2" t="s">
        <v>24</v>
      </c>
      <c r="B1423" s="2" t="s">
        <v>30</v>
      </c>
      <c r="C1423" s="1">
        <v>13</v>
      </c>
      <c r="D1423" s="2" t="s">
        <v>16</v>
      </c>
      <c r="E1423" s="6" t="str">
        <f>IF(Table13[[#This Row],[Pre or Post]]="Pre",IF(IF(Table13[[#This Row],[Response]]="Male",0,1)+IF(Table13[[#This Row],[Response]]="Female",0,1)=2,E1422,Table13[[#This Row],[Response]]),"")</f>
        <v/>
      </c>
      <c r="F1423" s="1">
        <v>17</v>
      </c>
      <c r="G1423" s="1">
        <v>5</v>
      </c>
      <c r="H1423" s="2" t="s">
        <v>9</v>
      </c>
      <c r="I142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24" spans="1:11">
      <c r="A1424" s="2" t="s">
        <v>24</v>
      </c>
      <c r="B1424" s="2" t="s">
        <v>30</v>
      </c>
      <c r="C1424" s="1">
        <v>13</v>
      </c>
      <c r="D1424" s="2" t="s">
        <v>16</v>
      </c>
      <c r="E1424" s="6" t="str">
        <f>IF(Table13[[#This Row],[Pre or Post]]="Pre",IF(IF(Table13[[#This Row],[Response]]="Male",0,1)+IF(Table13[[#This Row],[Response]]="Female",0,1)=2,E1423,Table13[[#This Row],[Response]]),"")</f>
        <v/>
      </c>
      <c r="F1424" s="1">
        <v>8</v>
      </c>
      <c r="G1424" s="1" t="s">
        <v>9</v>
      </c>
      <c r="H1424" s="2" t="s">
        <v>9</v>
      </c>
      <c r="I142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25" spans="1:11">
      <c r="A1425" s="2" t="s">
        <v>24</v>
      </c>
      <c r="B1425" s="2" t="s">
        <v>30</v>
      </c>
      <c r="C1425" s="1">
        <v>13</v>
      </c>
      <c r="D1425" s="2" t="s">
        <v>16</v>
      </c>
      <c r="E1425" s="6" t="str">
        <f>IF(Table13[[#This Row],[Pre or Post]]="Pre",IF(IF(Table13[[#This Row],[Response]]="Male",0,1)+IF(Table13[[#This Row],[Response]]="Female",0,1)=2,E1424,Table13[[#This Row],[Response]]),"")</f>
        <v/>
      </c>
      <c r="F1425" s="1">
        <v>9</v>
      </c>
      <c r="G1425" s="1" t="s">
        <v>17</v>
      </c>
      <c r="H1425" s="2" t="s">
        <v>9</v>
      </c>
      <c r="I142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26" spans="1:11">
      <c r="A1426" s="2" t="s">
        <v>24</v>
      </c>
      <c r="B1426" s="2" t="s">
        <v>30</v>
      </c>
      <c r="C1426" s="1">
        <v>13</v>
      </c>
      <c r="D1426" s="2" t="s">
        <v>16</v>
      </c>
      <c r="E1426" s="6" t="str">
        <f>IF(Table13[[#This Row],[Pre or Post]]="Pre",IF(IF(Table13[[#This Row],[Response]]="Male",0,1)+IF(Table13[[#This Row],[Response]]="Female",0,1)=2,E1425,Table13[[#This Row],[Response]]),"")</f>
        <v/>
      </c>
      <c r="F1426" s="1">
        <v>10</v>
      </c>
      <c r="G1426" s="1" t="s">
        <v>18</v>
      </c>
      <c r="H1426" s="2" t="s">
        <v>9</v>
      </c>
      <c r="I142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27" spans="1:11">
      <c r="A1427" s="2" t="s">
        <v>24</v>
      </c>
      <c r="B1427" s="2" t="s">
        <v>30</v>
      </c>
      <c r="C1427" s="1">
        <v>14</v>
      </c>
      <c r="D1427" s="2" t="s">
        <v>16</v>
      </c>
      <c r="E1427" s="6" t="str">
        <f>IF(Table13[[#This Row],[Pre or Post]]="Pre",IF(IF(Table13[[#This Row],[Response]]="Male",0,1)+IF(Table13[[#This Row],[Response]]="Female",0,1)=2,E1426,Table13[[#This Row],[Response]]),"")</f>
        <v/>
      </c>
      <c r="F1427" s="1">
        <v>2</v>
      </c>
      <c r="G1427" s="1">
        <v>5</v>
      </c>
      <c r="H1427" s="2" t="s">
        <v>9</v>
      </c>
      <c r="I142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28" spans="1:11">
      <c r="A1428" s="2" t="s">
        <v>24</v>
      </c>
      <c r="B1428" s="2" t="s">
        <v>30</v>
      </c>
      <c r="C1428" s="1">
        <v>14</v>
      </c>
      <c r="D1428" s="2" t="s">
        <v>16</v>
      </c>
      <c r="E1428" s="6" t="str">
        <f>IF(Table13[[#This Row],[Pre or Post]]="Pre",IF(IF(Table13[[#This Row],[Response]]="Male",0,1)+IF(Table13[[#This Row],[Response]]="Female",0,1)=2,E1427,Table13[[#This Row],[Response]]),"")</f>
        <v/>
      </c>
      <c r="F1428" s="1">
        <v>3</v>
      </c>
      <c r="G1428" s="1">
        <v>4</v>
      </c>
      <c r="H1428" s="2" t="s">
        <v>9</v>
      </c>
      <c r="I142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29" spans="1:11">
      <c r="A1429" s="2" t="s">
        <v>24</v>
      </c>
      <c r="B1429" s="2" t="s">
        <v>30</v>
      </c>
      <c r="C1429" s="1">
        <v>14</v>
      </c>
      <c r="D1429" s="2" t="s">
        <v>16</v>
      </c>
      <c r="E1429" s="6" t="str">
        <f>IF(Table13[[#This Row],[Pre or Post]]="Pre",IF(IF(Table13[[#This Row],[Response]]="Male",0,1)+IF(Table13[[#This Row],[Response]]="Female",0,1)=2,E1428,Table13[[#This Row],[Response]]),"")</f>
        <v/>
      </c>
      <c r="F1429" s="1">
        <v>4</v>
      </c>
      <c r="G1429" s="1">
        <v>3</v>
      </c>
      <c r="H1429" s="2" t="s">
        <v>9</v>
      </c>
      <c r="I142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30" spans="1:11">
      <c r="A1430" s="2" t="s">
        <v>24</v>
      </c>
      <c r="B1430" s="2" t="s">
        <v>30</v>
      </c>
      <c r="C1430" s="1">
        <v>14</v>
      </c>
      <c r="D1430" s="2" t="s">
        <v>16</v>
      </c>
      <c r="E1430" s="6" t="str">
        <f>IF(Table13[[#This Row],[Pre or Post]]="Pre",IF(IF(Table13[[#This Row],[Response]]="Male",0,1)+IF(Table13[[#This Row],[Response]]="Female",0,1)=2,E1429,Table13[[#This Row],[Response]]),"")</f>
        <v/>
      </c>
      <c r="F1430" s="1">
        <v>12</v>
      </c>
      <c r="G1430" s="1">
        <v>4</v>
      </c>
      <c r="H1430" s="2" t="s">
        <v>9</v>
      </c>
      <c r="I143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31" spans="1:11">
      <c r="A1431" s="2" t="s">
        <v>24</v>
      </c>
      <c r="B1431" s="2" t="s">
        <v>30</v>
      </c>
      <c r="C1431" s="1">
        <v>14</v>
      </c>
      <c r="D1431" s="2" t="s">
        <v>16</v>
      </c>
      <c r="E1431" s="6" t="str">
        <f>IF(Table13[[#This Row],[Pre or Post]]="Pre",IF(IF(Table13[[#This Row],[Response]]="Male",0,1)+IF(Table13[[#This Row],[Response]]="Female",0,1)=2,E1430,Table13[[#This Row],[Response]]),"")</f>
        <v/>
      </c>
      <c r="F1431" s="1">
        <v>13</v>
      </c>
      <c r="G1431" s="1">
        <v>5</v>
      </c>
      <c r="H1431" s="2" t="s">
        <v>9</v>
      </c>
      <c r="I143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32" spans="1:11">
      <c r="A1432" s="2" t="s">
        <v>24</v>
      </c>
      <c r="B1432" s="2" t="s">
        <v>30</v>
      </c>
      <c r="C1432" s="1">
        <v>14</v>
      </c>
      <c r="D1432" s="2" t="s">
        <v>16</v>
      </c>
      <c r="E1432" s="6" t="str">
        <f>IF(Table13[[#This Row],[Pre or Post]]="Pre",IF(IF(Table13[[#This Row],[Response]]="Male",0,1)+IF(Table13[[#This Row],[Response]]="Female",0,1)=2,E1431,Table13[[#This Row],[Response]]),"")</f>
        <v/>
      </c>
      <c r="F1432" s="1">
        <v>5</v>
      </c>
      <c r="G1432" s="1">
        <v>4</v>
      </c>
      <c r="H1432" s="2" t="s">
        <v>9</v>
      </c>
      <c r="I143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33" spans="1:11">
      <c r="A1433" s="2" t="s">
        <v>24</v>
      </c>
      <c r="B1433" s="2" t="s">
        <v>30</v>
      </c>
      <c r="C1433" s="1">
        <v>14</v>
      </c>
      <c r="D1433" s="2" t="s">
        <v>16</v>
      </c>
      <c r="E1433" s="6" t="str">
        <f>IF(Table13[[#This Row],[Pre or Post]]="Pre",IF(IF(Table13[[#This Row],[Response]]="Male",0,1)+IF(Table13[[#This Row],[Response]]="Female",0,1)=2,E1432,Table13[[#This Row],[Response]]),"")</f>
        <v/>
      </c>
      <c r="F1433" s="1">
        <v>6</v>
      </c>
      <c r="G1433" s="1">
        <v>4</v>
      </c>
      <c r="H1433" s="2" t="s">
        <v>9</v>
      </c>
      <c r="I143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34" spans="1:11">
      <c r="A1434" s="2" t="s">
        <v>24</v>
      </c>
      <c r="B1434" s="2" t="s">
        <v>30</v>
      </c>
      <c r="C1434" s="1">
        <v>14</v>
      </c>
      <c r="D1434" s="2" t="s">
        <v>16</v>
      </c>
      <c r="E1434" s="6" t="str">
        <f>IF(Table13[[#This Row],[Pre or Post]]="Pre",IF(IF(Table13[[#This Row],[Response]]="Male",0,1)+IF(Table13[[#This Row],[Response]]="Female",0,1)=2,E1433,Table13[[#This Row],[Response]]),"")</f>
        <v/>
      </c>
      <c r="F1434" s="1">
        <v>15</v>
      </c>
      <c r="G1434" s="1">
        <v>5</v>
      </c>
      <c r="H1434" s="2" t="s">
        <v>9</v>
      </c>
      <c r="I143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35" spans="1:11">
      <c r="A1435" s="2" t="s">
        <v>24</v>
      </c>
      <c r="B1435" s="2" t="s">
        <v>30</v>
      </c>
      <c r="C1435" s="1">
        <v>14</v>
      </c>
      <c r="D1435" s="2" t="s">
        <v>16</v>
      </c>
      <c r="E1435" s="6" t="str">
        <f>IF(Table13[[#This Row],[Pre or Post]]="Pre",IF(IF(Table13[[#This Row],[Response]]="Male",0,1)+IF(Table13[[#This Row],[Response]]="Female",0,1)=2,E1434,Table13[[#This Row],[Response]]),"")</f>
        <v/>
      </c>
      <c r="F1435" s="1">
        <v>14</v>
      </c>
      <c r="G1435" s="1">
        <v>5</v>
      </c>
      <c r="H1435" s="2" t="s">
        <v>9</v>
      </c>
      <c r="I143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36" spans="1:11">
      <c r="A1436" s="2" t="s">
        <v>24</v>
      </c>
      <c r="B1436" s="2" t="s">
        <v>30</v>
      </c>
      <c r="C1436" s="1">
        <v>14</v>
      </c>
      <c r="D1436" s="2" t="s">
        <v>16</v>
      </c>
      <c r="E1436" s="6" t="str">
        <f>IF(Table13[[#This Row],[Pre or Post]]="Pre",IF(IF(Table13[[#This Row],[Response]]="Male",0,1)+IF(Table13[[#This Row],[Response]]="Female",0,1)=2,E1435,Table13[[#This Row],[Response]]),"")</f>
        <v/>
      </c>
      <c r="F1436" s="1">
        <v>7</v>
      </c>
      <c r="G1436" s="1">
        <v>2</v>
      </c>
      <c r="H1436" s="2" t="s">
        <v>9</v>
      </c>
      <c r="I143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37" spans="1:11">
      <c r="A1437" s="2" t="s">
        <v>24</v>
      </c>
      <c r="B1437" s="2" t="s">
        <v>30</v>
      </c>
      <c r="C1437" s="1">
        <v>14</v>
      </c>
      <c r="D1437" s="2" t="s">
        <v>16</v>
      </c>
      <c r="E1437" s="6" t="str">
        <f>IF(Table13[[#This Row],[Pre or Post]]="Pre",IF(IF(Table13[[#This Row],[Response]]="Male",0,1)+IF(Table13[[#This Row],[Response]]="Female",0,1)=2,E1436,Table13[[#This Row],[Response]]),"")</f>
        <v/>
      </c>
      <c r="F1437" s="1">
        <v>16</v>
      </c>
      <c r="G1437" s="1">
        <v>4</v>
      </c>
      <c r="H1437" s="2" t="s">
        <v>9</v>
      </c>
      <c r="I143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38" spans="1:11">
      <c r="A1438" s="2" t="s">
        <v>24</v>
      </c>
      <c r="B1438" s="2" t="s">
        <v>30</v>
      </c>
      <c r="C1438" s="1">
        <v>14</v>
      </c>
      <c r="D1438" s="2" t="s">
        <v>16</v>
      </c>
      <c r="E1438" s="6" t="str">
        <f>IF(Table13[[#This Row],[Pre or Post]]="Pre",IF(IF(Table13[[#This Row],[Response]]="Male",0,1)+IF(Table13[[#This Row],[Response]]="Female",0,1)=2,E1437,Table13[[#This Row],[Response]]),"")</f>
        <v/>
      </c>
      <c r="F1438" s="1">
        <v>17</v>
      </c>
      <c r="G1438" s="1">
        <v>4</v>
      </c>
      <c r="H1438" s="2" t="s">
        <v>9</v>
      </c>
      <c r="I143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39" spans="1:11">
      <c r="A1439" s="2" t="s">
        <v>24</v>
      </c>
      <c r="B1439" s="2" t="s">
        <v>30</v>
      </c>
      <c r="C1439" s="1">
        <v>14</v>
      </c>
      <c r="D1439" s="2" t="s">
        <v>16</v>
      </c>
      <c r="E1439" s="6" t="str">
        <f>IF(Table13[[#This Row],[Pre or Post]]="Pre",IF(IF(Table13[[#This Row],[Response]]="Male",0,1)+IF(Table13[[#This Row],[Response]]="Female",0,1)=2,E1438,Table13[[#This Row],[Response]]),"")</f>
        <v/>
      </c>
      <c r="F1439" s="1">
        <v>8</v>
      </c>
      <c r="G1439" s="1" t="s">
        <v>8</v>
      </c>
      <c r="H1439" s="2" t="s">
        <v>9</v>
      </c>
      <c r="I143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40" spans="1:11">
      <c r="A1440" s="2" t="s">
        <v>24</v>
      </c>
      <c r="B1440" s="2" t="s">
        <v>30</v>
      </c>
      <c r="C1440" s="1">
        <v>14</v>
      </c>
      <c r="D1440" s="2" t="s">
        <v>16</v>
      </c>
      <c r="E1440" s="6" t="str">
        <f>IF(Table13[[#This Row],[Pre or Post]]="Pre",IF(IF(Table13[[#This Row],[Response]]="Male",0,1)+IF(Table13[[#This Row],[Response]]="Female",0,1)=2,E1439,Table13[[#This Row],[Response]]),"")</f>
        <v/>
      </c>
      <c r="F1440" s="1">
        <v>9</v>
      </c>
      <c r="G1440" s="1" t="s">
        <v>17</v>
      </c>
      <c r="H1440" s="2" t="s">
        <v>9</v>
      </c>
      <c r="I144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41" spans="1:11">
      <c r="A1441" s="2" t="s">
        <v>24</v>
      </c>
      <c r="B1441" s="2" t="s">
        <v>30</v>
      </c>
      <c r="C1441" s="1">
        <v>14</v>
      </c>
      <c r="D1441" s="2" t="s">
        <v>16</v>
      </c>
      <c r="E1441" s="6" t="str">
        <f>IF(Table13[[#This Row],[Pre or Post]]="Pre",IF(IF(Table13[[#This Row],[Response]]="Male",0,1)+IF(Table13[[#This Row],[Response]]="Female",0,1)=2,E1440,Table13[[#This Row],[Response]]),"")</f>
        <v/>
      </c>
      <c r="F1441" s="1">
        <v>10</v>
      </c>
      <c r="G1441" s="1" t="s">
        <v>18</v>
      </c>
      <c r="H1441" s="2" t="s">
        <v>9</v>
      </c>
      <c r="I144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42" spans="1:11">
      <c r="A1442" s="2" t="s">
        <v>24</v>
      </c>
      <c r="B1442" s="2" t="s">
        <v>30</v>
      </c>
      <c r="C1442" s="1">
        <v>15</v>
      </c>
      <c r="D1442" s="2" t="s">
        <v>16</v>
      </c>
      <c r="E1442" s="6" t="str">
        <f>IF(Table13[[#This Row],[Pre or Post]]="Pre",IF(IF(Table13[[#This Row],[Response]]="Male",0,1)+IF(Table13[[#This Row],[Response]]="Female",0,1)=2,E1441,Table13[[#This Row],[Response]]),"")</f>
        <v/>
      </c>
      <c r="F1442" s="1">
        <v>2</v>
      </c>
      <c r="G1442" s="1">
        <v>3</v>
      </c>
      <c r="H1442" s="2" t="s">
        <v>9</v>
      </c>
      <c r="I144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43" spans="1:11">
      <c r="A1443" s="2" t="s">
        <v>24</v>
      </c>
      <c r="B1443" s="2" t="s">
        <v>30</v>
      </c>
      <c r="C1443" s="1">
        <v>15</v>
      </c>
      <c r="D1443" s="2" t="s">
        <v>16</v>
      </c>
      <c r="E1443" s="6" t="str">
        <f>IF(Table13[[#This Row],[Pre or Post]]="Pre",IF(IF(Table13[[#This Row],[Response]]="Male",0,1)+IF(Table13[[#This Row],[Response]]="Female",0,1)=2,E1442,Table13[[#This Row],[Response]]),"")</f>
        <v/>
      </c>
      <c r="F1443" s="1">
        <v>3</v>
      </c>
      <c r="G1443" s="1">
        <v>3</v>
      </c>
      <c r="H1443" s="2" t="s">
        <v>9</v>
      </c>
      <c r="I144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44" spans="1:11">
      <c r="A1444" s="2" t="s">
        <v>24</v>
      </c>
      <c r="B1444" s="2" t="s">
        <v>30</v>
      </c>
      <c r="C1444" s="1">
        <v>15</v>
      </c>
      <c r="D1444" s="2" t="s">
        <v>16</v>
      </c>
      <c r="E1444" s="6" t="str">
        <f>IF(Table13[[#This Row],[Pre or Post]]="Pre",IF(IF(Table13[[#This Row],[Response]]="Male",0,1)+IF(Table13[[#This Row],[Response]]="Female",0,1)=2,E1443,Table13[[#This Row],[Response]]),"")</f>
        <v/>
      </c>
      <c r="F1444" s="1">
        <v>4</v>
      </c>
      <c r="G1444" s="1">
        <v>3</v>
      </c>
      <c r="H1444" s="2" t="s">
        <v>9</v>
      </c>
      <c r="I144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45" spans="1:11">
      <c r="A1445" s="2" t="s">
        <v>24</v>
      </c>
      <c r="B1445" s="2" t="s">
        <v>30</v>
      </c>
      <c r="C1445" s="1">
        <v>15</v>
      </c>
      <c r="D1445" s="2" t="s">
        <v>16</v>
      </c>
      <c r="E1445" s="6" t="str">
        <f>IF(Table13[[#This Row],[Pre or Post]]="Pre",IF(IF(Table13[[#This Row],[Response]]="Male",0,1)+IF(Table13[[#This Row],[Response]]="Female",0,1)=2,E1444,Table13[[#This Row],[Response]]),"")</f>
        <v/>
      </c>
      <c r="F1445" s="1">
        <v>12</v>
      </c>
      <c r="G1445" s="1">
        <v>2</v>
      </c>
      <c r="H1445" s="2" t="s">
        <v>9</v>
      </c>
      <c r="I144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46" spans="1:11">
      <c r="A1446" s="2" t="s">
        <v>24</v>
      </c>
      <c r="B1446" s="2" t="s">
        <v>30</v>
      </c>
      <c r="C1446" s="1">
        <v>15</v>
      </c>
      <c r="D1446" s="2" t="s">
        <v>16</v>
      </c>
      <c r="E1446" s="6" t="str">
        <f>IF(Table13[[#This Row],[Pre or Post]]="Pre",IF(IF(Table13[[#This Row],[Response]]="Male",0,1)+IF(Table13[[#This Row],[Response]]="Female",0,1)=2,E1445,Table13[[#This Row],[Response]]),"")</f>
        <v/>
      </c>
      <c r="F1446" s="1">
        <v>13</v>
      </c>
      <c r="G1446" s="1">
        <v>4</v>
      </c>
      <c r="H1446" s="2" t="s">
        <v>9</v>
      </c>
      <c r="I144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47" spans="1:11">
      <c r="A1447" s="2" t="s">
        <v>24</v>
      </c>
      <c r="B1447" s="2" t="s">
        <v>30</v>
      </c>
      <c r="C1447" s="1">
        <v>15</v>
      </c>
      <c r="D1447" s="2" t="s">
        <v>16</v>
      </c>
      <c r="E1447" s="6" t="str">
        <f>IF(Table13[[#This Row],[Pre or Post]]="Pre",IF(IF(Table13[[#This Row],[Response]]="Male",0,1)+IF(Table13[[#This Row],[Response]]="Female",0,1)=2,E1446,Table13[[#This Row],[Response]]),"")</f>
        <v/>
      </c>
      <c r="F1447" s="1">
        <v>5</v>
      </c>
      <c r="G1447" s="1">
        <v>4</v>
      </c>
      <c r="H1447" s="2" t="s">
        <v>9</v>
      </c>
      <c r="I144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48" spans="1:11">
      <c r="A1448" s="2" t="s">
        <v>24</v>
      </c>
      <c r="B1448" s="2" t="s">
        <v>30</v>
      </c>
      <c r="C1448" s="1">
        <v>15</v>
      </c>
      <c r="D1448" s="2" t="s">
        <v>16</v>
      </c>
      <c r="E1448" s="6" t="str">
        <f>IF(Table13[[#This Row],[Pre or Post]]="Pre",IF(IF(Table13[[#This Row],[Response]]="Male",0,1)+IF(Table13[[#This Row],[Response]]="Female",0,1)=2,E1447,Table13[[#This Row],[Response]]),"")</f>
        <v/>
      </c>
      <c r="F1448" s="1">
        <v>6</v>
      </c>
      <c r="G1448" s="1">
        <v>3</v>
      </c>
      <c r="H1448" s="2" t="s">
        <v>9</v>
      </c>
      <c r="I144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49" spans="1:11">
      <c r="A1449" s="2" t="s">
        <v>24</v>
      </c>
      <c r="B1449" s="2" t="s">
        <v>30</v>
      </c>
      <c r="C1449" s="1">
        <v>15</v>
      </c>
      <c r="D1449" s="2" t="s">
        <v>16</v>
      </c>
      <c r="E1449" s="6" t="str">
        <f>IF(Table13[[#This Row],[Pre or Post]]="Pre",IF(IF(Table13[[#This Row],[Response]]="Male",0,1)+IF(Table13[[#This Row],[Response]]="Female",0,1)=2,E1448,Table13[[#This Row],[Response]]),"")</f>
        <v/>
      </c>
      <c r="F1449" s="1">
        <v>15</v>
      </c>
      <c r="G1449" s="1">
        <v>2</v>
      </c>
      <c r="H1449" s="2" t="s">
        <v>9</v>
      </c>
      <c r="I144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50" spans="1:11">
      <c r="A1450" s="2" t="s">
        <v>24</v>
      </c>
      <c r="B1450" s="2" t="s">
        <v>30</v>
      </c>
      <c r="C1450" s="1">
        <v>15</v>
      </c>
      <c r="D1450" s="2" t="s">
        <v>16</v>
      </c>
      <c r="E1450" s="6" t="str">
        <f>IF(Table13[[#This Row],[Pre or Post]]="Pre",IF(IF(Table13[[#This Row],[Response]]="Male",0,1)+IF(Table13[[#This Row],[Response]]="Female",0,1)=2,E1449,Table13[[#This Row],[Response]]),"")</f>
        <v/>
      </c>
      <c r="F1450" s="1">
        <v>14</v>
      </c>
      <c r="G1450" s="1">
        <v>4</v>
      </c>
      <c r="H1450" s="2" t="s">
        <v>9</v>
      </c>
      <c r="I145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51" spans="1:11">
      <c r="A1451" s="2" t="s">
        <v>24</v>
      </c>
      <c r="B1451" s="2" t="s">
        <v>30</v>
      </c>
      <c r="C1451" s="1">
        <v>15</v>
      </c>
      <c r="D1451" s="2" t="s">
        <v>16</v>
      </c>
      <c r="E1451" s="6" t="str">
        <f>IF(Table13[[#This Row],[Pre or Post]]="Pre",IF(IF(Table13[[#This Row],[Response]]="Male",0,1)+IF(Table13[[#This Row],[Response]]="Female",0,1)=2,E1450,Table13[[#This Row],[Response]]),"")</f>
        <v/>
      </c>
      <c r="F1451" s="1">
        <v>7</v>
      </c>
      <c r="G1451" s="1">
        <v>3</v>
      </c>
      <c r="H1451" s="2" t="s">
        <v>9</v>
      </c>
      <c r="I145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52" spans="1:11">
      <c r="A1452" s="2" t="s">
        <v>24</v>
      </c>
      <c r="B1452" s="2" t="s">
        <v>30</v>
      </c>
      <c r="C1452" s="1">
        <v>15</v>
      </c>
      <c r="D1452" s="2" t="s">
        <v>16</v>
      </c>
      <c r="E1452" s="6" t="str">
        <f>IF(Table13[[#This Row],[Pre or Post]]="Pre",IF(IF(Table13[[#This Row],[Response]]="Male",0,1)+IF(Table13[[#This Row],[Response]]="Female",0,1)=2,E1451,Table13[[#This Row],[Response]]),"")</f>
        <v/>
      </c>
      <c r="F1452" s="1">
        <v>16</v>
      </c>
      <c r="G1452" s="1">
        <v>2</v>
      </c>
      <c r="H1452" s="2" t="s">
        <v>9</v>
      </c>
      <c r="I145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53" spans="1:11">
      <c r="A1453" s="2" t="s">
        <v>24</v>
      </c>
      <c r="B1453" s="2" t="s">
        <v>30</v>
      </c>
      <c r="C1453" s="1">
        <v>15</v>
      </c>
      <c r="D1453" s="2" t="s">
        <v>16</v>
      </c>
      <c r="E1453" s="6" t="str">
        <f>IF(Table13[[#This Row],[Pre or Post]]="Pre",IF(IF(Table13[[#This Row],[Response]]="Male",0,1)+IF(Table13[[#This Row],[Response]]="Female",0,1)=2,E1452,Table13[[#This Row],[Response]]),"")</f>
        <v/>
      </c>
      <c r="F1453" s="1">
        <v>17</v>
      </c>
      <c r="G1453" s="1">
        <v>4</v>
      </c>
      <c r="H1453" s="2" t="s">
        <v>9</v>
      </c>
      <c r="I145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54" spans="1:11">
      <c r="A1454" s="2" t="s">
        <v>24</v>
      </c>
      <c r="B1454" s="2" t="s">
        <v>30</v>
      </c>
      <c r="C1454" s="1">
        <v>15</v>
      </c>
      <c r="D1454" s="2" t="s">
        <v>16</v>
      </c>
      <c r="E1454" s="6" t="str">
        <f>IF(Table13[[#This Row],[Pre or Post]]="Pre",IF(IF(Table13[[#This Row],[Response]]="Male",0,1)+IF(Table13[[#This Row],[Response]]="Female",0,1)=2,E1453,Table13[[#This Row],[Response]]),"")</f>
        <v/>
      </c>
      <c r="F1454" s="1">
        <v>8</v>
      </c>
      <c r="G1454" s="1"/>
      <c r="H1454" s="2" t="s">
        <v>9</v>
      </c>
      <c r="I145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55" spans="1:11">
      <c r="A1455" s="2" t="s">
        <v>24</v>
      </c>
      <c r="B1455" s="2" t="s">
        <v>30</v>
      </c>
      <c r="C1455" s="1">
        <v>15</v>
      </c>
      <c r="D1455" s="2" t="s">
        <v>16</v>
      </c>
      <c r="E1455" s="6" t="str">
        <f>IF(Table13[[#This Row],[Pre or Post]]="Pre",IF(IF(Table13[[#This Row],[Response]]="Male",0,1)+IF(Table13[[#This Row],[Response]]="Female",0,1)=2,E1454,Table13[[#This Row],[Response]]),"")</f>
        <v/>
      </c>
      <c r="F1455" s="1">
        <v>9</v>
      </c>
      <c r="G1455" s="1" t="s">
        <v>17</v>
      </c>
      <c r="H1455" s="2" t="s">
        <v>9</v>
      </c>
      <c r="I145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56" spans="1:11">
      <c r="A1456" s="2" t="s">
        <v>24</v>
      </c>
      <c r="B1456" s="2" t="s">
        <v>30</v>
      </c>
      <c r="C1456" s="1">
        <v>15</v>
      </c>
      <c r="D1456" s="2" t="s">
        <v>16</v>
      </c>
      <c r="E1456" s="6" t="str">
        <f>IF(Table13[[#This Row],[Pre or Post]]="Pre",IF(IF(Table13[[#This Row],[Response]]="Male",0,1)+IF(Table13[[#This Row],[Response]]="Female",0,1)=2,E1455,Table13[[#This Row],[Response]]),"")</f>
        <v/>
      </c>
      <c r="F1456" s="1">
        <v>10</v>
      </c>
      <c r="G1456" s="1" t="s">
        <v>19</v>
      </c>
      <c r="H1456" s="2" t="s">
        <v>9</v>
      </c>
      <c r="I145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57" spans="1:11">
      <c r="A1457" s="2" t="s">
        <v>24</v>
      </c>
      <c r="B1457" s="2" t="s">
        <v>30</v>
      </c>
      <c r="C1457" s="1">
        <v>16</v>
      </c>
      <c r="D1457" s="2" t="s">
        <v>16</v>
      </c>
      <c r="E1457" s="6" t="str">
        <f>IF(Table13[[#This Row],[Pre or Post]]="Pre",IF(IF(Table13[[#This Row],[Response]]="Male",0,1)+IF(Table13[[#This Row],[Response]]="Female",0,1)=2,E1456,Table13[[#This Row],[Response]]),"")</f>
        <v/>
      </c>
      <c r="F1457" s="1">
        <v>2</v>
      </c>
      <c r="G1457" s="1">
        <v>4</v>
      </c>
      <c r="H1457" s="2" t="s">
        <v>9</v>
      </c>
      <c r="I145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58" spans="1:11">
      <c r="A1458" s="2" t="s">
        <v>24</v>
      </c>
      <c r="B1458" s="2" t="s">
        <v>30</v>
      </c>
      <c r="C1458" s="1">
        <v>16</v>
      </c>
      <c r="D1458" s="2" t="s">
        <v>16</v>
      </c>
      <c r="E1458" s="6" t="str">
        <f>IF(Table13[[#This Row],[Pre or Post]]="Pre",IF(IF(Table13[[#This Row],[Response]]="Male",0,1)+IF(Table13[[#This Row],[Response]]="Female",0,1)=2,E1457,Table13[[#This Row],[Response]]),"")</f>
        <v/>
      </c>
      <c r="F1458" s="1">
        <v>3</v>
      </c>
      <c r="G1458" s="1">
        <v>3</v>
      </c>
      <c r="H1458" s="2" t="s">
        <v>9</v>
      </c>
      <c r="I145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59" spans="1:11">
      <c r="A1459" s="2" t="s">
        <v>24</v>
      </c>
      <c r="B1459" s="2" t="s">
        <v>30</v>
      </c>
      <c r="C1459" s="1">
        <v>16</v>
      </c>
      <c r="D1459" s="2" t="s">
        <v>16</v>
      </c>
      <c r="E1459" s="6" t="str">
        <f>IF(Table13[[#This Row],[Pre or Post]]="Pre",IF(IF(Table13[[#This Row],[Response]]="Male",0,1)+IF(Table13[[#This Row],[Response]]="Female",0,1)=2,E1458,Table13[[#This Row],[Response]]),"")</f>
        <v/>
      </c>
      <c r="F1459" s="1">
        <v>4</v>
      </c>
      <c r="G1459" s="1">
        <v>5</v>
      </c>
      <c r="H1459" s="2" t="s">
        <v>9</v>
      </c>
      <c r="I145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60" spans="1:11">
      <c r="A1460" s="2" t="s">
        <v>24</v>
      </c>
      <c r="B1460" s="2" t="s">
        <v>30</v>
      </c>
      <c r="C1460" s="1">
        <v>16</v>
      </c>
      <c r="D1460" s="2" t="s">
        <v>16</v>
      </c>
      <c r="E1460" s="6" t="str">
        <f>IF(Table13[[#This Row],[Pre or Post]]="Pre",IF(IF(Table13[[#This Row],[Response]]="Male",0,1)+IF(Table13[[#This Row],[Response]]="Female",0,1)=2,E1459,Table13[[#This Row],[Response]]),"")</f>
        <v/>
      </c>
      <c r="F1460" s="1">
        <v>12</v>
      </c>
      <c r="G1460" s="1">
        <v>3</v>
      </c>
      <c r="H1460" s="2" t="s">
        <v>9</v>
      </c>
      <c r="I146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61" spans="1:11">
      <c r="A1461" s="2" t="s">
        <v>24</v>
      </c>
      <c r="B1461" s="2" t="s">
        <v>30</v>
      </c>
      <c r="C1461" s="1">
        <v>16</v>
      </c>
      <c r="D1461" s="2" t="s">
        <v>16</v>
      </c>
      <c r="E1461" s="6" t="str">
        <f>IF(Table13[[#This Row],[Pre or Post]]="Pre",IF(IF(Table13[[#This Row],[Response]]="Male",0,1)+IF(Table13[[#This Row],[Response]]="Female",0,1)=2,E1460,Table13[[#This Row],[Response]]),"")</f>
        <v/>
      </c>
      <c r="F1461" s="1">
        <v>13</v>
      </c>
      <c r="G1461" s="1">
        <v>4</v>
      </c>
      <c r="H1461" s="2" t="s">
        <v>9</v>
      </c>
      <c r="I146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62" spans="1:11">
      <c r="A1462" s="2" t="s">
        <v>24</v>
      </c>
      <c r="B1462" s="2" t="s">
        <v>30</v>
      </c>
      <c r="C1462" s="1">
        <v>16</v>
      </c>
      <c r="D1462" s="2" t="s">
        <v>16</v>
      </c>
      <c r="E1462" s="6" t="str">
        <f>IF(Table13[[#This Row],[Pre or Post]]="Pre",IF(IF(Table13[[#This Row],[Response]]="Male",0,1)+IF(Table13[[#This Row],[Response]]="Female",0,1)=2,E1461,Table13[[#This Row],[Response]]),"")</f>
        <v/>
      </c>
      <c r="F1462" s="1">
        <v>5</v>
      </c>
      <c r="G1462" s="1">
        <v>5</v>
      </c>
      <c r="H1462" s="2" t="s">
        <v>9</v>
      </c>
      <c r="I146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63" spans="1:11">
      <c r="A1463" s="2" t="s">
        <v>24</v>
      </c>
      <c r="B1463" s="2" t="s">
        <v>30</v>
      </c>
      <c r="C1463" s="1">
        <v>16</v>
      </c>
      <c r="D1463" s="2" t="s">
        <v>16</v>
      </c>
      <c r="E1463" s="6" t="str">
        <f>IF(Table13[[#This Row],[Pre or Post]]="Pre",IF(IF(Table13[[#This Row],[Response]]="Male",0,1)+IF(Table13[[#This Row],[Response]]="Female",0,1)=2,E1462,Table13[[#This Row],[Response]]),"")</f>
        <v/>
      </c>
      <c r="F1463" s="1">
        <v>6</v>
      </c>
      <c r="G1463" s="1">
        <v>5</v>
      </c>
      <c r="H1463" s="2" t="s">
        <v>9</v>
      </c>
      <c r="I146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64" spans="1:11">
      <c r="A1464" s="2" t="s">
        <v>24</v>
      </c>
      <c r="B1464" s="2" t="s">
        <v>30</v>
      </c>
      <c r="C1464" s="1">
        <v>16</v>
      </c>
      <c r="D1464" s="2" t="s">
        <v>16</v>
      </c>
      <c r="E1464" s="6" t="str">
        <f>IF(Table13[[#This Row],[Pre or Post]]="Pre",IF(IF(Table13[[#This Row],[Response]]="Male",0,1)+IF(Table13[[#This Row],[Response]]="Female",0,1)=2,E1463,Table13[[#This Row],[Response]]),"")</f>
        <v/>
      </c>
      <c r="F1464" s="1">
        <v>15</v>
      </c>
      <c r="G1464" s="1">
        <v>4</v>
      </c>
      <c r="H1464" s="2" t="s">
        <v>9</v>
      </c>
      <c r="I146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65" spans="1:11">
      <c r="A1465" s="2" t="s">
        <v>24</v>
      </c>
      <c r="B1465" s="2" t="s">
        <v>30</v>
      </c>
      <c r="C1465" s="1">
        <v>16</v>
      </c>
      <c r="D1465" s="2" t="s">
        <v>16</v>
      </c>
      <c r="E1465" s="6" t="str">
        <f>IF(Table13[[#This Row],[Pre or Post]]="Pre",IF(IF(Table13[[#This Row],[Response]]="Male",0,1)+IF(Table13[[#This Row],[Response]]="Female",0,1)=2,E1464,Table13[[#This Row],[Response]]),"")</f>
        <v/>
      </c>
      <c r="F1465" s="1">
        <v>14</v>
      </c>
      <c r="G1465" s="1">
        <v>4</v>
      </c>
      <c r="H1465" s="2" t="s">
        <v>9</v>
      </c>
      <c r="I146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66" spans="1:11">
      <c r="A1466" s="2" t="s">
        <v>24</v>
      </c>
      <c r="B1466" s="2" t="s">
        <v>30</v>
      </c>
      <c r="C1466" s="1">
        <v>16</v>
      </c>
      <c r="D1466" s="2" t="s">
        <v>16</v>
      </c>
      <c r="E1466" s="6" t="str">
        <f>IF(Table13[[#This Row],[Pre or Post]]="Pre",IF(IF(Table13[[#This Row],[Response]]="Male",0,1)+IF(Table13[[#This Row],[Response]]="Female",0,1)=2,E1465,Table13[[#This Row],[Response]]),"")</f>
        <v/>
      </c>
      <c r="F1466" s="1">
        <v>7</v>
      </c>
      <c r="G1466" s="1">
        <v>3</v>
      </c>
      <c r="H1466" s="2" t="s">
        <v>9</v>
      </c>
      <c r="I146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67" spans="1:11">
      <c r="A1467" s="2" t="s">
        <v>24</v>
      </c>
      <c r="B1467" s="2" t="s">
        <v>30</v>
      </c>
      <c r="C1467" s="1">
        <v>16</v>
      </c>
      <c r="D1467" s="2" t="s">
        <v>16</v>
      </c>
      <c r="E1467" s="6" t="str">
        <f>IF(Table13[[#This Row],[Pre or Post]]="Pre",IF(IF(Table13[[#This Row],[Response]]="Male",0,1)+IF(Table13[[#This Row],[Response]]="Female",0,1)=2,E1466,Table13[[#This Row],[Response]]),"")</f>
        <v/>
      </c>
      <c r="F1467" s="1">
        <v>16</v>
      </c>
      <c r="G1467" s="1">
        <v>4</v>
      </c>
      <c r="H1467" s="2" t="s">
        <v>9</v>
      </c>
      <c r="I146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68" spans="1:11">
      <c r="A1468" s="2" t="s">
        <v>24</v>
      </c>
      <c r="B1468" s="2" t="s">
        <v>30</v>
      </c>
      <c r="C1468" s="1">
        <v>16</v>
      </c>
      <c r="D1468" s="2" t="s">
        <v>16</v>
      </c>
      <c r="E1468" s="6" t="str">
        <f>IF(Table13[[#This Row],[Pre or Post]]="Pre",IF(IF(Table13[[#This Row],[Response]]="Male",0,1)+IF(Table13[[#This Row],[Response]]="Female",0,1)=2,E1467,Table13[[#This Row],[Response]]),"")</f>
        <v/>
      </c>
      <c r="F1468" s="1">
        <v>17</v>
      </c>
      <c r="G1468" s="1">
        <v>4</v>
      </c>
      <c r="H1468" s="2" t="s">
        <v>9</v>
      </c>
      <c r="I146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69" spans="1:11">
      <c r="A1469" s="2" t="s">
        <v>24</v>
      </c>
      <c r="B1469" s="2" t="s">
        <v>30</v>
      </c>
      <c r="C1469" s="1">
        <v>16</v>
      </c>
      <c r="D1469" s="2" t="s">
        <v>16</v>
      </c>
      <c r="E1469" s="6" t="str">
        <f>IF(Table13[[#This Row],[Pre or Post]]="Pre",IF(IF(Table13[[#This Row],[Response]]="Male",0,1)+IF(Table13[[#This Row],[Response]]="Female",0,1)=2,E1468,Table13[[#This Row],[Response]]),"")</f>
        <v/>
      </c>
      <c r="F1469" s="1">
        <v>8</v>
      </c>
      <c r="G1469" s="1" t="s">
        <v>8</v>
      </c>
      <c r="H1469" s="2" t="s">
        <v>9</v>
      </c>
      <c r="I146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70" spans="1:11">
      <c r="A1470" s="2" t="s">
        <v>24</v>
      </c>
      <c r="B1470" s="2" t="s">
        <v>30</v>
      </c>
      <c r="C1470" s="1">
        <v>16</v>
      </c>
      <c r="D1470" s="2" t="s">
        <v>16</v>
      </c>
      <c r="E1470" s="6" t="str">
        <f>IF(Table13[[#This Row],[Pre or Post]]="Pre",IF(IF(Table13[[#This Row],[Response]]="Male",0,1)+IF(Table13[[#This Row],[Response]]="Female",0,1)=2,E1469,Table13[[#This Row],[Response]]),"")</f>
        <v/>
      </c>
      <c r="F1470" s="1">
        <v>9</v>
      </c>
      <c r="G1470" s="1" t="s">
        <v>17</v>
      </c>
      <c r="H1470" s="2" t="s">
        <v>9</v>
      </c>
      <c r="I147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71" spans="1:11">
      <c r="A1471" s="2" t="s">
        <v>24</v>
      </c>
      <c r="B1471" s="2" t="s">
        <v>30</v>
      </c>
      <c r="C1471" s="1">
        <v>16</v>
      </c>
      <c r="D1471" s="2" t="s">
        <v>16</v>
      </c>
      <c r="E1471" s="6" t="str">
        <f>IF(Table13[[#This Row],[Pre or Post]]="Pre",IF(IF(Table13[[#This Row],[Response]]="Male",0,1)+IF(Table13[[#This Row],[Response]]="Female",0,1)=2,E1470,Table13[[#This Row],[Response]]),"")</f>
        <v/>
      </c>
      <c r="F1471" s="1">
        <v>10</v>
      </c>
      <c r="G1471" s="1" t="s">
        <v>19</v>
      </c>
      <c r="H1471" s="2" t="s">
        <v>9</v>
      </c>
      <c r="I147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72" spans="1:11">
      <c r="A1472" s="2" t="s">
        <v>24</v>
      </c>
      <c r="B1472" s="2" t="s">
        <v>30</v>
      </c>
      <c r="C1472" s="1">
        <v>17</v>
      </c>
      <c r="D1472" s="2" t="s">
        <v>16</v>
      </c>
      <c r="E1472" s="6" t="str">
        <f>IF(Table13[[#This Row],[Pre or Post]]="Pre",IF(IF(Table13[[#This Row],[Response]]="Male",0,1)+IF(Table13[[#This Row],[Response]]="Female",0,1)=2,E1471,Table13[[#This Row],[Response]]),"")</f>
        <v/>
      </c>
      <c r="F1472" s="1">
        <v>2</v>
      </c>
      <c r="G1472" s="1">
        <v>3</v>
      </c>
      <c r="H1472" s="2" t="s">
        <v>9</v>
      </c>
      <c r="I147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73" spans="1:11">
      <c r="A1473" s="2" t="s">
        <v>24</v>
      </c>
      <c r="B1473" s="2" t="s">
        <v>30</v>
      </c>
      <c r="C1473" s="1">
        <v>17</v>
      </c>
      <c r="D1473" s="2" t="s">
        <v>16</v>
      </c>
      <c r="E1473" s="6" t="str">
        <f>IF(Table13[[#This Row],[Pre or Post]]="Pre",IF(IF(Table13[[#This Row],[Response]]="Male",0,1)+IF(Table13[[#This Row],[Response]]="Female",0,1)=2,E1472,Table13[[#This Row],[Response]]),"")</f>
        <v/>
      </c>
      <c r="F1473" s="1">
        <v>3</v>
      </c>
      <c r="G1473" s="1">
        <v>4</v>
      </c>
      <c r="H1473" s="2" t="s">
        <v>9</v>
      </c>
      <c r="I147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74" spans="1:11">
      <c r="A1474" s="2" t="s">
        <v>24</v>
      </c>
      <c r="B1474" s="2" t="s">
        <v>30</v>
      </c>
      <c r="C1474" s="1">
        <v>17</v>
      </c>
      <c r="D1474" s="2" t="s">
        <v>16</v>
      </c>
      <c r="E1474" s="6" t="str">
        <f>IF(Table13[[#This Row],[Pre or Post]]="Pre",IF(IF(Table13[[#This Row],[Response]]="Male",0,1)+IF(Table13[[#This Row],[Response]]="Female",0,1)=2,E1473,Table13[[#This Row],[Response]]),"")</f>
        <v/>
      </c>
      <c r="F1474" s="1">
        <v>4</v>
      </c>
      <c r="G1474" s="1">
        <v>3</v>
      </c>
      <c r="H1474" s="2" t="s">
        <v>9</v>
      </c>
      <c r="I147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75" spans="1:11">
      <c r="A1475" s="2" t="s">
        <v>24</v>
      </c>
      <c r="B1475" s="2" t="s">
        <v>30</v>
      </c>
      <c r="C1475" s="1">
        <v>17</v>
      </c>
      <c r="D1475" s="2" t="s">
        <v>16</v>
      </c>
      <c r="E1475" s="6" t="str">
        <f>IF(Table13[[#This Row],[Pre or Post]]="Pre",IF(IF(Table13[[#This Row],[Response]]="Male",0,1)+IF(Table13[[#This Row],[Response]]="Female",0,1)=2,E1474,Table13[[#This Row],[Response]]),"")</f>
        <v/>
      </c>
      <c r="F1475" s="1">
        <v>12</v>
      </c>
      <c r="G1475" s="1">
        <v>2</v>
      </c>
      <c r="H1475" s="2" t="s">
        <v>9</v>
      </c>
      <c r="I147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76" spans="1:11">
      <c r="A1476" s="2" t="s">
        <v>24</v>
      </c>
      <c r="B1476" s="2" t="s">
        <v>30</v>
      </c>
      <c r="C1476" s="1">
        <v>17</v>
      </c>
      <c r="D1476" s="2" t="s">
        <v>16</v>
      </c>
      <c r="E1476" s="6" t="str">
        <f>IF(Table13[[#This Row],[Pre or Post]]="Pre",IF(IF(Table13[[#This Row],[Response]]="Male",0,1)+IF(Table13[[#This Row],[Response]]="Female",0,1)=2,E1475,Table13[[#This Row],[Response]]),"")</f>
        <v/>
      </c>
      <c r="F1476" s="1">
        <v>13</v>
      </c>
      <c r="G1476" s="1">
        <v>4</v>
      </c>
      <c r="H1476" s="2" t="s">
        <v>9</v>
      </c>
      <c r="I147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77" spans="1:11">
      <c r="A1477" s="2" t="s">
        <v>24</v>
      </c>
      <c r="B1477" s="2" t="s">
        <v>30</v>
      </c>
      <c r="C1477" s="1">
        <v>17</v>
      </c>
      <c r="D1477" s="2" t="s">
        <v>16</v>
      </c>
      <c r="E1477" s="6" t="str">
        <f>IF(Table13[[#This Row],[Pre or Post]]="Pre",IF(IF(Table13[[#This Row],[Response]]="Male",0,1)+IF(Table13[[#This Row],[Response]]="Female",0,1)=2,E1476,Table13[[#This Row],[Response]]),"")</f>
        <v/>
      </c>
      <c r="F1477" s="1">
        <v>5</v>
      </c>
      <c r="G1477" s="1">
        <v>4</v>
      </c>
      <c r="H1477" s="2" t="s">
        <v>9</v>
      </c>
      <c r="I147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78" spans="1:11">
      <c r="A1478" s="2" t="s">
        <v>24</v>
      </c>
      <c r="B1478" s="2" t="s">
        <v>30</v>
      </c>
      <c r="C1478" s="1">
        <v>17</v>
      </c>
      <c r="D1478" s="2" t="s">
        <v>16</v>
      </c>
      <c r="E1478" s="6" t="str">
        <f>IF(Table13[[#This Row],[Pre or Post]]="Pre",IF(IF(Table13[[#This Row],[Response]]="Male",0,1)+IF(Table13[[#This Row],[Response]]="Female",0,1)=2,E1477,Table13[[#This Row],[Response]]),"")</f>
        <v/>
      </c>
      <c r="F1478" s="1">
        <v>6</v>
      </c>
      <c r="G1478" s="1">
        <v>4</v>
      </c>
      <c r="H1478" s="2" t="s">
        <v>9</v>
      </c>
      <c r="I147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79" spans="1:11">
      <c r="A1479" s="2" t="s">
        <v>24</v>
      </c>
      <c r="B1479" s="2" t="s">
        <v>30</v>
      </c>
      <c r="C1479" s="1">
        <v>17</v>
      </c>
      <c r="D1479" s="2" t="s">
        <v>16</v>
      </c>
      <c r="E1479" s="6" t="str">
        <f>IF(Table13[[#This Row],[Pre or Post]]="Pre",IF(IF(Table13[[#This Row],[Response]]="Male",0,1)+IF(Table13[[#This Row],[Response]]="Female",0,1)=2,E1478,Table13[[#This Row],[Response]]),"")</f>
        <v/>
      </c>
      <c r="F1479" s="1">
        <v>15</v>
      </c>
      <c r="G1479" s="1">
        <v>2</v>
      </c>
      <c r="H1479" s="2" t="s">
        <v>9</v>
      </c>
      <c r="I147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80" spans="1:11">
      <c r="A1480" s="2" t="s">
        <v>24</v>
      </c>
      <c r="B1480" s="2" t="s">
        <v>30</v>
      </c>
      <c r="C1480" s="1">
        <v>17</v>
      </c>
      <c r="D1480" s="2" t="s">
        <v>16</v>
      </c>
      <c r="E1480" s="6" t="str">
        <f>IF(Table13[[#This Row],[Pre or Post]]="Pre",IF(IF(Table13[[#This Row],[Response]]="Male",0,1)+IF(Table13[[#This Row],[Response]]="Female",0,1)=2,E1479,Table13[[#This Row],[Response]]),"")</f>
        <v/>
      </c>
      <c r="F1480" s="1">
        <v>14</v>
      </c>
      <c r="G1480" s="1">
        <v>4</v>
      </c>
      <c r="H1480" s="2" t="s">
        <v>9</v>
      </c>
      <c r="I148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81" spans="1:11">
      <c r="A1481" s="2" t="s">
        <v>24</v>
      </c>
      <c r="B1481" s="2" t="s">
        <v>30</v>
      </c>
      <c r="C1481" s="1">
        <v>17</v>
      </c>
      <c r="D1481" s="2" t="s">
        <v>16</v>
      </c>
      <c r="E1481" s="6" t="str">
        <f>IF(Table13[[#This Row],[Pre or Post]]="Pre",IF(IF(Table13[[#This Row],[Response]]="Male",0,1)+IF(Table13[[#This Row],[Response]]="Female",0,1)=2,E1480,Table13[[#This Row],[Response]]),"")</f>
        <v/>
      </c>
      <c r="F1481" s="1">
        <v>7</v>
      </c>
      <c r="G1481" s="1">
        <v>4</v>
      </c>
      <c r="H1481" s="2" t="s">
        <v>9</v>
      </c>
      <c r="I148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82" spans="1:11">
      <c r="A1482" s="2" t="s">
        <v>24</v>
      </c>
      <c r="B1482" s="2" t="s">
        <v>30</v>
      </c>
      <c r="C1482" s="1">
        <v>17</v>
      </c>
      <c r="D1482" s="2" t="s">
        <v>16</v>
      </c>
      <c r="E1482" s="6" t="str">
        <f>IF(Table13[[#This Row],[Pre or Post]]="Pre",IF(IF(Table13[[#This Row],[Response]]="Male",0,1)+IF(Table13[[#This Row],[Response]]="Female",0,1)=2,E1481,Table13[[#This Row],[Response]]),"")</f>
        <v/>
      </c>
      <c r="F1482" s="1">
        <v>16</v>
      </c>
      <c r="G1482" s="1">
        <v>3</v>
      </c>
      <c r="H1482" s="2" t="s">
        <v>9</v>
      </c>
      <c r="I148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83" spans="1:11">
      <c r="A1483" s="2" t="s">
        <v>24</v>
      </c>
      <c r="B1483" s="2" t="s">
        <v>30</v>
      </c>
      <c r="C1483" s="1">
        <v>17</v>
      </c>
      <c r="D1483" s="2" t="s">
        <v>16</v>
      </c>
      <c r="E1483" s="6" t="str">
        <f>IF(Table13[[#This Row],[Pre or Post]]="Pre",IF(IF(Table13[[#This Row],[Response]]="Male",0,1)+IF(Table13[[#This Row],[Response]]="Female",0,1)=2,E1482,Table13[[#This Row],[Response]]),"")</f>
        <v/>
      </c>
      <c r="F1483" s="1">
        <v>17</v>
      </c>
      <c r="G1483" s="1">
        <v>4</v>
      </c>
      <c r="H1483" s="2" t="s">
        <v>9</v>
      </c>
      <c r="I148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84" spans="1:11">
      <c r="A1484" s="2" t="s">
        <v>24</v>
      </c>
      <c r="B1484" s="2" t="s">
        <v>30</v>
      </c>
      <c r="C1484" s="1">
        <v>17</v>
      </c>
      <c r="D1484" s="2" t="s">
        <v>16</v>
      </c>
      <c r="E1484" s="6" t="str">
        <f>IF(Table13[[#This Row],[Pre or Post]]="Pre",IF(IF(Table13[[#This Row],[Response]]="Male",0,1)+IF(Table13[[#This Row],[Response]]="Female",0,1)=2,E1483,Table13[[#This Row],[Response]]),"")</f>
        <v/>
      </c>
      <c r="F1484" s="1">
        <v>8</v>
      </c>
      <c r="G1484" s="1" t="s">
        <v>8</v>
      </c>
      <c r="H1484" s="2" t="s">
        <v>9</v>
      </c>
      <c r="I148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85" spans="1:11">
      <c r="A1485" s="2" t="s">
        <v>24</v>
      </c>
      <c r="B1485" s="2" t="s">
        <v>30</v>
      </c>
      <c r="C1485" s="1">
        <v>17</v>
      </c>
      <c r="D1485" s="2" t="s">
        <v>16</v>
      </c>
      <c r="E1485" s="6" t="str">
        <f>IF(Table13[[#This Row],[Pre or Post]]="Pre",IF(IF(Table13[[#This Row],[Response]]="Male",0,1)+IF(Table13[[#This Row],[Response]]="Female",0,1)=2,E1484,Table13[[#This Row],[Response]]),"")</f>
        <v/>
      </c>
      <c r="F1485" s="1">
        <v>9</v>
      </c>
      <c r="G1485" s="1" t="s">
        <v>17</v>
      </c>
      <c r="H1485" s="2" t="s">
        <v>9</v>
      </c>
      <c r="I148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86" spans="1:11">
      <c r="A1486" s="2" t="s">
        <v>24</v>
      </c>
      <c r="B1486" s="2" t="s">
        <v>30</v>
      </c>
      <c r="C1486" s="1">
        <v>17</v>
      </c>
      <c r="D1486" s="2" t="s">
        <v>16</v>
      </c>
      <c r="E1486" s="6" t="str">
        <f>IF(Table13[[#This Row],[Pre or Post]]="Pre",IF(IF(Table13[[#This Row],[Response]]="Male",0,1)+IF(Table13[[#This Row],[Response]]="Female",0,1)=2,E1485,Table13[[#This Row],[Response]]),"")</f>
        <v/>
      </c>
      <c r="F1486" s="1">
        <v>10</v>
      </c>
      <c r="G1486" s="1" t="s">
        <v>19</v>
      </c>
      <c r="H1486" s="2" t="s">
        <v>9</v>
      </c>
      <c r="I148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87" spans="1:11">
      <c r="A1487" s="2" t="s">
        <v>24</v>
      </c>
      <c r="B1487" s="2" t="s">
        <v>30</v>
      </c>
      <c r="C1487" s="1">
        <v>18</v>
      </c>
      <c r="D1487" s="2" t="s">
        <v>16</v>
      </c>
      <c r="E1487" s="6" t="str">
        <f>IF(Table13[[#This Row],[Pre or Post]]="Pre",IF(IF(Table13[[#This Row],[Response]]="Male",0,1)+IF(Table13[[#This Row],[Response]]="Female",0,1)=2,E1486,Table13[[#This Row],[Response]]),"")</f>
        <v/>
      </c>
      <c r="F1487" s="1">
        <v>2</v>
      </c>
      <c r="G1487" s="1">
        <v>3</v>
      </c>
      <c r="H1487" s="2" t="s">
        <v>9</v>
      </c>
      <c r="I148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88" spans="1:11">
      <c r="A1488" s="2" t="s">
        <v>24</v>
      </c>
      <c r="B1488" s="2" t="s">
        <v>30</v>
      </c>
      <c r="C1488" s="1">
        <v>18</v>
      </c>
      <c r="D1488" s="2" t="s">
        <v>16</v>
      </c>
      <c r="E1488" s="6" t="str">
        <f>IF(Table13[[#This Row],[Pre or Post]]="Pre",IF(IF(Table13[[#This Row],[Response]]="Male",0,1)+IF(Table13[[#This Row],[Response]]="Female",0,1)=2,E1487,Table13[[#This Row],[Response]]),"")</f>
        <v/>
      </c>
      <c r="F1488" s="1">
        <v>3</v>
      </c>
      <c r="G1488" s="1">
        <v>3</v>
      </c>
      <c r="H1488" s="2" t="s">
        <v>9</v>
      </c>
      <c r="I148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89" spans="1:11">
      <c r="A1489" s="2" t="s">
        <v>24</v>
      </c>
      <c r="B1489" s="2" t="s">
        <v>30</v>
      </c>
      <c r="C1489" s="1">
        <v>18</v>
      </c>
      <c r="D1489" s="2" t="s">
        <v>16</v>
      </c>
      <c r="E1489" s="6" t="str">
        <f>IF(Table13[[#This Row],[Pre or Post]]="Pre",IF(IF(Table13[[#This Row],[Response]]="Male",0,1)+IF(Table13[[#This Row],[Response]]="Female",0,1)=2,E1488,Table13[[#This Row],[Response]]),"")</f>
        <v/>
      </c>
      <c r="F1489" s="1">
        <v>4</v>
      </c>
      <c r="G1489" s="1">
        <v>2</v>
      </c>
      <c r="H1489" s="2" t="s">
        <v>9</v>
      </c>
      <c r="I148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90" spans="1:11">
      <c r="A1490" s="2" t="s">
        <v>24</v>
      </c>
      <c r="B1490" s="2" t="s">
        <v>30</v>
      </c>
      <c r="C1490" s="1">
        <v>18</v>
      </c>
      <c r="D1490" s="2" t="s">
        <v>16</v>
      </c>
      <c r="E1490" s="6" t="str">
        <f>IF(Table13[[#This Row],[Pre or Post]]="Pre",IF(IF(Table13[[#This Row],[Response]]="Male",0,1)+IF(Table13[[#This Row],[Response]]="Female",0,1)=2,E1489,Table13[[#This Row],[Response]]),"")</f>
        <v/>
      </c>
      <c r="F1490" s="1">
        <v>12</v>
      </c>
      <c r="G1490" s="1">
        <v>3</v>
      </c>
      <c r="H1490" s="2" t="s">
        <v>9</v>
      </c>
      <c r="I149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91" spans="1:11">
      <c r="A1491" s="2" t="s">
        <v>24</v>
      </c>
      <c r="B1491" s="2" t="s">
        <v>30</v>
      </c>
      <c r="C1491" s="1">
        <v>18</v>
      </c>
      <c r="D1491" s="2" t="s">
        <v>16</v>
      </c>
      <c r="E1491" s="6" t="str">
        <f>IF(Table13[[#This Row],[Pre or Post]]="Pre",IF(IF(Table13[[#This Row],[Response]]="Male",0,1)+IF(Table13[[#This Row],[Response]]="Female",0,1)=2,E1490,Table13[[#This Row],[Response]]),"")</f>
        <v/>
      </c>
      <c r="F1491" s="1">
        <v>13</v>
      </c>
      <c r="G1491" s="1">
        <v>3</v>
      </c>
      <c r="H1491" s="2" t="s">
        <v>9</v>
      </c>
      <c r="I149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92" spans="1:11">
      <c r="A1492" s="2" t="s">
        <v>24</v>
      </c>
      <c r="B1492" s="2" t="s">
        <v>30</v>
      </c>
      <c r="C1492" s="1">
        <v>18</v>
      </c>
      <c r="D1492" s="2" t="s">
        <v>16</v>
      </c>
      <c r="E1492" s="6" t="str">
        <f>IF(Table13[[#This Row],[Pre or Post]]="Pre",IF(IF(Table13[[#This Row],[Response]]="Male",0,1)+IF(Table13[[#This Row],[Response]]="Female",0,1)=2,E1491,Table13[[#This Row],[Response]]),"")</f>
        <v/>
      </c>
      <c r="F1492" s="1">
        <v>5</v>
      </c>
      <c r="G1492" s="1">
        <v>4</v>
      </c>
      <c r="H1492" s="2" t="s">
        <v>9</v>
      </c>
      <c r="I149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93" spans="1:11">
      <c r="A1493" s="2" t="s">
        <v>24</v>
      </c>
      <c r="B1493" s="2" t="s">
        <v>30</v>
      </c>
      <c r="C1493" s="1">
        <v>18</v>
      </c>
      <c r="D1493" s="2" t="s">
        <v>16</v>
      </c>
      <c r="E1493" s="6" t="str">
        <f>IF(Table13[[#This Row],[Pre or Post]]="Pre",IF(IF(Table13[[#This Row],[Response]]="Male",0,1)+IF(Table13[[#This Row],[Response]]="Female",0,1)=2,E1492,Table13[[#This Row],[Response]]),"")</f>
        <v/>
      </c>
      <c r="F1493" s="1">
        <v>6</v>
      </c>
      <c r="G1493" s="1">
        <v>3</v>
      </c>
      <c r="H1493" s="2" t="s">
        <v>9</v>
      </c>
      <c r="I149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94" spans="1:11">
      <c r="A1494" s="2" t="s">
        <v>24</v>
      </c>
      <c r="B1494" s="2" t="s">
        <v>30</v>
      </c>
      <c r="C1494" s="1">
        <v>18</v>
      </c>
      <c r="D1494" s="2" t="s">
        <v>16</v>
      </c>
      <c r="E1494" s="6" t="str">
        <f>IF(Table13[[#This Row],[Pre or Post]]="Pre",IF(IF(Table13[[#This Row],[Response]]="Male",0,1)+IF(Table13[[#This Row],[Response]]="Female",0,1)=2,E1493,Table13[[#This Row],[Response]]),"")</f>
        <v/>
      </c>
      <c r="F1494" s="1">
        <v>15</v>
      </c>
      <c r="G1494" s="1">
        <v>4</v>
      </c>
      <c r="H1494" s="2" t="s">
        <v>9</v>
      </c>
      <c r="I149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95" spans="1:11">
      <c r="A1495" s="2" t="s">
        <v>24</v>
      </c>
      <c r="B1495" s="2" t="s">
        <v>30</v>
      </c>
      <c r="C1495" s="1">
        <v>18</v>
      </c>
      <c r="D1495" s="2" t="s">
        <v>16</v>
      </c>
      <c r="E1495" s="6" t="str">
        <f>IF(Table13[[#This Row],[Pre or Post]]="Pre",IF(IF(Table13[[#This Row],[Response]]="Male",0,1)+IF(Table13[[#This Row],[Response]]="Female",0,1)=2,E1494,Table13[[#This Row],[Response]]),"")</f>
        <v/>
      </c>
      <c r="F1495" s="1">
        <v>14</v>
      </c>
      <c r="G1495" s="1">
        <v>4</v>
      </c>
      <c r="H1495" s="2" t="s">
        <v>9</v>
      </c>
      <c r="I149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96" spans="1:11">
      <c r="A1496" s="2" t="s">
        <v>24</v>
      </c>
      <c r="B1496" s="2" t="s">
        <v>30</v>
      </c>
      <c r="C1496" s="1">
        <v>18</v>
      </c>
      <c r="D1496" s="2" t="s">
        <v>16</v>
      </c>
      <c r="E1496" s="6" t="str">
        <f>IF(Table13[[#This Row],[Pre or Post]]="Pre",IF(IF(Table13[[#This Row],[Response]]="Male",0,1)+IF(Table13[[#This Row],[Response]]="Female",0,1)=2,E1495,Table13[[#This Row],[Response]]),"")</f>
        <v/>
      </c>
      <c r="F1496" s="1">
        <v>7</v>
      </c>
      <c r="G1496" s="1">
        <v>3</v>
      </c>
      <c r="H1496" s="2" t="s">
        <v>9</v>
      </c>
      <c r="I149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97" spans="1:11">
      <c r="A1497" s="2" t="s">
        <v>24</v>
      </c>
      <c r="B1497" s="2" t="s">
        <v>30</v>
      </c>
      <c r="C1497" s="1">
        <v>18</v>
      </c>
      <c r="D1497" s="2" t="s">
        <v>16</v>
      </c>
      <c r="E1497" s="6" t="str">
        <f>IF(Table13[[#This Row],[Pre or Post]]="Pre",IF(IF(Table13[[#This Row],[Response]]="Male",0,1)+IF(Table13[[#This Row],[Response]]="Female",0,1)=2,E1496,Table13[[#This Row],[Response]]),"")</f>
        <v/>
      </c>
      <c r="F1497" s="1">
        <v>16</v>
      </c>
      <c r="G1497" s="1">
        <v>3</v>
      </c>
      <c r="H1497" s="2" t="s">
        <v>9</v>
      </c>
      <c r="I149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98" spans="1:11">
      <c r="A1498" s="2" t="s">
        <v>24</v>
      </c>
      <c r="B1498" s="2" t="s">
        <v>30</v>
      </c>
      <c r="C1498" s="1">
        <v>18</v>
      </c>
      <c r="D1498" s="2" t="s">
        <v>16</v>
      </c>
      <c r="E1498" s="6" t="str">
        <f>IF(Table13[[#This Row],[Pre or Post]]="Pre",IF(IF(Table13[[#This Row],[Response]]="Male",0,1)+IF(Table13[[#This Row],[Response]]="Female",0,1)=2,E1497,Table13[[#This Row],[Response]]),"")</f>
        <v/>
      </c>
      <c r="F1498" s="1">
        <v>17</v>
      </c>
      <c r="G1498" s="1">
        <v>3</v>
      </c>
      <c r="H1498" s="2" t="s">
        <v>9</v>
      </c>
      <c r="I149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499" spans="1:11">
      <c r="A1499" s="2" t="s">
        <v>24</v>
      </c>
      <c r="B1499" s="2" t="s">
        <v>30</v>
      </c>
      <c r="C1499" s="1">
        <v>18</v>
      </c>
      <c r="D1499" s="2" t="s">
        <v>16</v>
      </c>
      <c r="E1499" s="6" t="str">
        <f>IF(Table13[[#This Row],[Pre or Post]]="Pre",IF(IF(Table13[[#This Row],[Response]]="Male",0,1)+IF(Table13[[#This Row],[Response]]="Female",0,1)=2,E1498,Table13[[#This Row],[Response]]),"")</f>
        <v/>
      </c>
      <c r="F1499" s="1">
        <v>8</v>
      </c>
      <c r="G1499" s="1" t="s">
        <v>8</v>
      </c>
      <c r="H1499" s="2" t="s">
        <v>9</v>
      </c>
      <c r="I149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4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4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00" spans="1:11">
      <c r="A1500" s="2" t="s">
        <v>24</v>
      </c>
      <c r="B1500" s="2" t="s">
        <v>30</v>
      </c>
      <c r="C1500" s="1">
        <v>18</v>
      </c>
      <c r="D1500" s="2" t="s">
        <v>16</v>
      </c>
      <c r="E1500" s="6" t="str">
        <f>IF(Table13[[#This Row],[Pre or Post]]="Pre",IF(IF(Table13[[#This Row],[Response]]="Male",0,1)+IF(Table13[[#This Row],[Response]]="Female",0,1)=2,E1499,Table13[[#This Row],[Response]]),"")</f>
        <v/>
      </c>
      <c r="F1500" s="1">
        <v>9</v>
      </c>
      <c r="G1500" s="1" t="s">
        <v>17</v>
      </c>
      <c r="H1500" s="2" t="s">
        <v>9</v>
      </c>
      <c r="I150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01" spans="1:11">
      <c r="A1501" s="2" t="s">
        <v>24</v>
      </c>
      <c r="B1501" s="2" t="s">
        <v>30</v>
      </c>
      <c r="C1501" s="1">
        <v>18</v>
      </c>
      <c r="D1501" s="2" t="s">
        <v>16</v>
      </c>
      <c r="E1501" s="6" t="str">
        <f>IF(Table13[[#This Row],[Pre or Post]]="Pre",IF(IF(Table13[[#This Row],[Response]]="Male",0,1)+IF(Table13[[#This Row],[Response]]="Female",0,1)=2,E1500,Table13[[#This Row],[Response]]),"")</f>
        <v/>
      </c>
      <c r="F1501" s="1">
        <v>10</v>
      </c>
      <c r="G1501" s="1" t="s">
        <v>18</v>
      </c>
      <c r="H1501" s="2" t="s">
        <v>9</v>
      </c>
      <c r="I150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02" spans="1:11">
      <c r="A1502" s="2" t="s">
        <v>24</v>
      </c>
      <c r="B1502" s="2" t="s">
        <v>30</v>
      </c>
      <c r="C1502" s="2">
        <v>19</v>
      </c>
      <c r="D1502" s="2" t="s">
        <v>16</v>
      </c>
      <c r="E1502" s="6" t="str">
        <f>IF(Table13[[#This Row],[Pre or Post]]="Pre",IF(IF(Table13[[#This Row],[Response]]="Male",0,1)+IF(Table13[[#This Row],[Response]]="Female",0,1)=2,E1501,Table13[[#This Row],[Response]]),"")</f>
        <v/>
      </c>
      <c r="F1502" s="1">
        <v>2</v>
      </c>
      <c r="G1502" s="1">
        <v>3</v>
      </c>
      <c r="H1502" s="2" t="s">
        <v>9</v>
      </c>
      <c r="I150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03" spans="1:11">
      <c r="A1503" s="2" t="s">
        <v>24</v>
      </c>
      <c r="B1503" s="2" t="s">
        <v>30</v>
      </c>
      <c r="C1503" s="2">
        <v>19</v>
      </c>
      <c r="D1503" s="2" t="s">
        <v>16</v>
      </c>
      <c r="E1503" s="6" t="str">
        <f>IF(Table13[[#This Row],[Pre or Post]]="Pre",IF(IF(Table13[[#This Row],[Response]]="Male",0,1)+IF(Table13[[#This Row],[Response]]="Female",0,1)=2,E1502,Table13[[#This Row],[Response]]),"")</f>
        <v/>
      </c>
      <c r="F1503" s="1">
        <v>3</v>
      </c>
      <c r="G1503" s="1">
        <v>3</v>
      </c>
      <c r="H1503" s="2" t="s">
        <v>9</v>
      </c>
      <c r="I150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04" spans="1:11">
      <c r="A1504" s="2" t="s">
        <v>24</v>
      </c>
      <c r="B1504" s="2" t="s">
        <v>30</v>
      </c>
      <c r="C1504" s="2">
        <v>19</v>
      </c>
      <c r="D1504" s="2" t="s">
        <v>16</v>
      </c>
      <c r="E1504" s="6" t="str">
        <f>IF(Table13[[#This Row],[Pre or Post]]="Pre",IF(IF(Table13[[#This Row],[Response]]="Male",0,1)+IF(Table13[[#This Row],[Response]]="Female",0,1)=2,E1503,Table13[[#This Row],[Response]]),"")</f>
        <v/>
      </c>
      <c r="F1504" s="1">
        <v>4</v>
      </c>
      <c r="G1504" s="1">
        <v>2</v>
      </c>
      <c r="H1504" s="2" t="s">
        <v>9</v>
      </c>
      <c r="I150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05" spans="1:11">
      <c r="A1505" s="2" t="s">
        <v>24</v>
      </c>
      <c r="B1505" s="2" t="s">
        <v>30</v>
      </c>
      <c r="C1505" s="2">
        <v>19</v>
      </c>
      <c r="D1505" s="2" t="s">
        <v>16</v>
      </c>
      <c r="E1505" s="6" t="str">
        <f>IF(Table13[[#This Row],[Pre or Post]]="Pre",IF(IF(Table13[[#This Row],[Response]]="Male",0,1)+IF(Table13[[#This Row],[Response]]="Female",0,1)=2,E1504,Table13[[#This Row],[Response]]),"")</f>
        <v/>
      </c>
      <c r="F1505" s="1">
        <v>12</v>
      </c>
      <c r="G1505" s="1"/>
      <c r="H1505" s="2" t="s">
        <v>9</v>
      </c>
      <c r="I150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06" spans="1:11">
      <c r="A1506" s="2" t="s">
        <v>24</v>
      </c>
      <c r="B1506" s="2" t="s">
        <v>30</v>
      </c>
      <c r="C1506" s="2">
        <v>19</v>
      </c>
      <c r="D1506" s="2" t="s">
        <v>16</v>
      </c>
      <c r="E1506" s="6" t="str">
        <f>IF(Table13[[#This Row],[Pre or Post]]="Pre",IF(IF(Table13[[#This Row],[Response]]="Male",0,1)+IF(Table13[[#This Row],[Response]]="Female",0,1)=2,E1505,Table13[[#This Row],[Response]]),"")</f>
        <v/>
      </c>
      <c r="F1506" s="1">
        <v>13</v>
      </c>
      <c r="G1506" s="1">
        <v>3</v>
      </c>
      <c r="H1506" s="2" t="s">
        <v>9</v>
      </c>
      <c r="I150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07" spans="1:11">
      <c r="A1507" s="2" t="s">
        <v>24</v>
      </c>
      <c r="B1507" s="2" t="s">
        <v>30</v>
      </c>
      <c r="C1507" s="2">
        <v>19</v>
      </c>
      <c r="D1507" s="2" t="s">
        <v>16</v>
      </c>
      <c r="E1507" s="6" t="str">
        <f>IF(Table13[[#This Row],[Pre or Post]]="Pre",IF(IF(Table13[[#This Row],[Response]]="Male",0,1)+IF(Table13[[#This Row],[Response]]="Female",0,1)=2,E1506,Table13[[#This Row],[Response]]),"")</f>
        <v/>
      </c>
      <c r="F1507" s="1">
        <v>5</v>
      </c>
      <c r="G1507" s="1">
        <v>3</v>
      </c>
      <c r="H1507" s="2" t="s">
        <v>9</v>
      </c>
      <c r="I150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08" spans="1:11">
      <c r="A1508" s="2" t="s">
        <v>24</v>
      </c>
      <c r="B1508" s="2" t="s">
        <v>30</v>
      </c>
      <c r="C1508" s="2">
        <v>19</v>
      </c>
      <c r="D1508" s="2" t="s">
        <v>16</v>
      </c>
      <c r="E1508" s="6" t="str">
        <f>IF(Table13[[#This Row],[Pre or Post]]="Pre",IF(IF(Table13[[#This Row],[Response]]="Male",0,1)+IF(Table13[[#This Row],[Response]]="Female",0,1)=2,E1507,Table13[[#This Row],[Response]]),"")</f>
        <v/>
      </c>
      <c r="F1508" s="1">
        <v>6</v>
      </c>
      <c r="G1508" s="1">
        <v>3</v>
      </c>
      <c r="H1508" s="2" t="s">
        <v>9</v>
      </c>
      <c r="I150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09" spans="1:11">
      <c r="A1509" s="2" t="s">
        <v>24</v>
      </c>
      <c r="B1509" s="2" t="s">
        <v>30</v>
      </c>
      <c r="C1509" s="2">
        <v>19</v>
      </c>
      <c r="D1509" s="2" t="s">
        <v>16</v>
      </c>
      <c r="E1509" s="6" t="str">
        <f>IF(Table13[[#This Row],[Pre or Post]]="Pre",IF(IF(Table13[[#This Row],[Response]]="Male",0,1)+IF(Table13[[#This Row],[Response]]="Female",0,1)=2,E1508,Table13[[#This Row],[Response]]),"")</f>
        <v/>
      </c>
      <c r="F1509" s="1">
        <v>15</v>
      </c>
      <c r="G1509" s="1">
        <v>3</v>
      </c>
      <c r="H1509" s="2" t="s">
        <v>9</v>
      </c>
      <c r="I150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10" spans="1:11">
      <c r="A1510" s="2" t="s">
        <v>24</v>
      </c>
      <c r="B1510" s="2" t="s">
        <v>30</v>
      </c>
      <c r="C1510" s="2">
        <v>19</v>
      </c>
      <c r="D1510" s="2" t="s">
        <v>16</v>
      </c>
      <c r="E1510" s="6" t="str">
        <f>IF(Table13[[#This Row],[Pre or Post]]="Pre",IF(IF(Table13[[#This Row],[Response]]="Male",0,1)+IF(Table13[[#This Row],[Response]]="Female",0,1)=2,E1509,Table13[[#This Row],[Response]]),"")</f>
        <v/>
      </c>
      <c r="F1510" s="1">
        <v>14</v>
      </c>
      <c r="G1510" s="1">
        <v>3</v>
      </c>
      <c r="H1510" s="2" t="s">
        <v>9</v>
      </c>
      <c r="I151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11" spans="1:11">
      <c r="A1511" s="2" t="s">
        <v>24</v>
      </c>
      <c r="B1511" s="2" t="s">
        <v>30</v>
      </c>
      <c r="C1511" s="2">
        <v>19</v>
      </c>
      <c r="D1511" s="2" t="s">
        <v>16</v>
      </c>
      <c r="E1511" s="6" t="str">
        <f>IF(Table13[[#This Row],[Pre or Post]]="Pre",IF(IF(Table13[[#This Row],[Response]]="Male",0,1)+IF(Table13[[#This Row],[Response]]="Female",0,1)=2,E1510,Table13[[#This Row],[Response]]),"")</f>
        <v/>
      </c>
      <c r="F1511" s="1">
        <v>7</v>
      </c>
      <c r="G1511" s="1">
        <v>3</v>
      </c>
      <c r="H1511" s="2" t="s">
        <v>9</v>
      </c>
      <c r="I151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12" spans="1:11">
      <c r="A1512" s="2" t="s">
        <v>24</v>
      </c>
      <c r="B1512" s="2" t="s">
        <v>30</v>
      </c>
      <c r="C1512" s="2">
        <v>19</v>
      </c>
      <c r="D1512" s="2" t="s">
        <v>16</v>
      </c>
      <c r="E1512" s="6" t="str">
        <f>IF(Table13[[#This Row],[Pre or Post]]="Pre",IF(IF(Table13[[#This Row],[Response]]="Male",0,1)+IF(Table13[[#This Row],[Response]]="Female",0,1)=2,E1511,Table13[[#This Row],[Response]]),"")</f>
        <v/>
      </c>
      <c r="F1512" s="1">
        <v>16</v>
      </c>
      <c r="G1512" s="1">
        <v>3</v>
      </c>
      <c r="H1512" s="2" t="s">
        <v>9</v>
      </c>
      <c r="I151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13" spans="1:11">
      <c r="A1513" s="2" t="s">
        <v>24</v>
      </c>
      <c r="B1513" s="2" t="s">
        <v>30</v>
      </c>
      <c r="C1513" s="2">
        <v>19</v>
      </c>
      <c r="D1513" s="2" t="s">
        <v>16</v>
      </c>
      <c r="E1513" s="6" t="str">
        <f>IF(Table13[[#This Row],[Pre or Post]]="Pre",IF(IF(Table13[[#This Row],[Response]]="Male",0,1)+IF(Table13[[#This Row],[Response]]="Female",0,1)=2,E1512,Table13[[#This Row],[Response]]),"")</f>
        <v/>
      </c>
      <c r="F1513" s="1">
        <v>17</v>
      </c>
      <c r="G1513" s="1">
        <v>3</v>
      </c>
      <c r="H1513" s="2" t="s">
        <v>9</v>
      </c>
      <c r="I151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14" spans="1:11">
      <c r="A1514" s="2" t="s">
        <v>24</v>
      </c>
      <c r="B1514" s="2" t="s">
        <v>30</v>
      </c>
      <c r="C1514" s="2">
        <v>19</v>
      </c>
      <c r="D1514" s="2" t="s">
        <v>16</v>
      </c>
      <c r="E1514" s="6" t="str">
        <f>IF(Table13[[#This Row],[Pre or Post]]="Pre",IF(IF(Table13[[#This Row],[Response]]="Male",0,1)+IF(Table13[[#This Row],[Response]]="Female",0,1)=2,E1513,Table13[[#This Row],[Response]]),"")</f>
        <v/>
      </c>
      <c r="F1514" s="1">
        <v>8</v>
      </c>
      <c r="G1514" s="1" t="s">
        <v>8</v>
      </c>
      <c r="H1514" s="2" t="s">
        <v>9</v>
      </c>
      <c r="I151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15" spans="1:11">
      <c r="A1515" s="2" t="s">
        <v>24</v>
      </c>
      <c r="B1515" s="2" t="s">
        <v>30</v>
      </c>
      <c r="C1515" s="2">
        <v>19</v>
      </c>
      <c r="D1515" s="2" t="s">
        <v>16</v>
      </c>
      <c r="E1515" s="6" t="str">
        <f>IF(Table13[[#This Row],[Pre or Post]]="Pre",IF(IF(Table13[[#This Row],[Response]]="Male",0,1)+IF(Table13[[#This Row],[Response]]="Female",0,1)=2,E1514,Table13[[#This Row],[Response]]),"")</f>
        <v/>
      </c>
      <c r="F1515" s="1">
        <v>9</v>
      </c>
      <c r="G1515" s="1" t="s">
        <v>17</v>
      </c>
      <c r="H1515" s="2" t="s">
        <v>9</v>
      </c>
      <c r="I151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16" spans="1:11">
      <c r="A1516" s="2" t="s">
        <v>24</v>
      </c>
      <c r="B1516" s="2" t="s">
        <v>30</v>
      </c>
      <c r="C1516" s="2">
        <v>19</v>
      </c>
      <c r="D1516" s="2" t="s">
        <v>16</v>
      </c>
      <c r="E1516" s="6" t="str">
        <f>IF(Table13[[#This Row],[Pre or Post]]="Pre",IF(IF(Table13[[#This Row],[Response]]="Male",0,1)+IF(Table13[[#This Row],[Response]]="Female",0,1)=2,E1515,Table13[[#This Row],[Response]]),"")</f>
        <v/>
      </c>
      <c r="F1516" s="1">
        <v>10</v>
      </c>
      <c r="G1516" s="1" t="s">
        <v>18</v>
      </c>
      <c r="H1516" s="2" t="s">
        <v>9</v>
      </c>
      <c r="I151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11:30AM</v>
      </c>
      <c r="K15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17" spans="1:11">
      <c r="A1517" s="2" t="s">
        <v>24</v>
      </c>
      <c r="B1517" s="2" t="s">
        <v>31</v>
      </c>
      <c r="C1517" s="1">
        <v>1</v>
      </c>
      <c r="D1517" s="2" t="s">
        <v>16</v>
      </c>
      <c r="E1517" s="6" t="str">
        <f>IF(Table13[[#This Row],[Pre or Post]]="Pre",IF(IF(Table13[[#This Row],[Response]]="Male",0,1)+IF(Table13[[#This Row],[Response]]="Female",0,1)=2,E1516,Table13[[#This Row],[Response]]),"")</f>
        <v/>
      </c>
      <c r="F1517" s="1">
        <v>2</v>
      </c>
      <c r="G1517" s="1">
        <v>3</v>
      </c>
      <c r="H1517" s="2" t="s">
        <v>9</v>
      </c>
      <c r="I151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18" spans="1:11">
      <c r="A1518" s="2" t="s">
        <v>24</v>
      </c>
      <c r="B1518" s="2" t="s">
        <v>31</v>
      </c>
      <c r="C1518" s="1">
        <v>1</v>
      </c>
      <c r="D1518" s="2" t="s">
        <v>16</v>
      </c>
      <c r="E1518" s="6" t="str">
        <f>IF(Table13[[#This Row],[Pre or Post]]="Pre",IF(IF(Table13[[#This Row],[Response]]="Male",0,1)+IF(Table13[[#This Row],[Response]]="Female",0,1)=2,E1517,Table13[[#This Row],[Response]]),"")</f>
        <v/>
      </c>
      <c r="F1518" s="1">
        <v>3</v>
      </c>
      <c r="G1518" s="1">
        <v>3</v>
      </c>
      <c r="H1518" s="2" t="s">
        <v>9</v>
      </c>
      <c r="I151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19" spans="1:11">
      <c r="A1519" s="2" t="s">
        <v>24</v>
      </c>
      <c r="B1519" s="2" t="s">
        <v>31</v>
      </c>
      <c r="C1519" s="1">
        <v>1</v>
      </c>
      <c r="D1519" s="2" t="s">
        <v>16</v>
      </c>
      <c r="E1519" s="6" t="str">
        <f>IF(Table13[[#This Row],[Pre or Post]]="Pre",IF(IF(Table13[[#This Row],[Response]]="Male",0,1)+IF(Table13[[#This Row],[Response]]="Female",0,1)=2,E1518,Table13[[#This Row],[Response]]),"")</f>
        <v/>
      </c>
      <c r="F1519" s="1">
        <v>4</v>
      </c>
      <c r="G1519" s="1">
        <v>5</v>
      </c>
      <c r="H1519" s="2" t="s">
        <v>9</v>
      </c>
      <c r="I151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20" spans="1:11">
      <c r="A1520" s="2" t="s">
        <v>24</v>
      </c>
      <c r="B1520" s="2" t="s">
        <v>31</v>
      </c>
      <c r="C1520" s="1">
        <v>1</v>
      </c>
      <c r="D1520" s="2" t="s">
        <v>16</v>
      </c>
      <c r="E1520" s="6" t="str">
        <f>IF(Table13[[#This Row],[Pre or Post]]="Pre",IF(IF(Table13[[#This Row],[Response]]="Male",0,1)+IF(Table13[[#This Row],[Response]]="Female",0,1)=2,E1519,Table13[[#This Row],[Response]]),"")</f>
        <v/>
      </c>
      <c r="F1520" s="1">
        <v>12</v>
      </c>
      <c r="G1520" s="1">
        <v>2</v>
      </c>
      <c r="H1520" s="2" t="s">
        <v>9</v>
      </c>
      <c r="I152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21" spans="1:11">
      <c r="A1521" s="2" t="s">
        <v>24</v>
      </c>
      <c r="B1521" s="2" t="s">
        <v>31</v>
      </c>
      <c r="C1521" s="1">
        <v>1</v>
      </c>
      <c r="D1521" s="2" t="s">
        <v>16</v>
      </c>
      <c r="E1521" s="6" t="str">
        <f>IF(Table13[[#This Row],[Pre or Post]]="Pre",IF(IF(Table13[[#This Row],[Response]]="Male",0,1)+IF(Table13[[#This Row],[Response]]="Female",0,1)=2,E1520,Table13[[#This Row],[Response]]),"")</f>
        <v/>
      </c>
      <c r="F1521" s="1">
        <v>13</v>
      </c>
      <c r="G1521" s="1">
        <v>3</v>
      </c>
      <c r="H1521" s="2" t="s">
        <v>9</v>
      </c>
      <c r="I152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22" spans="1:11">
      <c r="A1522" s="2" t="s">
        <v>24</v>
      </c>
      <c r="B1522" s="2" t="s">
        <v>31</v>
      </c>
      <c r="C1522" s="1">
        <v>1</v>
      </c>
      <c r="D1522" s="2" t="s">
        <v>16</v>
      </c>
      <c r="E1522" s="6" t="str">
        <f>IF(Table13[[#This Row],[Pre or Post]]="Pre",IF(IF(Table13[[#This Row],[Response]]="Male",0,1)+IF(Table13[[#This Row],[Response]]="Female",0,1)=2,E1521,Table13[[#This Row],[Response]]),"")</f>
        <v/>
      </c>
      <c r="F1522" s="1">
        <v>5</v>
      </c>
      <c r="G1522" s="1">
        <v>4</v>
      </c>
      <c r="H1522" s="2" t="s">
        <v>9</v>
      </c>
      <c r="I152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23" spans="1:11">
      <c r="A1523" s="2" t="s">
        <v>24</v>
      </c>
      <c r="B1523" s="2" t="s">
        <v>31</v>
      </c>
      <c r="C1523" s="1">
        <v>1</v>
      </c>
      <c r="D1523" s="2" t="s">
        <v>16</v>
      </c>
      <c r="E1523" s="6" t="str">
        <f>IF(Table13[[#This Row],[Pre or Post]]="Pre",IF(IF(Table13[[#This Row],[Response]]="Male",0,1)+IF(Table13[[#This Row],[Response]]="Female",0,1)=2,E1522,Table13[[#This Row],[Response]]),"")</f>
        <v/>
      </c>
      <c r="F1523" s="1">
        <v>6</v>
      </c>
      <c r="G1523" s="1">
        <v>5</v>
      </c>
      <c r="H1523" s="2" t="s">
        <v>9</v>
      </c>
      <c r="I152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24" spans="1:11">
      <c r="A1524" s="2" t="s">
        <v>24</v>
      </c>
      <c r="B1524" s="2" t="s">
        <v>31</v>
      </c>
      <c r="C1524" s="1">
        <v>1</v>
      </c>
      <c r="D1524" s="2" t="s">
        <v>16</v>
      </c>
      <c r="E1524" s="6" t="str">
        <f>IF(Table13[[#This Row],[Pre or Post]]="Pre",IF(IF(Table13[[#This Row],[Response]]="Male",0,1)+IF(Table13[[#This Row],[Response]]="Female",0,1)=2,E1523,Table13[[#This Row],[Response]]),"")</f>
        <v/>
      </c>
      <c r="F1524" s="1">
        <v>15</v>
      </c>
      <c r="G1524" s="1">
        <v>2</v>
      </c>
      <c r="H1524" s="2" t="s">
        <v>9</v>
      </c>
      <c r="I152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25" spans="1:11">
      <c r="A1525" s="2" t="s">
        <v>24</v>
      </c>
      <c r="B1525" s="2" t="s">
        <v>31</v>
      </c>
      <c r="C1525" s="1">
        <v>1</v>
      </c>
      <c r="D1525" s="2" t="s">
        <v>16</v>
      </c>
      <c r="E1525" s="6" t="str">
        <f>IF(Table13[[#This Row],[Pre or Post]]="Pre",IF(IF(Table13[[#This Row],[Response]]="Male",0,1)+IF(Table13[[#This Row],[Response]]="Female",0,1)=2,E1524,Table13[[#This Row],[Response]]),"")</f>
        <v/>
      </c>
      <c r="F1525" s="1">
        <v>14</v>
      </c>
      <c r="G1525" s="1">
        <v>3</v>
      </c>
      <c r="H1525" s="2" t="s">
        <v>9</v>
      </c>
      <c r="I152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26" spans="1:11">
      <c r="A1526" s="2" t="s">
        <v>24</v>
      </c>
      <c r="B1526" s="2" t="s">
        <v>31</v>
      </c>
      <c r="C1526" s="1">
        <v>1</v>
      </c>
      <c r="D1526" s="2" t="s">
        <v>16</v>
      </c>
      <c r="E1526" s="6" t="str">
        <f>IF(Table13[[#This Row],[Pre or Post]]="Pre",IF(IF(Table13[[#This Row],[Response]]="Male",0,1)+IF(Table13[[#This Row],[Response]]="Female",0,1)=2,E1525,Table13[[#This Row],[Response]]),"")</f>
        <v/>
      </c>
      <c r="F1526" s="1">
        <v>7</v>
      </c>
      <c r="G1526" s="1">
        <v>5</v>
      </c>
      <c r="H1526" s="2" t="s">
        <v>9</v>
      </c>
      <c r="I152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27" spans="1:11">
      <c r="A1527" s="2" t="s">
        <v>24</v>
      </c>
      <c r="B1527" s="2" t="s">
        <v>31</v>
      </c>
      <c r="C1527" s="1">
        <v>1</v>
      </c>
      <c r="D1527" s="2" t="s">
        <v>16</v>
      </c>
      <c r="E1527" s="6" t="str">
        <f>IF(Table13[[#This Row],[Pre or Post]]="Pre",IF(IF(Table13[[#This Row],[Response]]="Male",0,1)+IF(Table13[[#This Row],[Response]]="Female",0,1)=2,E1526,Table13[[#This Row],[Response]]),"")</f>
        <v/>
      </c>
      <c r="F1527" s="1">
        <v>16</v>
      </c>
      <c r="G1527" s="1">
        <v>2</v>
      </c>
      <c r="H1527" s="2" t="s">
        <v>9</v>
      </c>
      <c r="I152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28" spans="1:11">
      <c r="A1528" s="2" t="s">
        <v>24</v>
      </c>
      <c r="B1528" s="2" t="s">
        <v>31</v>
      </c>
      <c r="C1528" s="1">
        <v>1</v>
      </c>
      <c r="D1528" s="2" t="s">
        <v>16</v>
      </c>
      <c r="E1528" s="6" t="str">
        <f>IF(Table13[[#This Row],[Pre or Post]]="Pre",IF(IF(Table13[[#This Row],[Response]]="Male",0,1)+IF(Table13[[#This Row],[Response]]="Female",0,1)=2,E1527,Table13[[#This Row],[Response]]),"")</f>
        <v/>
      </c>
      <c r="F1528" s="1">
        <v>17</v>
      </c>
      <c r="G1528" s="1">
        <v>3</v>
      </c>
      <c r="H1528" s="2" t="s">
        <v>9</v>
      </c>
      <c r="I152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29" spans="1:11">
      <c r="A1529" s="2" t="s">
        <v>24</v>
      </c>
      <c r="B1529" s="2" t="s">
        <v>31</v>
      </c>
      <c r="C1529" s="1">
        <v>1</v>
      </c>
      <c r="D1529" s="2" t="s">
        <v>16</v>
      </c>
      <c r="E1529" s="6" t="str">
        <f>IF(Table13[[#This Row],[Pre or Post]]="Pre",IF(IF(Table13[[#This Row],[Response]]="Male",0,1)+IF(Table13[[#This Row],[Response]]="Female",0,1)=2,E1528,Table13[[#This Row],[Response]]),"")</f>
        <v/>
      </c>
      <c r="F1529" s="1">
        <v>8</v>
      </c>
      <c r="G1529" s="1" t="s">
        <v>8</v>
      </c>
      <c r="H1529" s="2" t="s">
        <v>9</v>
      </c>
      <c r="I152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30" spans="1:11">
      <c r="A1530" s="2" t="s">
        <v>24</v>
      </c>
      <c r="B1530" s="2" t="s">
        <v>31</v>
      </c>
      <c r="C1530" s="1">
        <v>1</v>
      </c>
      <c r="D1530" s="2" t="s">
        <v>16</v>
      </c>
      <c r="E1530" s="6" t="str">
        <f>IF(Table13[[#This Row],[Pre or Post]]="Pre",IF(IF(Table13[[#This Row],[Response]]="Male",0,1)+IF(Table13[[#This Row],[Response]]="Female",0,1)=2,E1529,Table13[[#This Row],[Response]]),"")</f>
        <v/>
      </c>
      <c r="F1530" s="1">
        <v>9</v>
      </c>
      <c r="G1530" s="1" t="s">
        <v>17</v>
      </c>
      <c r="H1530" s="2" t="s">
        <v>9</v>
      </c>
      <c r="I153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31" spans="1:11">
      <c r="A1531" s="2" t="s">
        <v>24</v>
      </c>
      <c r="B1531" s="2" t="s">
        <v>31</v>
      </c>
      <c r="C1531" s="1">
        <v>1</v>
      </c>
      <c r="D1531" s="2" t="s">
        <v>16</v>
      </c>
      <c r="E1531" s="6" t="str">
        <f>IF(Table13[[#This Row],[Pre or Post]]="Pre",IF(IF(Table13[[#This Row],[Response]]="Male",0,1)+IF(Table13[[#This Row],[Response]]="Female",0,1)=2,E1530,Table13[[#This Row],[Response]]),"")</f>
        <v/>
      </c>
      <c r="F1531" s="1">
        <v>10</v>
      </c>
      <c r="G1531" s="1" t="s">
        <v>18</v>
      </c>
      <c r="H1531" s="2" t="s">
        <v>9</v>
      </c>
      <c r="I153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32" spans="1:11">
      <c r="A1532" s="2" t="s">
        <v>24</v>
      </c>
      <c r="B1532" s="2" t="s">
        <v>31</v>
      </c>
      <c r="C1532" s="1">
        <v>2</v>
      </c>
      <c r="D1532" s="2" t="s">
        <v>16</v>
      </c>
      <c r="E1532" s="6" t="str">
        <f>IF(Table13[[#This Row],[Pre or Post]]="Pre",IF(IF(Table13[[#This Row],[Response]]="Male",0,1)+IF(Table13[[#This Row],[Response]]="Female",0,1)=2,E1531,Table13[[#This Row],[Response]]),"")</f>
        <v/>
      </c>
      <c r="F1532" s="1">
        <v>2</v>
      </c>
      <c r="G1532" s="1">
        <v>3</v>
      </c>
      <c r="H1532" s="2" t="s">
        <v>9</v>
      </c>
      <c r="I153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33" spans="1:11">
      <c r="A1533" s="2" t="s">
        <v>24</v>
      </c>
      <c r="B1533" s="2" t="s">
        <v>31</v>
      </c>
      <c r="C1533" s="1">
        <v>2</v>
      </c>
      <c r="D1533" s="2" t="s">
        <v>16</v>
      </c>
      <c r="E1533" s="6" t="str">
        <f>IF(Table13[[#This Row],[Pre or Post]]="Pre",IF(IF(Table13[[#This Row],[Response]]="Male",0,1)+IF(Table13[[#This Row],[Response]]="Female",0,1)=2,E1532,Table13[[#This Row],[Response]]),"")</f>
        <v/>
      </c>
      <c r="F1533" s="1">
        <v>3</v>
      </c>
      <c r="G1533" s="1">
        <v>3</v>
      </c>
      <c r="H1533" s="2" t="s">
        <v>9</v>
      </c>
      <c r="I153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34" spans="1:11">
      <c r="A1534" s="2" t="s">
        <v>24</v>
      </c>
      <c r="B1534" s="2" t="s">
        <v>31</v>
      </c>
      <c r="C1534" s="1">
        <v>2</v>
      </c>
      <c r="D1534" s="2" t="s">
        <v>16</v>
      </c>
      <c r="E1534" s="6" t="str">
        <f>IF(Table13[[#This Row],[Pre or Post]]="Pre",IF(IF(Table13[[#This Row],[Response]]="Male",0,1)+IF(Table13[[#This Row],[Response]]="Female",0,1)=2,E1533,Table13[[#This Row],[Response]]),"")</f>
        <v/>
      </c>
      <c r="F1534" s="1">
        <v>4</v>
      </c>
      <c r="G1534" s="1">
        <v>2</v>
      </c>
      <c r="H1534" s="2" t="s">
        <v>9</v>
      </c>
      <c r="I153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35" spans="1:11">
      <c r="A1535" s="2" t="s">
        <v>24</v>
      </c>
      <c r="B1535" s="2" t="s">
        <v>31</v>
      </c>
      <c r="C1535" s="1">
        <v>2</v>
      </c>
      <c r="D1535" s="2" t="s">
        <v>16</v>
      </c>
      <c r="E1535" s="6" t="str">
        <f>IF(Table13[[#This Row],[Pre or Post]]="Pre",IF(IF(Table13[[#This Row],[Response]]="Male",0,1)+IF(Table13[[#This Row],[Response]]="Female",0,1)=2,E1534,Table13[[#This Row],[Response]]),"")</f>
        <v/>
      </c>
      <c r="F1535" s="1">
        <v>12</v>
      </c>
      <c r="G1535" s="1">
        <v>1</v>
      </c>
      <c r="H1535" s="2" t="s">
        <v>9</v>
      </c>
      <c r="I153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36" spans="1:11">
      <c r="A1536" s="2" t="s">
        <v>24</v>
      </c>
      <c r="B1536" s="2" t="s">
        <v>31</v>
      </c>
      <c r="C1536" s="1">
        <v>2</v>
      </c>
      <c r="D1536" s="2" t="s">
        <v>16</v>
      </c>
      <c r="E1536" s="6" t="str">
        <f>IF(Table13[[#This Row],[Pre or Post]]="Pre",IF(IF(Table13[[#This Row],[Response]]="Male",0,1)+IF(Table13[[#This Row],[Response]]="Female",0,1)=2,E1535,Table13[[#This Row],[Response]]),"")</f>
        <v/>
      </c>
      <c r="F1536" s="1">
        <v>13</v>
      </c>
      <c r="G1536" s="1">
        <v>2</v>
      </c>
      <c r="H1536" s="2" t="s">
        <v>9</v>
      </c>
      <c r="I153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37" spans="1:11">
      <c r="A1537" s="2" t="s">
        <v>24</v>
      </c>
      <c r="B1537" s="2" t="s">
        <v>31</v>
      </c>
      <c r="C1537" s="1">
        <v>2</v>
      </c>
      <c r="D1537" s="2" t="s">
        <v>16</v>
      </c>
      <c r="E1537" s="6" t="str">
        <f>IF(Table13[[#This Row],[Pre or Post]]="Pre",IF(IF(Table13[[#This Row],[Response]]="Male",0,1)+IF(Table13[[#This Row],[Response]]="Female",0,1)=2,E1536,Table13[[#This Row],[Response]]),"")</f>
        <v/>
      </c>
      <c r="F1537" s="1">
        <v>5</v>
      </c>
      <c r="G1537" s="1">
        <v>2</v>
      </c>
      <c r="H1537" s="2" t="s">
        <v>9</v>
      </c>
      <c r="I153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38" spans="1:11">
      <c r="A1538" s="2" t="s">
        <v>24</v>
      </c>
      <c r="B1538" s="2" t="s">
        <v>31</v>
      </c>
      <c r="C1538" s="1">
        <v>2</v>
      </c>
      <c r="D1538" s="2" t="s">
        <v>16</v>
      </c>
      <c r="E1538" s="6" t="str">
        <f>IF(Table13[[#This Row],[Pre or Post]]="Pre",IF(IF(Table13[[#This Row],[Response]]="Male",0,1)+IF(Table13[[#This Row],[Response]]="Female",0,1)=2,E1537,Table13[[#This Row],[Response]]),"")</f>
        <v/>
      </c>
      <c r="F1538" s="1">
        <v>6</v>
      </c>
      <c r="G1538" s="1">
        <v>5</v>
      </c>
      <c r="H1538" s="2" t="s">
        <v>9</v>
      </c>
      <c r="I153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39" spans="1:11">
      <c r="A1539" s="2" t="s">
        <v>24</v>
      </c>
      <c r="B1539" s="2" t="s">
        <v>31</v>
      </c>
      <c r="C1539" s="1">
        <v>2</v>
      </c>
      <c r="D1539" s="2" t="s">
        <v>16</v>
      </c>
      <c r="E1539" s="6" t="str">
        <f>IF(Table13[[#This Row],[Pre or Post]]="Pre",IF(IF(Table13[[#This Row],[Response]]="Male",0,1)+IF(Table13[[#This Row],[Response]]="Female",0,1)=2,E1538,Table13[[#This Row],[Response]]),"")</f>
        <v/>
      </c>
      <c r="F1539" s="1">
        <v>15</v>
      </c>
      <c r="G1539" s="1">
        <v>2</v>
      </c>
      <c r="H1539" s="2" t="s">
        <v>9</v>
      </c>
      <c r="I153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40" spans="1:11">
      <c r="A1540" s="2" t="s">
        <v>24</v>
      </c>
      <c r="B1540" s="2" t="s">
        <v>31</v>
      </c>
      <c r="C1540" s="1">
        <v>2</v>
      </c>
      <c r="D1540" s="2" t="s">
        <v>16</v>
      </c>
      <c r="E1540" s="6" t="str">
        <f>IF(Table13[[#This Row],[Pre or Post]]="Pre",IF(IF(Table13[[#This Row],[Response]]="Male",0,1)+IF(Table13[[#This Row],[Response]]="Female",0,1)=2,E1539,Table13[[#This Row],[Response]]),"")</f>
        <v/>
      </c>
      <c r="F1540" s="1">
        <v>14</v>
      </c>
      <c r="G1540" s="1">
        <v>5</v>
      </c>
      <c r="H1540" s="2" t="s">
        <v>9</v>
      </c>
      <c r="I154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41" spans="1:11">
      <c r="A1541" s="2" t="s">
        <v>24</v>
      </c>
      <c r="B1541" s="2" t="s">
        <v>31</v>
      </c>
      <c r="C1541" s="1">
        <v>2</v>
      </c>
      <c r="D1541" s="2" t="s">
        <v>16</v>
      </c>
      <c r="E1541" s="6" t="str">
        <f>IF(Table13[[#This Row],[Pre or Post]]="Pre",IF(IF(Table13[[#This Row],[Response]]="Male",0,1)+IF(Table13[[#This Row],[Response]]="Female",0,1)=2,E1540,Table13[[#This Row],[Response]]),"")</f>
        <v/>
      </c>
      <c r="F1541" s="1">
        <v>7</v>
      </c>
      <c r="G1541" s="1">
        <v>5</v>
      </c>
      <c r="H1541" s="2" t="s">
        <v>9</v>
      </c>
      <c r="I154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42" spans="1:11">
      <c r="A1542" s="2" t="s">
        <v>24</v>
      </c>
      <c r="B1542" s="2" t="s">
        <v>31</v>
      </c>
      <c r="C1542" s="1">
        <v>2</v>
      </c>
      <c r="D1542" s="2" t="s">
        <v>16</v>
      </c>
      <c r="E1542" s="6" t="str">
        <f>IF(Table13[[#This Row],[Pre or Post]]="Pre",IF(IF(Table13[[#This Row],[Response]]="Male",0,1)+IF(Table13[[#This Row],[Response]]="Female",0,1)=2,E1541,Table13[[#This Row],[Response]]),"")</f>
        <v/>
      </c>
      <c r="F1542" s="1">
        <v>16</v>
      </c>
      <c r="G1542" s="1">
        <v>3</v>
      </c>
      <c r="H1542" s="2" t="s">
        <v>9</v>
      </c>
      <c r="I154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43" spans="1:11">
      <c r="A1543" s="2" t="s">
        <v>24</v>
      </c>
      <c r="B1543" s="2" t="s">
        <v>31</v>
      </c>
      <c r="C1543" s="1">
        <v>2</v>
      </c>
      <c r="D1543" s="2" t="s">
        <v>16</v>
      </c>
      <c r="E1543" s="6" t="str">
        <f>IF(Table13[[#This Row],[Pre or Post]]="Pre",IF(IF(Table13[[#This Row],[Response]]="Male",0,1)+IF(Table13[[#This Row],[Response]]="Female",0,1)=2,E1542,Table13[[#This Row],[Response]]),"")</f>
        <v/>
      </c>
      <c r="F1543" s="1">
        <v>17</v>
      </c>
      <c r="G1543" s="1"/>
      <c r="H1543" s="2" t="s">
        <v>9</v>
      </c>
      <c r="I154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44" spans="1:11">
      <c r="A1544" s="2" t="s">
        <v>24</v>
      </c>
      <c r="B1544" s="2" t="s">
        <v>31</v>
      </c>
      <c r="C1544" s="1">
        <v>2</v>
      </c>
      <c r="D1544" s="2" t="s">
        <v>16</v>
      </c>
      <c r="E1544" s="6" t="str">
        <f>IF(Table13[[#This Row],[Pre or Post]]="Pre",IF(IF(Table13[[#This Row],[Response]]="Male",0,1)+IF(Table13[[#This Row],[Response]]="Female",0,1)=2,E1543,Table13[[#This Row],[Response]]),"")</f>
        <v/>
      </c>
      <c r="F1544" s="1">
        <v>8</v>
      </c>
      <c r="G1544" s="1"/>
      <c r="H1544" s="2" t="s">
        <v>9</v>
      </c>
      <c r="I154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45" spans="1:11">
      <c r="A1545" s="2" t="s">
        <v>24</v>
      </c>
      <c r="B1545" s="2" t="s">
        <v>31</v>
      </c>
      <c r="C1545" s="1">
        <v>2</v>
      </c>
      <c r="D1545" s="2" t="s">
        <v>16</v>
      </c>
      <c r="E1545" s="6" t="str">
        <f>IF(Table13[[#This Row],[Pre or Post]]="Pre",IF(IF(Table13[[#This Row],[Response]]="Male",0,1)+IF(Table13[[#This Row],[Response]]="Female",0,1)=2,E1544,Table13[[#This Row],[Response]]),"")</f>
        <v/>
      </c>
      <c r="F1545" s="1">
        <v>9</v>
      </c>
      <c r="G1545" s="1"/>
      <c r="H1545" s="2" t="s">
        <v>9</v>
      </c>
      <c r="I154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46" spans="1:11">
      <c r="A1546" s="2" t="s">
        <v>24</v>
      </c>
      <c r="B1546" s="2" t="s">
        <v>31</v>
      </c>
      <c r="C1546" s="1">
        <v>2</v>
      </c>
      <c r="D1546" s="2" t="s">
        <v>16</v>
      </c>
      <c r="E1546" s="6" t="str">
        <f>IF(Table13[[#This Row],[Pre or Post]]="Pre",IF(IF(Table13[[#This Row],[Response]]="Male",0,1)+IF(Table13[[#This Row],[Response]]="Female",0,1)=2,E1545,Table13[[#This Row],[Response]]),"")</f>
        <v/>
      </c>
      <c r="F1546" s="1">
        <v>10</v>
      </c>
      <c r="G1546" s="1"/>
      <c r="H1546" s="2" t="s">
        <v>9</v>
      </c>
      <c r="I154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47" spans="1:11">
      <c r="A1547" s="2" t="s">
        <v>24</v>
      </c>
      <c r="B1547" s="2" t="s">
        <v>31</v>
      </c>
      <c r="C1547" s="1">
        <v>3</v>
      </c>
      <c r="D1547" s="2" t="s">
        <v>16</v>
      </c>
      <c r="E1547" s="6" t="str">
        <f>IF(Table13[[#This Row],[Pre or Post]]="Pre",IF(IF(Table13[[#This Row],[Response]]="Male",0,1)+IF(Table13[[#This Row],[Response]]="Female",0,1)=2,E1546,Table13[[#This Row],[Response]]),"")</f>
        <v/>
      </c>
      <c r="F1547" s="1">
        <v>2</v>
      </c>
      <c r="G1547" s="1">
        <v>4</v>
      </c>
      <c r="H1547" s="2" t="s">
        <v>9</v>
      </c>
      <c r="I154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48" spans="1:11">
      <c r="A1548" s="2" t="s">
        <v>24</v>
      </c>
      <c r="B1548" s="2" t="s">
        <v>31</v>
      </c>
      <c r="C1548" s="1">
        <v>3</v>
      </c>
      <c r="D1548" s="2" t="s">
        <v>16</v>
      </c>
      <c r="E1548" s="6" t="str">
        <f>IF(Table13[[#This Row],[Pre or Post]]="Pre",IF(IF(Table13[[#This Row],[Response]]="Male",0,1)+IF(Table13[[#This Row],[Response]]="Female",0,1)=2,E1547,Table13[[#This Row],[Response]]),"")</f>
        <v/>
      </c>
      <c r="F1548" s="1">
        <v>3</v>
      </c>
      <c r="G1548" s="1">
        <v>3</v>
      </c>
      <c r="H1548" s="2" t="s">
        <v>9</v>
      </c>
      <c r="I154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49" spans="1:11">
      <c r="A1549" s="2" t="s">
        <v>24</v>
      </c>
      <c r="B1549" s="2" t="s">
        <v>31</v>
      </c>
      <c r="C1549" s="1">
        <v>3</v>
      </c>
      <c r="D1549" s="2" t="s">
        <v>16</v>
      </c>
      <c r="E1549" s="6" t="str">
        <f>IF(Table13[[#This Row],[Pre or Post]]="Pre",IF(IF(Table13[[#This Row],[Response]]="Male",0,1)+IF(Table13[[#This Row],[Response]]="Female",0,1)=2,E1548,Table13[[#This Row],[Response]]),"")</f>
        <v/>
      </c>
      <c r="F1549" s="1">
        <v>4</v>
      </c>
      <c r="G1549" s="1">
        <v>4</v>
      </c>
      <c r="H1549" s="2" t="s">
        <v>9</v>
      </c>
      <c r="I154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50" spans="1:11">
      <c r="A1550" s="2" t="s">
        <v>24</v>
      </c>
      <c r="B1550" s="2" t="s">
        <v>31</v>
      </c>
      <c r="C1550" s="1">
        <v>3</v>
      </c>
      <c r="D1550" s="2" t="s">
        <v>16</v>
      </c>
      <c r="E1550" s="6" t="str">
        <f>IF(Table13[[#This Row],[Pre or Post]]="Pre",IF(IF(Table13[[#This Row],[Response]]="Male",0,1)+IF(Table13[[#This Row],[Response]]="Female",0,1)=2,E1549,Table13[[#This Row],[Response]]),"")</f>
        <v/>
      </c>
      <c r="F1550" s="1">
        <v>12</v>
      </c>
      <c r="G1550" s="1">
        <v>4</v>
      </c>
      <c r="H1550" s="2" t="s">
        <v>9</v>
      </c>
      <c r="I155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51" spans="1:11">
      <c r="A1551" s="2" t="s">
        <v>24</v>
      </c>
      <c r="B1551" s="2" t="s">
        <v>31</v>
      </c>
      <c r="C1551" s="1">
        <v>3</v>
      </c>
      <c r="D1551" s="2" t="s">
        <v>16</v>
      </c>
      <c r="E1551" s="6" t="str">
        <f>IF(Table13[[#This Row],[Pre or Post]]="Pre",IF(IF(Table13[[#This Row],[Response]]="Male",0,1)+IF(Table13[[#This Row],[Response]]="Female",0,1)=2,E1550,Table13[[#This Row],[Response]]),"")</f>
        <v/>
      </c>
      <c r="F1551" s="1">
        <v>13</v>
      </c>
      <c r="G1551" s="1">
        <v>4</v>
      </c>
      <c r="H1551" s="2" t="s">
        <v>9</v>
      </c>
      <c r="I155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52" spans="1:11">
      <c r="A1552" s="2" t="s">
        <v>24</v>
      </c>
      <c r="B1552" s="2" t="s">
        <v>31</v>
      </c>
      <c r="C1552" s="1">
        <v>3</v>
      </c>
      <c r="D1552" s="2" t="s">
        <v>16</v>
      </c>
      <c r="E1552" s="6" t="str">
        <f>IF(Table13[[#This Row],[Pre or Post]]="Pre",IF(IF(Table13[[#This Row],[Response]]="Male",0,1)+IF(Table13[[#This Row],[Response]]="Female",0,1)=2,E1551,Table13[[#This Row],[Response]]),"")</f>
        <v/>
      </c>
      <c r="F1552" s="1">
        <v>5</v>
      </c>
      <c r="G1552" s="1">
        <v>4</v>
      </c>
      <c r="H1552" s="2" t="s">
        <v>9</v>
      </c>
      <c r="I155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53" spans="1:11">
      <c r="A1553" s="2" t="s">
        <v>24</v>
      </c>
      <c r="B1553" s="2" t="s">
        <v>31</v>
      </c>
      <c r="C1553" s="1">
        <v>3</v>
      </c>
      <c r="D1553" s="2" t="s">
        <v>16</v>
      </c>
      <c r="E1553" s="6" t="str">
        <f>IF(Table13[[#This Row],[Pre or Post]]="Pre",IF(IF(Table13[[#This Row],[Response]]="Male",0,1)+IF(Table13[[#This Row],[Response]]="Female",0,1)=2,E1552,Table13[[#This Row],[Response]]),"")</f>
        <v/>
      </c>
      <c r="F1553" s="1">
        <v>6</v>
      </c>
      <c r="G1553" s="1">
        <v>4</v>
      </c>
      <c r="H1553" s="2" t="s">
        <v>9</v>
      </c>
      <c r="I155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54" spans="1:11">
      <c r="A1554" s="2" t="s">
        <v>24</v>
      </c>
      <c r="B1554" s="2" t="s">
        <v>31</v>
      </c>
      <c r="C1554" s="1">
        <v>3</v>
      </c>
      <c r="D1554" s="2" t="s">
        <v>16</v>
      </c>
      <c r="E1554" s="6" t="str">
        <f>IF(Table13[[#This Row],[Pre or Post]]="Pre",IF(IF(Table13[[#This Row],[Response]]="Male",0,1)+IF(Table13[[#This Row],[Response]]="Female",0,1)=2,E1553,Table13[[#This Row],[Response]]),"")</f>
        <v/>
      </c>
      <c r="F1554" s="1">
        <v>15</v>
      </c>
      <c r="G1554" s="1">
        <v>3</v>
      </c>
      <c r="H1554" s="2" t="s">
        <v>9</v>
      </c>
      <c r="I155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55" spans="1:11">
      <c r="A1555" s="2" t="s">
        <v>24</v>
      </c>
      <c r="B1555" s="2" t="s">
        <v>31</v>
      </c>
      <c r="C1555" s="1">
        <v>3</v>
      </c>
      <c r="D1555" s="2" t="s">
        <v>16</v>
      </c>
      <c r="E1555" s="6" t="str">
        <f>IF(Table13[[#This Row],[Pre or Post]]="Pre",IF(IF(Table13[[#This Row],[Response]]="Male",0,1)+IF(Table13[[#This Row],[Response]]="Female",0,1)=2,E1554,Table13[[#This Row],[Response]]),"")</f>
        <v/>
      </c>
      <c r="F1555" s="1">
        <v>14</v>
      </c>
      <c r="G1555" s="1">
        <v>3</v>
      </c>
      <c r="H1555" s="2" t="s">
        <v>9</v>
      </c>
      <c r="I155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56" spans="1:11">
      <c r="A1556" s="2" t="s">
        <v>24</v>
      </c>
      <c r="B1556" s="2" t="s">
        <v>31</v>
      </c>
      <c r="C1556" s="1">
        <v>3</v>
      </c>
      <c r="D1556" s="2" t="s">
        <v>16</v>
      </c>
      <c r="E1556" s="6" t="str">
        <f>IF(Table13[[#This Row],[Pre or Post]]="Pre",IF(IF(Table13[[#This Row],[Response]]="Male",0,1)+IF(Table13[[#This Row],[Response]]="Female",0,1)=2,E1555,Table13[[#This Row],[Response]]),"")</f>
        <v/>
      </c>
      <c r="F1556" s="1">
        <v>7</v>
      </c>
      <c r="G1556" s="1">
        <v>3</v>
      </c>
      <c r="H1556" s="2" t="s">
        <v>9</v>
      </c>
      <c r="I155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57" spans="1:11">
      <c r="A1557" s="2" t="s">
        <v>24</v>
      </c>
      <c r="B1557" s="2" t="s">
        <v>31</v>
      </c>
      <c r="C1557" s="1">
        <v>3</v>
      </c>
      <c r="D1557" s="2" t="s">
        <v>16</v>
      </c>
      <c r="E1557" s="6" t="str">
        <f>IF(Table13[[#This Row],[Pre or Post]]="Pre",IF(IF(Table13[[#This Row],[Response]]="Male",0,1)+IF(Table13[[#This Row],[Response]]="Female",0,1)=2,E1556,Table13[[#This Row],[Response]]),"")</f>
        <v/>
      </c>
      <c r="F1557" s="1">
        <v>16</v>
      </c>
      <c r="G1557" s="1">
        <v>3</v>
      </c>
      <c r="H1557" s="2" t="s">
        <v>9</v>
      </c>
      <c r="I155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58" spans="1:11">
      <c r="A1558" s="2" t="s">
        <v>24</v>
      </c>
      <c r="B1558" s="2" t="s">
        <v>31</v>
      </c>
      <c r="C1558" s="1">
        <v>3</v>
      </c>
      <c r="D1558" s="2" t="s">
        <v>16</v>
      </c>
      <c r="E1558" s="6" t="str">
        <f>IF(Table13[[#This Row],[Pre or Post]]="Pre",IF(IF(Table13[[#This Row],[Response]]="Male",0,1)+IF(Table13[[#This Row],[Response]]="Female",0,1)=2,E1557,Table13[[#This Row],[Response]]),"")</f>
        <v/>
      </c>
      <c r="F1558" s="1">
        <v>17</v>
      </c>
      <c r="G1558" s="1">
        <v>3</v>
      </c>
      <c r="H1558" s="2" t="s">
        <v>9</v>
      </c>
      <c r="I155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59" spans="1:11">
      <c r="A1559" s="2" t="s">
        <v>24</v>
      </c>
      <c r="B1559" s="2" t="s">
        <v>31</v>
      </c>
      <c r="C1559" s="1">
        <v>3</v>
      </c>
      <c r="D1559" s="2" t="s">
        <v>16</v>
      </c>
      <c r="E1559" s="6" t="str">
        <f>IF(Table13[[#This Row],[Pre or Post]]="Pre",IF(IF(Table13[[#This Row],[Response]]="Male",0,1)+IF(Table13[[#This Row],[Response]]="Female",0,1)=2,E1558,Table13[[#This Row],[Response]]),"")</f>
        <v/>
      </c>
      <c r="F1559" s="1">
        <v>8</v>
      </c>
      <c r="G1559" s="1" t="s">
        <v>8</v>
      </c>
      <c r="H1559" s="2" t="s">
        <v>9</v>
      </c>
      <c r="I155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60" spans="1:11">
      <c r="A1560" s="2" t="s">
        <v>24</v>
      </c>
      <c r="B1560" s="2" t="s">
        <v>31</v>
      </c>
      <c r="C1560" s="1">
        <v>3</v>
      </c>
      <c r="D1560" s="2" t="s">
        <v>16</v>
      </c>
      <c r="E1560" s="6" t="str">
        <f>IF(Table13[[#This Row],[Pre or Post]]="Pre",IF(IF(Table13[[#This Row],[Response]]="Male",0,1)+IF(Table13[[#This Row],[Response]]="Female",0,1)=2,E1559,Table13[[#This Row],[Response]]),"")</f>
        <v/>
      </c>
      <c r="F1560" s="1">
        <v>9</v>
      </c>
      <c r="G1560" s="1" t="s">
        <v>17</v>
      </c>
      <c r="H1560" s="2" t="s">
        <v>9</v>
      </c>
      <c r="I156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61" spans="1:11">
      <c r="A1561" s="2" t="s">
        <v>24</v>
      </c>
      <c r="B1561" s="2" t="s">
        <v>31</v>
      </c>
      <c r="C1561" s="1">
        <v>3</v>
      </c>
      <c r="D1561" s="2" t="s">
        <v>16</v>
      </c>
      <c r="E1561" s="6" t="str">
        <f>IF(Table13[[#This Row],[Pre or Post]]="Pre",IF(IF(Table13[[#This Row],[Response]]="Male",0,1)+IF(Table13[[#This Row],[Response]]="Female",0,1)=2,E1560,Table13[[#This Row],[Response]]),"")</f>
        <v/>
      </c>
      <c r="F1561" s="1">
        <v>10</v>
      </c>
      <c r="G1561" s="1"/>
      <c r="H1561" s="2" t="s">
        <v>9</v>
      </c>
      <c r="I156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62" spans="1:11">
      <c r="A1562" s="2" t="s">
        <v>24</v>
      </c>
      <c r="B1562" s="2" t="s">
        <v>31</v>
      </c>
      <c r="C1562" s="1">
        <v>4</v>
      </c>
      <c r="D1562" s="2" t="s">
        <v>16</v>
      </c>
      <c r="E1562" s="6" t="str">
        <f>IF(Table13[[#This Row],[Pre or Post]]="Pre",IF(IF(Table13[[#This Row],[Response]]="Male",0,1)+IF(Table13[[#This Row],[Response]]="Female",0,1)=2,E1561,Table13[[#This Row],[Response]]),"")</f>
        <v/>
      </c>
      <c r="F1562" s="1">
        <v>2</v>
      </c>
      <c r="G1562" s="1">
        <v>4</v>
      </c>
      <c r="H1562" s="2" t="s">
        <v>9</v>
      </c>
      <c r="I156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63" spans="1:11">
      <c r="A1563" s="2" t="s">
        <v>24</v>
      </c>
      <c r="B1563" s="2" t="s">
        <v>31</v>
      </c>
      <c r="C1563" s="1">
        <v>4</v>
      </c>
      <c r="D1563" s="2" t="s">
        <v>16</v>
      </c>
      <c r="E1563" s="6" t="str">
        <f>IF(Table13[[#This Row],[Pre or Post]]="Pre",IF(IF(Table13[[#This Row],[Response]]="Male",0,1)+IF(Table13[[#This Row],[Response]]="Female",0,1)=2,E1562,Table13[[#This Row],[Response]]),"")</f>
        <v/>
      </c>
      <c r="F1563" s="1">
        <v>3</v>
      </c>
      <c r="G1563" s="1">
        <v>4</v>
      </c>
      <c r="H1563" s="2" t="s">
        <v>9</v>
      </c>
      <c r="I156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64" spans="1:11">
      <c r="A1564" s="2" t="s">
        <v>24</v>
      </c>
      <c r="B1564" s="2" t="s">
        <v>31</v>
      </c>
      <c r="C1564" s="1">
        <v>4</v>
      </c>
      <c r="D1564" s="2" t="s">
        <v>16</v>
      </c>
      <c r="E1564" s="6" t="str">
        <f>IF(Table13[[#This Row],[Pre or Post]]="Pre",IF(IF(Table13[[#This Row],[Response]]="Male",0,1)+IF(Table13[[#This Row],[Response]]="Female",0,1)=2,E1563,Table13[[#This Row],[Response]]),"")</f>
        <v/>
      </c>
      <c r="F1564" s="1">
        <v>4</v>
      </c>
      <c r="G1564" s="1">
        <v>4</v>
      </c>
      <c r="H1564" s="2" t="s">
        <v>9</v>
      </c>
      <c r="I156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65" spans="1:11">
      <c r="A1565" s="2" t="s">
        <v>24</v>
      </c>
      <c r="B1565" s="2" t="s">
        <v>31</v>
      </c>
      <c r="C1565" s="1">
        <v>4</v>
      </c>
      <c r="D1565" s="2" t="s">
        <v>16</v>
      </c>
      <c r="E1565" s="6" t="str">
        <f>IF(Table13[[#This Row],[Pre or Post]]="Pre",IF(IF(Table13[[#This Row],[Response]]="Male",0,1)+IF(Table13[[#This Row],[Response]]="Female",0,1)=2,E1564,Table13[[#This Row],[Response]]),"")</f>
        <v/>
      </c>
      <c r="F1565" s="1">
        <v>12</v>
      </c>
      <c r="G1565" s="1">
        <v>3</v>
      </c>
      <c r="H1565" s="2" t="s">
        <v>9</v>
      </c>
      <c r="I156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66" spans="1:11">
      <c r="A1566" s="2" t="s">
        <v>24</v>
      </c>
      <c r="B1566" s="2" t="s">
        <v>31</v>
      </c>
      <c r="C1566" s="1">
        <v>4</v>
      </c>
      <c r="D1566" s="2" t="s">
        <v>16</v>
      </c>
      <c r="E1566" s="6" t="str">
        <f>IF(Table13[[#This Row],[Pre or Post]]="Pre",IF(IF(Table13[[#This Row],[Response]]="Male",0,1)+IF(Table13[[#This Row],[Response]]="Female",0,1)=2,E1565,Table13[[#This Row],[Response]]),"")</f>
        <v/>
      </c>
      <c r="F1566" s="1">
        <v>13</v>
      </c>
      <c r="G1566" s="1">
        <v>3</v>
      </c>
      <c r="H1566" s="2" t="s">
        <v>9</v>
      </c>
      <c r="I156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67" spans="1:11">
      <c r="A1567" s="2" t="s">
        <v>24</v>
      </c>
      <c r="B1567" s="2" t="s">
        <v>31</v>
      </c>
      <c r="C1567" s="1">
        <v>4</v>
      </c>
      <c r="D1567" s="2" t="s">
        <v>16</v>
      </c>
      <c r="E1567" s="6" t="str">
        <f>IF(Table13[[#This Row],[Pre or Post]]="Pre",IF(IF(Table13[[#This Row],[Response]]="Male",0,1)+IF(Table13[[#This Row],[Response]]="Female",0,1)=2,E1566,Table13[[#This Row],[Response]]),"")</f>
        <v/>
      </c>
      <c r="F1567" s="1">
        <v>5</v>
      </c>
      <c r="G1567" s="1">
        <v>4</v>
      </c>
      <c r="H1567" s="2" t="s">
        <v>9</v>
      </c>
      <c r="I156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68" spans="1:11">
      <c r="A1568" s="2" t="s">
        <v>24</v>
      </c>
      <c r="B1568" s="2" t="s">
        <v>31</v>
      </c>
      <c r="C1568" s="1">
        <v>4</v>
      </c>
      <c r="D1568" s="2" t="s">
        <v>16</v>
      </c>
      <c r="E1568" s="6" t="str">
        <f>IF(Table13[[#This Row],[Pre or Post]]="Pre",IF(IF(Table13[[#This Row],[Response]]="Male",0,1)+IF(Table13[[#This Row],[Response]]="Female",0,1)=2,E1567,Table13[[#This Row],[Response]]),"")</f>
        <v/>
      </c>
      <c r="F1568" s="1">
        <v>6</v>
      </c>
      <c r="G1568" s="1">
        <v>5</v>
      </c>
      <c r="H1568" s="2" t="s">
        <v>9</v>
      </c>
      <c r="I156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69" spans="1:11">
      <c r="A1569" s="2" t="s">
        <v>24</v>
      </c>
      <c r="B1569" s="2" t="s">
        <v>31</v>
      </c>
      <c r="C1569" s="1">
        <v>4</v>
      </c>
      <c r="D1569" s="2" t="s">
        <v>16</v>
      </c>
      <c r="E1569" s="6" t="str">
        <f>IF(Table13[[#This Row],[Pre or Post]]="Pre",IF(IF(Table13[[#This Row],[Response]]="Male",0,1)+IF(Table13[[#This Row],[Response]]="Female",0,1)=2,E1568,Table13[[#This Row],[Response]]),"")</f>
        <v/>
      </c>
      <c r="F1569" s="1">
        <v>15</v>
      </c>
      <c r="G1569" s="1">
        <v>4</v>
      </c>
      <c r="H1569" s="2" t="s">
        <v>9</v>
      </c>
      <c r="I156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70" spans="1:11">
      <c r="A1570" s="2" t="s">
        <v>24</v>
      </c>
      <c r="B1570" s="2" t="s">
        <v>31</v>
      </c>
      <c r="C1570" s="1">
        <v>4</v>
      </c>
      <c r="D1570" s="2" t="s">
        <v>16</v>
      </c>
      <c r="E1570" s="6" t="str">
        <f>IF(Table13[[#This Row],[Pre or Post]]="Pre",IF(IF(Table13[[#This Row],[Response]]="Male",0,1)+IF(Table13[[#This Row],[Response]]="Female",0,1)=2,E1569,Table13[[#This Row],[Response]]),"")</f>
        <v/>
      </c>
      <c r="F1570" s="1">
        <v>14</v>
      </c>
      <c r="G1570" s="1">
        <v>4</v>
      </c>
      <c r="H1570" s="2" t="s">
        <v>9</v>
      </c>
      <c r="I157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71" spans="1:11">
      <c r="A1571" s="2" t="s">
        <v>24</v>
      </c>
      <c r="B1571" s="2" t="s">
        <v>31</v>
      </c>
      <c r="C1571" s="1">
        <v>4</v>
      </c>
      <c r="D1571" s="2" t="s">
        <v>16</v>
      </c>
      <c r="E1571" s="6" t="str">
        <f>IF(Table13[[#This Row],[Pre or Post]]="Pre",IF(IF(Table13[[#This Row],[Response]]="Male",0,1)+IF(Table13[[#This Row],[Response]]="Female",0,1)=2,E1570,Table13[[#This Row],[Response]]),"")</f>
        <v/>
      </c>
      <c r="F1571" s="1">
        <v>7</v>
      </c>
      <c r="G1571" s="1">
        <v>3</v>
      </c>
      <c r="H1571" s="2" t="s">
        <v>9</v>
      </c>
      <c r="I157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72" spans="1:11">
      <c r="A1572" s="2" t="s">
        <v>24</v>
      </c>
      <c r="B1572" s="2" t="s">
        <v>31</v>
      </c>
      <c r="C1572" s="1">
        <v>4</v>
      </c>
      <c r="D1572" s="2" t="s">
        <v>16</v>
      </c>
      <c r="E1572" s="6" t="str">
        <f>IF(Table13[[#This Row],[Pre or Post]]="Pre",IF(IF(Table13[[#This Row],[Response]]="Male",0,1)+IF(Table13[[#This Row],[Response]]="Female",0,1)=2,E1571,Table13[[#This Row],[Response]]),"")</f>
        <v/>
      </c>
      <c r="F1572" s="1">
        <v>16</v>
      </c>
      <c r="G1572" s="1">
        <v>4</v>
      </c>
      <c r="H1572" s="2" t="s">
        <v>9</v>
      </c>
      <c r="I157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73" spans="1:11">
      <c r="A1573" s="2" t="s">
        <v>24</v>
      </c>
      <c r="B1573" s="2" t="s">
        <v>31</v>
      </c>
      <c r="C1573" s="1">
        <v>4</v>
      </c>
      <c r="D1573" s="2" t="s">
        <v>16</v>
      </c>
      <c r="E1573" s="6" t="str">
        <f>IF(Table13[[#This Row],[Pre or Post]]="Pre",IF(IF(Table13[[#This Row],[Response]]="Male",0,1)+IF(Table13[[#This Row],[Response]]="Female",0,1)=2,E1572,Table13[[#This Row],[Response]]),"")</f>
        <v/>
      </c>
      <c r="F1573" s="1">
        <v>17</v>
      </c>
      <c r="G1573" s="1">
        <v>4</v>
      </c>
      <c r="H1573" s="2" t="s">
        <v>9</v>
      </c>
      <c r="I157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74" spans="1:11">
      <c r="A1574" s="2" t="s">
        <v>24</v>
      </c>
      <c r="B1574" s="2" t="s">
        <v>31</v>
      </c>
      <c r="C1574" s="1">
        <v>4</v>
      </c>
      <c r="D1574" s="2" t="s">
        <v>16</v>
      </c>
      <c r="E1574" s="6" t="str">
        <f>IF(Table13[[#This Row],[Pre or Post]]="Pre",IF(IF(Table13[[#This Row],[Response]]="Male",0,1)+IF(Table13[[#This Row],[Response]]="Female",0,1)=2,E1573,Table13[[#This Row],[Response]]),"")</f>
        <v/>
      </c>
      <c r="F1574" s="1">
        <v>8</v>
      </c>
      <c r="G1574" s="1" t="s">
        <v>8</v>
      </c>
      <c r="H1574" s="2" t="s">
        <v>9</v>
      </c>
      <c r="I157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75" spans="1:11">
      <c r="A1575" s="2" t="s">
        <v>24</v>
      </c>
      <c r="B1575" s="2" t="s">
        <v>31</v>
      </c>
      <c r="C1575" s="1">
        <v>4</v>
      </c>
      <c r="D1575" s="2" t="s">
        <v>16</v>
      </c>
      <c r="E1575" s="6" t="str">
        <f>IF(Table13[[#This Row],[Pre or Post]]="Pre",IF(IF(Table13[[#This Row],[Response]]="Male",0,1)+IF(Table13[[#This Row],[Response]]="Female",0,1)=2,E1574,Table13[[#This Row],[Response]]),"")</f>
        <v/>
      </c>
      <c r="F1575" s="1">
        <v>9</v>
      </c>
      <c r="G1575" s="1" t="s">
        <v>17</v>
      </c>
      <c r="H1575" s="2" t="s">
        <v>9</v>
      </c>
      <c r="I157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76" spans="1:11">
      <c r="A1576" s="2" t="s">
        <v>24</v>
      </c>
      <c r="B1576" s="2" t="s">
        <v>31</v>
      </c>
      <c r="C1576" s="1">
        <v>4</v>
      </c>
      <c r="D1576" s="2" t="s">
        <v>16</v>
      </c>
      <c r="E1576" s="6" t="str">
        <f>IF(Table13[[#This Row],[Pre or Post]]="Pre",IF(IF(Table13[[#This Row],[Response]]="Male",0,1)+IF(Table13[[#This Row],[Response]]="Female",0,1)=2,E1575,Table13[[#This Row],[Response]]),"")</f>
        <v/>
      </c>
      <c r="F1576" s="1">
        <v>10</v>
      </c>
      <c r="G1576" s="1" t="s">
        <v>18</v>
      </c>
      <c r="H1576" s="2" t="s">
        <v>9</v>
      </c>
      <c r="I157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77" spans="1:11">
      <c r="A1577" s="2" t="s">
        <v>24</v>
      </c>
      <c r="B1577" s="2" t="s">
        <v>31</v>
      </c>
      <c r="C1577" s="1">
        <v>5</v>
      </c>
      <c r="D1577" s="2" t="s">
        <v>16</v>
      </c>
      <c r="E1577" s="6" t="str">
        <f>IF(Table13[[#This Row],[Pre or Post]]="Pre",IF(IF(Table13[[#This Row],[Response]]="Male",0,1)+IF(Table13[[#This Row],[Response]]="Female",0,1)=2,E1576,Table13[[#This Row],[Response]]),"")</f>
        <v/>
      </c>
      <c r="F1577" s="1">
        <v>2</v>
      </c>
      <c r="G1577" s="1">
        <v>3</v>
      </c>
      <c r="H1577" s="2" t="s">
        <v>9</v>
      </c>
      <c r="I157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78" spans="1:11">
      <c r="A1578" s="2" t="s">
        <v>24</v>
      </c>
      <c r="B1578" s="2" t="s">
        <v>31</v>
      </c>
      <c r="C1578" s="1">
        <v>5</v>
      </c>
      <c r="D1578" s="2" t="s">
        <v>16</v>
      </c>
      <c r="E1578" s="6" t="str">
        <f>IF(Table13[[#This Row],[Pre or Post]]="Pre",IF(IF(Table13[[#This Row],[Response]]="Male",0,1)+IF(Table13[[#This Row],[Response]]="Female",0,1)=2,E1577,Table13[[#This Row],[Response]]),"")</f>
        <v/>
      </c>
      <c r="F1578" s="1">
        <v>3</v>
      </c>
      <c r="G1578" s="1">
        <v>3</v>
      </c>
      <c r="H1578" s="2" t="s">
        <v>9</v>
      </c>
      <c r="I157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79" spans="1:11">
      <c r="A1579" s="2" t="s">
        <v>24</v>
      </c>
      <c r="B1579" s="2" t="s">
        <v>31</v>
      </c>
      <c r="C1579" s="1">
        <v>5</v>
      </c>
      <c r="D1579" s="2" t="s">
        <v>16</v>
      </c>
      <c r="E1579" s="6" t="str">
        <f>IF(Table13[[#This Row],[Pre or Post]]="Pre",IF(IF(Table13[[#This Row],[Response]]="Male",0,1)+IF(Table13[[#This Row],[Response]]="Female",0,1)=2,E1578,Table13[[#This Row],[Response]]),"")</f>
        <v/>
      </c>
      <c r="F1579" s="1">
        <v>4</v>
      </c>
      <c r="G1579" s="1">
        <v>5</v>
      </c>
      <c r="H1579" s="2" t="s">
        <v>9</v>
      </c>
      <c r="I157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80" spans="1:11">
      <c r="A1580" s="2" t="s">
        <v>24</v>
      </c>
      <c r="B1580" s="2" t="s">
        <v>31</v>
      </c>
      <c r="C1580" s="1">
        <v>5</v>
      </c>
      <c r="D1580" s="2" t="s">
        <v>16</v>
      </c>
      <c r="E1580" s="6" t="str">
        <f>IF(Table13[[#This Row],[Pre or Post]]="Pre",IF(IF(Table13[[#This Row],[Response]]="Male",0,1)+IF(Table13[[#This Row],[Response]]="Female",0,1)=2,E1579,Table13[[#This Row],[Response]]),"")</f>
        <v/>
      </c>
      <c r="F1580" s="1">
        <v>12</v>
      </c>
      <c r="G1580" s="1">
        <v>3</v>
      </c>
      <c r="H1580" s="2" t="s">
        <v>9</v>
      </c>
      <c r="I158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81" spans="1:11">
      <c r="A1581" s="2" t="s">
        <v>24</v>
      </c>
      <c r="B1581" s="2" t="s">
        <v>31</v>
      </c>
      <c r="C1581" s="1">
        <v>5</v>
      </c>
      <c r="D1581" s="2" t="s">
        <v>16</v>
      </c>
      <c r="E1581" s="6" t="str">
        <f>IF(Table13[[#This Row],[Pre or Post]]="Pre",IF(IF(Table13[[#This Row],[Response]]="Male",0,1)+IF(Table13[[#This Row],[Response]]="Female",0,1)=2,E1580,Table13[[#This Row],[Response]]),"")</f>
        <v/>
      </c>
      <c r="F1581" s="1">
        <v>13</v>
      </c>
      <c r="G1581" s="1">
        <v>4</v>
      </c>
      <c r="H1581" s="2" t="s">
        <v>9</v>
      </c>
      <c r="I158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82" spans="1:11">
      <c r="A1582" s="2" t="s">
        <v>24</v>
      </c>
      <c r="B1582" s="2" t="s">
        <v>31</v>
      </c>
      <c r="C1582" s="1">
        <v>5</v>
      </c>
      <c r="D1582" s="2" t="s">
        <v>16</v>
      </c>
      <c r="E1582" s="6" t="str">
        <f>IF(Table13[[#This Row],[Pre or Post]]="Pre",IF(IF(Table13[[#This Row],[Response]]="Male",0,1)+IF(Table13[[#This Row],[Response]]="Female",0,1)=2,E1581,Table13[[#This Row],[Response]]),"")</f>
        <v/>
      </c>
      <c r="F1582" s="1">
        <v>5</v>
      </c>
      <c r="G1582" s="1">
        <v>4</v>
      </c>
      <c r="H1582" s="2" t="s">
        <v>9</v>
      </c>
      <c r="I158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83" spans="1:11">
      <c r="A1583" s="2" t="s">
        <v>24</v>
      </c>
      <c r="B1583" s="2" t="s">
        <v>31</v>
      </c>
      <c r="C1583" s="1">
        <v>5</v>
      </c>
      <c r="D1583" s="2" t="s">
        <v>16</v>
      </c>
      <c r="E1583" s="6" t="str">
        <f>IF(Table13[[#This Row],[Pre or Post]]="Pre",IF(IF(Table13[[#This Row],[Response]]="Male",0,1)+IF(Table13[[#This Row],[Response]]="Female",0,1)=2,E1582,Table13[[#This Row],[Response]]),"")</f>
        <v/>
      </c>
      <c r="F1583" s="1">
        <v>6</v>
      </c>
      <c r="G1583" s="1">
        <v>3</v>
      </c>
      <c r="H1583" s="2" t="s">
        <v>9</v>
      </c>
      <c r="I158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84" spans="1:11">
      <c r="A1584" s="2" t="s">
        <v>24</v>
      </c>
      <c r="B1584" s="2" t="s">
        <v>31</v>
      </c>
      <c r="C1584" s="1">
        <v>5</v>
      </c>
      <c r="D1584" s="2" t="s">
        <v>16</v>
      </c>
      <c r="E1584" s="6" t="str">
        <f>IF(Table13[[#This Row],[Pre or Post]]="Pre",IF(IF(Table13[[#This Row],[Response]]="Male",0,1)+IF(Table13[[#This Row],[Response]]="Female",0,1)=2,E1583,Table13[[#This Row],[Response]]),"")</f>
        <v/>
      </c>
      <c r="F1584" s="1">
        <v>15</v>
      </c>
      <c r="G1584" s="1">
        <v>5</v>
      </c>
      <c r="H1584" s="2" t="s">
        <v>9</v>
      </c>
      <c r="I158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85" spans="1:11">
      <c r="A1585" s="2" t="s">
        <v>24</v>
      </c>
      <c r="B1585" s="2" t="s">
        <v>31</v>
      </c>
      <c r="C1585" s="1">
        <v>5</v>
      </c>
      <c r="D1585" s="2" t="s">
        <v>16</v>
      </c>
      <c r="E1585" s="6" t="str">
        <f>IF(Table13[[#This Row],[Pre or Post]]="Pre",IF(IF(Table13[[#This Row],[Response]]="Male",0,1)+IF(Table13[[#This Row],[Response]]="Female",0,1)=2,E1584,Table13[[#This Row],[Response]]),"")</f>
        <v/>
      </c>
      <c r="F1585" s="1">
        <v>14</v>
      </c>
      <c r="G1585" s="1">
        <v>4</v>
      </c>
      <c r="H1585" s="2" t="s">
        <v>9</v>
      </c>
      <c r="I158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86" spans="1:11">
      <c r="A1586" s="2" t="s">
        <v>24</v>
      </c>
      <c r="B1586" s="2" t="s">
        <v>31</v>
      </c>
      <c r="C1586" s="1">
        <v>5</v>
      </c>
      <c r="D1586" s="2" t="s">
        <v>16</v>
      </c>
      <c r="E1586" s="6" t="str">
        <f>IF(Table13[[#This Row],[Pre or Post]]="Pre",IF(IF(Table13[[#This Row],[Response]]="Male",0,1)+IF(Table13[[#This Row],[Response]]="Female",0,1)=2,E1585,Table13[[#This Row],[Response]]),"")</f>
        <v/>
      </c>
      <c r="F1586" s="1">
        <v>7</v>
      </c>
      <c r="G1586" s="1">
        <v>3</v>
      </c>
      <c r="H1586" s="2" t="s">
        <v>9</v>
      </c>
      <c r="I158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87" spans="1:11">
      <c r="A1587" s="2" t="s">
        <v>24</v>
      </c>
      <c r="B1587" s="2" t="s">
        <v>31</v>
      </c>
      <c r="C1587" s="1">
        <v>5</v>
      </c>
      <c r="D1587" s="2" t="s">
        <v>16</v>
      </c>
      <c r="E1587" s="6" t="str">
        <f>IF(Table13[[#This Row],[Pre or Post]]="Pre",IF(IF(Table13[[#This Row],[Response]]="Male",0,1)+IF(Table13[[#This Row],[Response]]="Female",0,1)=2,E1586,Table13[[#This Row],[Response]]),"")</f>
        <v/>
      </c>
      <c r="F1587" s="1">
        <v>16</v>
      </c>
      <c r="G1587" s="1">
        <v>5</v>
      </c>
      <c r="H1587" s="2" t="s">
        <v>9</v>
      </c>
      <c r="I158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88" spans="1:11">
      <c r="A1588" s="2" t="s">
        <v>24</v>
      </c>
      <c r="B1588" s="2" t="s">
        <v>31</v>
      </c>
      <c r="C1588" s="1">
        <v>5</v>
      </c>
      <c r="D1588" s="2" t="s">
        <v>16</v>
      </c>
      <c r="E1588" s="6" t="str">
        <f>IF(Table13[[#This Row],[Pre or Post]]="Pre",IF(IF(Table13[[#This Row],[Response]]="Male",0,1)+IF(Table13[[#This Row],[Response]]="Female",0,1)=2,E1587,Table13[[#This Row],[Response]]),"")</f>
        <v/>
      </c>
      <c r="F1588" s="1">
        <v>17</v>
      </c>
      <c r="G1588" s="1">
        <v>4</v>
      </c>
      <c r="H1588" s="2" t="s">
        <v>9</v>
      </c>
      <c r="I158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89" spans="1:11">
      <c r="A1589" s="2" t="s">
        <v>24</v>
      </c>
      <c r="B1589" s="2" t="s">
        <v>31</v>
      </c>
      <c r="C1589" s="1">
        <v>5</v>
      </c>
      <c r="D1589" s="2" t="s">
        <v>16</v>
      </c>
      <c r="E1589" s="6" t="str">
        <f>IF(Table13[[#This Row],[Pre or Post]]="Pre",IF(IF(Table13[[#This Row],[Response]]="Male",0,1)+IF(Table13[[#This Row],[Response]]="Female",0,1)=2,E1588,Table13[[#This Row],[Response]]),"")</f>
        <v/>
      </c>
      <c r="F1589" s="1">
        <v>8</v>
      </c>
      <c r="G1589" s="1"/>
      <c r="H1589" s="2" t="s">
        <v>9</v>
      </c>
      <c r="I158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90" spans="1:11">
      <c r="A1590" s="2" t="s">
        <v>24</v>
      </c>
      <c r="B1590" s="2" t="s">
        <v>31</v>
      </c>
      <c r="C1590" s="1">
        <v>5</v>
      </c>
      <c r="D1590" s="2" t="s">
        <v>16</v>
      </c>
      <c r="E1590" s="6" t="str">
        <f>IF(Table13[[#This Row],[Pre or Post]]="Pre",IF(IF(Table13[[#This Row],[Response]]="Male",0,1)+IF(Table13[[#This Row],[Response]]="Female",0,1)=2,E1589,Table13[[#This Row],[Response]]),"")</f>
        <v/>
      </c>
      <c r="F1590" s="1">
        <v>9</v>
      </c>
      <c r="G1590" s="1"/>
      <c r="H1590" s="2" t="s">
        <v>9</v>
      </c>
      <c r="I159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91" spans="1:11">
      <c r="A1591" s="2" t="s">
        <v>24</v>
      </c>
      <c r="B1591" s="2" t="s">
        <v>31</v>
      </c>
      <c r="C1591" s="1">
        <v>5</v>
      </c>
      <c r="D1591" s="2" t="s">
        <v>16</v>
      </c>
      <c r="E1591" s="6" t="str">
        <f>IF(Table13[[#This Row],[Pre or Post]]="Pre",IF(IF(Table13[[#This Row],[Response]]="Male",0,1)+IF(Table13[[#This Row],[Response]]="Female",0,1)=2,E1590,Table13[[#This Row],[Response]]),"")</f>
        <v/>
      </c>
      <c r="F1591" s="1">
        <v>10</v>
      </c>
      <c r="G1591" s="1"/>
      <c r="H1591" s="2" t="s">
        <v>9</v>
      </c>
      <c r="I159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92" spans="1:11">
      <c r="A1592" s="2" t="s">
        <v>24</v>
      </c>
      <c r="B1592" s="2" t="s">
        <v>31</v>
      </c>
      <c r="C1592" s="1">
        <v>6</v>
      </c>
      <c r="D1592" s="2" t="s">
        <v>16</v>
      </c>
      <c r="E1592" s="6" t="str">
        <f>IF(Table13[[#This Row],[Pre or Post]]="Pre",IF(IF(Table13[[#This Row],[Response]]="Male",0,1)+IF(Table13[[#This Row],[Response]]="Female",0,1)=2,E1591,Table13[[#This Row],[Response]]),"")</f>
        <v/>
      </c>
      <c r="F1592" s="1">
        <v>2</v>
      </c>
      <c r="G1592" s="1">
        <v>4</v>
      </c>
      <c r="H1592" s="2" t="s">
        <v>9</v>
      </c>
      <c r="I159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93" spans="1:11">
      <c r="A1593" s="2" t="s">
        <v>24</v>
      </c>
      <c r="B1593" s="2" t="s">
        <v>31</v>
      </c>
      <c r="C1593" s="1">
        <v>6</v>
      </c>
      <c r="D1593" s="2" t="s">
        <v>16</v>
      </c>
      <c r="E1593" s="6" t="str">
        <f>IF(Table13[[#This Row],[Pre or Post]]="Pre",IF(IF(Table13[[#This Row],[Response]]="Male",0,1)+IF(Table13[[#This Row],[Response]]="Female",0,1)=2,E1592,Table13[[#This Row],[Response]]),"")</f>
        <v/>
      </c>
      <c r="F1593" s="1">
        <v>3</v>
      </c>
      <c r="G1593" s="1">
        <v>3</v>
      </c>
      <c r="H1593" s="2" t="s">
        <v>9</v>
      </c>
      <c r="I159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94" spans="1:11">
      <c r="A1594" s="2" t="s">
        <v>24</v>
      </c>
      <c r="B1594" s="2" t="s">
        <v>31</v>
      </c>
      <c r="C1594" s="1">
        <v>6</v>
      </c>
      <c r="D1594" s="2" t="s">
        <v>16</v>
      </c>
      <c r="E1594" s="6" t="str">
        <f>IF(Table13[[#This Row],[Pre or Post]]="Pre",IF(IF(Table13[[#This Row],[Response]]="Male",0,1)+IF(Table13[[#This Row],[Response]]="Female",0,1)=2,E1593,Table13[[#This Row],[Response]]),"")</f>
        <v/>
      </c>
      <c r="F1594" s="1">
        <v>4</v>
      </c>
      <c r="G1594" s="1">
        <v>3</v>
      </c>
      <c r="H1594" s="2" t="s">
        <v>9</v>
      </c>
      <c r="I159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95" spans="1:11">
      <c r="A1595" s="2" t="s">
        <v>24</v>
      </c>
      <c r="B1595" s="2" t="s">
        <v>31</v>
      </c>
      <c r="C1595" s="1">
        <v>6</v>
      </c>
      <c r="D1595" s="2" t="s">
        <v>16</v>
      </c>
      <c r="E1595" s="6" t="str">
        <f>IF(Table13[[#This Row],[Pre or Post]]="Pre",IF(IF(Table13[[#This Row],[Response]]="Male",0,1)+IF(Table13[[#This Row],[Response]]="Female",0,1)=2,E1594,Table13[[#This Row],[Response]]),"")</f>
        <v/>
      </c>
      <c r="F1595" s="1">
        <v>12</v>
      </c>
      <c r="G1595" s="1">
        <v>3</v>
      </c>
      <c r="H1595" s="2" t="s">
        <v>9</v>
      </c>
      <c r="I159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96" spans="1:11">
      <c r="A1596" s="2" t="s">
        <v>24</v>
      </c>
      <c r="B1596" s="2" t="s">
        <v>31</v>
      </c>
      <c r="C1596" s="1">
        <v>6</v>
      </c>
      <c r="D1596" s="2" t="s">
        <v>16</v>
      </c>
      <c r="E1596" s="6" t="str">
        <f>IF(Table13[[#This Row],[Pre or Post]]="Pre",IF(IF(Table13[[#This Row],[Response]]="Male",0,1)+IF(Table13[[#This Row],[Response]]="Female",0,1)=2,E1595,Table13[[#This Row],[Response]]),"")</f>
        <v/>
      </c>
      <c r="F1596" s="1">
        <v>13</v>
      </c>
      <c r="G1596" s="1">
        <v>3</v>
      </c>
      <c r="H1596" s="2" t="s">
        <v>9</v>
      </c>
      <c r="I159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97" spans="1:11">
      <c r="A1597" s="2" t="s">
        <v>24</v>
      </c>
      <c r="B1597" s="2" t="s">
        <v>31</v>
      </c>
      <c r="C1597" s="1">
        <v>6</v>
      </c>
      <c r="D1597" s="2" t="s">
        <v>16</v>
      </c>
      <c r="E1597" s="6" t="str">
        <f>IF(Table13[[#This Row],[Pre or Post]]="Pre",IF(IF(Table13[[#This Row],[Response]]="Male",0,1)+IF(Table13[[#This Row],[Response]]="Female",0,1)=2,E1596,Table13[[#This Row],[Response]]),"")</f>
        <v/>
      </c>
      <c r="F1597" s="1">
        <v>5</v>
      </c>
      <c r="G1597" s="1">
        <v>3</v>
      </c>
      <c r="H1597" s="2" t="s">
        <v>9</v>
      </c>
      <c r="I159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98" spans="1:11">
      <c r="A1598" s="2" t="s">
        <v>24</v>
      </c>
      <c r="B1598" s="2" t="s">
        <v>31</v>
      </c>
      <c r="C1598" s="1">
        <v>6</v>
      </c>
      <c r="D1598" s="2" t="s">
        <v>16</v>
      </c>
      <c r="E1598" s="6" t="str">
        <f>IF(Table13[[#This Row],[Pre or Post]]="Pre",IF(IF(Table13[[#This Row],[Response]]="Male",0,1)+IF(Table13[[#This Row],[Response]]="Female",0,1)=2,E1597,Table13[[#This Row],[Response]]),"")</f>
        <v/>
      </c>
      <c r="F1598" s="1">
        <v>6</v>
      </c>
      <c r="G1598" s="1">
        <v>4</v>
      </c>
      <c r="H1598" s="2" t="s">
        <v>9</v>
      </c>
      <c r="I159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599" spans="1:11">
      <c r="A1599" s="2" t="s">
        <v>24</v>
      </c>
      <c r="B1599" s="2" t="s">
        <v>31</v>
      </c>
      <c r="C1599" s="1">
        <v>6</v>
      </c>
      <c r="D1599" s="2" t="s">
        <v>16</v>
      </c>
      <c r="E1599" s="6" t="str">
        <f>IF(Table13[[#This Row],[Pre or Post]]="Pre",IF(IF(Table13[[#This Row],[Response]]="Male",0,1)+IF(Table13[[#This Row],[Response]]="Female",0,1)=2,E1598,Table13[[#This Row],[Response]]),"")</f>
        <v/>
      </c>
      <c r="F1599" s="1">
        <v>15</v>
      </c>
      <c r="G1599" s="1">
        <v>3</v>
      </c>
      <c r="H1599" s="2" t="s">
        <v>9</v>
      </c>
      <c r="I159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5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5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00" spans="1:11">
      <c r="A1600" s="2" t="s">
        <v>24</v>
      </c>
      <c r="B1600" s="2" t="s">
        <v>31</v>
      </c>
      <c r="C1600" s="1">
        <v>6</v>
      </c>
      <c r="D1600" s="2" t="s">
        <v>16</v>
      </c>
      <c r="E1600" s="6" t="str">
        <f>IF(Table13[[#This Row],[Pre or Post]]="Pre",IF(IF(Table13[[#This Row],[Response]]="Male",0,1)+IF(Table13[[#This Row],[Response]]="Female",0,1)=2,E1599,Table13[[#This Row],[Response]]),"")</f>
        <v/>
      </c>
      <c r="F1600" s="1">
        <v>14</v>
      </c>
      <c r="G1600" s="1">
        <v>4</v>
      </c>
      <c r="H1600" s="2" t="s">
        <v>9</v>
      </c>
      <c r="I160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01" spans="1:11">
      <c r="A1601" s="2" t="s">
        <v>24</v>
      </c>
      <c r="B1601" s="2" t="s">
        <v>31</v>
      </c>
      <c r="C1601" s="1">
        <v>6</v>
      </c>
      <c r="D1601" s="2" t="s">
        <v>16</v>
      </c>
      <c r="E1601" s="6" t="str">
        <f>IF(Table13[[#This Row],[Pre or Post]]="Pre",IF(IF(Table13[[#This Row],[Response]]="Male",0,1)+IF(Table13[[#This Row],[Response]]="Female",0,1)=2,E1600,Table13[[#This Row],[Response]]),"")</f>
        <v/>
      </c>
      <c r="F1601" s="1">
        <v>7</v>
      </c>
      <c r="G1601" s="1">
        <v>2</v>
      </c>
      <c r="H1601" s="2" t="s">
        <v>9</v>
      </c>
      <c r="I160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02" spans="1:11">
      <c r="A1602" s="2" t="s">
        <v>24</v>
      </c>
      <c r="B1602" s="2" t="s">
        <v>31</v>
      </c>
      <c r="C1602" s="1">
        <v>6</v>
      </c>
      <c r="D1602" s="2" t="s">
        <v>16</v>
      </c>
      <c r="E1602" s="6" t="str">
        <f>IF(Table13[[#This Row],[Pre or Post]]="Pre",IF(IF(Table13[[#This Row],[Response]]="Male",0,1)+IF(Table13[[#This Row],[Response]]="Female",0,1)=2,E1601,Table13[[#This Row],[Response]]),"")</f>
        <v/>
      </c>
      <c r="F1602" s="1">
        <v>16</v>
      </c>
      <c r="G1602" s="1">
        <v>3</v>
      </c>
      <c r="H1602" s="2" t="s">
        <v>9</v>
      </c>
      <c r="I160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03" spans="1:11">
      <c r="A1603" s="2" t="s">
        <v>24</v>
      </c>
      <c r="B1603" s="2" t="s">
        <v>31</v>
      </c>
      <c r="C1603" s="1">
        <v>6</v>
      </c>
      <c r="D1603" s="2" t="s">
        <v>16</v>
      </c>
      <c r="E1603" s="6" t="str">
        <f>IF(Table13[[#This Row],[Pre or Post]]="Pre",IF(IF(Table13[[#This Row],[Response]]="Male",0,1)+IF(Table13[[#This Row],[Response]]="Female",0,1)=2,E1602,Table13[[#This Row],[Response]]),"")</f>
        <v/>
      </c>
      <c r="F1603" s="1">
        <v>17</v>
      </c>
      <c r="G1603" s="1"/>
      <c r="H1603" s="2" t="s">
        <v>9</v>
      </c>
      <c r="I160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04" spans="1:11">
      <c r="A1604" s="2" t="s">
        <v>24</v>
      </c>
      <c r="B1604" s="2" t="s">
        <v>31</v>
      </c>
      <c r="C1604" s="1">
        <v>6</v>
      </c>
      <c r="D1604" s="2" t="s">
        <v>16</v>
      </c>
      <c r="E1604" s="6" t="str">
        <f>IF(Table13[[#This Row],[Pre or Post]]="Pre",IF(IF(Table13[[#This Row],[Response]]="Male",0,1)+IF(Table13[[#This Row],[Response]]="Female",0,1)=2,E1603,Table13[[#This Row],[Response]]),"")</f>
        <v/>
      </c>
      <c r="F1604" s="1">
        <v>8</v>
      </c>
      <c r="G1604" s="1"/>
      <c r="H1604" s="2" t="s">
        <v>9</v>
      </c>
      <c r="I160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05" spans="1:11">
      <c r="A1605" s="2" t="s">
        <v>24</v>
      </c>
      <c r="B1605" s="2" t="s">
        <v>31</v>
      </c>
      <c r="C1605" s="1">
        <v>6</v>
      </c>
      <c r="D1605" s="2" t="s">
        <v>16</v>
      </c>
      <c r="E1605" s="6" t="str">
        <f>IF(Table13[[#This Row],[Pre or Post]]="Pre",IF(IF(Table13[[#This Row],[Response]]="Male",0,1)+IF(Table13[[#This Row],[Response]]="Female",0,1)=2,E1604,Table13[[#This Row],[Response]]),"")</f>
        <v/>
      </c>
      <c r="F1605" s="1">
        <v>9</v>
      </c>
      <c r="G1605" s="1"/>
      <c r="H1605" s="2" t="s">
        <v>9</v>
      </c>
      <c r="I160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06" spans="1:11">
      <c r="A1606" s="2" t="s">
        <v>24</v>
      </c>
      <c r="B1606" s="2" t="s">
        <v>31</v>
      </c>
      <c r="C1606" s="1">
        <v>6</v>
      </c>
      <c r="D1606" s="2" t="s">
        <v>16</v>
      </c>
      <c r="E1606" s="6" t="str">
        <f>IF(Table13[[#This Row],[Pre or Post]]="Pre",IF(IF(Table13[[#This Row],[Response]]="Male",0,1)+IF(Table13[[#This Row],[Response]]="Female",0,1)=2,E1605,Table13[[#This Row],[Response]]),"")</f>
        <v/>
      </c>
      <c r="F1606" s="1">
        <v>10</v>
      </c>
      <c r="G1606" s="1"/>
      <c r="H1606" s="2" t="s">
        <v>9</v>
      </c>
      <c r="I160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07" spans="1:11">
      <c r="A1607" s="2" t="s">
        <v>24</v>
      </c>
      <c r="B1607" s="2" t="s">
        <v>31</v>
      </c>
      <c r="C1607" s="1">
        <v>7</v>
      </c>
      <c r="D1607" s="2" t="s">
        <v>16</v>
      </c>
      <c r="E1607" s="6" t="str">
        <f>IF(Table13[[#This Row],[Pre or Post]]="Pre",IF(IF(Table13[[#This Row],[Response]]="Male",0,1)+IF(Table13[[#This Row],[Response]]="Female",0,1)=2,E1606,Table13[[#This Row],[Response]]),"")</f>
        <v/>
      </c>
      <c r="F1607" s="1">
        <v>2</v>
      </c>
      <c r="G1607" s="1">
        <v>3</v>
      </c>
      <c r="H1607" s="2" t="s">
        <v>9</v>
      </c>
      <c r="I160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08" spans="1:11">
      <c r="A1608" s="2" t="s">
        <v>24</v>
      </c>
      <c r="B1608" s="2" t="s">
        <v>31</v>
      </c>
      <c r="C1608" s="1">
        <v>7</v>
      </c>
      <c r="D1608" s="2" t="s">
        <v>16</v>
      </c>
      <c r="E1608" s="6" t="str">
        <f>IF(Table13[[#This Row],[Pre or Post]]="Pre",IF(IF(Table13[[#This Row],[Response]]="Male",0,1)+IF(Table13[[#This Row],[Response]]="Female",0,1)=2,E1607,Table13[[#This Row],[Response]]),"")</f>
        <v/>
      </c>
      <c r="F1608" s="1">
        <v>3</v>
      </c>
      <c r="G1608" s="1">
        <v>5</v>
      </c>
      <c r="H1608" s="2" t="s">
        <v>9</v>
      </c>
      <c r="I160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09" spans="1:11">
      <c r="A1609" s="2" t="s">
        <v>24</v>
      </c>
      <c r="B1609" s="2" t="s">
        <v>31</v>
      </c>
      <c r="C1609" s="1">
        <v>7</v>
      </c>
      <c r="D1609" s="2" t="s">
        <v>16</v>
      </c>
      <c r="E1609" s="6" t="str">
        <f>IF(Table13[[#This Row],[Pre or Post]]="Pre",IF(IF(Table13[[#This Row],[Response]]="Male",0,1)+IF(Table13[[#This Row],[Response]]="Female",0,1)=2,E1608,Table13[[#This Row],[Response]]),"")</f>
        <v/>
      </c>
      <c r="F1609" s="1">
        <v>4</v>
      </c>
      <c r="G1609" s="1">
        <v>5</v>
      </c>
      <c r="H1609" s="2" t="s">
        <v>9</v>
      </c>
      <c r="I160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10" spans="1:11">
      <c r="A1610" s="2" t="s">
        <v>24</v>
      </c>
      <c r="B1610" s="2" t="s">
        <v>31</v>
      </c>
      <c r="C1610" s="1">
        <v>7</v>
      </c>
      <c r="D1610" s="2" t="s">
        <v>16</v>
      </c>
      <c r="E1610" s="6" t="str">
        <f>IF(Table13[[#This Row],[Pre or Post]]="Pre",IF(IF(Table13[[#This Row],[Response]]="Male",0,1)+IF(Table13[[#This Row],[Response]]="Female",0,1)=2,E1609,Table13[[#This Row],[Response]]),"")</f>
        <v/>
      </c>
      <c r="F1610" s="1">
        <v>12</v>
      </c>
      <c r="G1610" s="1">
        <v>4</v>
      </c>
      <c r="H1610" s="2" t="s">
        <v>9</v>
      </c>
      <c r="I161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11" spans="1:11">
      <c r="A1611" s="2" t="s">
        <v>24</v>
      </c>
      <c r="B1611" s="2" t="s">
        <v>31</v>
      </c>
      <c r="C1611" s="1">
        <v>7</v>
      </c>
      <c r="D1611" s="2" t="s">
        <v>16</v>
      </c>
      <c r="E1611" s="6" t="str">
        <f>IF(Table13[[#This Row],[Pre or Post]]="Pre",IF(IF(Table13[[#This Row],[Response]]="Male",0,1)+IF(Table13[[#This Row],[Response]]="Female",0,1)=2,E1610,Table13[[#This Row],[Response]]),"")</f>
        <v/>
      </c>
      <c r="F1611" s="1">
        <v>13</v>
      </c>
      <c r="G1611" s="1">
        <v>5</v>
      </c>
      <c r="H1611" s="2" t="s">
        <v>9</v>
      </c>
      <c r="I161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12" spans="1:11">
      <c r="A1612" s="2" t="s">
        <v>24</v>
      </c>
      <c r="B1612" s="2" t="s">
        <v>31</v>
      </c>
      <c r="C1612" s="1">
        <v>7</v>
      </c>
      <c r="D1612" s="2" t="s">
        <v>16</v>
      </c>
      <c r="E1612" s="6" t="str">
        <f>IF(Table13[[#This Row],[Pre or Post]]="Pre",IF(IF(Table13[[#This Row],[Response]]="Male",0,1)+IF(Table13[[#This Row],[Response]]="Female",0,1)=2,E1611,Table13[[#This Row],[Response]]),"")</f>
        <v/>
      </c>
      <c r="F1612" s="1">
        <v>5</v>
      </c>
      <c r="G1612" s="1">
        <v>5</v>
      </c>
      <c r="H1612" s="2" t="s">
        <v>9</v>
      </c>
      <c r="I161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13" spans="1:11">
      <c r="A1613" s="2" t="s">
        <v>24</v>
      </c>
      <c r="B1613" s="2" t="s">
        <v>31</v>
      </c>
      <c r="C1613" s="1">
        <v>7</v>
      </c>
      <c r="D1613" s="2" t="s">
        <v>16</v>
      </c>
      <c r="E1613" s="6" t="str">
        <f>IF(Table13[[#This Row],[Pre or Post]]="Pre",IF(IF(Table13[[#This Row],[Response]]="Male",0,1)+IF(Table13[[#This Row],[Response]]="Female",0,1)=2,E1612,Table13[[#This Row],[Response]]),"")</f>
        <v/>
      </c>
      <c r="F1613" s="1">
        <v>6</v>
      </c>
      <c r="G1613" s="1">
        <v>5</v>
      </c>
      <c r="H1613" s="2" t="s">
        <v>9</v>
      </c>
      <c r="I161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14" spans="1:11">
      <c r="A1614" s="2" t="s">
        <v>24</v>
      </c>
      <c r="B1614" s="2" t="s">
        <v>31</v>
      </c>
      <c r="C1614" s="1">
        <v>7</v>
      </c>
      <c r="D1614" s="2" t="s">
        <v>16</v>
      </c>
      <c r="E1614" s="6" t="str">
        <f>IF(Table13[[#This Row],[Pre or Post]]="Pre",IF(IF(Table13[[#This Row],[Response]]="Male",0,1)+IF(Table13[[#This Row],[Response]]="Female",0,1)=2,E1613,Table13[[#This Row],[Response]]),"")</f>
        <v/>
      </c>
      <c r="F1614" s="1">
        <v>15</v>
      </c>
      <c r="G1614" s="1">
        <v>4</v>
      </c>
      <c r="H1614" s="2" t="s">
        <v>9</v>
      </c>
      <c r="I161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15" spans="1:11">
      <c r="A1615" s="2" t="s">
        <v>24</v>
      </c>
      <c r="B1615" s="2" t="s">
        <v>31</v>
      </c>
      <c r="C1615" s="1">
        <v>7</v>
      </c>
      <c r="D1615" s="2" t="s">
        <v>16</v>
      </c>
      <c r="E1615" s="6" t="str">
        <f>IF(Table13[[#This Row],[Pre or Post]]="Pre",IF(IF(Table13[[#This Row],[Response]]="Male",0,1)+IF(Table13[[#This Row],[Response]]="Female",0,1)=2,E1614,Table13[[#This Row],[Response]]),"")</f>
        <v/>
      </c>
      <c r="F1615" s="1">
        <v>14</v>
      </c>
      <c r="G1615" s="1">
        <v>5</v>
      </c>
      <c r="H1615" s="2" t="s">
        <v>9</v>
      </c>
      <c r="I161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16" spans="1:11">
      <c r="A1616" s="2" t="s">
        <v>24</v>
      </c>
      <c r="B1616" s="2" t="s">
        <v>31</v>
      </c>
      <c r="C1616" s="1">
        <v>7</v>
      </c>
      <c r="D1616" s="2" t="s">
        <v>16</v>
      </c>
      <c r="E1616" s="6" t="str">
        <f>IF(Table13[[#This Row],[Pre or Post]]="Pre",IF(IF(Table13[[#This Row],[Response]]="Male",0,1)+IF(Table13[[#This Row],[Response]]="Female",0,1)=2,E1615,Table13[[#This Row],[Response]]),"")</f>
        <v/>
      </c>
      <c r="F1616" s="1">
        <v>7</v>
      </c>
      <c r="G1616" s="1">
        <v>5</v>
      </c>
      <c r="H1616" s="2" t="s">
        <v>9</v>
      </c>
      <c r="I161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17" spans="1:11">
      <c r="A1617" s="2" t="s">
        <v>24</v>
      </c>
      <c r="B1617" s="2" t="s">
        <v>31</v>
      </c>
      <c r="C1617" s="1">
        <v>7</v>
      </c>
      <c r="D1617" s="2" t="s">
        <v>16</v>
      </c>
      <c r="E1617" s="6" t="str">
        <f>IF(Table13[[#This Row],[Pre or Post]]="Pre",IF(IF(Table13[[#This Row],[Response]]="Male",0,1)+IF(Table13[[#This Row],[Response]]="Female",0,1)=2,E1616,Table13[[#This Row],[Response]]),"")</f>
        <v/>
      </c>
      <c r="F1617" s="1">
        <v>16</v>
      </c>
      <c r="G1617" s="1">
        <v>3</v>
      </c>
      <c r="H1617" s="2" t="s">
        <v>9</v>
      </c>
      <c r="I161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18" spans="1:11">
      <c r="A1618" s="2" t="s">
        <v>24</v>
      </c>
      <c r="B1618" s="2" t="s">
        <v>31</v>
      </c>
      <c r="C1618" s="1">
        <v>7</v>
      </c>
      <c r="D1618" s="2" t="s">
        <v>16</v>
      </c>
      <c r="E1618" s="6" t="str">
        <f>IF(Table13[[#This Row],[Pre or Post]]="Pre",IF(IF(Table13[[#This Row],[Response]]="Male",0,1)+IF(Table13[[#This Row],[Response]]="Female",0,1)=2,E1617,Table13[[#This Row],[Response]]),"")</f>
        <v/>
      </c>
      <c r="F1618" s="1">
        <v>17</v>
      </c>
      <c r="G1618" s="1">
        <v>5</v>
      </c>
      <c r="H1618" s="2" t="s">
        <v>9</v>
      </c>
      <c r="I161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19" spans="1:11">
      <c r="A1619" s="2" t="s">
        <v>24</v>
      </c>
      <c r="B1619" s="2" t="s">
        <v>31</v>
      </c>
      <c r="C1619" s="1">
        <v>7</v>
      </c>
      <c r="D1619" s="2" t="s">
        <v>16</v>
      </c>
      <c r="E1619" s="6" t="str">
        <f>IF(Table13[[#This Row],[Pre or Post]]="Pre",IF(IF(Table13[[#This Row],[Response]]="Male",0,1)+IF(Table13[[#This Row],[Response]]="Female",0,1)=2,E1618,Table13[[#This Row],[Response]]),"")</f>
        <v/>
      </c>
      <c r="F1619" s="1">
        <v>8</v>
      </c>
      <c r="G1619" s="1" t="s">
        <v>8</v>
      </c>
      <c r="H1619" s="2" t="s">
        <v>9</v>
      </c>
      <c r="I161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20" spans="1:11">
      <c r="A1620" s="2" t="s">
        <v>24</v>
      </c>
      <c r="B1620" s="2" t="s">
        <v>31</v>
      </c>
      <c r="C1620" s="1">
        <v>7</v>
      </c>
      <c r="D1620" s="2" t="s">
        <v>16</v>
      </c>
      <c r="E1620" s="6" t="str">
        <f>IF(Table13[[#This Row],[Pre or Post]]="Pre",IF(IF(Table13[[#This Row],[Response]]="Male",0,1)+IF(Table13[[#This Row],[Response]]="Female",0,1)=2,E1619,Table13[[#This Row],[Response]]),"")</f>
        <v/>
      </c>
      <c r="F1620" s="1">
        <v>9</v>
      </c>
      <c r="G1620" s="1" t="s">
        <v>17</v>
      </c>
      <c r="H1620" s="2" t="s">
        <v>9</v>
      </c>
      <c r="I162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21" spans="1:11">
      <c r="A1621" s="2" t="s">
        <v>24</v>
      </c>
      <c r="B1621" s="2" t="s">
        <v>31</v>
      </c>
      <c r="C1621" s="1">
        <v>7</v>
      </c>
      <c r="D1621" s="2" t="s">
        <v>16</v>
      </c>
      <c r="E1621" s="6" t="str">
        <f>IF(Table13[[#This Row],[Pre or Post]]="Pre",IF(IF(Table13[[#This Row],[Response]]="Male",0,1)+IF(Table13[[#This Row],[Response]]="Female",0,1)=2,E1620,Table13[[#This Row],[Response]]),"")</f>
        <v/>
      </c>
      <c r="F1621" s="1">
        <v>10</v>
      </c>
      <c r="G1621" s="1" t="s">
        <v>19</v>
      </c>
      <c r="H1621" s="2" t="s">
        <v>9</v>
      </c>
      <c r="I162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22" spans="1:11">
      <c r="A1622" s="2" t="s">
        <v>24</v>
      </c>
      <c r="B1622" s="2" t="s">
        <v>31</v>
      </c>
      <c r="C1622" s="1">
        <v>8</v>
      </c>
      <c r="D1622" s="2" t="s">
        <v>16</v>
      </c>
      <c r="E1622" s="6" t="str">
        <f>IF(Table13[[#This Row],[Pre or Post]]="Pre",IF(IF(Table13[[#This Row],[Response]]="Male",0,1)+IF(Table13[[#This Row],[Response]]="Female",0,1)=2,E1621,Table13[[#This Row],[Response]]),"")</f>
        <v/>
      </c>
      <c r="F1622" s="1">
        <v>2</v>
      </c>
      <c r="G1622" s="1">
        <v>4</v>
      </c>
      <c r="H1622" s="2" t="s">
        <v>9</v>
      </c>
      <c r="I162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23" spans="1:11">
      <c r="A1623" s="2" t="s">
        <v>24</v>
      </c>
      <c r="B1623" s="2" t="s">
        <v>31</v>
      </c>
      <c r="C1623" s="1">
        <v>8</v>
      </c>
      <c r="D1623" s="2" t="s">
        <v>16</v>
      </c>
      <c r="E1623" s="6" t="str">
        <f>IF(Table13[[#This Row],[Pre or Post]]="Pre",IF(IF(Table13[[#This Row],[Response]]="Male",0,1)+IF(Table13[[#This Row],[Response]]="Female",0,1)=2,E1622,Table13[[#This Row],[Response]]),"")</f>
        <v/>
      </c>
      <c r="F1623" s="1">
        <v>3</v>
      </c>
      <c r="G1623" s="1">
        <v>4</v>
      </c>
      <c r="H1623" s="2" t="s">
        <v>9</v>
      </c>
      <c r="I162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24" spans="1:11">
      <c r="A1624" s="2" t="s">
        <v>24</v>
      </c>
      <c r="B1624" s="2" t="s">
        <v>31</v>
      </c>
      <c r="C1624" s="1">
        <v>8</v>
      </c>
      <c r="D1624" s="2" t="s">
        <v>16</v>
      </c>
      <c r="E1624" s="6" t="str">
        <f>IF(Table13[[#This Row],[Pre or Post]]="Pre",IF(IF(Table13[[#This Row],[Response]]="Male",0,1)+IF(Table13[[#This Row],[Response]]="Female",0,1)=2,E1623,Table13[[#This Row],[Response]]),"")</f>
        <v/>
      </c>
      <c r="F1624" s="1">
        <v>4</v>
      </c>
      <c r="G1624" s="1">
        <v>5</v>
      </c>
      <c r="H1624" s="2" t="s">
        <v>9</v>
      </c>
      <c r="I162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25" spans="1:11">
      <c r="A1625" s="2" t="s">
        <v>24</v>
      </c>
      <c r="B1625" s="2" t="s">
        <v>31</v>
      </c>
      <c r="C1625" s="1">
        <v>8</v>
      </c>
      <c r="D1625" s="2" t="s">
        <v>16</v>
      </c>
      <c r="E1625" s="6" t="str">
        <f>IF(Table13[[#This Row],[Pre or Post]]="Pre",IF(IF(Table13[[#This Row],[Response]]="Male",0,1)+IF(Table13[[#This Row],[Response]]="Female",0,1)=2,E1624,Table13[[#This Row],[Response]]),"")</f>
        <v/>
      </c>
      <c r="F1625" s="1">
        <v>12</v>
      </c>
      <c r="G1625" s="1">
        <v>4</v>
      </c>
      <c r="H1625" s="2" t="s">
        <v>9</v>
      </c>
      <c r="I162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26" spans="1:11">
      <c r="A1626" s="2" t="s">
        <v>24</v>
      </c>
      <c r="B1626" s="2" t="s">
        <v>31</v>
      </c>
      <c r="C1626" s="1">
        <v>8</v>
      </c>
      <c r="D1626" s="2" t="s">
        <v>16</v>
      </c>
      <c r="E1626" s="6" t="str">
        <f>IF(Table13[[#This Row],[Pre or Post]]="Pre",IF(IF(Table13[[#This Row],[Response]]="Male",0,1)+IF(Table13[[#This Row],[Response]]="Female",0,1)=2,E1625,Table13[[#This Row],[Response]]),"")</f>
        <v/>
      </c>
      <c r="F1626" s="1">
        <v>13</v>
      </c>
      <c r="G1626" s="1">
        <v>3</v>
      </c>
      <c r="H1626" s="2" t="s">
        <v>9</v>
      </c>
      <c r="I162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27" spans="1:11">
      <c r="A1627" s="2" t="s">
        <v>24</v>
      </c>
      <c r="B1627" s="2" t="s">
        <v>31</v>
      </c>
      <c r="C1627" s="1">
        <v>8</v>
      </c>
      <c r="D1627" s="2" t="s">
        <v>16</v>
      </c>
      <c r="E1627" s="6" t="str">
        <f>IF(Table13[[#This Row],[Pre or Post]]="Pre",IF(IF(Table13[[#This Row],[Response]]="Male",0,1)+IF(Table13[[#This Row],[Response]]="Female",0,1)=2,E1626,Table13[[#This Row],[Response]]),"")</f>
        <v/>
      </c>
      <c r="F1627" s="1">
        <v>5</v>
      </c>
      <c r="G1627" s="1">
        <v>5</v>
      </c>
      <c r="H1627" s="2" t="s">
        <v>9</v>
      </c>
      <c r="I162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28" spans="1:11">
      <c r="A1628" s="2" t="s">
        <v>24</v>
      </c>
      <c r="B1628" s="2" t="s">
        <v>31</v>
      </c>
      <c r="C1628" s="1">
        <v>8</v>
      </c>
      <c r="D1628" s="2" t="s">
        <v>16</v>
      </c>
      <c r="E1628" s="6" t="str">
        <f>IF(Table13[[#This Row],[Pre or Post]]="Pre",IF(IF(Table13[[#This Row],[Response]]="Male",0,1)+IF(Table13[[#This Row],[Response]]="Female",0,1)=2,E1627,Table13[[#This Row],[Response]]),"")</f>
        <v/>
      </c>
      <c r="F1628" s="1">
        <v>6</v>
      </c>
      <c r="G1628" s="1">
        <v>4</v>
      </c>
      <c r="H1628" s="2" t="s">
        <v>9</v>
      </c>
      <c r="I162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29" spans="1:11">
      <c r="A1629" s="2" t="s">
        <v>24</v>
      </c>
      <c r="B1629" s="2" t="s">
        <v>31</v>
      </c>
      <c r="C1629" s="1">
        <v>8</v>
      </c>
      <c r="D1629" s="2" t="s">
        <v>16</v>
      </c>
      <c r="E1629" s="6" t="str">
        <f>IF(Table13[[#This Row],[Pre or Post]]="Pre",IF(IF(Table13[[#This Row],[Response]]="Male",0,1)+IF(Table13[[#This Row],[Response]]="Female",0,1)=2,E1628,Table13[[#This Row],[Response]]),"")</f>
        <v/>
      </c>
      <c r="F1629" s="1">
        <v>15</v>
      </c>
      <c r="G1629" s="1">
        <v>3</v>
      </c>
      <c r="H1629" s="2" t="s">
        <v>9</v>
      </c>
      <c r="I162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30" spans="1:11">
      <c r="A1630" s="2" t="s">
        <v>24</v>
      </c>
      <c r="B1630" s="2" t="s">
        <v>31</v>
      </c>
      <c r="C1630" s="1">
        <v>8</v>
      </c>
      <c r="D1630" s="2" t="s">
        <v>16</v>
      </c>
      <c r="E1630" s="6" t="str">
        <f>IF(Table13[[#This Row],[Pre or Post]]="Pre",IF(IF(Table13[[#This Row],[Response]]="Male",0,1)+IF(Table13[[#This Row],[Response]]="Female",0,1)=2,E1629,Table13[[#This Row],[Response]]),"")</f>
        <v/>
      </c>
      <c r="F1630" s="1">
        <v>14</v>
      </c>
      <c r="G1630" s="1">
        <v>4</v>
      </c>
      <c r="H1630" s="2" t="s">
        <v>9</v>
      </c>
      <c r="I163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31" spans="1:11">
      <c r="A1631" s="2" t="s">
        <v>24</v>
      </c>
      <c r="B1631" s="2" t="s">
        <v>31</v>
      </c>
      <c r="C1631" s="1">
        <v>8</v>
      </c>
      <c r="D1631" s="2" t="s">
        <v>16</v>
      </c>
      <c r="E1631" s="6" t="str">
        <f>IF(Table13[[#This Row],[Pre or Post]]="Pre",IF(IF(Table13[[#This Row],[Response]]="Male",0,1)+IF(Table13[[#This Row],[Response]]="Female",0,1)=2,E1630,Table13[[#This Row],[Response]]),"")</f>
        <v/>
      </c>
      <c r="F1631" s="1">
        <v>7</v>
      </c>
      <c r="G1631" s="1">
        <v>3</v>
      </c>
      <c r="H1631" s="2" t="s">
        <v>9</v>
      </c>
      <c r="I163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32" spans="1:11">
      <c r="A1632" s="2" t="s">
        <v>24</v>
      </c>
      <c r="B1632" s="2" t="s">
        <v>31</v>
      </c>
      <c r="C1632" s="1">
        <v>8</v>
      </c>
      <c r="D1632" s="2" t="s">
        <v>16</v>
      </c>
      <c r="E1632" s="6" t="str">
        <f>IF(Table13[[#This Row],[Pre or Post]]="Pre",IF(IF(Table13[[#This Row],[Response]]="Male",0,1)+IF(Table13[[#This Row],[Response]]="Female",0,1)=2,E1631,Table13[[#This Row],[Response]]),"")</f>
        <v/>
      </c>
      <c r="F1632" s="1">
        <v>16</v>
      </c>
      <c r="G1632" s="1">
        <v>2</v>
      </c>
      <c r="H1632" s="2" t="s">
        <v>9</v>
      </c>
      <c r="I163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33" spans="1:11">
      <c r="A1633" s="2" t="s">
        <v>24</v>
      </c>
      <c r="B1633" s="2" t="s">
        <v>31</v>
      </c>
      <c r="C1633" s="1">
        <v>8</v>
      </c>
      <c r="D1633" s="2" t="s">
        <v>16</v>
      </c>
      <c r="E1633" s="6" t="str">
        <f>IF(Table13[[#This Row],[Pre or Post]]="Pre",IF(IF(Table13[[#This Row],[Response]]="Male",0,1)+IF(Table13[[#This Row],[Response]]="Female",0,1)=2,E1632,Table13[[#This Row],[Response]]),"")</f>
        <v/>
      </c>
      <c r="F1633" s="1">
        <v>17</v>
      </c>
      <c r="G1633" s="1">
        <v>4</v>
      </c>
      <c r="H1633" s="2" t="s">
        <v>9</v>
      </c>
      <c r="I163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34" spans="1:11">
      <c r="A1634" s="2" t="s">
        <v>24</v>
      </c>
      <c r="B1634" s="2" t="s">
        <v>31</v>
      </c>
      <c r="C1634" s="1">
        <v>8</v>
      </c>
      <c r="D1634" s="2" t="s">
        <v>16</v>
      </c>
      <c r="E1634" s="6" t="str">
        <f>IF(Table13[[#This Row],[Pre or Post]]="Pre",IF(IF(Table13[[#This Row],[Response]]="Male",0,1)+IF(Table13[[#This Row],[Response]]="Female",0,1)=2,E1633,Table13[[#This Row],[Response]]),"")</f>
        <v/>
      </c>
      <c r="F1634" s="1">
        <v>8</v>
      </c>
      <c r="G1634" s="1" t="s">
        <v>8</v>
      </c>
      <c r="H1634" s="2" t="s">
        <v>9</v>
      </c>
      <c r="I163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35" spans="1:11">
      <c r="A1635" s="2" t="s">
        <v>24</v>
      </c>
      <c r="B1635" s="2" t="s">
        <v>31</v>
      </c>
      <c r="C1635" s="1">
        <v>8</v>
      </c>
      <c r="D1635" s="2" t="s">
        <v>16</v>
      </c>
      <c r="E1635" s="6" t="str">
        <f>IF(Table13[[#This Row],[Pre or Post]]="Pre",IF(IF(Table13[[#This Row],[Response]]="Male",0,1)+IF(Table13[[#This Row],[Response]]="Female",0,1)=2,E1634,Table13[[#This Row],[Response]]),"")</f>
        <v/>
      </c>
      <c r="F1635" s="1">
        <v>9</v>
      </c>
      <c r="G1635" s="1" t="s">
        <v>17</v>
      </c>
      <c r="H1635" s="2" t="s">
        <v>9</v>
      </c>
      <c r="I163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36" spans="1:11">
      <c r="A1636" s="2" t="s">
        <v>24</v>
      </c>
      <c r="B1636" s="2" t="s">
        <v>31</v>
      </c>
      <c r="C1636" s="1">
        <v>8</v>
      </c>
      <c r="D1636" s="2" t="s">
        <v>16</v>
      </c>
      <c r="E1636" s="6" t="str">
        <f>IF(Table13[[#This Row],[Pre or Post]]="Pre",IF(IF(Table13[[#This Row],[Response]]="Male",0,1)+IF(Table13[[#This Row],[Response]]="Female",0,1)=2,E1635,Table13[[#This Row],[Response]]),"")</f>
        <v/>
      </c>
      <c r="F1636" s="1">
        <v>10</v>
      </c>
      <c r="G1636" s="1" t="s">
        <v>18</v>
      </c>
      <c r="H1636" s="2" t="s">
        <v>9</v>
      </c>
      <c r="I163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37" spans="1:11">
      <c r="A1637" s="2" t="s">
        <v>24</v>
      </c>
      <c r="B1637" s="2" t="s">
        <v>31</v>
      </c>
      <c r="C1637" s="1">
        <v>9</v>
      </c>
      <c r="D1637" s="2" t="s">
        <v>16</v>
      </c>
      <c r="E1637" s="6" t="str">
        <f>IF(Table13[[#This Row],[Pre or Post]]="Pre",IF(IF(Table13[[#This Row],[Response]]="Male",0,1)+IF(Table13[[#This Row],[Response]]="Female",0,1)=2,E1636,Table13[[#This Row],[Response]]),"")</f>
        <v/>
      </c>
      <c r="F1637" s="1">
        <v>2</v>
      </c>
      <c r="G1637" s="1">
        <v>4</v>
      </c>
      <c r="H1637" s="2" t="s">
        <v>9</v>
      </c>
      <c r="I163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38" spans="1:11">
      <c r="A1638" s="2" t="s">
        <v>24</v>
      </c>
      <c r="B1638" s="2" t="s">
        <v>31</v>
      </c>
      <c r="C1638" s="1">
        <v>9</v>
      </c>
      <c r="D1638" s="2" t="s">
        <v>16</v>
      </c>
      <c r="E1638" s="6" t="str">
        <f>IF(Table13[[#This Row],[Pre or Post]]="Pre",IF(IF(Table13[[#This Row],[Response]]="Male",0,1)+IF(Table13[[#This Row],[Response]]="Female",0,1)=2,E1637,Table13[[#This Row],[Response]]),"")</f>
        <v/>
      </c>
      <c r="F1638" s="1">
        <v>3</v>
      </c>
      <c r="G1638" s="1">
        <v>3</v>
      </c>
      <c r="H1638" s="2" t="s">
        <v>9</v>
      </c>
      <c r="I163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39" spans="1:11">
      <c r="A1639" s="2" t="s">
        <v>24</v>
      </c>
      <c r="B1639" s="2" t="s">
        <v>31</v>
      </c>
      <c r="C1639" s="1">
        <v>9</v>
      </c>
      <c r="D1639" s="2" t="s">
        <v>16</v>
      </c>
      <c r="E1639" s="6" t="str">
        <f>IF(Table13[[#This Row],[Pre or Post]]="Pre",IF(IF(Table13[[#This Row],[Response]]="Male",0,1)+IF(Table13[[#This Row],[Response]]="Female",0,1)=2,E1638,Table13[[#This Row],[Response]]),"")</f>
        <v/>
      </c>
      <c r="F1639" s="1">
        <v>4</v>
      </c>
      <c r="G1639" s="1">
        <v>5</v>
      </c>
      <c r="H1639" s="2" t="s">
        <v>9</v>
      </c>
      <c r="I163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40" spans="1:11">
      <c r="A1640" s="2" t="s">
        <v>24</v>
      </c>
      <c r="B1640" s="2" t="s">
        <v>31</v>
      </c>
      <c r="C1640" s="1">
        <v>9</v>
      </c>
      <c r="D1640" s="2" t="s">
        <v>16</v>
      </c>
      <c r="E1640" s="6" t="str">
        <f>IF(Table13[[#This Row],[Pre or Post]]="Pre",IF(IF(Table13[[#This Row],[Response]]="Male",0,1)+IF(Table13[[#This Row],[Response]]="Female",0,1)=2,E1639,Table13[[#This Row],[Response]]),"")</f>
        <v/>
      </c>
      <c r="F1640" s="1">
        <v>12</v>
      </c>
      <c r="G1640" s="1">
        <v>2</v>
      </c>
      <c r="H1640" s="2" t="s">
        <v>9</v>
      </c>
      <c r="I164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41" spans="1:11">
      <c r="A1641" s="2" t="s">
        <v>24</v>
      </c>
      <c r="B1641" s="2" t="s">
        <v>31</v>
      </c>
      <c r="C1641" s="1">
        <v>9</v>
      </c>
      <c r="D1641" s="2" t="s">
        <v>16</v>
      </c>
      <c r="E1641" s="6" t="str">
        <f>IF(Table13[[#This Row],[Pre or Post]]="Pre",IF(IF(Table13[[#This Row],[Response]]="Male",0,1)+IF(Table13[[#This Row],[Response]]="Female",0,1)=2,E1640,Table13[[#This Row],[Response]]),"")</f>
        <v/>
      </c>
      <c r="F1641" s="1">
        <v>13</v>
      </c>
      <c r="G1641" s="1">
        <v>5</v>
      </c>
      <c r="H1641" s="2" t="s">
        <v>9</v>
      </c>
      <c r="I164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42" spans="1:11">
      <c r="A1642" s="2" t="s">
        <v>24</v>
      </c>
      <c r="B1642" s="2" t="s">
        <v>31</v>
      </c>
      <c r="C1642" s="1">
        <v>9</v>
      </c>
      <c r="D1642" s="2" t="s">
        <v>16</v>
      </c>
      <c r="E1642" s="6" t="str">
        <f>IF(Table13[[#This Row],[Pre or Post]]="Pre",IF(IF(Table13[[#This Row],[Response]]="Male",0,1)+IF(Table13[[#This Row],[Response]]="Female",0,1)=2,E1641,Table13[[#This Row],[Response]]),"")</f>
        <v/>
      </c>
      <c r="F1642" s="1">
        <v>5</v>
      </c>
      <c r="G1642" s="1">
        <v>5</v>
      </c>
      <c r="H1642" s="2" t="s">
        <v>9</v>
      </c>
      <c r="I164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4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4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43" spans="1:11">
      <c r="A1643" s="2" t="s">
        <v>24</v>
      </c>
      <c r="B1643" s="2" t="s">
        <v>31</v>
      </c>
      <c r="C1643" s="1">
        <v>9</v>
      </c>
      <c r="D1643" s="2" t="s">
        <v>16</v>
      </c>
      <c r="E1643" s="6" t="str">
        <f>IF(Table13[[#This Row],[Pre or Post]]="Pre",IF(IF(Table13[[#This Row],[Response]]="Male",0,1)+IF(Table13[[#This Row],[Response]]="Female",0,1)=2,E1642,Table13[[#This Row],[Response]]),"")</f>
        <v/>
      </c>
      <c r="F1643" s="1">
        <v>6</v>
      </c>
      <c r="G1643" s="1">
        <v>5</v>
      </c>
      <c r="H1643" s="2" t="s">
        <v>9</v>
      </c>
      <c r="I164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4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4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44" spans="1:11">
      <c r="A1644" s="2" t="s">
        <v>24</v>
      </c>
      <c r="B1644" s="2" t="s">
        <v>31</v>
      </c>
      <c r="C1644" s="1">
        <v>9</v>
      </c>
      <c r="D1644" s="2" t="s">
        <v>16</v>
      </c>
      <c r="E1644" s="6" t="str">
        <f>IF(Table13[[#This Row],[Pre or Post]]="Pre",IF(IF(Table13[[#This Row],[Response]]="Male",0,1)+IF(Table13[[#This Row],[Response]]="Female",0,1)=2,E1643,Table13[[#This Row],[Response]]),"")</f>
        <v/>
      </c>
      <c r="F1644" s="1">
        <v>15</v>
      </c>
      <c r="G1644" s="1">
        <v>4</v>
      </c>
      <c r="H1644" s="2" t="s">
        <v>9</v>
      </c>
      <c r="I164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4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4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45" spans="1:11">
      <c r="A1645" s="2" t="s">
        <v>24</v>
      </c>
      <c r="B1645" s="2" t="s">
        <v>31</v>
      </c>
      <c r="C1645" s="1">
        <v>9</v>
      </c>
      <c r="D1645" s="2" t="s">
        <v>16</v>
      </c>
      <c r="E1645" s="6" t="str">
        <f>IF(Table13[[#This Row],[Pre or Post]]="Pre",IF(IF(Table13[[#This Row],[Response]]="Male",0,1)+IF(Table13[[#This Row],[Response]]="Female",0,1)=2,E1644,Table13[[#This Row],[Response]]),"")</f>
        <v/>
      </c>
      <c r="F1645" s="1">
        <v>14</v>
      </c>
      <c r="G1645" s="1">
        <v>5</v>
      </c>
      <c r="H1645" s="2" t="s">
        <v>9</v>
      </c>
      <c r="I164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4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4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46" spans="1:11">
      <c r="A1646" s="2" t="s">
        <v>24</v>
      </c>
      <c r="B1646" s="2" t="s">
        <v>31</v>
      </c>
      <c r="C1646" s="1">
        <v>9</v>
      </c>
      <c r="D1646" s="2" t="s">
        <v>16</v>
      </c>
      <c r="E1646" s="6" t="str">
        <f>IF(Table13[[#This Row],[Pre or Post]]="Pre",IF(IF(Table13[[#This Row],[Response]]="Male",0,1)+IF(Table13[[#This Row],[Response]]="Female",0,1)=2,E1645,Table13[[#This Row],[Response]]),"")</f>
        <v/>
      </c>
      <c r="F1646" s="1">
        <v>7</v>
      </c>
      <c r="G1646" s="1">
        <v>5</v>
      </c>
      <c r="H1646" s="2" t="s">
        <v>9</v>
      </c>
      <c r="I164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4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4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47" spans="1:11">
      <c r="A1647" s="2" t="s">
        <v>24</v>
      </c>
      <c r="B1647" s="2" t="s">
        <v>31</v>
      </c>
      <c r="C1647" s="1">
        <v>9</v>
      </c>
      <c r="D1647" s="2" t="s">
        <v>16</v>
      </c>
      <c r="E1647" s="6" t="str">
        <f>IF(Table13[[#This Row],[Pre or Post]]="Pre",IF(IF(Table13[[#This Row],[Response]]="Male",0,1)+IF(Table13[[#This Row],[Response]]="Female",0,1)=2,E1646,Table13[[#This Row],[Response]]),"")</f>
        <v/>
      </c>
      <c r="F1647" s="1">
        <v>16</v>
      </c>
      <c r="G1647" s="1">
        <v>3</v>
      </c>
      <c r="H1647" s="2" t="s">
        <v>9</v>
      </c>
      <c r="I164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4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4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48" spans="1:11">
      <c r="A1648" s="2" t="s">
        <v>24</v>
      </c>
      <c r="B1648" s="2" t="s">
        <v>31</v>
      </c>
      <c r="C1648" s="1">
        <v>9</v>
      </c>
      <c r="D1648" s="2" t="s">
        <v>16</v>
      </c>
      <c r="E1648" s="6" t="str">
        <f>IF(Table13[[#This Row],[Pre or Post]]="Pre",IF(IF(Table13[[#This Row],[Response]]="Male",0,1)+IF(Table13[[#This Row],[Response]]="Female",0,1)=2,E1647,Table13[[#This Row],[Response]]),"")</f>
        <v/>
      </c>
      <c r="F1648" s="1">
        <v>17</v>
      </c>
      <c r="G1648" s="1">
        <v>4</v>
      </c>
      <c r="H1648" s="2" t="s">
        <v>9</v>
      </c>
      <c r="I164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4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4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49" spans="1:11">
      <c r="A1649" s="2" t="s">
        <v>24</v>
      </c>
      <c r="B1649" s="2" t="s">
        <v>31</v>
      </c>
      <c r="C1649" s="1">
        <v>9</v>
      </c>
      <c r="D1649" s="2" t="s">
        <v>16</v>
      </c>
      <c r="E1649" s="6" t="str">
        <f>IF(Table13[[#This Row],[Pre or Post]]="Pre",IF(IF(Table13[[#This Row],[Response]]="Male",0,1)+IF(Table13[[#This Row],[Response]]="Female",0,1)=2,E1648,Table13[[#This Row],[Response]]),"")</f>
        <v/>
      </c>
      <c r="F1649" s="1">
        <v>8</v>
      </c>
      <c r="G1649" s="1" t="s">
        <v>8</v>
      </c>
      <c r="H1649" s="2" t="s">
        <v>9</v>
      </c>
      <c r="I164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4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4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50" spans="1:11">
      <c r="A1650" s="2" t="s">
        <v>24</v>
      </c>
      <c r="B1650" s="2" t="s">
        <v>31</v>
      </c>
      <c r="C1650" s="1">
        <v>9</v>
      </c>
      <c r="D1650" s="2" t="s">
        <v>16</v>
      </c>
      <c r="E1650" s="6" t="str">
        <f>IF(Table13[[#This Row],[Pre or Post]]="Pre",IF(IF(Table13[[#This Row],[Response]]="Male",0,1)+IF(Table13[[#This Row],[Response]]="Female",0,1)=2,E1649,Table13[[#This Row],[Response]]),"")</f>
        <v/>
      </c>
      <c r="F1650" s="1">
        <v>9</v>
      </c>
      <c r="G1650" s="1" t="s">
        <v>17</v>
      </c>
      <c r="H1650" s="2" t="s">
        <v>9</v>
      </c>
      <c r="I165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5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5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51" spans="1:11">
      <c r="A1651" s="2" t="s">
        <v>24</v>
      </c>
      <c r="B1651" s="2" t="s">
        <v>31</v>
      </c>
      <c r="C1651" s="1">
        <v>9</v>
      </c>
      <c r="D1651" s="2" t="s">
        <v>16</v>
      </c>
      <c r="E1651" s="6" t="str">
        <f>IF(Table13[[#This Row],[Pre or Post]]="Pre",IF(IF(Table13[[#This Row],[Response]]="Male",0,1)+IF(Table13[[#This Row],[Response]]="Female",0,1)=2,E1650,Table13[[#This Row],[Response]]),"")</f>
        <v/>
      </c>
      <c r="F1651" s="1">
        <v>10</v>
      </c>
      <c r="G1651" s="1" t="s">
        <v>18</v>
      </c>
      <c r="H1651" s="2" t="s">
        <v>9</v>
      </c>
      <c r="I165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5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5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52" spans="1:11">
      <c r="A1652" s="2" t="s">
        <v>24</v>
      </c>
      <c r="B1652" s="2" t="s">
        <v>31</v>
      </c>
      <c r="C1652" s="1">
        <v>10</v>
      </c>
      <c r="D1652" s="2" t="s">
        <v>16</v>
      </c>
      <c r="E1652" s="6" t="str">
        <f>IF(Table13[[#This Row],[Pre or Post]]="Pre",IF(IF(Table13[[#This Row],[Response]]="Male",0,1)+IF(Table13[[#This Row],[Response]]="Female",0,1)=2,E1651,Table13[[#This Row],[Response]]),"")</f>
        <v/>
      </c>
      <c r="F1652" s="1">
        <v>2</v>
      </c>
      <c r="G1652" s="1">
        <v>5</v>
      </c>
      <c r="H1652" s="2" t="s">
        <v>9</v>
      </c>
      <c r="I165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5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5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53" spans="1:11">
      <c r="A1653" s="2" t="s">
        <v>24</v>
      </c>
      <c r="B1653" s="2" t="s">
        <v>31</v>
      </c>
      <c r="C1653" s="1">
        <v>10</v>
      </c>
      <c r="D1653" s="2" t="s">
        <v>16</v>
      </c>
      <c r="E1653" s="6" t="str">
        <f>IF(Table13[[#This Row],[Pre or Post]]="Pre",IF(IF(Table13[[#This Row],[Response]]="Male",0,1)+IF(Table13[[#This Row],[Response]]="Female",0,1)=2,E1652,Table13[[#This Row],[Response]]),"")</f>
        <v/>
      </c>
      <c r="F1653" s="1">
        <v>3</v>
      </c>
      <c r="G1653" s="1">
        <v>3</v>
      </c>
      <c r="H1653" s="2" t="s">
        <v>9</v>
      </c>
      <c r="I165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5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5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54" spans="1:11">
      <c r="A1654" s="2" t="s">
        <v>24</v>
      </c>
      <c r="B1654" s="2" t="s">
        <v>31</v>
      </c>
      <c r="C1654" s="1">
        <v>10</v>
      </c>
      <c r="D1654" s="2" t="s">
        <v>16</v>
      </c>
      <c r="E1654" s="6" t="str">
        <f>IF(Table13[[#This Row],[Pre or Post]]="Pre",IF(IF(Table13[[#This Row],[Response]]="Male",0,1)+IF(Table13[[#This Row],[Response]]="Female",0,1)=2,E1653,Table13[[#This Row],[Response]]),"")</f>
        <v/>
      </c>
      <c r="F1654" s="1">
        <v>4</v>
      </c>
      <c r="G1654" s="1">
        <v>3</v>
      </c>
      <c r="H1654" s="2" t="s">
        <v>9</v>
      </c>
      <c r="I165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5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5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55" spans="1:11">
      <c r="A1655" s="2" t="s">
        <v>24</v>
      </c>
      <c r="B1655" s="2" t="s">
        <v>31</v>
      </c>
      <c r="C1655" s="1">
        <v>10</v>
      </c>
      <c r="D1655" s="2" t="s">
        <v>16</v>
      </c>
      <c r="E1655" s="6" t="str">
        <f>IF(Table13[[#This Row],[Pre or Post]]="Pre",IF(IF(Table13[[#This Row],[Response]]="Male",0,1)+IF(Table13[[#This Row],[Response]]="Female",0,1)=2,E1654,Table13[[#This Row],[Response]]),"")</f>
        <v/>
      </c>
      <c r="F1655" s="1">
        <v>12</v>
      </c>
      <c r="G1655" s="1">
        <v>2</v>
      </c>
      <c r="H1655" s="2" t="s">
        <v>9</v>
      </c>
      <c r="I165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5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5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56" spans="1:11">
      <c r="A1656" s="2" t="s">
        <v>24</v>
      </c>
      <c r="B1656" s="2" t="s">
        <v>31</v>
      </c>
      <c r="C1656" s="1">
        <v>10</v>
      </c>
      <c r="D1656" s="2" t="s">
        <v>16</v>
      </c>
      <c r="E1656" s="6" t="str">
        <f>IF(Table13[[#This Row],[Pre or Post]]="Pre",IF(IF(Table13[[#This Row],[Response]]="Male",0,1)+IF(Table13[[#This Row],[Response]]="Female",0,1)=2,E1655,Table13[[#This Row],[Response]]),"")</f>
        <v/>
      </c>
      <c r="F1656" s="1">
        <v>13</v>
      </c>
      <c r="G1656" s="1">
        <v>5</v>
      </c>
      <c r="H1656" s="2" t="s">
        <v>9</v>
      </c>
      <c r="I165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5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5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57" spans="1:11">
      <c r="A1657" s="2" t="s">
        <v>24</v>
      </c>
      <c r="B1657" s="2" t="s">
        <v>31</v>
      </c>
      <c r="C1657" s="1">
        <v>10</v>
      </c>
      <c r="D1657" s="2" t="s">
        <v>16</v>
      </c>
      <c r="E1657" s="6" t="str">
        <f>IF(Table13[[#This Row],[Pre or Post]]="Pre",IF(IF(Table13[[#This Row],[Response]]="Male",0,1)+IF(Table13[[#This Row],[Response]]="Female",0,1)=2,E1656,Table13[[#This Row],[Response]]),"")</f>
        <v/>
      </c>
      <c r="F1657" s="1">
        <v>5</v>
      </c>
      <c r="G1657" s="1">
        <v>5</v>
      </c>
      <c r="H1657" s="2" t="s">
        <v>9</v>
      </c>
      <c r="I165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5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5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58" spans="1:11">
      <c r="A1658" s="2" t="s">
        <v>24</v>
      </c>
      <c r="B1658" s="2" t="s">
        <v>31</v>
      </c>
      <c r="C1658" s="1">
        <v>10</v>
      </c>
      <c r="D1658" s="2" t="s">
        <v>16</v>
      </c>
      <c r="E1658" s="6" t="str">
        <f>IF(Table13[[#This Row],[Pre or Post]]="Pre",IF(IF(Table13[[#This Row],[Response]]="Male",0,1)+IF(Table13[[#This Row],[Response]]="Female",0,1)=2,E1657,Table13[[#This Row],[Response]]),"")</f>
        <v/>
      </c>
      <c r="F1658" s="1">
        <v>6</v>
      </c>
      <c r="G1658" s="1">
        <v>5</v>
      </c>
      <c r="H1658" s="2" t="s">
        <v>9</v>
      </c>
      <c r="I165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5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5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59" spans="1:11">
      <c r="A1659" s="2" t="s">
        <v>24</v>
      </c>
      <c r="B1659" s="2" t="s">
        <v>31</v>
      </c>
      <c r="C1659" s="1">
        <v>10</v>
      </c>
      <c r="D1659" s="2" t="s">
        <v>16</v>
      </c>
      <c r="E1659" s="6" t="str">
        <f>IF(Table13[[#This Row],[Pre or Post]]="Pre",IF(IF(Table13[[#This Row],[Response]]="Male",0,1)+IF(Table13[[#This Row],[Response]]="Female",0,1)=2,E1658,Table13[[#This Row],[Response]]),"")</f>
        <v/>
      </c>
      <c r="F1659" s="1">
        <v>15</v>
      </c>
      <c r="G1659" s="1">
        <v>3</v>
      </c>
      <c r="H1659" s="2" t="s">
        <v>9</v>
      </c>
      <c r="I165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5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5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60" spans="1:11">
      <c r="A1660" s="2" t="s">
        <v>24</v>
      </c>
      <c r="B1660" s="2" t="s">
        <v>31</v>
      </c>
      <c r="C1660" s="1">
        <v>10</v>
      </c>
      <c r="D1660" s="2" t="s">
        <v>16</v>
      </c>
      <c r="E1660" s="6" t="str">
        <f>IF(Table13[[#This Row],[Pre or Post]]="Pre",IF(IF(Table13[[#This Row],[Response]]="Male",0,1)+IF(Table13[[#This Row],[Response]]="Female",0,1)=2,E1659,Table13[[#This Row],[Response]]),"")</f>
        <v/>
      </c>
      <c r="F1660" s="1">
        <v>14</v>
      </c>
      <c r="G1660" s="1">
        <v>5</v>
      </c>
      <c r="H1660" s="2" t="s">
        <v>9</v>
      </c>
      <c r="I166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6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6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61" spans="1:11">
      <c r="A1661" s="2" t="s">
        <v>24</v>
      </c>
      <c r="B1661" s="2" t="s">
        <v>31</v>
      </c>
      <c r="C1661" s="1">
        <v>10</v>
      </c>
      <c r="D1661" s="2" t="s">
        <v>16</v>
      </c>
      <c r="E1661" s="6" t="str">
        <f>IF(Table13[[#This Row],[Pre or Post]]="Pre",IF(IF(Table13[[#This Row],[Response]]="Male",0,1)+IF(Table13[[#This Row],[Response]]="Female",0,1)=2,E1660,Table13[[#This Row],[Response]]),"")</f>
        <v/>
      </c>
      <c r="F1661" s="1">
        <v>7</v>
      </c>
      <c r="G1661" s="1">
        <v>3</v>
      </c>
      <c r="H1661" s="2" t="s">
        <v>9</v>
      </c>
      <c r="I166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6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6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62" spans="1:11">
      <c r="A1662" s="2" t="s">
        <v>24</v>
      </c>
      <c r="B1662" s="2" t="s">
        <v>31</v>
      </c>
      <c r="C1662" s="1">
        <v>10</v>
      </c>
      <c r="D1662" s="2" t="s">
        <v>16</v>
      </c>
      <c r="E1662" s="6" t="str">
        <f>IF(Table13[[#This Row],[Pre or Post]]="Pre",IF(IF(Table13[[#This Row],[Response]]="Male",0,1)+IF(Table13[[#This Row],[Response]]="Female",0,1)=2,E1661,Table13[[#This Row],[Response]]),"")</f>
        <v/>
      </c>
      <c r="F1662" s="1">
        <v>16</v>
      </c>
      <c r="G1662" s="1">
        <v>1</v>
      </c>
      <c r="H1662" s="2" t="s">
        <v>9</v>
      </c>
      <c r="I166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6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6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63" spans="1:11">
      <c r="A1663" s="2" t="s">
        <v>24</v>
      </c>
      <c r="B1663" s="2" t="s">
        <v>31</v>
      </c>
      <c r="C1663" s="1">
        <v>10</v>
      </c>
      <c r="D1663" s="2" t="s">
        <v>16</v>
      </c>
      <c r="E1663" s="6" t="str">
        <f>IF(Table13[[#This Row],[Pre or Post]]="Pre",IF(IF(Table13[[#This Row],[Response]]="Male",0,1)+IF(Table13[[#This Row],[Response]]="Female",0,1)=2,E1662,Table13[[#This Row],[Response]]),"")</f>
        <v/>
      </c>
      <c r="F1663" s="1">
        <v>17</v>
      </c>
      <c r="G1663" s="1">
        <v>5</v>
      </c>
      <c r="H1663" s="2" t="s">
        <v>9</v>
      </c>
      <c r="I166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6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6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64" spans="1:11">
      <c r="A1664" s="2" t="s">
        <v>24</v>
      </c>
      <c r="B1664" s="2" t="s">
        <v>31</v>
      </c>
      <c r="C1664" s="1">
        <v>10</v>
      </c>
      <c r="D1664" s="2" t="s">
        <v>16</v>
      </c>
      <c r="E1664" s="6" t="str">
        <f>IF(Table13[[#This Row],[Pre or Post]]="Pre",IF(IF(Table13[[#This Row],[Response]]="Male",0,1)+IF(Table13[[#This Row],[Response]]="Female",0,1)=2,E1663,Table13[[#This Row],[Response]]),"")</f>
        <v/>
      </c>
      <c r="F1664" s="1">
        <v>8</v>
      </c>
      <c r="G1664" s="1" t="s">
        <v>8</v>
      </c>
      <c r="H1664" s="2" t="s">
        <v>9</v>
      </c>
      <c r="I166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6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6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65" spans="1:11">
      <c r="A1665" s="2" t="s">
        <v>24</v>
      </c>
      <c r="B1665" s="2" t="s">
        <v>31</v>
      </c>
      <c r="C1665" s="1">
        <v>10</v>
      </c>
      <c r="D1665" s="2" t="s">
        <v>16</v>
      </c>
      <c r="E1665" s="6" t="str">
        <f>IF(Table13[[#This Row],[Pre or Post]]="Pre",IF(IF(Table13[[#This Row],[Response]]="Male",0,1)+IF(Table13[[#This Row],[Response]]="Female",0,1)=2,E1664,Table13[[#This Row],[Response]]),"")</f>
        <v/>
      </c>
      <c r="F1665" s="1">
        <v>9</v>
      </c>
      <c r="G1665" s="1" t="s">
        <v>17</v>
      </c>
      <c r="H1665" s="2" t="s">
        <v>9</v>
      </c>
      <c r="I166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6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6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66" spans="1:11">
      <c r="A1666" s="2" t="s">
        <v>24</v>
      </c>
      <c r="B1666" s="2" t="s">
        <v>31</v>
      </c>
      <c r="C1666" s="1">
        <v>10</v>
      </c>
      <c r="D1666" s="2" t="s">
        <v>16</v>
      </c>
      <c r="E1666" s="6" t="str">
        <f>IF(Table13[[#This Row],[Pre or Post]]="Pre",IF(IF(Table13[[#This Row],[Response]]="Male",0,1)+IF(Table13[[#This Row],[Response]]="Female",0,1)=2,E1665,Table13[[#This Row],[Response]]),"")</f>
        <v/>
      </c>
      <c r="F1666" s="1">
        <v>10</v>
      </c>
      <c r="G1666" s="1" t="s">
        <v>19</v>
      </c>
      <c r="H1666" s="2" t="s">
        <v>9</v>
      </c>
      <c r="I166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6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6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67" spans="1:11">
      <c r="A1667" s="2" t="s">
        <v>24</v>
      </c>
      <c r="B1667" s="2" t="s">
        <v>31</v>
      </c>
      <c r="C1667" s="1">
        <v>11</v>
      </c>
      <c r="D1667" s="2" t="s">
        <v>16</v>
      </c>
      <c r="E1667" s="6" t="str">
        <f>IF(Table13[[#This Row],[Pre or Post]]="Pre",IF(IF(Table13[[#This Row],[Response]]="Male",0,1)+IF(Table13[[#This Row],[Response]]="Female",0,1)=2,E1666,Table13[[#This Row],[Response]]),"")</f>
        <v/>
      </c>
      <c r="F1667" s="1">
        <v>2</v>
      </c>
      <c r="G1667" s="1">
        <v>4</v>
      </c>
      <c r="H1667" s="2" t="s">
        <v>9</v>
      </c>
      <c r="I166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6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6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68" spans="1:11">
      <c r="A1668" s="2" t="s">
        <v>24</v>
      </c>
      <c r="B1668" s="2" t="s">
        <v>31</v>
      </c>
      <c r="C1668" s="1">
        <v>11</v>
      </c>
      <c r="D1668" s="2" t="s">
        <v>16</v>
      </c>
      <c r="E1668" s="6" t="str">
        <f>IF(Table13[[#This Row],[Pre or Post]]="Pre",IF(IF(Table13[[#This Row],[Response]]="Male",0,1)+IF(Table13[[#This Row],[Response]]="Female",0,1)=2,E1667,Table13[[#This Row],[Response]]),"")</f>
        <v/>
      </c>
      <c r="F1668" s="1">
        <v>3</v>
      </c>
      <c r="G1668" s="1">
        <v>4</v>
      </c>
      <c r="H1668" s="2" t="s">
        <v>9</v>
      </c>
      <c r="I166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6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6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69" spans="1:11">
      <c r="A1669" s="2" t="s">
        <v>24</v>
      </c>
      <c r="B1669" s="2" t="s">
        <v>31</v>
      </c>
      <c r="C1669" s="1">
        <v>11</v>
      </c>
      <c r="D1669" s="2" t="s">
        <v>16</v>
      </c>
      <c r="E1669" s="6" t="str">
        <f>IF(Table13[[#This Row],[Pre or Post]]="Pre",IF(IF(Table13[[#This Row],[Response]]="Male",0,1)+IF(Table13[[#This Row],[Response]]="Female",0,1)=2,E1668,Table13[[#This Row],[Response]]),"")</f>
        <v/>
      </c>
      <c r="F1669" s="1">
        <v>4</v>
      </c>
      <c r="G1669" s="1">
        <v>4</v>
      </c>
      <c r="H1669" s="2" t="s">
        <v>9</v>
      </c>
      <c r="I166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6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6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70" spans="1:11">
      <c r="A1670" s="2" t="s">
        <v>24</v>
      </c>
      <c r="B1670" s="2" t="s">
        <v>31</v>
      </c>
      <c r="C1670" s="1">
        <v>11</v>
      </c>
      <c r="D1670" s="2" t="s">
        <v>16</v>
      </c>
      <c r="E1670" s="6" t="str">
        <f>IF(Table13[[#This Row],[Pre or Post]]="Pre",IF(IF(Table13[[#This Row],[Response]]="Male",0,1)+IF(Table13[[#This Row],[Response]]="Female",0,1)=2,E1669,Table13[[#This Row],[Response]]),"")</f>
        <v/>
      </c>
      <c r="F1670" s="1">
        <v>12</v>
      </c>
      <c r="G1670" s="1">
        <v>3</v>
      </c>
      <c r="H1670" s="2" t="s">
        <v>9</v>
      </c>
      <c r="I167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7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7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71" spans="1:11">
      <c r="A1671" s="2" t="s">
        <v>24</v>
      </c>
      <c r="B1671" s="2" t="s">
        <v>31</v>
      </c>
      <c r="C1671" s="1">
        <v>11</v>
      </c>
      <c r="D1671" s="2" t="s">
        <v>16</v>
      </c>
      <c r="E1671" s="6" t="str">
        <f>IF(Table13[[#This Row],[Pre or Post]]="Pre",IF(IF(Table13[[#This Row],[Response]]="Male",0,1)+IF(Table13[[#This Row],[Response]]="Female",0,1)=2,E1670,Table13[[#This Row],[Response]]),"")</f>
        <v/>
      </c>
      <c r="F1671" s="1">
        <v>13</v>
      </c>
      <c r="G1671" s="1">
        <v>5</v>
      </c>
      <c r="H1671" s="2" t="s">
        <v>9</v>
      </c>
      <c r="I167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7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7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72" spans="1:11">
      <c r="A1672" s="2" t="s">
        <v>24</v>
      </c>
      <c r="B1672" s="2" t="s">
        <v>31</v>
      </c>
      <c r="C1672" s="1">
        <v>11</v>
      </c>
      <c r="D1672" s="2" t="s">
        <v>16</v>
      </c>
      <c r="E1672" s="6" t="str">
        <f>IF(Table13[[#This Row],[Pre or Post]]="Pre",IF(IF(Table13[[#This Row],[Response]]="Male",0,1)+IF(Table13[[#This Row],[Response]]="Female",0,1)=2,E1671,Table13[[#This Row],[Response]]),"")</f>
        <v/>
      </c>
      <c r="F1672" s="1">
        <v>5</v>
      </c>
      <c r="G1672" s="1">
        <v>4</v>
      </c>
      <c r="H1672" s="2" t="s">
        <v>9</v>
      </c>
      <c r="I167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7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7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73" spans="1:11">
      <c r="A1673" s="2" t="s">
        <v>24</v>
      </c>
      <c r="B1673" s="2" t="s">
        <v>31</v>
      </c>
      <c r="C1673" s="1">
        <v>11</v>
      </c>
      <c r="D1673" s="2" t="s">
        <v>16</v>
      </c>
      <c r="E1673" s="6" t="str">
        <f>IF(Table13[[#This Row],[Pre or Post]]="Pre",IF(IF(Table13[[#This Row],[Response]]="Male",0,1)+IF(Table13[[#This Row],[Response]]="Female",0,1)=2,E1672,Table13[[#This Row],[Response]]),"")</f>
        <v/>
      </c>
      <c r="F1673" s="1">
        <v>6</v>
      </c>
      <c r="G1673" s="1">
        <v>4</v>
      </c>
      <c r="H1673" s="2" t="s">
        <v>9</v>
      </c>
      <c r="I167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7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7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74" spans="1:11">
      <c r="A1674" s="2" t="s">
        <v>24</v>
      </c>
      <c r="B1674" s="2" t="s">
        <v>31</v>
      </c>
      <c r="C1674" s="1">
        <v>11</v>
      </c>
      <c r="D1674" s="2" t="s">
        <v>16</v>
      </c>
      <c r="E1674" s="6" t="str">
        <f>IF(Table13[[#This Row],[Pre or Post]]="Pre",IF(IF(Table13[[#This Row],[Response]]="Male",0,1)+IF(Table13[[#This Row],[Response]]="Female",0,1)=2,E1673,Table13[[#This Row],[Response]]),"")</f>
        <v/>
      </c>
      <c r="F1674" s="1">
        <v>15</v>
      </c>
      <c r="G1674" s="1">
        <v>4</v>
      </c>
      <c r="H1674" s="2" t="s">
        <v>9</v>
      </c>
      <c r="I167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7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7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75" spans="1:11">
      <c r="A1675" s="2" t="s">
        <v>24</v>
      </c>
      <c r="B1675" s="2" t="s">
        <v>31</v>
      </c>
      <c r="C1675" s="1">
        <v>11</v>
      </c>
      <c r="D1675" s="2" t="s">
        <v>16</v>
      </c>
      <c r="E1675" s="6" t="str">
        <f>IF(Table13[[#This Row],[Pre or Post]]="Pre",IF(IF(Table13[[#This Row],[Response]]="Male",0,1)+IF(Table13[[#This Row],[Response]]="Female",0,1)=2,E1674,Table13[[#This Row],[Response]]),"")</f>
        <v/>
      </c>
      <c r="F1675" s="1">
        <v>14</v>
      </c>
      <c r="G1675" s="1">
        <v>4</v>
      </c>
      <c r="H1675" s="2" t="s">
        <v>9</v>
      </c>
      <c r="I167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7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7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76" spans="1:11">
      <c r="A1676" s="2" t="s">
        <v>24</v>
      </c>
      <c r="B1676" s="2" t="s">
        <v>31</v>
      </c>
      <c r="C1676" s="1">
        <v>11</v>
      </c>
      <c r="D1676" s="2" t="s">
        <v>16</v>
      </c>
      <c r="E1676" s="6" t="str">
        <f>IF(Table13[[#This Row],[Pre or Post]]="Pre",IF(IF(Table13[[#This Row],[Response]]="Male",0,1)+IF(Table13[[#This Row],[Response]]="Female",0,1)=2,E1675,Table13[[#This Row],[Response]]),"")</f>
        <v/>
      </c>
      <c r="F1676" s="1">
        <v>7</v>
      </c>
      <c r="G1676" s="1"/>
      <c r="H1676" s="2" t="s">
        <v>9</v>
      </c>
      <c r="I167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7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7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77" spans="1:11">
      <c r="A1677" s="2" t="s">
        <v>24</v>
      </c>
      <c r="B1677" s="2" t="s">
        <v>31</v>
      </c>
      <c r="C1677" s="1">
        <v>11</v>
      </c>
      <c r="D1677" s="2" t="s">
        <v>16</v>
      </c>
      <c r="E1677" s="6" t="str">
        <f>IF(Table13[[#This Row],[Pre or Post]]="Pre",IF(IF(Table13[[#This Row],[Response]]="Male",0,1)+IF(Table13[[#This Row],[Response]]="Female",0,1)=2,E1676,Table13[[#This Row],[Response]]),"")</f>
        <v/>
      </c>
      <c r="F1677" s="1">
        <v>16</v>
      </c>
      <c r="G1677" s="1">
        <v>4</v>
      </c>
      <c r="H1677" s="2" t="s">
        <v>9</v>
      </c>
      <c r="I167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7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7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78" spans="1:11">
      <c r="A1678" s="2" t="s">
        <v>24</v>
      </c>
      <c r="B1678" s="2" t="s">
        <v>31</v>
      </c>
      <c r="C1678" s="1">
        <v>11</v>
      </c>
      <c r="D1678" s="2" t="s">
        <v>16</v>
      </c>
      <c r="E1678" s="6" t="str">
        <f>IF(Table13[[#This Row],[Pre or Post]]="Pre",IF(IF(Table13[[#This Row],[Response]]="Male",0,1)+IF(Table13[[#This Row],[Response]]="Female",0,1)=2,E1677,Table13[[#This Row],[Response]]),"")</f>
        <v/>
      </c>
      <c r="F1678" s="1">
        <v>17</v>
      </c>
      <c r="G1678" s="1">
        <v>4</v>
      </c>
      <c r="H1678" s="2" t="s">
        <v>9</v>
      </c>
      <c r="I167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7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7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79" spans="1:11">
      <c r="A1679" s="2" t="s">
        <v>24</v>
      </c>
      <c r="B1679" s="2" t="s">
        <v>31</v>
      </c>
      <c r="C1679" s="1">
        <v>11</v>
      </c>
      <c r="D1679" s="2" t="s">
        <v>16</v>
      </c>
      <c r="E1679" s="6" t="str">
        <f>IF(Table13[[#This Row],[Pre or Post]]="Pre",IF(IF(Table13[[#This Row],[Response]]="Male",0,1)+IF(Table13[[#This Row],[Response]]="Female",0,1)=2,E1678,Table13[[#This Row],[Response]]),"")</f>
        <v/>
      </c>
      <c r="F1679" s="1">
        <v>8</v>
      </c>
      <c r="G1679" s="1" t="s">
        <v>8</v>
      </c>
      <c r="H1679" s="2" t="s">
        <v>9</v>
      </c>
      <c r="I167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7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7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80" spans="1:11">
      <c r="A1680" s="2" t="s">
        <v>24</v>
      </c>
      <c r="B1680" s="2" t="s">
        <v>31</v>
      </c>
      <c r="C1680" s="1">
        <v>11</v>
      </c>
      <c r="D1680" s="2" t="s">
        <v>16</v>
      </c>
      <c r="E1680" s="6" t="str">
        <f>IF(Table13[[#This Row],[Pre or Post]]="Pre",IF(IF(Table13[[#This Row],[Response]]="Male",0,1)+IF(Table13[[#This Row],[Response]]="Female",0,1)=2,E1679,Table13[[#This Row],[Response]]),"")</f>
        <v/>
      </c>
      <c r="F1680" s="1">
        <v>9</v>
      </c>
      <c r="G1680" s="1" t="s">
        <v>17</v>
      </c>
      <c r="H1680" s="2" t="s">
        <v>9</v>
      </c>
      <c r="I168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8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8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81" spans="1:11">
      <c r="A1681" s="2" t="s">
        <v>24</v>
      </c>
      <c r="B1681" s="2" t="s">
        <v>31</v>
      </c>
      <c r="C1681" s="1">
        <v>11</v>
      </c>
      <c r="D1681" s="2" t="s">
        <v>16</v>
      </c>
      <c r="E1681" s="6" t="str">
        <f>IF(Table13[[#This Row],[Pre or Post]]="Pre",IF(IF(Table13[[#This Row],[Response]]="Male",0,1)+IF(Table13[[#This Row],[Response]]="Female",0,1)=2,E1680,Table13[[#This Row],[Response]]),"")</f>
        <v/>
      </c>
      <c r="F1681" s="1">
        <v>10</v>
      </c>
      <c r="G1681" s="1" t="s">
        <v>18</v>
      </c>
      <c r="H1681" s="2" t="s">
        <v>9</v>
      </c>
      <c r="I168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8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8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82" spans="1:11">
      <c r="A1682" s="2" t="s">
        <v>24</v>
      </c>
      <c r="B1682" s="2" t="s">
        <v>31</v>
      </c>
      <c r="C1682" s="1">
        <v>12</v>
      </c>
      <c r="D1682" s="2" t="s">
        <v>16</v>
      </c>
      <c r="E1682" s="6" t="str">
        <f>IF(Table13[[#This Row],[Pre or Post]]="Pre",IF(IF(Table13[[#This Row],[Response]]="Male",0,1)+IF(Table13[[#This Row],[Response]]="Female",0,1)=2,E1681,Table13[[#This Row],[Response]]),"")</f>
        <v/>
      </c>
      <c r="F1682" s="1">
        <v>2</v>
      </c>
      <c r="G1682" s="1">
        <v>4</v>
      </c>
      <c r="H1682" s="2" t="s">
        <v>9</v>
      </c>
      <c r="I168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8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8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83" spans="1:11">
      <c r="A1683" s="2" t="s">
        <v>24</v>
      </c>
      <c r="B1683" s="2" t="s">
        <v>31</v>
      </c>
      <c r="C1683" s="1">
        <v>12</v>
      </c>
      <c r="D1683" s="2" t="s">
        <v>16</v>
      </c>
      <c r="E1683" s="6" t="str">
        <f>IF(Table13[[#This Row],[Pre or Post]]="Pre",IF(IF(Table13[[#This Row],[Response]]="Male",0,1)+IF(Table13[[#This Row],[Response]]="Female",0,1)=2,E1682,Table13[[#This Row],[Response]]),"")</f>
        <v/>
      </c>
      <c r="F1683" s="1">
        <v>3</v>
      </c>
      <c r="G1683" s="1">
        <v>3</v>
      </c>
      <c r="H1683" s="2" t="s">
        <v>9</v>
      </c>
      <c r="I168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8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8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84" spans="1:11">
      <c r="A1684" s="2" t="s">
        <v>24</v>
      </c>
      <c r="B1684" s="2" t="s">
        <v>31</v>
      </c>
      <c r="C1684" s="1">
        <v>12</v>
      </c>
      <c r="D1684" s="2" t="s">
        <v>16</v>
      </c>
      <c r="E1684" s="6" t="str">
        <f>IF(Table13[[#This Row],[Pre or Post]]="Pre",IF(IF(Table13[[#This Row],[Response]]="Male",0,1)+IF(Table13[[#This Row],[Response]]="Female",0,1)=2,E1683,Table13[[#This Row],[Response]]),"")</f>
        <v/>
      </c>
      <c r="F1684" s="1">
        <v>4</v>
      </c>
      <c r="G1684" s="1">
        <v>5</v>
      </c>
      <c r="H1684" s="2" t="s">
        <v>9</v>
      </c>
      <c r="I168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8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8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85" spans="1:11">
      <c r="A1685" s="2" t="s">
        <v>24</v>
      </c>
      <c r="B1685" s="2" t="s">
        <v>31</v>
      </c>
      <c r="C1685" s="1">
        <v>12</v>
      </c>
      <c r="D1685" s="2" t="s">
        <v>16</v>
      </c>
      <c r="E1685" s="6" t="str">
        <f>IF(Table13[[#This Row],[Pre or Post]]="Pre",IF(IF(Table13[[#This Row],[Response]]="Male",0,1)+IF(Table13[[#This Row],[Response]]="Female",0,1)=2,E1684,Table13[[#This Row],[Response]]),"")</f>
        <v/>
      </c>
      <c r="F1685" s="1">
        <v>12</v>
      </c>
      <c r="G1685" s="1">
        <v>1</v>
      </c>
      <c r="H1685" s="2" t="s">
        <v>9</v>
      </c>
      <c r="I168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8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8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86" spans="1:11">
      <c r="A1686" s="2" t="s">
        <v>24</v>
      </c>
      <c r="B1686" s="2" t="s">
        <v>31</v>
      </c>
      <c r="C1686" s="1">
        <v>12</v>
      </c>
      <c r="D1686" s="2" t="s">
        <v>16</v>
      </c>
      <c r="E1686" s="6" t="str">
        <f>IF(Table13[[#This Row],[Pre or Post]]="Pre",IF(IF(Table13[[#This Row],[Response]]="Male",0,1)+IF(Table13[[#This Row],[Response]]="Female",0,1)=2,E1685,Table13[[#This Row],[Response]]),"")</f>
        <v/>
      </c>
      <c r="F1686" s="1">
        <v>13</v>
      </c>
      <c r="G1686" s="1">
        <v>4</v>
      </c>
      <c r="H1686" s="2" t="s">
        <v>9</v>
      </c>
      <c r="I168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8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8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87" spans="1:11">
      <c r="A1687" s="2" t="s">
        <v>24</v>
      </c>
      <c r="B1687" s="2" t="s">
        <v>31</v>
      </c>
      <c r="C1687" s="1">
        <v>12</v>
      </c>
      <c r="D1687" s="2" t="s">
        <v>16</v>
      </c>
      <c r="E1687" s="6" t="str">
        <f>IF(Table13[[#This Row],[Pre or Post]]="Pre",IF(IF(Table13[[#This Row],[Response]]="Male",0,1)+IF(Table13[[#This Row],[Response]]="Female",0,1)=2,E1686,Table13[[#This Row],[Response]]),"")</f>
        <v/>
      </c>
      <c r="F1687" s="1">
        <v>5</v>
      </c>
      <c r="G1687" s="1">
        <v>5</v>
      </c>
      <c r="H1687" s="2" t="s">
        <v>9</v>
      </c>
      <c r="I168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8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8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88" spans="1:11">
      <c r="A1688" s="2" t="s">
        <v>24</v>
      </c>
      <c r="B1688" s="2" t="s">
        <v>31</v>
      </c>
      <c r="C1688" s="1">
        <v>12</v>
      </c>
      <c r="D1688" s="2" t="s">
        <v>16</v>
      </c>
      <c r="E1688" s="6" t="str">
        <f>IF(Table13[[#This Row],[Pre or Post]]="Pre",IF(IF(Table13[[#This Row],[Response]]="Male",0,1)+IF(Table13[[#This Row],[Response]]="Female",0,1)=2,E1687,Table13[[#This Row],[Response]]),"")</f>
        <v/>
      </c>
      <c r="F1688" s="1">
        <v>6</v>
      </c>
      <c r="G1688" s="1">
        <v>4</v>
      </c>
      <c r="H1688" s="2" t="s">
        <v>9</v>
      </c>
      <c r="I168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8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8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89" spans="1:11">
      <c r="A1689" s="2" t="s">
        <v>24</v>
      </c>
      <c r="B1689" s="2" t="s">
        <v>31</v>
      </c>
      <c r="C1689" s="1">
        <v>12</v>
      </c>
      <c r="D1689" s="2" t="s">
        <v>16</v>
      </c>
      <c r="E1689" s="6" t="str">
        <f>IF(Table13[[#This Row],[Pre or Post]]="Pre",IF(IF(Table13[[#This Row],[Response]]="Male",0,1)+IF(Table13[[#This Row],[Response]]="Female",0,1)=2,E1688,Table13[[#This Row],[Response]]),"")</f>
        <v/>
      </c>
      <c r="F1689" s="1">
        <v>15</v>
      </c>
      <c r="G1689" s="1"/>
      <c r="H1689" s="2" t="s">
        <v>9</v>
      </c>
      <c r="I168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8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8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90" spans="1:11">
      <c r="A1690" s="2" t="s">
        <v>24</v>
      </c>
      <c r="B1690" s="2" t="s">
        <v>31</v>
      </c>
      <c r="C1690" s="1">
        <v>12</v>
      </c>
      <c r="D1690" s="2" t="s">
        <v>16</v>
      </c>
      <c r="E1690" s="6" t="str">
        <f>IF(Table13[[#This Row],[Pre or Post]]="Pre",IF(IF(Table13[[#This Row],[Response]]="Male",0,1)+IF(Table13[[#This Row],[Response]]="Female",0,1)=2,E1689,Table13[[#This Row],[Response]]),"")</f>
        <v/>
      </c>
      <c r="F1690" s="1">
        <v>14</v>
      </c>
      <c r="G1690" s="1">
        <v>4</v>
      </c>
      <c r="H1690" s="2" t="s">
        <v>9</v>
      </c>
      <c r="I169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9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9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91" spans="1:11">
      <c r="A1691" s="2" t="s">
        <v>24</v>
      </c>
      <c r="B1691" s="2" t="s">
        <v>31</v>
      </c>
      <c r="C1691" s="1">
        <v>12</v>
      </c>
      <c r="D1691" s="2" t="s">
        <v>16</v>
      </c>
      <c r="E1691" s="6" t="str">
        <f>IF(Table13[[#This Row],[Pre or Post]]="Pre",IF(IF(Table13[[#This Row],[Response]]="Male",0,1)+IF(Table13[[#This Row],[Response]]="Female",0,1)=2,E1690,Table13[[#This Row],[Response]]),"")</f>
        <v/>
      </c>
      <c r="F1691" s="1">
        <v>7</v>
      </c>
      <c r="G1691" s="1">
        <v>5</v>
      </c>
      <c r="H1691" s="2" t="s">
        <v>9</v>
      </c>
      <c r="I169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9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9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92" spans="1:11">
      <c r="A1692" s="2" t="s">
        <v>24</v>
      </c>
      <c r="B1692" s="2" t="s">
        <v>31</v>
      </c>
      <c r="C1692" s="1">
        <v>12</v>
      </c>
      <c r="D1692" s="2" t="s">
        <v>16</v>
      </c>
      <c r="E1692" s="6" t="str">
        <f>IF(Table13[[#This Row],[Pre or Post]]="Pre",IF(IF(Table13[[#This Row],[Response]]="Male",0,1)+IF(Table13[[#This Row],[Response]]="Female",0,1)=2,E1691,Table13[[#This Row],[Response]]),"")</f>
        <v/>
      </c>
      <c r="F1692" s="1">
        <v>16</v>
      </c>
      <c r="G1692" s="1"/>
      <c r="H1692" s="2" t="s">
        <v>9</v>
      </c>
      <c r="I169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9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9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93" spans="1:11">
      <c r="A1693" s="2" t="s">
        <v>24</v>
      </c>
      <c r="B1693" s="2" t="s">
        <v>31</v>
      </c>
      <c r="C1693" s="1">
        <v>12</v>
      </c>
      <c r="D1693" s="2" t="s">
        <v>16</v>
      </c>
      <c r="E1693" s="6" t="str">
        <f>IF(Table13[[#This Row],[Pre or Post]]="Pre",IF(IF(Table13[[#This Row],[Response]]="Male",0,1)+IF(Table13[[#This Row],[Response]]="Female",0,1)=2,E1692,Table13[[#This Row],[Response]]),"")</f>
        <v/>
      </c>
      <c r="F1693" s="1">
        <v>17</v>
      </c>
      <c r="G1693" s="1">
        <v>4</v>
      </c>
      <c r="H1693" s="2" t="s">
        <v>9</v>
      </c>
      <c r="I169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9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9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94" spans="1:11">
      <c r="A1694" s="2" t="s">
        <v>24</v>
      </c>
      <c r="B1694" s="2" t="s">
        <v>31</v>
      </c>
      <c r="C1694" s="1">
        <v>12</v>
      </c>
      <c r="D1694" s="2" t="s">
        <v>16</v>
      </c>
      <c r="E1694" s="6" t="str">
        <f>IF(Table13[[#This Row],[Pre or Post]]="Pre",IF(IF(Table13[[#This Row],[Response]]="Male",0,1)+IF(Table13[[#This Row],[Response]]="Female",0,1)=2,E1693,Table13[[#This Row],[Response]]),"")</f>
        <v/>
      </c>
      <c r="F1694" s="1">
        <v>8</v>
      </c>
      <c r="G1694" s="1" t="s">
        <v>8</v>
      </c>
      <c r="H1694" s="2" t="s">
        <v>9</v>
      </c>
      <c r="I169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9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9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95" spans="1:11">
      <c r="A1695" s="2" t="s">
        <v>24</v>
      </c>
      <c r="B1695" s="2" t="s">
        <v>31</v>
      </c>
      <c r="C1695" s="1">
        <v>12</v>
      </c>
      <c r="D1695" s="2" t="s">
        <v>16</v>
      </c>
      <c r="E1695" s="6" t="str">
        <f>IF(Table13[[#This Row],[Pre or Post]]="Pre",IF(IF(Table13[[#This Row],[Response]]="Male",0,1)+IF(Table13[[#This Row],[Response]]="Female",0,1)=2,E1694,Table13[[#This Row],[Response]]),"")</f>
        <v/>
      </c>
      <c r="F1695" s="1">
        <v>9</v>
      </c>
      <c r="G1695" s="1" t="s">
        <v>17</v>
      </c>
      <c r="H1695" s="2" t="s">
        <v>9</v>
      </c>
      <c r="I169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9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9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96" spans="1:11">
      <c r="A1696" s="2" t="s">
        <v>24</v>
      </c>
      <c r="B1696" s="2" t="s">
        <v>31</v>
      </c>
      <c r="C1696" s="1">
        <v>12</v>
      </c>
      <c r="D1696" s="2" t="s">
        <v>16</v>
      </c>
      <c r="E1696" s="6" t="str">
        <f>IF(Table13[[#This Row],[Pre or Post]]="Pre",IF(IF(Table13[[#This Row],[Response]]="Male",0,1)+IF(Table13[[#This Row],[Response]]="Female",0,1)=2,E1695,Table13[[#This Row],[Response]]),"")</f>
        <v/>
      </c>
      <c r="F1696" s="1">
        <v>10</v>
      </c>
      <c r="G1696" s="1" t="s">
        <v>19</v>
      </c>
      <c r="H1696" s="2" t="s">
        <v>9</v>
      </c>
      <c r="I169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9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9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97" spans="1:11">
      <c r="A1697" s="2" t="s">
        <v>24</v>
      </c>
      <c r="B1697" s="2" t="s">
        <v>31</v>
      </c>
      <c r="C1697" s="1">
        <v>13</v>
      </c>
      <c r="D1697" s="2" t="s">
        <v>16</v>
      </c>
      <c r="E1697" s="6" t="str">
        <f>IF(Table13[[#This Row],[Pre or Post]]="Pre",IF(IF(Table13[[#This Row],[Response]]="Male",0,1)+IF(Table13[[#This Row],[Response]]="Female",0,1)=2,E1696,Table13[[#This Row],[Response]]),"")</f>
        <v/>
      </c>
      <c r="F1697" s="1">
        <v>2</v>
      </c>
      <c r="G1697" s="1">
        <v>3</v>
      </c>
      <c r="H1697" s="2" t="s">
        <v>9</v>
      </c>
      <c r="I169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9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9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98" spans="1:11">
      <c r="A1698" s="2" t="s">
        <v>24</v>
      </c>
      <c r="B1698" s="2" t="s">
        <v>31</v>
      </c>
      <c r="C1698" s="1">
        <v>13</v>
      </c>
      <c r="D1698" s="2" t="s">
        <v>16</v>
      </c>
      <c r="E1698" s="6" t="str">
        <f>IF(Table13[[#This Row],[Pre or Post]]="Pre",IF(IF(Table13[[#This Row],[Response]]="Male",0,1)+IF(Table13[[#This Row],[Response]]="Female",0,1)=2,E1697,Table13[[#This Row],[Response]]),"")</f>
        <v/>
      </c>
      <c r="F1698" s="1">
        <v>3</v>
      </c>
      <c r="G1698" s="1">
        <v>2</v>
      </c>
      <c r="H1698" s="2" t="s">
        <v>9</v>
      </c>
      <c r="I169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9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9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699" spans="1:11">
      <c r="A1699" s="2" t="s">
        <v>24</v>
      </c>
      <c r="B1699" s="2" t="s">
        <v>31</v>
      </c>
      <c r="C1699" s="1">
        <v>13</v>
      </c>
      <c r="D1699" s="2" t="s">
        <v>16</v>
      </c>
      <c r="E1699" s="6" t="str">
        <f>IF(Table13[[#This Row],[Pre or Post]]="Pre",IF(IF(Table13[[#This Row],[Response]]="Male",0,1)+IF(Table13[[#This Row],[Response]]="Female",0,1)=2,E1698,Table13[[#This Row],[Response]]),"")</f>
        <v/>
      </c>
      <c r="F1699" s="1">
        <v>4</v>
      </c>
      <c r="G1699" s="1">
        <v>1</v>
      </c>
      <c r="H1699" s="2" t="s">
        <v>9</v>
      </c>
      <c r="I169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69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69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00" spans="1:11">
      <c r="A1700" s="2" t="s">
        <v>24</v>
      </c>
      <c r="B1700" s="2" t="s">
        <v>31</v>
      </c>
      <c r="C1700" s="1">
        <v>13</v>
      </c>
      <c r="D1700" s="2" t="s">
        <v>16</v>
      </c>
      <c r="E1700" s="6" t="str">
        <f>IF(Table13[[#This Row],[Pre or Post]]="Pre",IF(IF(Table13[[#This Row],[Response]]="Male",0,1)+IF(Table13[[#This Row],[Response]]="Female",0,1)=2,E1699,Table13[[#This Row],[Response]]),"")</f>
        <v/>
      </c>
      <c r="F1700" s="1">
        <v>12</v>
      </c>
      <c r="G1700" s="1">
        <v>1</v>
      </c>
      <c r="H1700" s="2" t="s">
        <v>9</v>
      </c>
      <c r="I170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0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0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01" spans="1:11">
      <c r="A1701" s="2" t="s">
        <v>24</v>
      </c>
      <c r="B1701" s="2" t="s">
        <v>31</v>
      </c>
      <c r="C1701" s="1">
        <v>13</v>
      </c>
      <c r="D1701" s="2" t="s">
        <v>16</v>
      </c>
      <c r="E1701" s="6" t="str">
        <f>IF(Table13[[#This Row],[Pre or Post]]="Pre",IF(IF(Table13[[#This Row],[Response]]="Male",0,1)+IF(Table13[[#This Row],[Response]]="Female",0,1)=2,E1700,Table13[[#This Row],[Response]]),"")</f>
        <v/>
      </c>
      <c r="F1701" s="1">
        <v>13</v>
      </c>
      <c r="G1701" s="1">
        <v>1</v>
      </c>
      <c r="H1701" s="2" t="s">
        <v>9</v>
      </c>
      <c r="I170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0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0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02" spans="1:11">
      <c r="A1702" s="2" t="s">
        <v>24</v>
      </c>
      <c r="B1702" s="2" t="s">
        <v>31</v>
      </c>
      <c r="C1702" s="1">
        <v>13</v>
      </c>
      <c r="D1702" s="2" t="s">
        <v>16</v>
      </c>
      <c r="E1702" s="6" t="str">
        <f>IF(Table13[[#This Row],[Pre or Post]]="Pre",IF(IF(Table13[[#This Row],[Response]]="Male",0,1)+IF(Table13[[#This Row],[Response]]="Female",0,1)=2,E1701,Table13[[#This Row],[Response]]),"")</f>
        <v/>
      </c>
      <c r="F1702" s="1">
        <v>5</v>
      </c>
      <c r="G1702" s="1">
        <v>3</v>
      </c>
      <c r="H1702" s="2" t="s">
        <v>9</v>
      </c>
      <c r="I170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0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0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03" spans="1:11">
      <c r="A1703" s="2" t="s">
        <v>24</v>
      </c>
      <c r="B1703" s="2" t="s">
        <v>31</v>
      </c>
      <c r="C1703" s="1">
        <v>13</v>
      </c>
      <c r="D1703" s="2" t="s">
        <v>16</v>
      </c>
      <c r="E1703" s="6" t="str">
        <f>IF(Table13[[#This Row],[Pre or Post]]="Pre",IF(IF(Table13[[#This Row],[Response]]="Male",0,1)+IF(Table13[[#This Row],[Response]]="Female",0,1)=2,E1702,Table13[[#This Row],[Response]]),"")</f>
        <v/>
      </c>
      <c r="F1703" s="1">
        <v>6</v>
      </c>
      <c r="G1703" s="1">
        <v>2</v>
      </c>
      <c r="H1703" s="2" t="s">
        <v>9</v>
      </c>
      <c r="I170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0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0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04" spans="1:11">
      <c r="A1704" s="2" t="s">
        <v>24</v>
      </c>
      <c r="B1704" s="2" t="s">
        <v>31</v>
      </c>
      <c r="C1704" s="1">
        <v>13</v>
      </c>
      <c r="D1704" s="2" t="s">
        <v>16</v>
      </c>
      <c r="E1704" s="6" t="str">
        <f>IF(Table13[[#This Row],[Pre or Post]]="Pre",IF(IF(Table13[[#This Row],[Response]]="Male",0,1)+IF(Table13[[#This Row],[Response]]="Female",0,1)=2,E1703,Table13[[#This Row],[Response]]),"")</f>
        <v/>
      </c>
      <c r="F1704" s="1">
        <v>15</v>
      </c>
      <c r="G1704" s="1"/>
      <c r="H1704" s="2" t="s">
        <v>9</v>
      </c>
      <c r="I170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0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0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05" spans="1:11">
      <c r="A1705" s="2" t="s">
        <v>24</v>
      </c>
      <c r="B1705" s="2" t="s">
        <v>31</v>
      </c>
      <c r="C1705" s="1">
        <v>13</v>
      </c>
      <c r="D1705" s="2" t="s">
        <v>16</v>
      </c>
      <c r="E1705" s="6" t="str">
        <f>IF(Table13[[#This Row],[Pre or Post]]="Pre",IF(IF(Table13[[#This Row],[Response]]="Male",0,1)+IF(Table13[[#This Row],[Response]]="Female",0,1)=2,E1704,Table13[[#This Row],[Response]]),"")</f>
        <v/>
      </c>
      <c r="F1705" s="1">
        <v>14</v>
      </c>
      <c r="G1705" s="1">
        <v>3</v>
      </c>
      <c r="H1705" s="2" t="s">
        <v>9</v>
      </c>
      <c r="I170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0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0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06" spans="1:11">
      <c r="A1706" s="2" t="s">
        <v>24</v>
      </c>
      <c r="B1706" s="2" t="s">
        <v>31</v>
      </c>
      <c r="C1706" s="1">
        <v>13</v>
      </c>
      <c r="D1706" s="2" t="s">
        <v>16</v>
      </c>
      <c r="E1706" s="6" t="str">
        <f>IF(Table13[[#This Row],[Pre or Post]]="Pre",IF(IF(Table13[[#This Row],[Response]]="Male",0,1)+IF(Table13[[#This Row],[Response]]="Female",0,1)=2,E1705,Table13[[#This Row],[Response]]),"")</f>
        <v/>
      </c>
      <c r="F1706" s="1">
        <v>7</v>
      </c>
      <c r="G1706" s="1"/>
      <c r="H1706" s="2" t="s">
        <v>9</v>
      </c>
      <c r="I170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0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0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07" spans="1:11">
      <c r="A1707" s="2" t="s">
        <v>24</v>
      </c>
      <c r="B1707" s="2" t="s">
        <v>31</v>
      </c>
      <c r="C1707" s="1">
        <v>13</v>
      </c>
      <c r="D1707" s="2" t="s">
        <v>16</v>
      </c>
      <c r="E1707" s="6" t="str">
        <f>IF(Table13[[#This Row],[Pre or Post]]="Pre",IF(IF(Table13[[#This Row],[Response]]="Male",0,1)+IF(Table13[[#This Row],[Response]]="Female",0,1)=2,E1706,Table13[[#This Row],[Response]]),"")</f>
        <v/>
      </c>
      <c r="F1707" s="1">
        <v>16</v>
      </c>
      <c r="G1707" s="1"/>
      <c r="H1707" s="2" t="s">
        <v>9</v>
      </c>
      <c r="I170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0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0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08" spans="1:11">
      <c r="A1708" s="2" t="s">
        <v>24</v>
      </c>
      <c r="B1708" s="2" t="s">
        <v>31</v>
      </c>
      <c r="C1708" s="1">
        <v>13</v>
      </c>
      <c r="D1708" s="2" t="s">
        <v>16</v>
      </c>
      <c r="E1708" s="6" t="str">
        <f>IF(Table13[[#This Row],[Pre or Post]]="Pre",IF(IF(Table13[[#This Row],[Response]]="Male",0,1)+IF(Table13[[#This Row],[Response]]="Female",0,1)=2,E1707,Table13[[#This Row],[Response]]),"")</f>
        <v/>
      </c>
      <c r="F1708" s="1">
        <v>17</v>
      </c>
      <c r="G1708" s="1">
        <v>3</v>
      </c>
      <c r="H1708" s="2" t="s">
        <v>9</v>
      </c>
      <c r="I170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0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0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09" spans="1:11">
      <c r="A1709" s="2" t="s">
        <v>24</v>
      </c>
      <c r="B1709" s="2" t="s">
        <v>31</v>
      </c>
      <c r="C1709" s="1">
        <v>13</v>
      </c>
      <c r="D1709" s="2" t="s">
        <v>16</v>
      </c>
      <c r="E1709" s="6" t="str">
        <f>IF(Table13[[#This Row],[Pre or Post]]="Pre",IF(IF(Table13[[#This Row],[Response]]="Male",0,1)+IF(Table13[[#This Row],[Response]]="Female",0,1)=2,E1708,Table13[[#This Row],[Response]]),"")</f>
        <v/>
      </c>
      <c r="F1709" s="1">
        <v>8</v>
      </c>
      <c r="G1709" s="1" t="s">
        <v>9</v>
      </c>
      <c r="H1709" s="2" t="s">
        <v>9</v>
      </c>
      <c r="I170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0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0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10" spans="1:11">
      <c r="A1710" s="2" t="s">
        <v>24</v>
      </c>
      <c r="B1710" s="2" t="s">
        <v>31</v>
      </c>
      <c r="C1710" s="1">
        <v>13</v>
      </c>
      <c r="D1710" s="2" t="s">
        <v>16</v>
      </c>
      <c r="E1710" s="6" t="str">
        <f>IF(Table13[[#This Row],[Pre or Post]]="Pre",IF(IF(Table13[[#This Row],[Response]]="Male",0,1)+IF(Table13[[#This Row],[Response]]="Female",0,1)=2,E1709,Table13[[#This Row],[Response]]),"")</f>
        <v/>
      </c>
      <c r="F1710" s="1">
        <v>9</v>
      </c>
      <c r="G1710" s="1" t="s">
        <v>32</v>
      </c>
      <c r="H1710" s="2" t="s">
        <v>9</v>
      </c>
      <c r="I171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1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1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11" spans="1:11">
      <c r="A1711" s="2" t="s">
        <v>24</v>
      </c>
      <c r="B1711" s="2" t="s">
        <v>31</v>
      </c>
      <c r="C1711" s="1">
        <v>13</v>
      </c>
      <c r="D1711" s="2" t="s">
        <v>16</v>
      </c>
      <c r="E1711" s="6" t="str">
        <f>IF(Table13[[#This Row],[Pre or Post]]="Pre",IF(IF(Table13[[#This Row],[Response]]="Male",0,1)+IF(Table13[[#This Row],[Response]]="Female",0,1)=2,E1710,Table13[[#This Row],[Response]]),"")</f>
        <v/>
      </c>
      <c r="F1711" s="1">
        <v>10</v>
      </c>
      <c r="G1711" s="1"/>
      <c r="H1711" s="2" t="s">
        <v>9</v>
      </c>
      <c r="I171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1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1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12" spans="1:11">
      <c r="A1712" s="2" t="s">
        <v>24</v>
      </c>
      <c r="B1712" s="2" t="s">
        <v>31</v>
      </c>
      <c r="C1712" s="1">
        <v>14</v>
      </c>
      <c r="D1712" s="2" t="s">
        <v>16</v>
      </c>
      <c r="E1712" s="6" t="str">
        <f>IF(Table13[[#This Row],[Pre or Post]]="Pre",IF(IF(Table13[[#This Row],[Response]]="Male",0,1)+IF(Table13[[#This Row],[Response]]="Female",0,1)=2,E1711,Table13[[#This Row],[Response]]),"")</f>
        <v/>
      </c>
      <c r="F1712" s="1">
        <v>2</v>
      </c>
      <c r="G1712" s="1">
        <v>5</v>
      </c>
      <c r="H1712" s="2" t="s">
        <v>9</v>
      </c>
      <c r="I171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1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1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13" spans="1:11">
      <c r="A1713" s="2" t="s">
        <v>24</v>
      </c>
      <c r="B1713" s="2" t="s">
        <v>31</v>
      </c>
      <c r="C1713" s="1">
        <v>14</v>
      </c>
      <c r="D1713" s="2" t="s">
        <v>16</v>
      </c>
      <c r="E1713" s="6" t="str">
        <f>IF(Table13[[#This Row],[Pre or Post]]="Pre",IF(IF(Table13[[#This Row],[Response]]="Male",0,1)+IF(Table13[[#This Row],[Response]]="Female",0,1)=2,E1712,Table13[[#This Row],[Response]]),"")</f>
        <v/>
      </c>
      <c r="F1713" s="1">
        <v>3</v>
      </c>
      <c r="G1713" s="1">
        <v>4</v>
      </c>
      <c r="H1713" s="2" t="s">
        <v>9</v>
      </c>
      <c r="I171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1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1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14" spans="1:11">
      <c r="A1714" s="2" t="s">
        <v>24</v>
      </c>
      <c r="B1714" s="2" t="s">
        <v>31</v>
      </c>
      <c r="C1714" s="1">
        <v>14</v>
      </c>
      <c r="D1714" s="2" t="s">
        <v>16</v>
      </c>
      <c r="E1714" s="6" t="str">
        <f>IF(Table13[[#This Row],[Pre or Post]]="Pre",IF(IF(Table13[[#This Row],[Response]]="Male",0,1)+IF(Table13[[#This Row],[Response]]="Female",0,1)=2,E1713,Table13[[#This Row],[Response]]),"")</f>
        <v/>
      </c>
      <c r="F1714" s="1">
        <v>4</v>
      </c>
      <c r="G1714" s="1">
        <v>3</v>
      </c>
      <c r="H1714" s="2" t="s">
        <v>9</v>
      </c>
      <c r="I171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1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1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15" spans="1:11">
      <c r="A1715" s="2" t="s">
        <v>24</v>
      </c>
      <c r="B1715" s="2" t="s">
        <v>31</v>
      </c>
      <c r="C1715" s="1">
        <v>14</v>
      </c>
      <c r="D1715" s="2" t="s">
        <v>16</v>
      </c>
      <c r="E1715" s="6" t="str">
        <f>IF(Table13[[#This Row],[Pre or Post]]="Pre",IF(IF(Table13[[#This Row],[Response]]="Male",0,1)+IF(Table13[[#This Row],[Response]]="Female",0,1)=2,E1714,Table13[[#This Row],[Response]]),"")</f>
        <v/>
      </c>
      <c r="F1715" s="1">
        <v>12</v>
      </c>
      <c r="G1715" s="1">
        <v>3</v>
      </c>
      <c r="H1715" s="2" t="s">
        <v>9</v>
      </c>
      <c r="I171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1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1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16" spans="1:11">
      <c r="A1716" s="2" t="s">
        <v>24</v>
      </c>
      <c r="B1716" s="2" t="s">
        <v>31</v>
      </c>
      <c r="C1716" s="1">
        <v>14</v>
      </c>
      <c r="D1716" s="2" t="s">
        <v>16</v>
      </c>
      <c r="E1716" s="6" t="str">
        <f>IF(Table13[[#This Row],[Pre or Post]]="Pre",IF(IF(Table13[[#This Row],[Response]]="Male",0,1)+IF(Table13[[#This Row],[Response]]="Female",0,1)=2,E1715,Table13[[#This Row],[Response]]),"")</f>
        <v/>
      </c>
      <c r="F1716" s="1">
        <v>13</v>
      </c>
      <c r="G1716" s="1">
        <v>4</v>
      </c>
      <c r="H1716" s="2" t="s">
        <v>9</v>
      </c>
      <c r="I171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1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1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17" spans="1:11">
      <c r="A1717" s="2" t="s">
        <v>24</v>
      </c>
      <c r="B1717" s="2" t="s">
        <v>31</v>
      </c>
      <c r="C1717" s="1">
        <v>14</v>
      </c>
      <c r="D1717" s="2" t="s">
        <v>16</v>
      </c>
      <c r="E1717" s="6" t="str">
        <f>IF(Table13[[#This Row],[Pre or Post]]="Pre",IF(IF(Table13[[#This Row],[Response]]="Male",0,1)+IF(Table13[[#This Row],[Response]]="Female",0,1)=2,E1716,Table13[[#This Row],[Response]]),"")</f>
        <v/>
      </c>
      <c r="F1717" s="1">
        <v>5</v>
      </c>
      <c r="G1717" s="1">
        <v>5</v>
      </c>
      <c r="H1717" s="2" t="s">
        <v>9</v>
      </c>
      <c r="I171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1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1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18" spans="1:11">
      <c r="A1718" s="2" t="s">
        <v>24</v>
      </c>
      <c r="B1718" s="2" t="s">
        <v>31</v>
      </c>
      <c r="C1718" s="1">
        <v>14</v>
      </c>
      <c r="D1718" s="2" t="s">
        <v>16</v>
      </c>
      <c r="E1718" s="6" t="str">
        <f>IF(Table13[[#This Row],[Pre or Post]]="Pre",IF(IF(Table13[[#This Row],[Response]]="Male",0,1)+IF(Table13[[#This Row],[Response]]="Female",0,1)=2,E1717,Table13[[#This Row],[Response]]),"")</f>
        <v/>
      </c>
      <c r="F1718" s="1">
        <v>6</v>
      </c>
      <c r="G1718" s="1">
        <v>3</v>
      </c>
      <c r="H1718" s="2" t="s">
        <v>9</v>
      </c>
      <c r="I171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1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1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19" spans="1:11">
      <c r="A1719" s="2" t="s">
        <v>24</v>
      </c>
      <c r="B1719" s="2" t="s">
        <v>31</v>
      </c>
      <c r="C1719" s="1">
        <v>14</v>
      </c>
      <c r="D1719" s="2" t="s">
        <v>16</v>
      </c>
      <c r="E1719" s="6" t="str">
        <f>IF(Table13[[#This Row],[Pre or Post]]="Pre",IF(IF(Table13[[#This Row],[Response]]="Male",0,1)+IF(Table13[[#This Row],[Response]]="Female",0,1)=2,E1718,Table13[[#This Row],[Response]]),"")</f>
        <v/>
      </c>
      <c r="F1719" s="1">
        <v>15</v>
      </c>
      <c r="G1719" s="1">
        <v>3</v>
      </c>
      <c r="H1719" s="2" t="s">
        <v>9</v>
      </c>
      <c r="I171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1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1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20" spans="1:11">
      <c r="A1720" s="2" t="s">
        <v>24</v>
      </c>
      <c r="B1720" s="2" t="s">
        <v>31</v>
      </c>
      <c r="C1720" s="1">
        <v>14</v>
      </c>
      <c r="D1720" s="2" t="s">
        <v>16</v>
      </c>
      <c r="E1720" s="6" t="str">
        <f>IF(Table13[[#This Row],[Pre or Post]]="Pre",IF(IF(Table13[[#This Row],[Response]]="Male",0,1)+IF(Table13[[#This Row],[Response]]="Female",0,1)=2,E1719,Table13[[#This Row],[Response]]),"")</f>
        <v/>
      </c>
      <c r="F1720" s="1">
        <v>14</v>
      </c>
      <c r="G1720" s="1">
        <v>5</v>
      </c>
      <c r="H1720" s="2" t="s">
        <v>9</v>
      </c>
      <c r="I172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2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2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21" spans="1:11">
      <c r="A1721" s="2" t="s">
        <v>24</v>
      </c>
      <c r="B1721" s="2" t="s">
        <v>31</v>
      </c>
      <c r="C1721" s="1">
        <v>14</v>
      </c>
      <c r="D1721" s="2" t="s">
        <v>16</v>
      </c>
      <c r="E1721" s="6" t="str">
        <f>IF(Table13[[#This Row],[Pre or Post]]="Pre",IF(IF(Table13[[#This Row],[Response]]="Male",0,1)+IF(Table13[[#This Row],[Response]]="Female",0,1)=2,E1720,Table13[[#This Row],[Response]]),"")</f>
        <v/>
      </c>
      <c r="F1721" s="1">
        <v>7</v>
      </c>
      <c r="G1721" s="1">
        <v>3</v>
      </c>
      <c r="H1721" s="2" t="s">
        <v>9</v>
      </c>
      <c r="I172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2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2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22" spans="1:11">
      <c r="A1722" s="2" t="s">
        <v>24</v>
      </c>
      <c r="B1722" s="2" t="s">
        <v>31</v>
      </c>
      <c r="C1722" s="1">
        <v>14</v>
      </c>
      <c r="D1722" s="2" t="s">
        <v>16</v>
      </c>
      <c r="E1722" s="6" t="str">
        <f>IF(Table13[[#This Row],[Pre or Post]]="Pre",IF(IF(Table13[[#This Row],[Response]]="Male",0,1)+IF(Table13[[#This Row],[Response]]="Female",0,1)=2,E1721,Table13[[#This Row],[Response]]),"")</f>
        <v/>
      </c>
      <c r="F1722" s="1">
        <v>16</v>
      </c>
      <c r="G1722" s="1">
        <v>5</v>
      </c>
      <c r="H1722" s="2" t="s">
        <v>9</v>
      </c>
      <c r="I172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2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2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23" spans="1:11">
      <c r="A1723" s="2" t="s">
        <v>24</v>
      </c>
      <c r="B1723" s="2" t="s">
        <v>31</v>
      </c>
      <c r="C1723" s="1">
        <v>14</v>
      </c>
      <c r="D1723" s="2" t="s">
        <v>16</v>
      </c>
      <c r="E1723" s="6" t="str">
        <f>IF(Table13[[#This Row],[Pre or Post]]="Pre",IF(IF(Table13[[#This Row],[Response]]="Male",0,1)+IF(Table13[[#This Row],[Response]]="Female",0,1)=2,E1722,Table13[[#This Row],[Response]]),"")</f>
        <v/>
      </c>
      <c r="F1723" s="1">
        <v>17</v>
      </c>
      <c r="G1723" s="1">
        <v>5</v>
      </c>
      <c r="H1723" s="2" t="s">
        <v>9</v>
      </c>
      <c r="I172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2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2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24" spans="1:11">
      <c r="A1724" s="2" t="s">
        <v>24</v>
      </c>
      <c r="B1724" s="2" t="s">
        <v>31</v>
      </c>
      <c r="C1724" s="1">
        <v>14</v>
      </c>
      <c r="D1724" s="2" t="s">
        <v>16</v>
      </c>
      <c r="E1724" s="6" t="str">
        <f>IF(Table13[[#This Row],[Pre or Post]]="Pre",IF(IF(Table13[[#This Row],[Response]]="Male",0,1)+IF(Table13[[#This Row],[Response]]="Female",0,1)=2,E1723,Table13[[#This Row],[Response]]),"")</f>
        <v/>
      </c>
      <c r="F1724" s="1">
        <v>8</v>
      </c>
      <c r="G1724" s="1"/>
      <c r="H1724" s="2" t="s">
        <v>9</v>
      </c>
      <c r="I172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2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2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25" spans="1:11">
      <c r="A1725" s="2" t="s">
        <v>24</v>
      </c>
      <c r="B1725" s="2" t="s">
        <v>31</v>
      </c>
      <c r="C1725" s="1">
        <v>14</v>
      </c>
      <c r="D1725" s="2" t="s">
        <v>16</v>
      </c>
      <c r="E1725" s="6" t="str">
        <f>IF(Table13[[#This Row],[Pre or Post]]="Pre",IF(IF(Table13[[#This Row],[Response]]="Male",0,1)+IF(Table13[[#This Row],[Response]]="Female",0,1)=2,E1724,Table13[[#This Row],[Response]]),"")</f>
        <v/>
      </c>
      <c r="F1725" s="1">
        <v>9</v>
      </c>
      <c r="G1725" s="1" t="s">
        <v>32</v>
      </c>
      <c r="H1725" s="2" t="s">
        <v>9</v>
      </c>
      <c r="I172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2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2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26" spans="1:11">
      <c r="A1726" s="2" t="s">
        <v>24</v>
      </c>
      <c r="B1726" s="2" t="s">
        <v>31</v>
      </c>
      <c r="C1726" s="1">
        <v>14</v>
      </c>
      <c r="D1726" s="2" t="s">
        <v>16</v>
      </c>
      <c r="E1726" s="6" t="str">
        <f>IF(Table13[[#This Row],[Pre or Post]]="Pre",IF(IF(Table13[[#This Row],[Response]]="Male",0,1)+IF(Table13[[#This Row],[Response]]="Female",0,1)=2,E1725,Table13[[#This Row],[Response]]),"")</f>
        <v/>
      </c>
      <c r="F1726" s="1">
        <v>10</v>
      </c>
      <c r="G1726" s="1" t="s">
        <v>18</v>
      </c>
      <c r="H1726" s="2" t="s">
        <v>9</v>
      </c>
      <c r="I172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2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2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27" spans="1:11">
      <c r="A1727" s="2" t="s">
        <v>24</v>
      </c>
      <c r="B1727" s="2" t="s">
        <v>31</v>
      </c>
      <c r="C1727" s="1">
        <v>15</v>
      </c>
      <c r="D1727" s="2" t="s">
        <v>16</v>
      </c>
      <c r="E1727" s="6" t="str">
        <f>IF(Table13[[#This Row],[Pre or Post]]="Pre",IF(IF(Table13[[#This Row],[Response]]="Male",0,1)+IF(Table13[[#This Row],[Response]]="Female",0,1)=2,E1726,Table13[[#This Row],[Response]]),"")</f>
        <v/>
      </c>
      <c r="F1727" s="1">
        <v>2</v>
      </c>
      <c r="G1727" s="1">
        <v>4</v>
      </c>
      <c r="H1727" s="2" t="s">
        <v>9</v>
      </c>
      <c r="I172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2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2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28" spans="1:11">
      <c r="A1728" s="2" t="s">
        <v>24</v>
      </c>
      <c r="B1728" s="2" t="s">
        <v>31</v>
      </c>
      <c r="C1728" s="1">
        <v>15</v>
      </c>
      <c r="D1728" s="2" t="s">
        <v>16</v>
      </c>
      <c r="E1728" s="6" t="str">
        <f>IF(Table13[[#This Row],[Pre or Post]]="Pre",IF(IF(Table13[[#This Row],[Response]]="Male",0,1)+IF(Table13[[#This Row],[Response]]="Female",0,1)=2,E1727,Table13[[#This Row],[Response]]),"")</f>
        <v/>
      </c>
      <c r="F1728" s="1">
        <v>3</v>
      </c>
      <c r="G1728" s="1">
        <v>5</v>
      </c>
      <c r="H1728" s="2" t="s">
        <v>9</v>
      </c>
      <c r="I172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2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2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29" spans="1:11">
      <c r="A1729" s="2" t="s">
        <v>24</v>
      </c>
      <c r="B1729" s="2" t="s">
        <v>31</v>
      </c>
      <c r="C1729" s="1">
        <v>15</v>
      </c>
      <c r="D1729" s="2" t="s">
        <v>16</v>
      </c>
      <c r="E1729" s="6" t="str">
        <f>IF(Table13[[#This Row],[Pre or Post]]="Pre",IF(IF(Table13[[#This Row],[Response]]="Male",0,1)+IF(Table13[[#This Row],[Response]]="Female",0,1)=2,E1728,Table13[[#This Row],[Response]]),"")</f>
        <v/>
      </c>
      <c r="F1729" s="1">
        <v>4</v>
      </c>
      <c r="G1729" s="1">
        <v>5</v>
      </c>
      <c r="H1729" s="2" t="s">
        <v>9</v>
      </c>
      <c r="I172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2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2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30" spans="1:11">
      <c r="A1730" s="2" t="s">
        <v>24</v>
      </c>
      <c r="B1730" s="2" t="s">
        <v>31</v>
      </c>
      <c r="C1730" s="1">
        <v>15</v>
      </c>
      <c r="D1730" s="2" t="s">
        <v>16</v>
      </c>
      <c r="E1730" s="6" t="str">
        <f>IF(Table13[[#This Row],[Pre or Post]]="Pre",IF(IF(Table13[[#This Row],[Response]]="Male",0,1)+IF(Table13[[#This Row],[Response]]="Female",0,1)=2,E1729,Table13[[#This Row],[Response]]),"")</f>
        <v/>
      </c>
      <c r="F1730" s="1">
        <v>12</v>
      </c>
      <c r="G1730" s="1">
        <v>3</v>
      </c>
      <c r="H1730" s="2" t="s">
        <v>9</v>
      </c>
      <c r="I173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3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3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31" spans="1:11">
      <c r="A1731" s="2" t="s">
        <v>24</v>
      </c>
      <c r="B1731" s="2" t="s">
        <v>31</v>
      </c>
      <c r="C1731" s="1">
        <v>15</v>
      </c>
      <c r="D1731" s="2" t="s">
        <v>16</v>
      </c>
      <c r="E1731" s="6" t="str">
        <f>IF(Table13[[#This Row],[Pre or Post]]="Pre",IF(IF(Table13[[#This Row],[Response]]="Male",0,1)+IF(Table13[[#This Row],[Response]]="Female",0,1)=2,E1730,Table13[[#This Row],[Response]]),"")</f>
        <v/>
      </c>
      <c r="F1731" s="1">
        <v>13</v>
      </c>
      <c r="G1731" s="1">
        <v>4</v>
      </c>
      <c r="H1731" s="2" t="s">
        <v>9</v>
      </c>
      <c r="I173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3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3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32" spans="1:11">
      <c r="A1732" s="2" t="s">
        <v>24</v>
      </c>
      <c r="B1732" s="2" t="s">
        <v>31</v>
      </c>
      <c r="C1732" s="1">
        <v>15</v>
      </c>
      <c r="D1732" s="2" t="s">
        <v>16</v>
      </c>
      <c r="E1732" s="6" t="str">
        <f>IF(Table13[[#This Row],[Pre or Post]]="Pre",IF(IF(Table13[[#This Row],[Response]]="Male",0,1)+IF(Table13[[#This Row],[Response]]="Female",0,1)=2,E1731,Table13[[#This Row],[Response]]),"")</f>
        <v/>
      </c>
      <c r="F1732" s="1">
        <v>5</v>
      </c>
      <c r="G1732" s="1">
        <v>5</v>
      </c>
      <c r="H1732" s="2" t="s">
        <v>9</v>
      </c>
      <c r="I1732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32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32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33" spans="1:11">
      <c r="A1733" s="2" t="s">
        <v>24</v>
      </c>
      <c r="B1733" s="2" t="s">
        <v>31</v>
      </c>
      <c r="C1733" s="1">
        <v>15</v>
      </c>
      <c r="D1733" s="2" t="s">
        <v>16</v>
      </c>
      <c r="E1733" s="6" t="str">
        <f>IF(Table13[[#This Row],[Pre or Post]]="Pre",IF(IF(Table13[[#This Row],[Response]]="Male",0,1)+IF(Table13[[#This Row],[Response]]="Female",0,1)=2,E1732,Table13[[#This Row],[Response]]),"")</f>
        <v/>
      </c>
      <c r="F1733" s="1">
        <v>6</v>
      </c>
      <c r="G1733" s="1">
        <v>5</v>
      </c>
      <c r="H1733" s="2" t="s">
        <v>9</v>
      </c>
      <c r="I1733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33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33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34" spans="1:11">
      <c r="A1734" s="2" t="s">
        <v>24</v>
      </c>
      <c r="B1734" s="2" t="s">
        <v>31</v>
      </c>
      <c r="C1734" s="1">
        <v>15</v>
      </c>
      <c r="D1734" s="2" t="s">
        <v>16</v>
      </c>
      <c r="E1734" s="6" t="str">
        <f>IF(Table13[[#This Row],[Pre or Post]]="Pre",IF(IF(Table13[[#This Row],[Response]]="Male",0,1)+IF(Table13[[#This Row],[Response]]="Female",0,1)=2,E1733,Table13[[#This Row],[Response]]),"")</f>
        <v/>
      </c>
      <c r="F1734" s="1">
        <v>15</v>
      </c>
      <c r="G1734" s="1">
        <v>3</v>
      </c>
      <c r="H1734" s="2" t="s">
        <v>9</v>
      </c>
      <c r="I1734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34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34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35" spans="1:11">
      <c r="A1735" s="2" t="s">
        <v>24</v>
      </c>
      <c r="B1735" s="2" t="s">
        <v>31</v>
      </c>
      <c r="C1735" s="1">
        <v>15</v>
      </c>
      <c r="D1735" s="2" t="s">
        <v>16</v>
      </c>
      <c r="E1735" s="6" t="str">
        <f>IF(Table13[[#This Row],[Pre or Post]]="Pre",IF(IF(Table13[[#This Row],[Response]]="Male",0,1)+IF(Table13[[#This Row],[Response]]="Female",0,1)=2,E1734,Table13[[#This Row],[Response]]),"")</f>
        <v/>
      </c>
      <c r="F1735" s="1">
        <v>14</v>
      </c>
      <c r="G1735" s="1"/>
      <c r="H1735" s="2" t="s">
        <v>9</v>
      </c>
      <c r="I1735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35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35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36" spans="1:11">
      <c r="A1736" s="2" t="s">
        <v>24</v>
      </c>
      <c r="B1736" s="2" t="s">
        <v>31</v>
      </c>
      <c r="C1736" s="1">
        <v>15</v>
      </c>
      <c r="D1736" s="2" t="s">
        <v>16</v>
      </c>
      <c r="E1736" s="6" t="str">
        <f>IF(Table13[[#This Row],[Pre or Post]]="Pre",IF(IF(Table13[[#This Row],[Response]]="Male",0,1)+IF(Table13[[#This Row],[Response]]="Female",0,1)=2,E1735,Table13[[#This Row],[Response]]),"")</f>
        <v/>
      </c>
      <c r="F1736" s="1">
        <v>7</v>
      </c>
      <c r="G1736" s="1">
        <v>5</v>
      </c>
      <c r="H1736" s="2" t="s">
        <v>9</v>
      </c>
      <c r="I1736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36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36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37" spans="1:11">
      <c r="A1737" s="2" t="s">
        <v>24</v>
      </c>
      <c r="B1737" s="2" t="s">
        <v>31</v>
      </c>
      <c r="C1737" s="1">
        <v>15</v>
      </c>
      <c r="D1737" s="2" t="s">
        <v>16</v>
      </c>
      <c r="E1737" s="6" t="str">
        <f>IF(Table13[[#This Row],[Pre or Post]]="Pre",IF(IF(Table13[[#This Row],[Response]]="Male",0,1)+IF(Table13[[#This Row],[Response]]="Female",0,1)=2,E1736,Table13[[#This Row],[Response]]),"")</f>
        <v/>
      </c>
      <c r="F1737" s="1">
        <v>16</v>
      </c>
      <c r="G1737" s="1">
        <v>2</v>
      </c>
      <c r="H1737" s="2" t="s">
        <v>9</v>
      </c>
      <c r="I1737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37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37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38" spans="1:11">
      <c r="A1738" s="2" t="s">
        <v>24</v>
      </c>
      <c r="B1738" s="2" t="s">
        <v>31</v>
      </c>
      <c r="C1738" s="1">
        <v>15</v>
      </c>
      <c r="D1738" s="2" t="s">
        <v>16</v>
      </c>
      <c r="E1738" s="6" t="str">
        <f>IF(Table13[[#This Row],[Pre or Post]]="Pre",IF(IF(Table13[[#This Row],[Response]]="Male",0,1)+IF(Table13[[#This Row],[Response]]="Female",0,1)=2,E1737,Table13[[#This Row],[Response]]),"")</f>
        <v/>
      </c>
      <c r="F1738" s="1">
        <v>17</v>
      </c>
      <c r="G1738" s="1">
        <v>5</v>
      </c>
      <c r="H1738" s="2" t="s">
        <v>9</v>
      </c>
      <c r="I1738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38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38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39" spans="1:11">
      <c r="A1739" s="2" t="s">
        <v>24</v>
      </c>
      <c r="B1739" s="2" t="s">
        <v>31</v>
      </c>
      <c r="C1739" s="1">
        <v>15</v>
      </c>
      <c r="D1739" s="2" t="s">
        <v>16</v>
      </c>
      <c r="E1739" s="6" t="str">
        <f>IF(Table13[[#This Row],[Pre or Post]]="Pre",IF(IF(Table13[[#This Row],[Response]]="Male",0,1)+IF(Table13[[#This Row],[Response]]="Female",0,1)=2,E1738,Table13[[#This Row],[Response]]),"")</f>
        <v/>
      </c>
      <c r="F1739" s="1">
        <v>8</v>
      </c>
      <c r="G1739" s="1" t="s">
        <v>8</v>
      </c>
      <c r="H1739" s="2" t="s">
        <v>9</v>
      </c>
      <c r="I1739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39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39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40" spans="1:11">
      <c r="A1740" s="2" t="s">
        <v>24</v>
      </c>
      <c r="B1740" s="2" t="s">
        <v>31</v>
      </c>
      <c r="C1740" s="1">
        <v>15</v>
      </c>
      <c r="D1740" s="2" t="s">
        <v>16</v>
      </c>
      <c r="E1740" s="6" t="str">
        <f>IF(Table13[[#This Row],[Pre or Post]]="Pre",IF(IF(Table13[[#This Row],[Response]]="Male",0,1)+IF(Table13[[#This Row],[Response]]="Female",0,1)=2,E1739,Table13[[#This Row],[Response]]),"")</f>
        <v/>
      </c>
      <c r="F1740" s="1">
        <v>9</v>
      </c>
      <c r="G1740" s="1" t="s">
        <v>17</v>
      </c>
      <c r="H1740" s="2" t="s">
        <v>9</v>
      </c>
      <c r="I1740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40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40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41" spans="1:11">
      <c r="A1741" s="2" t="s">
        <v>24</v>
      </c>
      <c r="B1741" s="2" t="s">
        <v>31</v>
      </c>
      <c r="C1741" s="1">
        <v>15</v>
      </c>
      <c r="D1741" s="2" t="s">
        <v>16</v>
      </c>
      <c r="E1741" s="6" t="str">
        <f>IF(Table13[[#This Row],[Pre or Post]]="Pre",IF(IF(Table13[[#This Row],[Response]]="Male",0,1)+IF(Table13[[#This Row],[Response]]="Female",0,1)=2,E1740,Table13[[#This Row],[Response]]),"")</f>
        <v/>
      </c>
      <c r="F1741" s="1">
        <v>10</v>
      </c>
      <c r="G1741" s="1" t="s">
        <v>18</v>
      </c>
      <c r="H1741" s="2" t="s">
        <v>9</v>
      </c>
      <c r="I1741" s="5" t="str">
        <f>IF(Table13[[#This Row],[Session]]="Alpha","Girls",IF(Table13[[#This Row],[Session]]="Beta","Boys",IF(Table13[[#This Row],[Session]]="Gamma","Boys",IF(Table13[[#This Row],[Session]]="Delta","Boys","Mixed"))))</f>
        <v>Boys</v>
      </c>
      <c r="J1741" s="5" t="str">
        <f>IF(Table13[[#This Row],[Session]]="Alpha","9:30AM",IF(Table13[[#This Row],[Session]]="Beta","11:30AM",IF(Table13[[#This Row],[Session]]="Gamma","1:45PM",IF(Table13[[#This Row],[Session]]="Delta","9:30AM",IF(Table13[[#This Row],[Session]]="Epsilon","9:00AM",IF(Table13[[#This Row],[Session]]="Zeta","11:00AM",IF(Table13[[#This Row],[Session]]="Eta","1:30PM",IF(Table13[[#This Row],[Session]]="Theta","11:00AM",IF(Table13[[#This Row],[Session]]="Iota","9:30AM","")))))))))</f>
        <v>1:45PM</v>
      </c>
      <c r="K1741" s="5" t="str">
        <f>IF(Table13[[#This Row],[Session]]="Alpha","Cathleena",IF(Table13[[#This Row],[Session]]="Beta", "Cathleena",IF(Table13[[#This Row],[Session]]="Gamma","Cathleena",IF(Table13[[#This Row],[Session]]="Delta", "Gemma",IF(Table13[[#This Row],[Session]]="Epsilon","Rosemary",IF(Table13[[#This Row],[Session]]="Zeta","Rosemary",IF(Table13[[#This Row],[Session]]="Eta","Rosemary",IF(Table13[[#This Row],[Session]]="Theta","Carly",IF(Table13[[#This Row],[Session]]="Iota","Caitlin","")))))))))</f>
        <v>Cathleena</v>
      </c>
    </row>
    <row r="1742" spans="1:11">
      <c r="A1742" s="1"/>
      <c r="B1742" s="1"/>
      <c r="C1742" s="1"/>
      <c r="D1742" s="2"/>
      <c r="E1742" s="1"/>
      <c r="F1742" s="1"/>
      <c r="G1742" s="1"/>
    </row>
    <row r="1743" spans="1:11">
      <c r="A1743" s="1"/>
      <c r="B1743" s="1"/>
      <c r="C1743" s="1"/>
      <c r="D1743" s="2"/>
      <c r="E1743" s="1"/>
      <c r="F1743" s="1"/>
      <c r="G1743" s="1"/>
    </row>
    <row r="1744" spans="1:11">
      <c r="A1744" s="1"/>
      <c r="B1744" s="1"/>
      <c r="C1744" s="1"/>
      <c r="D1744" s="2"/>
      <c r="E1744" s="1"/>
      <c r="F1744" s="1"/>
      <c r="G1744" s="1"/>
    </row>
    <row r="1745" spans="1:7">
      <c r="A1745" s="1"/>
      <c r="B1745" s="1"/>
      <c r="C1745" s="1"/>
      <c r="D1745" s="2"/>
      <c r="E1745" s="1"/>
      <c r="F1745" s="1"/>
      <c r="G1745" s="1"/>
    </row>
    <row r="1746" spans="1:7">
      <c r="A1746" s="1"/>
      <c r="B1746" s="1"/>
      <c r="C1746" s="1"/>
      <c r="D1746" s="2"/>
      <c r="E1746" s="1"/>
      <c r="F1746" s="1"/>
      <c r="G1746" s="1"/>
    </row>
    <row r="1747" spans="1:7">
      <c r="A1747" s="1"/>
      <c r="B1747" s="1"/>
      <c r="C1747" s="1"/>
      <c r="D1747" s="2"/>
      <c r="E1747" s="1"/>
      <c r="F1747" s="1"/>
      <c r="G1747" s="1"/>
    </row>
    <row r="1748" spans="1:7">
      <c r="A1748" s="1"/>
      <c r="B1748" s="1"/>
      <c r="C1748" s="1"/>
      <c r="D1748" s="2"/>
      <c r="E1748" s="1"/>
      <c r="F1748" s="1"/>
      <c r="G1748" s="1"/>
    </row>
    <row r="1749" spans="1:7">
      <c r="A1749" s="1"/>
      <c r="B1749" s="1"/>
      <c r="C1749" s="1"/>
      <c r="D1749" s="2"/>
      <c r="E1749" s="1"/>
      <c r="F1749" s="1"/>
      <c r="G1749" s="1"/>
    </row>
    <row r="1750" spans="1:7">
      <c r="A1750" s="1"/>
      <c r="B1750" s="1"/>
      <c r="C1750" s="1"/>
      <c r="D1750" s="2"/>
      <c r="E1750" s="1"/>
      <c r="F1750" s="1"/>
      <c r="G1750" s="1"/>
    </row>
    <row r="1751" spans="1:7">
      <c r="A1751" s="1"/>
      <c r="B1751" s="1"/>
      <c r="C1751" s="1"/>
      <c r="D1751" s="2"/>
      <c r="E1751" s="1"/>
      <c r="F1751" s="1"/>
      <c r="G1751" s="1"/>
    </row>
    <row r="1752" spans="1:7">
      <c r="A1752" s="1"/>
      <c r="B1752" s="1"/>
      <c r="C1752" s="1"/>
      <c r="D1752" s="2"/>
      <c r="E1752" s="1"/>
      <c r="F1752" s="1"/>
      <c r="G1752" s="1"/>
    </row>
    <row r="1753" spans="1:7">
      <c r="A1753" s="1"/>
      <c r="B1753" s="1"/>
      <c r="C1753" s="1"/>
      <c r="D1753" s="2"/>
      <c r="E1753" s="1"/>
      <c r="F1753" s="1"/>
      <c r="G1753" s="1"/>
    </row>
    <row r="1754" spans="1:7">
      <c r="A1754" s="1"/>
      <c r="B1754" s="1"/>
      <c r="C1754" s="1"/>
      <c r="D1754" s="2"/>
      <c r="E1754" s="1"/>
      <c r="F1754" s="1"/>
      <c r="G1754" s="1"/>
    </row>
    <row r="1755" spans="1:7">
      <c r="A1755" s="1"/>
      <c r="B1755" s="1"/>
      <c r="C1755" s="1"/>
      <c r="D1755" s="2"/>
      <c r="E1755" s="1"/>
      <c r="F1755" s="1"/>
      <c r="G1755" s="1"/>
    </row>
    <row r="1756" spans="1:7">
      <c r="A1756" s="1"/>
      <c r="B1756" s="1"/>
      <c r="C1756" s="1"/>
      <c r="D1756" s="2"/>
      <c r="E1756" s="1"/>
      <c r="F1756" s="1"/>
      <c r="G1756" s="1"/>
    </row>
    <row r="1757" spans="1:7">
      <c r="A1757" s="1"/>
      <c r="B1757" s="1"/>
      <c r="C1757" s="1"/>
      <c r="D1757" s="2"/>
      <c r="E1757" s="1"/>
      <c r="F1757" s="1"/>
      <c r="G1757" s="1"/>
    </row>
    <row r="1758" spans="1:7">
      <c r="A1758" s="1"/>
      <c r="B1758" s="1"/>
      <c r="C1758" s="1"/>
      <c r="D1758" s="2"/>
      <c r="E1758" s="1"/>
      <c r="F1758" s="1"/>
      <c r="G1758" s="1"/>
    </row>
    <row r="1759" spans="1:7">
      <c r="A1759" s="1"/>
      <c r="B1759" s="1"/>
      <c r="C1759" s="1"/>
      <c r="D1759" s="2"/>
      <c r="E1759" s="1"/>
      <c r="F1759" s="1"/>
      <c r="G1759" s="1"/>
    </row>
    <row r="1760" spans="1:7">
      <c r="A1760" s="1"/>
      <c r="B1760" s="1"/>
      <c r="C1760" s="1"/>
      <c r="D1760" s="2"/>
      <c r="E1760" s="1"/>
      <c r="F1760" s="1"/>
      <c r="G1760" s="1"/>
    </row>
    <row r="1761" spans="1:7">
      <c r="A1761" s="1"/>
      <c r="B1761" s="1"/>
      <c r="C1761" s="1"/>
      <c r="D1761" s="2"/>
      <c r="E1761" s="1"/>
      <c r="F1761" s="1"/>
      <c r="G1761" s="1"/>
    </row>
    <row r="1762" spans="1:7">
      <c r="A1762" s="1"/>
      <c r="B1762" s="1"/>
      <c r="C1762" s="1"/>
      <c r="D1762" s="2"/>
      <c r="E1762" s="1"/>
      <c r="F1762" s="1"/>
      <c r="G1762" s="1"/>
    </row>
    <row r="1763" spans="1:7">
      <c r="A1763" s="1"/>
      <c r="B1763" s="1"/>
      <c r="C1763" s="1"/>
      <c r="D1763" s="2"/>
      <c r="E1763" s="1"/>
      <c r="F1763" s="1"/>
      <c r="G1763" s="1"/>
    </row>
    <row r="1764" spans="1:7">
      <c r="A1764" s="1"/>
      <c r="B1764" s="1"/>
      <c r="C1764" s="1"/>
      <c r="D1764" s="2"/>
      <c r="E1764" s="1"/>
      <c r="F1764" s="1"/>
      <c r="G1764" s="1"/>
    </row>
    <row r="1765" spans="1:7">
      <c r="A1765" s="1"/>
      <c r="B1765" s="1"/>
      <c r="C1765" s="1"/>
      <c r="D1765" s="2"/>
      <c r="E1765" s="1"/>
      <c r="F1765" s="1"/>
      <c r="G1765" s="1"/>
    </row>
    <row r="1766" spans="1:7">
      <c r="A1766" s="1"/>
      <c r="B1766" s="1"/>
      <c r="C1766" s="1"/>
      <c r="D1766" s="2"/>
      <c r="E1766" s="1"/>
      <c r="F1766" s="1"/>
      <c r="G1766" s="1"/>
    </row>
    <row r="1767" spans="1:7">
      <c r="A1767" s="1"/>
      <c r="B1767" s="1"/>
      <c r="C1767" s="1"/>
      <c r="D1767" s="2"/>
      <c r="E1767" s="1"/>
      <c r="F1767" s="1"/>
      <c r="G1767" s="1"/>
    </row>
    <row r="1768" spans="1:7">
      <c r="A1768" s="1"/>
      <c r="B1768" s="1"/>
      <c r="C1768" s="1"/>
      <c r="D1768" s="2"/>
      <c r="E1768" s="1"/>
      <c r="F1768" s="1"/>
      <c r="G1768" s="1"/>
    </row>
    <row r="1769" spans="1:7">
      <c r="A1769" s="1"/>
      <c r="B1769" s="1"/>
      <c r="C1769" s="1"/>
      <c r="D1769" s="2"/>
      <c r="E1769" s="1"/>
      <c r="F1769" s="1"/>
      <c r="G1769" s="1"/>
    </row>
    <row r="1770" spans="1:7">
      <c r="A1770" s="1"/>
      <c r="B1770" s="1"/>
      <c r="C1770" s="1"/>
      <c r="D1770" s="2"/>
      <c r="E1770" s="1"/>
      <c r="F1770" s="1"/>
      <c r="G1770" s="1"/>
    </row>
    <row r="1771" spans="1:7">
      <c r="A1771" s="1"/>
      <c r="B1771" s="1"/>
      <c r="C1771" s="1"/>
      <c r="D1771" s="2"/>
      <c r="E1771" s="1"/>
      <c r="F1771" s="1"/>
      <c r="G1771" s="1"/>
    </row>
    <row r="1772" spans="1:7">
      <c r="A1772" s="1"/>
      <c r="B1772" s="1"/>
      <c r="C1772" s="1"/>
      <c r="D1772" s="2"/>
      <c r="E1772" s="1"/>
      <c r="F1772" s="1"/>
      <c r="G1772" s="1"/>
    </row>
    <row r="1773" spans="1:7">
      <c r="A1773" s="1"/>
      <c r="B1773" s="1"/>
      <c r="C1773" s="1"/>
      <c r="D1773" s="2"/>
      <c r="E1773" s="1"/>
      <c r="F1773" s="1"/>
      <c r="G1773" s="1"/>
    </row>
    <row r="1774" spans="1:7">
      <c r="A1774" s="1"/>
      <c r="B1774" s="1"/>
      <c r="C1774" s="1"/>
      <c r="D1774" s="2"/>
      <c r="E1774" s="1"/>
      <c r="F1774" s="1"/>
      <c r="G1774" s="1"/>
    </row>
    <row r="1775" spans="1:7">
      <c r="A1775" s="1"/>
      <c r="B1775" s="1"/>
      <c r="C1775" s="1"/>
      <c r="D1775" s="2"/>
      <c r="E1775" s="1"/>
      <c r="F1775" s="1"/>
      <c r="G1775" s="1"/>
    </row>
    <row r="1776" spans="1:7">
      <c r="A1776" s="1"/>
      <c r="B1776" s="1"/>
      <c r="C1776" s="1"/>
      <c r="D1776" s="2"/>
      <c r="E1776" s="1"/>
      <c r="F1776" s="1"/>
      <c r="G1776" s="1"/>
    </row>
    <row r="1777" spans="1:7">
      <c r="A1777" s="1"/>
      <c r="B1777" s="1"/>
      <c r="C1777" s="1"/>
      <c r="D1777" s="2"/>
      <c r="E1777" s="1"/>
      <c r="F1777" s="1"/>
      <c r="G1777" s="1"/>
    </row>
    <row r="1778" spans="1:7">
      <c r="A1778" s="1"/>
      <c r="B1778" s="1"/>
      <c r="C1778" s="1"/>
      <c r="D1778" s="2"/>
      <c r="E1778" s="1"/>
      <c r="F1778" s="1"/>
      <c r="G1778" s="1"/>
    </row>
    <row r="1779" spans="1:7">
      <c r="A1779" s="1"/>
      <c r="B1779" s="1"/>
      <c r="C1779" s="1"/>
      <c r="D1779" s="2"/>
      <c r="E1779" s="1"/>
      <c r="F1779" s="1"/>
      <c r="G1779" s="1"/>
    </row>
    <row r="1780" spans="1:7">
      <c r="A1780" s="1"/>
      <c r="B1780" s="1"/>
      <c r="C1780" s="1"/>
      <c r="D1780" s="2"/>
      <c r="E1780" s="1"/>
      <c r="F1780" s="1"/>
      <c r="G1780" s="1"/>
    </row>
    <row r="1781" spans="1:7">
      <c r="A1781" s="1"/>
      <c r="B1781" s="1"/>
      <c r="C1781" s="1"/>
      <c r="D1781" s="2"/>
      <c r="E1781" s="1"/>
      <c r="F1781" s="1"/>
      <c r="G1781" s="1"/>
    </row>
    <row r="1782" spans="1:7">
      <c r="A1782" s="1"/>
      <c r="B1782" s="1"/>
      <c r="C1782" s="1"/>
      <c r="D1782" s="2"/>
      <c r="E1782" s="1"/>
      <c r="F1782" s="1"/>
      <c r="G1782" s="1"/>
    </row>
    <row r="1783" spans="1:7">
      <c r="A1783" s="1"/>
      <c r="B1783" s="1"/>
      <c r="C1783" s="1"/>
      <c r="D1783" s="2"/>
      <c r="E1783" s="1"/>
      <c r="F1783" s="1"/>
      <c r="G1783" s="1"/>
    </row>
    <row r="1784" spans="1:7">
      <c r="A1784" s="1"/>
      <c r="B1784" s="1"/>
      <c r="C1784" s="1"/>
      <c r="D1784" s="2"/>
      <c r="E1784" s="1"/>
      <c r="F1784" s="1"/>
      <c r="G1784" s="1"/>
    </row>
    <row r="1785" spans="1:7">
      <c r="A1785" s="1"/>
      <c r="B1785" s="1"/>
      <c r="C1785" s="1"/>
      <c r="D1785" s="2"/>
      <c r="E1785" s="1"/>
      <c r="F1785" s="1"/>
      <c r="G1785" s="1"/>
    </row>
    <row r="1786" spans="1:7">
      <c r="A1786" s="1"/>
      <c r="B1786" s="1"/>
      <c r="C1786" s="1"/>
      <c r="D1786" s="2"/>
      <c r="E1786" s="1"/>
      <c r="F1786" s="1"/>
      <c r="G1786" s="1"/>
    </row>
    <row r="1787" spans="1:7">
      <c r="A1787" s="1"/>
      <c r="B1787" s="1"/>
      <c r="C1787" s="2"/>
      <c r="D1787" s="2"/>
      <c r="E1787" s="1"/>
      <c r="F1787" s="1"/>
      <c r="G1787" s="1"/>
    </row>
    <row r="1788" spans="1:7">
      <c r="A1788" s="1"/>
      <c r="B1788" s="1"/>
      <c r="C1788" s="2"/>
      <c r="D1788" s="2"/>
      <c r="E1788" s="1"/>
      <c r="F1788" s="1"/>
      <c r="G1788" s="1"/>
    </row>
    <row r="1789" spans="1:7">
      <c r="A1789" s="1"/>
      <c r="B1789" s="1"/>
      <c r="C1789" s="2"/>
      <c r="D1789" s="2"/>
      <c r="E1789" s="1"/>
      <c r="F1789" s="1"/>
      <c r="G1789" s="1"/>
    </row>
    <row r="1790" spans="1:7">
      <c r="A1790" s="1"/>
      <c r="B1790" s="1"/>
      <c r="C1790" s="2"/>
      <c r="D1790" s="2"/>
      <c r="E1790" s="1"/>
      <c r="F1790" s="1"/>
      <c r="G1790" s="1"/>
    </row>
    <row r="1791" spans="1:7">
      <c r="A1791" s="1"/>
      <c r="B1791" s="1"/>
      <c r="C1791" s="2"/>
      <c r="D1791" s="2"/>
      <c r="E1791" s="1"/>
      <c r="F1791" s="1"/>
      <c r="G1791" s="1"/>
    </row>
    <row r="1792" spans="1:7">
      <c r="A1792" s="1"/>
      <c r="B1792" s="1"/>
      <c r="C1792" s="2"/>
      <c r="D1792" s="2"/>
      <c r="E1792" s="1"/>
      <c r="F1792" s="1"/>
      <c r="G1792" s="1"/>
    </row>
    <row r="1793" spans="1:7">
      <c r="A1793" s="1"/>
      <c r="B1793" s="1"/>
      <c r="C1793" s="2"/>
      <c r="D1793" s="2"/>
      <c r="E1793" s="1"/>
      <c r="F1793" s="1"/>
      <c r="G1793" s="1"/>
    </row>
    <row r="1794" spans="1:7">
      <c r="A1794" s="1"/>
      <c r="B1794" s="1"/>
      <c r="C1794" s="2"/>
      <c r="D1794" s="2"/>
      <c r="E1794" s="1"/>
      <c r="F1794" s="1"/>
      <c r="G1794" s="1"/>
    </row>
    <row r="1795" spans="1:7">
      <c r="A1795" s="1"/>
      <c r="B1795" s="1"/>
      <c r="C1795" s="2"/>
      <c r="D1795" s="2"/>
      <c r="E1795" s="1"/>
      <c r="F1795" s="1"/>
      <c r="G1795" s="1"/>
    </row>
    <row r="1796" spans="1:7">
      <c r="A1796" s="1"/>
      <c r="B1796" s="1"/>
      <c r="C1796" s="2"/>
      <c r="D1796" s="2"/>
      <c r="E1796" s="1"/>
      <c r="F1796" s="1"/>
      <c r="G1796" s="1"/>
    </row>
    <row r="1797" spans="1:7">
      <c r="A1797" s="1"/>
      <c r="B1797" s="1"/>
      <c r="C1797" s="2"/>
      <c r="D1797" s="2"/>
      <c r="E1797" s="1"/>
      <c r="F1797" s="1"/>
      <c r="G1797" s="1"/>
    </row>
    <row r="1798" spans="1:7">
      <c r="A1798" s="1"/>
      <c r="B1798" s="1"/>
      <c r="C1798" s="2"/>
      <c r="D1798" s="2"/>
      <c r="E1798" s="1"/>
      <c r="F1798" s="1"/>
      <c r="G1798" s="1"/>
    </row>
    <row r="1799" spans="1:7">
      <c r="A1799" s="1"/>
      <c r="B1799" s="1"/>
      <c r="C1799" s="2"/>
      <c r="D1799" s="2"/>
      <c r="E1799" s="1"/>
      <c r="F1799" s="1"/>
      <c r="G1799" s="1"/>
    </row>
    <row r="1800" spans="1:7">
      <c r="A1800" s="1"/>
      <c r="B1800" s="1"/>
      <c r="C1800" s="2"/>
      <c r="D1800" s="2"/>
      <c r="E1800" s="1"/>
      <c r="F1800" s="1"/>
      <c r="G1800" s="1"/>
    </row>
    <row r="1801" spans="1:7">
      <c r="A1801" s="1"/>
      <c r="B1801" s="1"/>
      <c r="C1801" s="2"/>
      <c r="D1801" s="2"/>
      <c r="E1801" s="1"/>
      <c r="F1801" s="1"/>
      <c r="G1801" s="1"/>
    </row>
  </sheetData>
  <pageMargins left="0.7" right="0.7" top="0.75" bottom="0.75" header="0.3" footer="0.3"/>
  <pageSetup scale="50" fitToHeight="99" orientation="portrait" horizontalDpi="300" verticalDpi="30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172"/>
  <sheetViews>
    <sheetView workbookViewId="0">
      <pane ySplit="1" topLeftCell="A133" activePane="bottomLeft" state="frozen"/>
      <selection activeCell="E37" sqref="E37"/>
      <selection pane="bottomLeft" activeCell="A164" sqref="A164:F172"/>
    </sheetView>
  </sheetViews>
  <sheetFormatPr defaultColWidth="16.7109375" defaultRowHeight="15"/>
  <cols>
    <col min="1" max="16384" width="16.7109375" style="1"/>
  </cols>
  <sheetData>
    <row r="1" spans="1:12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35</v>
      </c>
      <c r="H1" s="1" t="s">
        <v>67</v>
      </c>
      <c r="I1" s="1" t="s">
        <v>24</v>
      </c>
      <c r="J1" s="1" t="s">
        <v>12</v>
      </c>
      <c r="K1" s="1" t="s">
        <v>136</v>
      </c>
      <c r="L1" s="1" t="s">
        <v>137</v>
      </c>
    </row>
    <row r="2" spans="1:12">
      <c r="A2" s="1" t="s">
        <v>12</v>
      </c>
      <c r="B2" s="1" t="s">
        <v>10</v>
      </c>
      <c r="C2" s="1">
        <v>2</v>
      </c>
      <c r="D2" s="1" t="s">
        <v>16</v>
      </c>
      <c r="E2" s="1">
        <v>7</v>
      </c>
      <c r="F2" s="1">
        <v>4</v>
      </c>
      <c r="G2" s="5">
        <f>IF(IF(Table4428185052[[#This Row],[Pre or Post]]="Post",1,0)+IF(ISNUMBER(Table4428185052[[#This Row],[Response]])=TRUE,1,0)=2,1,"")</f>
        <v>1</v>
      </c>
      <c r="H2" s="5">
        <f>IF(IF(Table4428185052[[#This Row],[Pre or Post]]="Post",1,0)+IF(ISNUMBER(Table4428185052[[#This Row],[Response]])=TRUE,1,0)=2,Table4428185052[[#This Row],[Response]],"")</f>
        <v>4</v>
      </c>
      <c r="I2" s="5" t="str">
        <f>IF(Table4428185052[[#This Row],[Old or New?]]="New",Table4428185052[[#This Row],[Post Total]],"")</f>
        <v/>
      </c>
      <c r="J2" s="5">
        <f>IF(Table4428185052[[#This Row],[Old or New?]]="Old",Table4428185052[[#This Row],[Post Total]],"")</f>
        <v>4</v>
      </c>
      <c r="K2" s="5" t="b">
        <f>ISNUMBER(Table4428185052[[#This Row],[New]])</f>
        <v>0</v>
      </c>
      <c r="L2" s="5" t="b">
        <f>ISNUMBER(Table4428185052[[#This Row],[Old]])</f>
        <v>1</v>
      </c>
    </row>
    <row r="3" spans="1:12">
      <c r="A3" s="1" t="s">
        <v>12</v>
      </c>
      <c r="B3" s="1" t="s">
        <v>10</v>
      </c>
      <c r="C3" s="1">
        <v>3</v>
      </c>
      <c r="D3" s="1" t="s">
        <v>16</v>
      </c>
      <c r="E3" s="1">
        <v>7</v>
      </c>
      <c r="F3" s="1">
        <v>5</v>
      </c>
      <c r="G3" s="5">
        <f>IF(IF(Table4428185052[[#This Row],[Pre or Post]]="Post",1,0)+IF(ISNUMBER(Table4428185052[[#This Row],[Response]])=TRUE,1,0)=2,1,"")</f>
        <v>1</v>
      </c>
      <c r="H3" s="5">
        <f>IF(IF(Table4428185052[[#This Row],[Pre or Post]]="Post",1,0)+IF(ISNUMBER(Table4428185052[[#This Row],[Response]])=TRUE,1,0)=2,Table4428185052[[#This Row],[Response]],"")</f>
        <v>5</v>
      </c>
      <c r="I3" s="5" t="str">
        <f>IF(Table4428185052[[#This Row],[Old or New?]]="New",Table4428185052[[#This Row],[Post Total]],"")</f>
        <v/>
      </c>
      <c r="J3" s="5">
        <f>IF(Table4428185052[[#This Row],[Old or New?]]="Old",Table4428185052[[#This Row],[Post Total]],"")</f>
        <v>5</v>
      </c>
      <c r="K3" s="5" t="b">
        <f>ISNUMBER(Table4428185052[[#This Row],[New]])</f>
        <v>0</v>
      </c>
      <c r="L3" s="5" t="b">
        <f>ISNUMBER(Table4428185052[[#This Row],[Old]])</f>
        <v>1</v>
      </c>
    </row>
    <row r="4" spans="1:12">
      <c r="A4" s="1" t="s">
        <v>12</v>
      </c>
      <c r="B4" s="1" t="s">
        <v>10</v>
      </c>
      <c r="C4" s="1">
        <v>4</v>
      </c>
      <c r="D4" s="1" t="s">
        <v>16</v>
      </c>
      <c r="E4" s="1">
        <v>7</v>
      </c>
      <c r="F4" s="1">
        <v>5</v>
      </c>
      <c r="G4" s="5">
        <f>IF(IF(Table4428185052[[#This Row],[Pre or Post]]="Post",1,0)+IF(ISNUMBER(Table4428185052[[#This Row],[Response]])=TRUE,1,0)=2,1,"")</f>
        <v>1</v>
      </c>
      <c r="H4" s="5">
        <f>IF(IF(Table4428185052[[#This Row],[Pre or Post]]="Post",1,0)+IF(ISNUMBER(Table4428185052[[#This Row],[Response]])=TRUE,1,0)=2,Table4428185052[[#This Row],[Response]],"")</f>
        <v>5</v>
      </c>
      <c r="I4" s="5" t="str">
        <f>IF(Table4428185052[[#This Row],[Old or New?]]="New",Table4428185052[[#This Row],[Post Total]],"")</f>
        <v/>
      </c>
      <c r="J4" s="5">
        <f>IF(Table4428185052[[#This Row],[Old or New?]]="Old",Table4428185052[[#This Row],[Post Total]],"")</f>
        <v>5</v>
      </c>
      <c r="K4" s="5" t="b">
        <f>ISNUMBER(Table4428185052[[#This Row],[New]])</f>
        <v>0</v>
      </c>
      <c r="L4" s="5" t="b">
        <f>ISNUMBER(Table4428185052[[#This Row],[Old]])</f>
        <v>1</v>
      </c>
    </row>
    <row r="5" spans="1:12">
      <c r="A5" s="1" t="s">
        <v>12</v>
      </c>
      <c r="B5" s="1" t="s">
        <v>10</v>
      </c>
      <c r="C5" s="1">
        <v>5</v>
      </c>
      <c r="D5" s="1" t="s">
        <v>16</v>
      </c>
      <c r="E5" s="1">
        <v>7</v>
      </c>
      <c r="F5" s="1">
        <v>5</v>
      </c>
      <c r="G5" s="5">
        <f>IF(IF(Table4428185052[[#This Row],[Pre or Post]]="Post",1,0)+IF(ISNUMBER(Table4428185052[[#This Row],[Response]])=TRUE,1,0)=2,1,"")</f>
        <v>1</v>
      </c>
      <c r="H5" s="5">
        <f>IF(IF(Table4428185052[[#This Row],[Pre or Post]]="Post",1,0)+IF(ISNUMBER(Table4428185052[[#This Row],[Response]])=TRUE,1,0)=2,Table4428185052[[#This Row],[Response]],"")</f>
        <v>5</v>
      </c>
      <c r="I5" s="5" t="str">
        <f>IF(Table4428185052[[#This Row],[Old or New?]]="New",Table4428185052[[#This Row],[Post Total]],"")</f>
        <v/>
      </c>
      <c r="J5" s="5">
        <f>IF(Table4428185052[[#This Row],[Old or New?]]="Old",Table4428185052[[#This Row],[Post Total]],"")</f>
        <v>5</v>
      </c>
      <c r="K5" s="5" t="b">
        <f>ISNUMBER(Table4428185052[[#This Row],[New]])</f>
        <v>0</v>
      </c>
      <c r="L5" s="5" t="b">
        <f>ISNUMBER(Table4428185052[[#This Row],[Old]])</f>
        <v>1</v>
      </c>
    </row>
    <row r="6" spans="1:12">
      <c r="A6" s="1" t="s">
        <v>12</v>
      </c>
      <c r="B6" s="1" t="s">
        <v>10</v>
      </c>
      <c r="C6" s="1">
        <v>6</v>
      </c>
      <c r="D6" s="1" t="s">
        <v>16</v>
      </c>
      <c r="E6" s="1">
        <v>7</v>
      </c>
      <c r="F6" s="1">
        <v>5</v>
      </c>
      <c r="G6" s="5">
        <f>IF(IF(Table4428185052[[#This Row],[Pre or Post]]="Post",1,0)+IF(ISNUMBER(Table4428185052[[#This Row],[Response]])=TRUE,1,0)=2,1,"")</f>
        <v>1</v>
      </c>
      <c r="H6" s="5">
        <f>IF(IF(Table4428185052[[#This Row],[Pre or Post]]="Post",1,0)+IF(ISNUMBER(Table4428185052[[#This Row],[Response]])=TRUE,1,0)=2,Table4428185052[[#This Row],[Response]],"")</f>
        <v>5</v>
      </c>
      <c r="I6" s="5" t="str">
        <f>IF(Table4428185052[[#This Row],[Old or New?]]="New",Table4428185052[[#This Row],[Post Total]],"")</f>
        <v/>
      </c>
      <c r="J6" s="5">
        <f>IF(Table4428185052[[#This Row],[Old or New?]]="Old",Table4428185052[[#This Row],[Post Total]],"")</f>
        <v>5</v>
      </c>
      <c r="K6" s="5" t="b">
        <f>ISNUMBER(Table4428185052[[#This Row],[New]])</f>
        <v>0</v>
      </c>
      <c r="L6" s="5" t="b">
        <f>ISNUMBER(Table4428185052[[#This Row],[Old]])</f>
        <v>1</v>
      </c>
    </row>
    <row r="7" spans="1:12">
      <c r="A7" s="1" t="s">
        <v>12</v>
      </c>
      <c r="B7" s="1" t="s">
        <v>10</v>
      </c>
      <c r="C7" s="1">
        <v>7</v>
      </c>
      <c r="D7" s="1" t="s">
        <v>16</v>
      </c>
      <c r="E7" s="1">
        <v>7</v>
      </c>
      <c r="F7" s="1">
        <v>5</v>
      </c>
      <c r="G7" s="5">
        <f>IF(IF(Table4428185052[[#This Row],[Pre or Post]]="Post",1,0)+IF(ISNUMBER(Table4428185052[[#This Row],[Response]])=TRUE,1,0)=2,1,"")</f>
        <v>1</v>
      </c>
      <c r="H7" s="5">
        <f>IF(IF(Table4428185052[[#This Row],[Pre or Post]]="Post",1,0)+IF(ISNUMBER(Table4428185052[[#This Row],[Response]])=TRUE,1,0)=2,Table4428185052[[#This Row],[Response]],"")</f>
        <v>5</v>
      </c>
      <c r="I7" s="5" t="str">
        <f>IF(Table4428185052[[#This Row],[Old or New?]]="New",Table4428185052[[#This Row],[Post Total]],"")</f>
        <v/>
      </c>
      <c r="J7" s="5">
        <f>IF(Table4428185052[[#This Row],[Old or New?]]="Old",Table4428185052[[#This Row],[Post Total]],"")</f>
        <v>5</v>
      </c>
      <c r="K7" s="5" t="b">
        <f>ISNUMBER(Table4428185052[[#This Row],[New]])</f>
        <v>0</v>
      </c>
      <c r="L7" s="5" t="b">
        <f>ISNUMBER(Table4428185052[[#This Row],[Old]])</f>
        <v>1</v>
      </c>
    </row>
    <row r="8" spans="1:12">
      <c r="A8" s="1" t="s">
        <v>12</v>
      </c>
      <c r="B8" s="1" t="s">
        <v>10</v>
      </c>
      <c r="C8" s="1">
        <v>8</v>
      </c>
      <c r="D8" s="1" t="s">
        <v>16</v>
      </c>
      <c r="E8" s="1">
        <v>7</v>
      </c>
      <c r="F8" s="1">
        <v>4</v>
      </c>
      <c r="G8" s="5">
        <f>IF(IF(Table4428185052[[#This Row],[Pre or Post]]="Post",1,0)+IF(ISNUMBER(Table4428185052[[#This Row],[Response]])=TRUE,1,0)=2,1,"")</f>
        <v>1</v>
      </c>
      <c r="H8" s="5">
        <f>IF(IF(Table4428185052[[#This Row],[Pre or Post]]="Post",1,0)+IF(ISNUMBER(Table4428185052[[#This Row],[Response]])=TRUE,1,0)=2,Table4428185052[[#This Row],[Response]],"")</f>
        <v>4</v>
      </c>
      <c r="I8" s="5" t="str">
        <f>IF(Table4428185052[[#This Row],[Old or New?]]="New",Table4428185052[[#This Row],[Post Total]],"")</f>
        <v/>
      </c>
      <c r="J8" s="5">
        <f>IF(Table4428185052[[#This Row],[Old or New?]]="Old",Table4428185052[[#This Row],[Post Total]],"")</f>
        <v>4</v>
      </c>
      <c r="K8" s="5" t="b">
        <f>ISNUMBER(Table4428185052[[#This Row],[New]])</f>
        <v>0</v>
      </c>
      <c r="L8" s="5" t="b">
        <f>ISNUMBER(Table4428185052[[#This Row],[Old]])</f>
        <v>1</v>
      </c>
    </row>
    <row r="9" spans="1:12">
      <c r="A9" s="1" t="s">
        <v>12</v>
      </c>
      <c r="B9" s="1" t="s">
        <v>10</v>
      </c>
      <c r="C9" s="1">
        <v>9</v>
      </c>
      <c r="D9" s="1" t="s">
        <v>16</v>
      </c>
      <c r="E9" s="1">
        <v>7</v>
      </c>
      <c r="F9" s="1">
        <v>4</v>
      </c>
      <c r="G9" s="5">
        <f>IF(IF(Table4428185052[[#This Row],[Pre or Post]]="Post",1,0)+IF(ISNUMBER(Table4428185052[[#This Row],[Response]])=TRUE,1,0)=2,1,"")</f>
        <v>1</v>
      </c>
      <c r="H9" s="5">
        <f>IF(IF(Table4428185052[[#This Row],[Pre or Post]]="Post",1,0)+IF(ISNUMBER(Table4428185052[[#This Row],[Response]])=TRUE,1,0)=2,Table4428185052[[#This Row],[Response]],"")</f>
        <v>4</v>
      </c>
      <c r="I9" s="5" t="str">
        <f>IF(Table4428185052[[#This Row],[Old or New?]]="New",Table4428185052[[#This Row],[Post Total]],"")</f>
        <v/>
      </c>
      <c r="J9" s="5">
        <f>IF(Table4428185052[[#This Row],[Old or New?]]="Old",Table4428185052[[#This Row],[Post Total]],"")</f>
        <v>4</v>
      </c>
      <c r="K9" s="5" t="b">
        <f>ISNUMBER(Table4428185052[[#This Row],[New]])</f>
        <v>0</v>
      </c>
      <c r="L9" s="5" t="b">
        <f>ISNUMBER(Table4428185052[[#This Row],[Old]])</f>
        <v>1</v>
      </c>
    </row>
    <row r="10" spans="1:12">
      <c r="A10" s="1" t="s">
        <v>12</v>
      </c>
      <c r="B10" s="1" t="s">
        <v>10</v>
      </c>
      <c r="C10" s="1">
        <v>10</v>
      </c>
      <c r="D10" s="1" t="s">
        <v>16</v>
      </c>
      <c r="E10" s="1">
        <v>7</v>
      </c>
      <c r="F10" s="1">
        <v>3</v>
      </c>
      <c r="G10" s="5">
        <f>IF(IF(Table4428185052[[#This Row],[Pre or Post]]="Post",1,0)+IF(ISNUMBER(Table4428185052[[#This Row],[Response]])=TRUE,1,0)=2,1,"")</f>
        <v>1</v>
      </c>
      <c r="H10" s="5">
        <f>IF(IF(Table4428185052[[#This Row],[Pre or Post]]="Post",1,0)+IF(ISNUMBER(Table4428185052[[#This Row],[Response]])=TRUE,1,0)=2,Table4428185052[[#This Row],[Response]],"")</f>
        <v>3</v>
      </c>
      <c r="I10" s="5" t="str">
        <f>IF(Table4428185052[[#This Row],[Old or New?]]="New",Table4428185052[[#This Row],[Post Total]],"")</f>
        <v/>
      </c>
      <c r="J10" s="5">
        <f>IF(Table4428185052[[#This Row],[Old or New?]]="Old",Table4428185052[[#This Row],[Post Total]],"")</f>
        <v>3</v>
      </c>
      <c r="K10" s="5" t="b">
        <f>ISNUMBER(Table4428185052[[#This Row],[New]])</f>
        <v>0</v>
      </c>
      <c r="L10" s="5" t="b">
        <f>ISNUMBER(Table4428185052[[#This Row],[Old]])</f>
        <v>1</v>
      </c>
    </row>
    <row r="11" spans="1:12">
      <c r="A11" s="1" t="s">
        <v>12</v>
      </c>
      <c r="B11" s="1" t="s">
        <v>10</v>
      </c>
      <c r="C11" s="1">
        <v>11</v>
      </c>
      <c r="D11" s="1" t="s">
        <v>16</v>
      </c>
      <c r="E11" s="1">
        <v>7</v>
      </c>
      <c r="F11" s="1">
        <v>3</v>
      </c>
      <c r="G11" s="5">
        <f>IF(IF(Table4428185052[[#This Row],[Pre or Post]]="Post",1,0)+IF(ISNUMBER(Table4428185052[[#This Row],[Response]])=TRUE,1,0)=2,1,"")</f>
        <v>1</v>
      </c>
      <c r="H11" s="5">
        <f>IF(IF(Table4428185052[[#This Row],[Pre or Post]]="Post",1,0)+IF(ISNUMBER(Table4428185052[[#This Row],[Response]])=TRUE,1,0)=2,Table4428185052[[#This Row],[Response]],"")</f>
        <v>3</v>
      </c>
      <c r="I11" s="5" t="str">
        <f>IF(Table4428185052[[#This Row],[Old or New?]]="New",Table4428185052[[#This Row],[Post Total]],"")</f>
        <v/>
      </c>
      <c r="J11" s="5">
        <f>IF(Table4428185052[[#This Row],[Old or New?]]="Old",Table4428185052[[#This Row],[Post Total]],"")</f>
        <v>3</v>
      </c>
      <c r="K11" s="5" t="b">
        <f>ISNUMBER(Table4428185052[[#This Row],[New]])</f>
        <v>0</v>
      </c>
      <c r="L11" s="5" t="b">
        <f>ISNUMBER(Table4428185052[[#This Row],[Old]])</f>
        <v>1</v>
      </c>
    </row>
    <row r="12" spans="1:12">
      <c r="A12" s="1" t="s">
        <v>12</v>
      </c>
      <c r="B12" s="1" t="s">
        <v>10</v>
      </c>
      <c r="C12" s="1">
        <v>12</v>
      </c>
      <c r="D12" s="1" t="s">
        <v>16</v>
      </c>
      <c r="E12" s="1">
        <v>7</v>
      </c>
      <c r="F12" s="1">
        <v>4</v>
      </c>
      <c r="G12" s="5">
        <f>IF(IF(Table4428185052[[#This Row],[Pre or Post]]="Post",1,0)+IF(ISNUMBER(Table4428185052[[#This Row],[Response]])=TRUE,1,0)=2,1,"")</f>
        <v>1</v>
      </c>
      <c r="H12" s="5">
        <f>IF(IF(Table4428185052[[#This Row],[Pre or Post]]="Post",1,0)+IF(ISNUMBER(Table4428185052[[#This Row],[Response]])=TRUE,1,0)=2,Table4428185052[[#This Row],[Response]],"")</f>
        <v>4</v>
      </c>
      <c r="I12" s="5" t="str">
        <f>IF(Table4428185052[[#This Row],[Old or New?]]="New",Table4428185052[[#This Row],[Post Total]],"")</f>
        <v/>
      </c>
      <c r="J12" s="5">
        <f>IF(Table4428185052[[#This Row],[Old or New?]]="Old",Table4428185052[[#This Row],[Post Total]],"")</f>
        <v>4</v>
      </c>
      <c r="K12" s="5" t="b">
        <f>ISNUMBER(Table4428185052[[#This Row],[New]])</f>
        <v>0</v>
      </c>
      <c r="L12" s="5" t="b">
        <f>ISNUMBER(Table4428185052[[#This Row],[Old]])</f>
        <v>1</v>
      </c>
    </row>
    <row r="13" spans="1:12">
      <c r="A13" s="1" t="s">
        <v>12</v>
      </c>
      <c r="B13" s="1" t="s">
        <v>10</v>
      </c>
      <c r="C13" s="1">
        <v>13</v>
      </c>
      <c r="D13" s="1" t="s">
        <v>16</v>
      </c>
      <c r="E13" s="1">
        <v>7</v>
      </c>
      <c r="F13" s="1">
        <v>5</v>
      </c>
      <c r="G13" s="5">
        <f>IF(IF(Table4428185052[[#This Row],[Pre or Post]]="Post",1,0)+IF(ISNUMBER(Table4428185052[[#This Row],[Response]])=TRUE,1,0)=2,1,"")</f>
        <v>1</v>
      </c>
      <c r="H13" s="5">
        <f>IF(IF(Table4428185052[[#This Row],[Pre or Post]]="Post",1,0)+IF(ISNUMBER(Table4428185052[[#This Row],[Response]])=TRUE,1,0)=2,Table4428185052[[#This Row],[Response]],"")</f>
        <v>5</v>
      </c>
      <c r="I13" s="5" t="str">
        <f>IF(Table4428185052[[#This Row],[Old or New?]]="New",Table4428185052[[#This Row],[Post Total]],"")</f>
        <v/>
      </c>
      <c r="J13" s="5">
        <f>IF(Table4428185052[[#This Row],[Old or New?]]="Old",Table4428185052[[#This Row],[Post Total]],"")</f>
        <v>5</v>
      </c>
      <c r="K13" s="5" t="b">
        <f>ISNUMBER(Table4428185052[[#This Row],[New]])</f>
        <v>0</v>
      </c>
      <c r="L13" s="5" t="b">
        <f>ISNUMBER(Table4428185052[[#This Row],[Old]])</f>
        <v>1</v>
      </c>
    </row>
    <row r="14" spans="1:12">
      <c r="A14" s="1" t="s">
        <v>12</v>
      </c>
      <c r="B14" s="1" t="s">
        <v>10</v>
      </c>
      <c r="C14" s="1">
        <v>14</v>
      </c>
      <c r="D14" s="1" t="s">
        <v>16</v>
      </c>
      <c r="E14" s="1">
        <v>7</v>
      </c>
      <c r="F14" s="1">
        <v>4</v>
      </c>
      <c r="G14" s="5">
        <f>IF(IF(Table4428185052[[#This Row],[Pre or Post]]="Post",1,0)+IF(ISNUMBER(Table4428185052[[#This Row],[Response]])=TRUE,1,0)=2,1,"")</f>
        <v>1</v>
      </c>
      <c r="H14" s="5">
        <f>IF(IF(Table4428185052[[#This Row],[Pre or Post]]="Post",1,0)+IF(ISNUMBER(Table4428185052[[#This Row],[Response]])=TRUE,1,0)=2,Table4428185052[[#This Row],[Response]],"")</f>
        <v>4</v>
      </c>
      <c r="I14" s="5" t="str">
        <f>IF(Table4428185052[[#This Row],[Old or New?]]="New",Table4428185052[[#This Row],[Post Total]],"")</f>
        <v/>
      </c>
      <c r="J14" s="5">
        <f>IF(Table4428185052[[#This Row],[Old or New?]]="Old",Table4428185052[[#This Row],[Post Total]],"")</f>
        <v>4</v>
      </c>
      <c r="K14" s="5" t="b">
        <f>ISNUMBER(Table4428185052[[#This Row],[New]])</f>
        <v>0</v>
      </c>
      <c r="L14" s="5" t="b">
        <f>ISNUMBER(Table4428185052[[#This Row],[Old]])</f>
        <v>1</v>
      </c>
    </row>
    <row r="15" spans="1:12">
      <c r="A15" s="1" t="s">
        <v>12</v>
      </c>
      <c r="B15" s="1" t="s">
        <v>10</v>
      </c>
      <c r="C15" s="1">
        <v>15</v>
      </c>
      <c r="D15" s="1" t="s">
        <v>16</v>
      </c>
      <c r="E15" s="1">
        <v>7</v>
      </c>
      <c r="F15" s="1">
        <v>2</v>
      </c>
      <c r="G15" s="5">
        <f>IF(IF(Table4428185052[[#This Row],[Pre or Post]]="Post",1,0)+IF(ISNUMBER(Table4428185052[[#This Row],[Response]])=TRUE,1,0)=2,1,"")</f>
        <v>1</v>
      </c>
      <c r="H15" s="5">
        <f>IF(IF(Table4428185052[[#This Row],[Pre or Post]]="Post",1,0)+IF(ISNUMBER(Table4428185052[[#This Row],[Response]])=TRUE,1,0)=2,Table4428185052[[#This Row],[Response]],"")</f>
        <v>2</v>
      </c>
      <c r="I15" s="5" t="str">
        <f>IF(Table4428185052[[#This Row],[Old or New?]]="New",Table4428185052[[#This Row],[Post Total]],"")</f>
        <v/>
      </c>
      <c r="J15" s="5">
        <f>IF(Table4428185052[[#This Row],[Old or New?]]="Old",Table4428185052[[#This Row],[Post Total]],"")</f>
        <v>2</v>
      </c>
      <c r="K15" s="5" t="b">
        <f>ISNUMBER(Table4428185052[[#This Row],[New]])</f>
        <v>0</v>
      </c>
      <c r="L15" s="5" t="b">
        <f>ISNUMBER(Table4428185052[[#This Row],[Old]])</f>
        <v>1</v>
      </c>
    </row>
    <row r="16" spans="1:12">
      <c r="A16" s="1" t="s">
        <v>12</v>
      </c>
      <c r="B16" s="1" t="s">
        <v>10</v>
      </c>
      <c r="C16" s="1">
        <v>16</v>
      </c>
      <c r="D16" s="1" t="s">
        <v>16</v>
      </c>
      <c r="E16" s="1">
        <v>7</v>
      </c>
      <c r="F16" s="1">
        <v>5</v>
      </c>
      <c r="G16" s="5">
        <f>IF(IF(Table4428185052[[#This Row],[Pre or Post]]="Post",1,0)+IF(ISNUMBER(Table4428185052[[#This Row],[Response]])=TRUE,1,0)=2,1,"")</f>
        <v>1</v>
      </c>
      <c r="H16" s="5">
        <f>IF(IF(Table4428185052[[#This Row],[Pre or Post]]="Post",1,0)+IF(ISNUMBER(Table4428185052[[#This Row],[Response]])=TRUE,1,0)=2,Table4428185052[[#This Row],[Response]],"")</f>
        <v>5</v>
      </c>
      <c r="I16" s="5" t="str">
        <f>IF(Table4428185052[[#This Row],[Old or New?]]="New",Table4428185052[[#This Row],[Post Total]],"")</f>
        <v/>
      </c>
      <c r="J16" s="5">
        <f>IF(Table4428185052[[#This Row],[Old or New?]]="Old",Table4428185052[[#This Row],[Post Total]],"")</f>
        <v>5</v>
      </c>
      <c r="K16" s="5" t="b">
        <f>ISNUMBER(Table4428185052[[#This Row],[New]])</f>
        <v>0</v>
      </c>
      <c r="L16" s="5" t="b">
        <f>ISNUMBER(Table4428185052[[#This Row],[Old]])</f>
        <v>1</v>
      </c>
    </row>
    <row r="17" spans="1:12">
      <c r="A17" s="1" t="s">
        <v>12</v>
      </c>
      <c r="B17" s="1" t="s">
        <v>10</v>
      </c>
      <c r="C17" s="1">
        <v>17</v>
      </c>
      <c r="D17" s="1" t="s">
        <v>16</v>
      </c>
      <c r="E17" s="1">
        <v>7</v>
      </c>
      <c r="F17" s="1">
        <v>5</v>
      </c>
      <c r="G17" s="5">
        <f>IF(IF(Table4428185052[[#This Row],[Pre or Post]]="Post",1,0)+IF(ISNUMBER(Table4428185052[[#This Row],[Response]])=TRUE,1,0)=2,1,"")</f>
        <v>1</v>
      </c>
      <c r="H17" s="5">
        <f>IF(IF(Table4428185052[[#This Row],[Pre or Post]]="Post",1,0)+IF(ISNUMBER(Table4428185052[[#This Row],[Response]])=TRUE,1,0)=2,Table4428185052[[#This Row],[Response]],"")</f>
        <v>5</v>
      </c>
      <c r="I17" s="5" t="str">
        <f>IF(Table4428185052[[#This Row],[Old or New?]]="New",Table4428185052[[#This Row],[Post Total]],"")</f>
        <v/>
      </c>
      <c r="J17" s="5">
        <f>IF(Table4428185052[[#This Row],[Old or New?]]="Old",Table4428185052[[#This Row],[Post Total]],"")</f>
        <v>5</v>
      </c>
      <c r="K17" s="5" t="b">
        <f>ISNUMBER(Table4428185052[[#This Row],[New]])</f>
        <v>0</v>
      </c>
      <c r="L17" s="5" t="b">
        <f>ISNUMBER(Table4428185052[[#This Row],[Old]])</f>
        <v>1</v>
      </c>
    </row>
    <row r="18" spans="1:12">
      <c r="A18" s="1" t="s">
        <v>12</v>
      </c>
      <c r="B18" s="1" t="s">
        <v>10</v>
      </c>
      <c r="C18" s="1">
        <v>18</v>
      </c>
      <c r="D18" s="1" t="s">
        <v>16</v>
      </c>
      <c r="E18" s="1">
        <v>7</v>
      </c>
      <c r="F18" s="1">
        <v>4</v>
      </c>
      <c r="G18" s="5">
        <f>IF(IF(Table4428185052[[#This Row],[Pre or Post]]="Post",1,0)+IF(ISNUMBER(Table4428185052[[#This Row],[Response]])=TRUE,1,0)=2,1,"")</f>
        <v>1</v>
      </c>
      <c r="H18" s="5">
        <f>IF(IF(Table4428185052[[#This Row],[Pre or Post]]="Post",1,0)+IF(ISNUMBER(Table4428185052[[#This Row],[Response]])=TRUE,1,0)=2,Table4428185052[[#This Row],[Response]],"")</f>
        <v>4</v>
      </c>
      <c r="I18" s="5" t="str">
        <f>IF(Table4428185052[[#This Row],[Old or New?]]="New",Table4428185052[[#This Row],[Post Total]],"")</f>
        <v/>
      </c>
      <c r="J18" s="5">
        <f>IF(Table4428185052[[#This Row],[Old or New?]]="Old",Table4428185052[[#This Row],[Post Total]],"")</f>
        <v>4</v>
      </c>
      <c r="K18" s="5" t="b">
        <f>ISNUMBER(Table4428185052[[#This Row],[New]])</f>
        <v>0</v>
      </c>
      <c r="L18" s="5" t="b">
        <f>ISNUMBER(Table4428185052[[#This Row],[Old]])</f>
        <v>1</v>
      </c>
    </row>
    <row r="19" spans="1:12">
      <c r="A19" s="2" t="s">
        <v>12</v>
      </c>
      <c r="B19" s="2" t="s">
        <v>21</v>
      </c>
      <c r="C19" s="1">
        <v>1</v>
      </c>
      <c r="D19" s="2" t="s">
        <v>16</v>
      </c>
      <c r="E19" s="1">
        <v>7</v>
      </c>
      <c r="F19" s="1">
        <v>5</v>
      </c>
      <c r="G19" s="5">
        <f>IF(IF(Table4428185052[[#This Row],[Pre or Post]]="Post",1,0)+IF(ISNUMBER(Table4428185052[[#This Row],[Response]])=TRUE,1,0)=2,1,"")</f>
        <v>1</v>
      </c>
      <c r="H19" s="5">
        <f>IF(IF(Table4428185052[[#This Row],[Pre or Post]]="Post",1,0)+IF(ISNUMBER(Table4428185052[[#This Row],[Response]])=TRUE,1,0)=2,Table4428185052[[#This Row],[Response]],"")</f>
        <v>5</v>
      </c>
      <c r="I19" s="5" t="str">
        <f>IF(Table4428185052[[#This Row],[Old or New?]]="New",Table4428185052[[#This Row],[Post Total]],"")</f>
        <v/>
      </c>
      <c r="J19" s="5">
        <f>IF(Table4428185052[[#This Row],[Old or New?]]="Old",Table4428185052[[#This Row],[Post Total]],"")</f>
        <v>5</v>
      </c>
      <c r="K19" s="5" t="b">
        <f>ISNUMBER(Table4428185052[[#This Row],[New]])</f>
        <v>0</v>
      </c>
      <c r="L19" s="5" t="b">
        <f>ISNUMBER(Table4428185052[[#This Row],[Old]])</f>
        <v>1</v>
      </c>
    </row>
    <row r="20" spans="1:12">
      <c r="A20" s="2" t="s">
        <v>12</v>
      </c>
      <c r="B20" s="2" t="s">
        <v>21</v>
      </c>
      <c r="C20" s="1">
        <v>2</v>
      </c>
      <c r="D20" s="2" t="s">
        <v>16</v>
      </c>
      <c r="E20" s="1">
        <v>7</v>
      </c>
      <c r="F20" s="1">
        <v>2</v>
      </c>
      <c r="G20" s="5">
        <f>IF(IF(Table4428185052[[#This Row],[Pre or Post]]="Post",1,0)+IF(ISNUMBER(Table4428185052[[#This Row],[Response]])=TRUE,1,0)=2,1,"")</f>
        <v>1</v>
      </c>
      <c r="H20" s="5">
        <f>IF(IF(Table4428185052[[#This Row],[Pre or Post]]="Post",1,0)+IF(ISNUMBER(Table4428185052[[#This Row],[Response]])=TRUE,1,0)=2,Table4428185052[[#This Row],[Response]],"")</f>
        <v>2</v>
      </c>
      <c r="I20" s="5" t="str">
        <f>IF(Table4428185052[[#This Row],[Old or New?]]="New",Table4428185052[[#This Row],[Post Total]],"")</f>
        <v/>
      </c>
      <c r="J20" s="5">
        <f>IF(Table4428185052[[#This Row],[Old or New?]]="Old",Table4428185052[[#This Row],[Post Total]],"")</f>
        <v>2</v>
      </c>
      <c r="K20" s="5" t="b">
        <f>ISNUMBER(Table4428185052[[#This Row],[New]])</f>
        <v>0</v>
      </c>
      <c r="L20" s="5" t="b">
        <f>ISNUMBER(Table4428185052[[#This Row],[Old]])</f>
        <v>1</v>
      </c>
    </row>
    <row r="21" spans="1:12">
      <c r="A21" s="2" t="s">
        <v>12</v>
      </c>
      <c r="B21" s="2" t="s">
        <v>21</v>
      </c>
      <c r="C21" s="1">
        <v>3</v>
      </c>
      <c r="D21" s="2" t="s">
        <v>16</v>
      </c>
      <c r="E21" s="1">
        <v>7</v>
      </c>
      <c r="F21" s="1">
        <v>3</v>
      </c>
      <c r="G21" s="5">
        <f>IF(IF(Table4428185052[[#This Row],[Pre or Post]]="Post",1,0)+IF(ISNUMBER(Table4428185052[[#This Row],[Response]])=TRUE,1,0)=2,1,"")</f>
        <v>1</v>
      </c>
      <c r="H21" s="5">
        <f>IF(IF(Table4428185052[[#This Row],[Pre or Post]]="Post",1,0)+IF(ISNUMBER(Table4428185052[[#This Row],[Response]])=TRUE,1,0)=2,Table4428185052[[#This Row],[Response]],"")</f>
        <v>3</v>
      </c>
      <c r="I21" s="5" t="str">
        <f>IF(Table4428185052[[#This Row],[Old or New?]]="New",Table4428185052[[#This Row],[Post Total]],"")</f>
        <v/>
      </c>
      <c r="J21" s="5">
        <f>IF(Table4428185052[[#This Row],[Old or New?]]="Old",Table4428185052[[#This Row],[Post Total]],"")</f>
        <v>3</v>
      </c>
      <c r="K21" s="5" t="b">
        <f>ISNUMBER(Table4428185052[[#This Row],[New]])</f>
        <v>0</v>
      </c>
      <c r="L21" s="5" t="b">
        <f>ISNUMBER(Table4428185052[[#This Row],[Old]])</f>
        <v>1</v>
      </c>
    </row>
    <row r="22" spans="1:12">
      <c r="A22" s="2" t="s">
        <v>12</v>
      </c>
      <c r="B22" s="2" t="s">
        <v>21</v>
      </c>
      <c r="C22" s="1">
        <v>4</v>
      </c>
      <c r="D22" s="2" t="s">
        <v>16</v>
      </c>
      <c r="E22" s="1">
        <v>7</v>
      </c>
      <c r="F22" s="1">
        <v>5</v>
      </c>
      <c r="G22" s="5">
        <f>IF(IF(Table4428185052[[#This Row],[Pre or Post]]="Post",1,0)+IF(ISNUMBER(Table4428185052[[#This Row],[Response]])=TRUE,1,0)=2,1,"")</f>
        <v>1</v>
      </c>
      <c r="H22" s="5">
        <f>IF(IF(Table4428185052[[#This Row],[Pre or Post]]="Post",1,0)+IF(ISNUMBER(Table4428185052[[#This Row],[Response]])=TRUE,1,0)=2,Table4428185052[[#This Row],[Response]],"")</f>
        <v>5</v>
      </c>
      <c r="I22" s="5" t="str">
        <f>IF(Table4428185052[[#This Row],[Old or New?]]="New",Table4428185052[[#This Row],[Post Total]],"")</f>
        <v/>
      </c>
      <c r="J22" s="5">
        <f>IF(Table4428185052[[#This Row],[Old or New?]]="Old",Table4428185052[[#This Row],[Post Total]],"")</f>
        <v>5</v>
      </c>
      <c r="K22" s="5" t="b">
        <f>ISNUMBER(Table4428185052[[#This Row],[New]])</f>
        <v>0</v>
      </c>
      <c r="L22" s="5" t="b">
        <f>ISNUMBER(Table4428185052[[#This Row],[Old]])</f>
        <v>1</v>
      </c>
    </row>
    <row r="23" spans="1:12">
      <c r="A23" s="2" t="s">
        <v>12</v>
      </c>
      <c r="B23" s="2" t="s">
        <v>21</v>
      </c>
      <c r="C23" s="1">
        <v>5</v>
      </c>
      <c r="D23" s="2" t="s">
        <v>16</v>
      </c>
      <c r="E23" s="1">
        <v>7</v>
      </c>
      <c r="F23" s="1">
        <v>5</v>
      </c>
      <c r="G23" s="5">
        <f>IF(IF(Table4428185052[[#This Row],[Pre or Post]]="Post",1,0)+IF(ISNUMBER(Table4428185052[[#This Row],[Response]])=TRUE,1,0)=2,1,"")</f>
        <v>1</v>
      </c>
      <c r="H23" s="5">
        <f>IF(IF(Table4428185052[[#This Row],[Pre or Post]]="Post",1,0)+IF(ISNUMBER(Table4428185052[[#This Row],[Response]])=TRUE,1,0)=2,Table4428185052[[#This Row],[Response]],"")</f>
        <v>5</v>
      </c>
      <c r="I23" s="5" t="str">
        <f>IF(Table4428185052[[#This Row],[Old or New?]]="New",Table4428185052[[#This Row],[Post Total]],"")</f>
        <v/>
      </c>
      <c r="J23" s="5">
        <f>IF(Table4428185052[[#This Row],[Old or New?]]="Old",Table4428185052[[#This Row],[Post Total]],"")</f>
        <v>5</v>
      </c>
      <c r="K23" s="5" t="b">
        <f>ISNUMBER(Table4428185052[[#This Row],[New]])</f>
        <v>0</v>
      </c>
      <c r="L23" s="5" t="b">
        <f>ISNUMBER(Table4428185052[[#This Row],[Old]])</f>
        <v>1</v>
      </c>
    </row>
    <row r="24" spans="1:12">
      <c r="A24" s="2" t="s">
        <v>12</v>
      </c>
      <c r="B24" s="2" t="s">
        <v>21</v>
      </c>
      <c r="C24" s="1">
        <v>6</v>
      </c>
      <c r="D24" s="2" t="s">
        <v>16</v>
      </c>
      <c r="E24" s="1">
        <v>7</v>
      </c>
      <c r="F24" s="1">
        <v>2</v>
      </c>
      <c r="G24" s="5">
        <f>IF(IF(Table4428185052[[#This Row],[Pre or Post]]="Post",1,0)+IF(ISNUMBER(Table4428185052[[#This Row],[Response]])=TRUE,1,0)=2,1,"")</f>
        <v>1</v>
      </c>
      <c r="H24" s="5">
        <f>IF(IF(Table4428185052[[#This Row],[Pre or Post]]="Post",1,0)+IF(ISNUMBER(Table4428185052[[#This Row],[Response]])=TRUE,1,0)=2,Table4428185052[[#This Row],[Response]],"")</f>
        <v>2</v>
      </c>
      <c r="I24" s="5" t="str">
        <f>IF(Table4428185052[[#This Row],[Old or New?]]="New",Table4428185052[[#This Row],[Post Total]],"")</f>
        <v/>
      </c>
      <c r="J24" s="5">
        <f>IF(Table4428185052[[#This Row],[Old or New?]]="Old",Table4428185052[[#This Row],[Post Total]],"")</f>
        <v>2</v>
      </c>
      <c r="K24" s="5" t="b">
        <f>ISNUMBER(Table4428185052[[#This Row],[New]])</f>
        <v>0</v>
      </c>
      <c r="L24" s="5" t="b">
        <f>ISNUMBER(Table4428185052[[#This Row],[Old]])</f>
        <v>1</v>
      </c>
    </row>
    <row r="25" spans="1:12">
      <c r="A25" s="2" t="s">
        <v>12</v>
      </c>
      <c r="B25" s="2" t="s">
        <v>21</v>
      </c>
      <c r="C25" s="1">
        <v>7</v>
      </c>
      <c r="D25" s="2" t="s">
        <v>16</v>
      </c>
      <c r="E25" s="1">
        <v>7</v>
      </c>
      <c r="F25" s="1">
        <v>5</v>
      </c>
      <c r="G25" s="5">
        <f>IF(IF(Table4428185052[[#This Row],[Pre or Post]]="Post",1,0)+IF(ISNUMBER(Table4428185052[[#This Row],[Response]])=TRUE,1,0)=2,1,"")</f>
        <v>1</v>
      </c>
      <c r="H25" s="5">
        <f>IF(IF(Table4428185052[[#This Row],[Pre or Post]]="Post",1,0)+IF(ISNUMBER(Table4428185052[[#This Row],[Response]])=TRUE,1,0)=2,Table4428185052[[#This Row],[Response]],"")</f>
        <v>5</v>
      </c>
      <c r="I25" s="5" t="str">
        <f>IF(Table4428185052[[#This Row],[Old or New?]]="New",Table4428185052[[#This Row],[Post Total]],"")</f>
        <v/>
      </c>
      <c r="J25" s="5">
        <f>IF(Table4428185052[[#This Row],[Old or New?]]="Old",Table4428185052[[#This Row],[Post Total]],"")</f>
        <v>5</v>
      </c>
      <c r="K25" s="5" t="b">
        <f>ISNUMBER(Table4428185052[[#This Row],[New]])</f>
        <v>0</v>
      </c>
      <c r="L25" s="5" t="b">
        <f>ISNUMBER(Table4428185052[[#This Row],[Old]])</f>
        <v>1</v>
      </c>
    </row>
    <row r="26" spans="1:12">
      <c r="A26" s="2" t="s">
        <v>12</v>
      </c>
      <c r="B26" s="2" t="s">
        <v>21</v>
      </c>
      <c r="C26" s="1">
        <v>8</v>
      </c>
      <c r="D26" s="2" t="s">
        <v>16</v>
      </c>
      <c r="E26" s="1">
        <v>7</v>
      </c>
      <c r="G26" s="5" t="str">
        <f>IF(IF(Table4428185052[[#This Row],[Pre or Post]]="Post",1,0)+IF(ISNUMBER(Table4428185052[[#This Row],[Response]])=TRUE,1,0)=2,1,"")</f>
        <v/>
      </c>
      <c r="H26" s="5" t="str">
        <f>IF(IF(Table4428185052[[#This Row],[Pre or Post]]="Post",1,0)+IF(ISNUMBER(Table4428185052[[#This Row],[Response]])=TRUE,1,0)=2,Table4428185052[[#This Row],[Response]],"")</f>
        <v/>
      </c>
      <c r="I26" s="5" t="str">
        <f>IF(Table4428185052[[#This Row],[Old or New?]]="New",Table4428185052[[#This Row],[Post Total]],"")</f>
        <v/>
      </c>
      <c r="J26" s="5" t="str">
        <f>IF(Table4428185052[[#This Row],[Old or New?]]="Old",Table4428185052[[#This Row],[Post Total]],"")</f>
        <v/>
      </c>
      <c r="K26" s="5" t="b">
        <f>ISNUMBER(Table4428185052[[#This Row],[New]])</f>
        <v>0</v>
      </c>
      <c r="L26" s="5" t="b">
        <f>ISNUMBER(Table4428185052[[#This Row],[Old]])</f>
        <v>0</v>
      </c>
    </row>
    <row r="27" spans="1:12">
      <c r="A27" s="2" t="s">
        <v>12</v>
      </c>
      <c r="B27" s="2" t="s">
        <v>21</v>
      </c>
      <c r="C27" s="1">
        <v>9</v>
      </c>
      <c r="D27" s="2" t="s">
        <v>16</v>
      </c>
      <c r="E27" s="1">
        <v>7</v>
      </c>
      <c r="F27" s="1">
        <v>4</v>
      </c>
      <c r="G27" s="5">
        <f>IF(IF(Table4428185052[[#This Row],[Pre or Post]]="Post",1,0)+IF(ISNUMBER(Table4428185052[[#This Row],[Response]])=TRUE,1,0)=2,1,"")</f>
        <v>1</v>
      </c>
      <c r="H27" s="5">
        <f>IF(IF(Table4428185052[[#This Row],[Pre or Post]]="Post",1,0)+IF(ISNUMBER(Table4428185052[[#This Row],[Response]])=TRUE,1,0)=2,Table4428185052[[#This Row],[Response]],"")</f>
        <v>4</v>
      </c>
      <c r="I27" s="5" t="str">
        <f>IF(Table4428185052[[#This Row],[Old or New?]]="New",Table4428185052[[#This Row],[Post Total]],"")</f>
        <v/>
      </c>
      <c r="J27" s="5">
        <f>IF(Table4428185052[[#This Row],[Old or New?]]="Old",Table4428185052[[#This Row],[Post Total]],"")</f>
        <v>4</v>
      </c>
      <c r="K27" s="5" t="b">
        <f>ISNUMBER(Table4428185052[[#This Row],[New]])</f>
        <v>0</v>
      </c>
      <c r="L27" s="5" t="b">
        <f>ISNUMBER(Table4428185052[[#This Row],[Old]])</f>
        <v>1</v>
      </c>
    </row>
    <row r="28" spans="1:12">
      <c r="A28" s="2" t="s">
        <v>12</v>
      </c>
      <c r="B28" s="2" t="s">
        <v>21</v>
      </c>
      <c r="C28" s="1">
        <v>10</v>
      </c>
      <c r="D28" s="2" t="s">
        <v>16</v>
      </c>
      <c r="E28" s="1">
        <v>7</v>
      </c>
      <c r="F28" s="1">
        <v>1</v>
      </c>
      <c r="G28" s="5">
        <f>IF(IF(Table4428185052[[#This Row],[Pre or Post]]="Post",1,0)+IF(ISNUMBER(Table4428185052[[#This Row],[Response]])=TRUE,1,0)=2,1,"")</f>
        <v>1</v>
      </c>
      <c r="H28" s="5">
        <f>IF(IF(Table4428185052[[#This Row],[Pre or Post]]="Post",1,0)+IF(ISNUMBER(Table4428185052[[#This Row],[Response]])=TRUE,1,0)=2,Table4428185052[[#This Row],[Response]],"")</f>
        <v>1</v>
      </c>
      <c r="I28" s="5" t="str">
        <f>IF(Table4428185052[[#This Row],[Old or New?]]="New",Table4428185052[[#This Row],[Post Total]],"")</f>
        <v/>
      </c>
      <c r="J28" s="5">
        <f>IF(Table4428185052[[#This Row],[Old or New?]]="Old",Table4428185052[[#This Row],[Post Total]],"")</f>
        <v>1</v>
      </c>
      <c r="K28" s="5" t="b">
        <f>ISNUMBER(Table4428185052[[#This Row],[New]])</f>
        <v>0</v>
      </c>
      <c r="L28" s="5" t="b">
        <f>ISNUMBER(Table4428185052[[#This Row],[Old]])</f>
        <v>1</v>
      </c>
    </row>
    <row r="29" spans="1:12">
      <c r="A29" s="2" t="s">
        <v>12</v>
      </c>
      <c r="B29" s="2" t="s">
        <v>21</v>
      </c>
      <c r="C29" s="1">
        <v>11</v>
      </c>
      <c r="D29" s="2" t="s">
        <v>16</v>
      </c>
      <c r="E29" s="1">
        <v>7</v>
      </c>
      <c r="F29" s="1">
        <v>5</v>
      </c>
      <c r="G29" s="5">
        <f>IF(IF(Table4428185052[[#This Row],[Pre or Post]]="Post",1,0)+IF(ISNUMBER(Table4428185052[[#This Row],[Response]])=TRUE,1,0)=2,1,"")</f>
        <v>1</v>
      </c>
      <c r="H29" s="5">
        <f>IF(IF(Table4428185052[[#This Row],[Pre or Post]]="Post",1,0)+IF(ISNUMBER(Table4428185052[[#This Row],[Response]])=TRUE,1,0)=2,Table4428185052[[#This Row],[Response]],"")</f>
        <v>5</v>
      </c>
      <c r="I29" s="5" t="str">
        <f>IF(Table4428185052[[#This Row],[Old or New?]]="New",Table4428185052[[#This Row],[Post Total]],"")</f>
        <v/>
      </c>
      <c r="J29" s="5">
        <f>IF(Table4428185052[[#This Row],[Old or New?]]="Old",Table4428185052[[#This Row],[Post Total]],"")</f>
        <v>5</v>
      </c>
      <c r="K29" s="5" t="b">
        <f>ISNUMBER(Table4428185052[[#This Row],[New]])</f>
        <v>0</v>
      </c>
      <c r="L29" s="5" t="b">
        <f>ISNUMBER(Table4428185052[[#This Row],[Old]])</f>
        <v>1</v>
      </c>
    </row>
    <row r="30" spans="1:12">
      <c r="A30" s="2" t="s">
        <v>12</v>
      </c>
      <c r="B30" s="2" t="s">
        <v>21</v>
      </c>
      <c r="C30" s="1">
        <v>12</v>
      </c>
      <c r="D30" s="2" t="s">
        <v>16</v>
      </c>
      <c r="E30" s="1">
        <v>7</v>
      </c>
      <c r="F30" s="1">
        <v>1</v>
      </c>
      <c r="G30" s="5">
        <f>IF(IF(Table4428185052[[#This Row],[Pre or Post]]="Post",1,0)+IF(ISNUMBER(Table4428185052[[#This Row],[Response]])=TRUE,1,0)=2,1,"")</f>
        <v>1</v>
      </c>
      <c r="H30" s="5">
        <f>IF(IF(Table4428185052[[#This Row],[Pre or Post]]="Post",1,0)+IF(ISNUMBER(Table4428185052[[#This Row],[Response]])=TRUE,1,0)=2,Table4428185052[[#This Row],[Response]],"")</f>
        <v>1</v>
      </c>
      <c r="I30" s="5" t="str">
        <f>IF(Table4428185052[[#This Row],[Old or New?]]="New",Table4428185052[[#This Row],[Post Total]],"")</f>
        <v/>
      </c>
      <c r="J30" s="5">
        <f>IF(Table4428185052[[#This Row],[Old or New?]]="Old",Table4428185052[[#This Row],[Post Total]],"")</f>
        <v>1</v>
      </c>
      <c r="K30" s="5" t="b">
        <f>ISNUMBER(Table4428185052[[#This Row],[New]])</f>
        <v>0</v>
      </c>
      <c r="L30" s="5" t="b">
        <f>ISNUMBER(Table4428185052[[#This Row],[Old]])</f>
        <v>1</v>
      </c>
    </row>
    <row r="31" spans="1:12">
      <c r="A31" s="2" t="s">
        <v>12</v>
      </c>
      <c r="B31" s="2" t="s">
        <v>21</v>
      </c>
      <c r="C31" s="1">
        <v>13</v>
      </c>
      <c r="D31" s="2" t="s">
        <v>16</v>
      </c>
      <c r="E31" s="1">
        <v>7</v>
      </c>
      <c r="F31" s="1">
        <v>5</v>
      </c>
      <c r="G31" s="5">
        <f>IF(IF(Table4428185052[[#This Row],[Pre or Post]]="Post",1,0)+IF(ISNUMBER(Table4428185052[[#This Row],[Response]])=TRUE,1,0)=2,1,"")</f>
        <v>1</v>
      </c>
      <c r="H31" s="5">
        <f>IF(IF(Table4428185052[[#This Row],[Pre or Post]]="Post",1,0)+IF(ISNUMBER(Table4428185052[[#This Row],[Response]])=TRUE,1,0)=2,Table4428185052[[#This Row],[Response]],"")</f>
        <v>5</v>
      </c>
      <c r="I31" s="5" t="str">
        <f>IF(Table4428185052[[#This Row],[Old or New?]]="New",Table4428185052[[#This Row],[Post Total]],"")</f>
        <v/>
      </c>
      <c r="J31" s="5">
        <f>IF(Table4428185052[[#This Row],[Old or New?]]="Old",Table4428185052[[#This Row],[Post Total]],"")</f>
        <v>5</v>
      </c>
      <c r="K31" s="5" t="b">
        <f>ISNUMBER(Table4428185052[[#This Row],[New]])</f>
        <v>0</v>
      </c>
      <c r="L31" s="5" t="b">
        <f>ISNUMBER(Table4428185052[[#This Row],[Old]])</f>
        <v>1</v>
      </c>
    </row>
    <row r="32" spans="1:12">
      <c r="A32" s="2" t="s">
        <v>12</v>
      </c>
      <c r="B32" s="2" t="s">
        <v>21</v>
      </c>
      <c r="C32" s="1">
        <v>14</v>
      </c>
      <c r="D32" s="2" t="s">
        <v>16</v>
      </c>
      <c r="E32" s="1">
        <v>7</v>
      </c>
      <c r="F32" s="1">
        <v>2</v>
      </c>
      <c r="G32" s="5">
        <f>IF(IF(Table4428185052[[#This Row],[Pre or Post]]="Post",1,0)+IF(ISNUMBER(Table4428185052[[#This Row],[Response]])=TRUE,1,0)=2,1,"")</f>
        <v>1</v>
      </c>
      <c r="H32" s="5">
        <f>IF(IF(Table4428185052[[#This Row],[Pre or Post]]="Post",1,0)+IF(ISNUMBER(Table4428185052[[#This Row],[Response]])=TRUE,1,0)=2,Table4428185052[[#This Row],[Response]],"")</f>
        <v>2</v>
      </c>
      <c r="I32" s="5" t="str">
        <f>IF(Table4428185052[[#This Row],[Old or New?]]="New",Table4428185052[[#This Row],[Post Total]],"")</f>
        <v/>
      </c>
      <c r="J32" s="5">
        <f>IF(Table4428185052[[#This Row],[Old or New?]]="Old",Table4428185052[[#This Row],[Post Total]],"")</f>
        <v>2</v>
      </c>
      <c r="K32" s="5" t="b">
        <f>ISNUMBER(Table4428185052[[#This Row],[New]])</f>
        <v>0</v>
      </c>
      <c r="L32" s="5" t="b">
        <f>ISNUMBER(Table4428185052[[#This Row],[Old]])</f>
        <v>1</v>
      </c>
    </row>
    <row r="33" spans="1:12">
      <c r="A33" s="2" t="s">
        <v>12</v>
      </c>
      <c r="B33" s="2" t="s">
        <v>21</v>
      </c>
      <c r="C33" s="1">
        <v>15</v>
      </c>
      <c r="D33" s="2" t="s">
        <v>16</v>
      </c>
      <c r="E33" s="1">
        <v>7</v>
      </c>
      <c r="F33" s="1">
        <v>3</v>
      </c>
      <c r="G33" s="5">
        <f>IF(IF(Table4428185052[[#This Row],[Pre or Post]]="Post",1,0)+IF(ISNUMBER(Table4428185052[[#This Row],[Response]])=TRUE,1,0)=2,1,"")</f>
        <v>1</v>
      </c>
      <c r="H33" s="5">
        <f>IF(IF(Table4428185052[[#This Row],[Pre or Post]]="Post",1,0)+IF(ISNUMBER(Table4428185052[[#This Row],[Response]])=TRUE,1,0)=2,Table4428185052[[#This Row],[Response]],"")</f>
        <v>3</v>
      </c>
      <c r="I33" s="5" t="str">
        <f>IF(Table4428185052[[#This Row],[Old or New?]]="New",Table4428185052[[#This Row],[Post Total]],"")</f>
        <v/>
      </c>
      <c r="J33" s="5">
        <f>IF(Table4428185052[[#This Row],[Old or New?]]="Old",Table4428185052[[#This Row],[Post Total]],"")</f>
        <v>3</v>
      </c>
      <c r="K33" s="5" t="b">
        <f>ISNUMBER(Table4428185052[[#This Row],[New]])</f>
        <v>0</v>
      </c>
      <c r="L33" s="5" t="b">
        <f>ISNUMBER(Table4428185052[[#This Row],[Old]])</f>
        <v>1</v>
      </c>
    </row>
    <row r="34" spans="1:12">
      <c r="A34" s="2" t="s">
        <v>12</v>
      </c>
      <c r="B34" s="2" t="s">
        <v>21</v>
      </c>
      <c r="C34" s="1">
        <v>16</v>
      </c>
      <c r="D34" s="2" t="s">
        <v>16</v>
      </c>
      <c r="E34" s="1">
        <v>7</v>
      </c>
      <c r="F34" s="1">
        <v>5</v>
      </c>
      <c r="G34" s="5">
        <f>IF(IF(Table4428185052[[#This Row],[Pre or Post]]="Post",1,0)+IF(ISNUMBER(Table4428185052[[#This Row],[Response]])=TRUE,1,0)=2,1,"")</f>
        <v>1</v>
      </c>
      <c r="H34" s="5">
        <f>IF(IF(Table4428185052[[#This Row],[Pre or Post]]="Post",1,0)+IF(ISNUMBER(Table4428185052[[#This Row],[Response]])=TRUE,1,0)=2,Table4428185052[[#This Row],[Response]],"")</f>
        <v>5</v>
      </c>
      <c r="I34" s="5" t="str">
        <f>IF(Table4428185052[[#This Row],[Old or New?]]="New",Table4428185052[[#This Row],[Post Total]],"")</f>
        <v/>
      </c>
      <c r="J34" s="5">
        <f>IF(Table4428185052[[#This Row],[Old or New?]]="Old",Table4428185052[[#This Row],[Post Total]],"")</f>
        <v>5</v>
      </c>
      <c r="K34" s="5" t="b">
        <f>ISNUMBER(Table4428185052[[#This Row],[New]])</f>
        <v>0</v>
      </c>
      <c r="L34" s="5" t="b">
        <f>ISNUMBER(Table4428185052[[#This Row],[Old]])</f>
        <v>1</v>
      </c>
    </row>
    <row r="35" spans="1:12">
      <c r="A35" s="2" t="s">
        <v>12</v>
      </c>
      <c r="B35" s="2" t="s">
        <v>21</v>
      </c>
      <c r="C35" s="1">
        <v>17</v>
      </c>
      <c r="D35" s="2" t="s">
        <v>16</v>
      </c>
      <c r="E35" s="1">
        <v>7</v>
      </c>
      <c r="F35" s="1">
        <v>3</v>
      </c>
      <c r="G35" s="5">
        <f>IF(IF(Table4428185052[[#This Row],[Pre or Post]]="Post",1,0)+IF(ISNUMBER(Table4428185052[[#This Row],[Response]])=TRUE,1,0)=2,1,"")</f>
        <v>1</v>
      </c>
      <c r="H35" s="5">
        <f>IF(IF(Table4428185052[[#This Row],[Pre or Post]]="Post",1,0)+IF(ISNUMBER(Table4428185052[[#This Row],[Response]])=TRUE,1,0)=2,Table4428185052[[#This Row],[Response]],"")</f>
        <v>3</v>
      </c>
      <c r="I35" s="5" t="str">
        <f>IF(Table4428185052[[#This Row],[Old or New?]]="New",Table4428185052[[#This Row],[Post Total]],"")</f>
        <v/>
      </c>
      <c r="J35" s="5">
        <f>IF(Table4428185052[[#This Row],[Old or New?]]="Old",Table4428185052[[#This Row],[Post Total]],"")</f>
        <v>3</v>
      </c>
      <c r="K35" s="5" t="b">
        <f>ISNUMBER(Table4428185052[[#This Row],[New]])</f>
        <v>0</v>
      </c>
      <c r="L35" s="5" t="b">
        <f>ISNUMBER(Table4428185052[[#This Row],[Old]])</f>
        <v>1</v>
      </c>
    </row>
    <row r="36" spans="1:12">
      <c r="A36" s="2" t="s">
        <v>12</v>
      </c>
      <c r="B36" s="2" t="s">
        <v>21</v>
      </c>
      <c r="C36" s="1">
        <v>18</v>
      </c>
      <c r="D36" s="2" t="s">
        <v>16</v>
      </c>
      <c r="E36" s="1">
        <v>7</v>
      </c>
      <c r="F36" s="1">
        <v>3</v>
      </c>
      <c r="G36" s="5">
        <f>IF(IF(Table4428185052[[#This Row],[Pre or Post]]="Post",1,0)+IF(ISNUMBER(Table4428185052[[#This Row],[Response]])=TRUE,1,0)=2,1,"")</f>
        <v>1</v>
      </c>
      <c r="H36" s="5">
        <f>IF(IF(Table4428185052[[#This Row],[Pre or Post]]="Post",1,0)+IF(ISNUMBER(Table4428185052[[#This Row],[Response]])=TRUE,1,0)=2,Table4428185052[[#This Row],[Response]],"")</f>
        <v>3</v>
      </c>
      <c r="I36" s="5" t="str">
        <f>IF(Table4428185052[[#This Row],[Old or New?]]="New",Table4428185052[[#This Row],[Post Total]],"")</f>
        <v/>
      </c>
      <c r="J36" s="5">
        <f>IF(Table4428185052[[#This Row],[Old or New?]]="Old",Table4428185052[[#This Row],[Post Total]],"")</f>
        <v>3</v>
      </c>
      <c r="K36" s="5" t="b">
        <f>ISNUMBER(Table4428185052[[#This Row],[New]])</f>
        <v>0</v>
      </c>
      <c r="L36" s="5" t="b">
        <f>ISNUMBER(Table4428185052[[#This Row],[Old]])</f>
        <v>1</v>
      </c>
    </row>
    <row r="37" spans="1:12">
      <c r="A37" s="2" t="s">
        <v>12</v>
      </c>
      <c r="B37" s="2" t="s">
        <v>21</v>
      </c>
      <c r="C37" s="1">
        <v>19</v>
      </c>
      <c r="D37" s="2" t="s">
        <v>16</v>
      </c>
      <c r="E37" s="1">
        <v>7</v>
      </c>
      <c r="F37" s="1">
        <v>3</v>
      </c>
      <c r="G37" s="5">
        <f>IF(IF(Table4428185052[[#This Row],[Pre or Post]]="Post",1,0)+IF(ISNUMBER(Table4428185052[[#This Row],[Response]])=TRUE,1,0)=2,1,"")</f>
        <v>1</v>
      </c>
      <c r="H37" s="5">
        <f>IF(IF(Table4428185052[[#This Row],[Pre or Post]]="Post",1,0)+IF(ISNUMBER(Table4428185052[[#This Row],[Response]])=TRUE,1,0)=2,Table4428185052[[#This Row],[Response]],"")</f>
        <v>3</v>
      </c>
      <c r="I37" s="5" t="str">
        <f>IF(Table4428185052[[#This Row],[Old or New?]]="New",Table4428185052[[#This Row],[Post Total]],"")</f>
        <v/>
      </c>
      <c r="J37" s="5">
        <f>IF(Table4428185052[[#This Row],[Old or New?]]="Old",Table4428185052[[#This Row],[Post Total]],"")</f>
        <v>3</v>
      </c>
      <c r="K37" s="5" t="b">
        <f>ISNUMBER(Table4428185052[[#This Row],[New]])</f>
        <v>0</v>
      </c>
      <c r="L37" s="5" t="b">
        <f>ISNUMBER(Table4428185052[[#This Row],[Old]])</f>
        <v>1</v>
      </c>
    </row>
    <row r="38" spans="1:12">
      <c r="A38" s="2" t="s">
        <v>12</v>
      </c>
      <c r="B38" s="2" t="s">
        <v>21</v>
      </c>
      <c r="C38" s="1">
        <v>20</v>
      </c>
      <c r="D38" s="2" t="s">
        <v>16</v>
      </c>
      <c r="E38" s="1">
        <v>7</v>
      </c>
      <c r="F38" s="1">
        <v>4</v>
      </c>
      <c r="G38" s="5">
        <f>IF(IF(Table4428185052[[#This Row],[Pre or Post]]="Post",1,0)+IF(ISNUMBER(Table4428185052[[#This Row],[Response]])=TRUE,1,0)=2,1,"")</f>
        <v>1</v>
      </c>
      <c r="H38" s="5">
        <f>IF(IF(Table4428185052[[#This Row],[Pre or Post]]="Post",1,0)+IF(ISNUMBER(Table4428185052[[#This Row],[Response]])=TRUE,1,0)=2,Table4428185052[[#This Row],[Response]],"")</f>
        <v>4</v>
      </c>
      <c r="I38" s="5" t="str">
        <f>IF(Table4428185052[[#This Row],[Old or New?]]="New",Table4428185052[[#This Row],[Post Total]],"")</f>
        <v/>
      </c>
      <c r="J38" s="5">
        <f>IF(Table4428185052[[#This Row],[Old or New?]]="Old",Table4428185052[[#This Row],[Post Total]],"")</f>
        <v>4</v>
      </c>
      <c r="K38" s="5" t="b">
        <f>ISNUMBER(Table4428185052[[#This Row],[New]])</f>
        <v>0</v>
      </c>
      <c r="L38" s="5" t="b">
        <f>ISNUMBER(Table4428185052[[#This Row],[Old]])</f>
        <v>1</v>
      </c>
    </row>
    <row r="39" spans="1:12">
      <c r="A39" s="2" t="s">
        <v>12</v>
      </c>
      <c r="B39" s="2" t="s">
        <v>21</v>
      </c>
      <c r="C39" s="1">
        <v>21</v>
      </c>
      <c r="D39" s="2" t="s">
        <v>16</v>
      </c>
      <c r="E39" s="1">
        <v>7</v>
      </c>
      <c r="F39" s="1">
        <v>5</v>
      </c>
      <c r="G39" s="5">
        <f>IF(IF(Table4428185052[[#This Row],[Pre or Post]]="Post",1,0)+IF(ISNUMBER(Table4428185052[[#This Row],[Response]])=TRUE,1,0)=2,1,"")</f>
        <v>1</v>
      </c>
      <c r="H39" s="5">
        <f>IF(IF(Table4428185052[[#This Row],[Pre or Post]]="Post",1,0)+IF(ISNUMBER(Table4428185052[[#This Row],[Response]])=TRUE,1,0)=2,Table4428185052[[#This Row],[Response]],"")</f>
        <v>5</v>
      </c>
      <c r="I39" s="5" t="str">
        <f>IF(Table4428185052[[#This Row],[Old or New?]]="New",Table4428185052[[#This Row],[Post Total]],"")</f>
        <v/>
      </c>
      <c r="J39" s="5">
        <f>IF(Table4428185052[[#This Row],[Old or New?]]="Old",Table4428185052[[#This Row],[Post Total]],"")</f>
        <v>5</v>
      </c>
      <c r="K39" s="5" t="b">
        <f>ISNUMBER(Table4428185052[[#This Row],[New]])</f>
        <v>0</v>
      </c>
      <c r="L39" s="5" t="b">
        <f>ISNUMBER(Table4428185052[[#This Row],[Old]])</f>
        <v>1</v>
      </c>
    </row>
    <row r="40" spans="1:12">
      <c r="A40" s="2" t="s">
        <v>12</v>
      </c>
      <c r="B40" s="2" t="s">
        <v>21</v>
      </c>
      <c r="C40" s="1">
        <v>22</v>
      </c>
      <c r="D40" s="2" t="s">
        <v>16</v>
      </c>
      <c r="E40" s="1">
        <v>7</v>
      </c>
      <c r="F40" s="1">
        <v>5</v>
      </c>
      <c r="G40" s="5">
        <f>IF(IF(Table4428185052[[#This Row],[Pre or Post]]="Post",1,0)+IF(ISNUMBER(Table4428185052[[#This Row],[Response]])=TRUE,1,0)=2,1,"")</f>
        <v>1</v>
      </c>
      <c r="H40" s="5">
        <f>IF(IF(Table4428185052[[#This Row],[Pre or Post]]="Post",1,0)+IF(ISNUMBER(Table4428185052[[#This Row],[Response]])=TRUE,1,0)=2,Table4428185052[[#This Row],[Response]],"")</f>
        <v>5</v>
      </c>
      <c r="I40" s="5" t="str">
        <f>IF(Table4428185052[[#This Row],[Old or New?]]="New",Table4428185052[[#This Row],[Post Total]],"")</f>
        <v/>
      </c>
      <c r="J40" s="5">
        <f>IF(Table4428185052[[#This Row],[Old or New?]]="Old",Table4428185052[[#This Row],[Post Total]],"")</f>
        <v>5</v>
      </c>
      <c r="K40" s="5" t="b">
        <f>ISNUMBER(Table4428185052[[#This Row],[New]])</f>
        <v>0</v>
      </c>
      <c r="L40" s="5" t="b">
        <f>ISNUMBER(Table4428185052[[#This Row],[Old]])</f>
        <v>1</v>
      </c>
    </row>
    <row r="41" spans="1:12">
      <c r="A41" s="2" t="s">
        <v>12</v>
      </c>
      <c r="B41" s="2" t="s">
        <v>21</v>
      </c>
      <c r="C41" s="1">
        <v>23</v>
      </c>
      <c r="D41" s="2" t="s">
        <v>16</v>
      </c>
      <c r="E41" s="1">
        <v>7</v>
      </c>
      <c r="F41" s="1">
        <v>4</v>
      </c>
      <c r="G41" s="5">
        <f>IF(IF(Table4428185052[[#This Row],[Pre or Post]]="Post",1,0)+IF(ISNUMBER(Table4428185052[[#This Row],[Response]])=TRUE,1,0)=2,1,"")</f>
        <v>1</v>
      </c>
      <c r="H41" s="5">
        <f>IF(IF(Table4428185052[[#This Row],[Pre or Post]]="Post",1,0)+IF(ISNUMBER(Table4428185052[[#This Row],[Response]])=TRUE,1,0)=2,Table4428185052[[#This Row],[Response]],"")</f>
        <v>4</v>
      </c>
      <c r="I41" s="5" t="str">
        <f>IF(Table4428185052[[#This Row],[Old or New?]]="New",Table4428185052[[#This Row],[Post Total]],"")</f>
        <v/>
      </c>
      <c r="J41" s="5">
        <f>IF(Table4428185052[[#This Row],[Old or New?]]="Old",Table4428185052[[#This Row],[Post Total]],"")</f>
        <v>4</v>
      </c>
      <c r="K41" s="5" t="b">
        <f>ISNUMBER(Table4428185052[[#This Row],[New]])</f>
        <v>0</v>
      </c>
      <c r="L41" s="5" t="b">
        <f>ISNUMBER(Table4428185052[[#This Row],[Old]])</f>
        <v>1</v>
      </c>
    </row>
    <row r="42" spans="1:12">
      <c r="A42" s="2" t="s">
        <v>12</v>
      </c>
      <c r="B42" s="2" t="s">
        <v>5</v>
      </c>
      <c r="C42" s="1">
        <v>1</v>
      </c>
      <c r="D42" s="2" t="s">
        <v>16</v>
      </c>
      <c r="E42" s="1">
        <v>7</v>
      </c>
      <c r="G42" s="5" t="str">
        <f>IF(IF(Table4428185052[[#This Row],[Pre or Post]]="Post",1,0)+IF(ISNUMBER(Table4428185052[[#This Row],[Response]])=TRUE,1,0)=2,1,"")</f>
        <v/>
      </c>
      <c r="H42" s="5" t="str">
        <f>IF(IF(Table4428185052[[#This Row],[Pre or Post]]="Post",1,0)+IF(ISNUMBER(Table4428185052[[#This Row],[Response]])=TRUE,1,0)=2,Table4428185052[[#This Row],[Response]],"")</f>
        <v/>
      </c>
      <c r="I42" s="5" t="str">
        <f>IF(Table4428185052[[#This Row],[Old or New?]]="New",Table4428185052[[#This Row],[Post Total]],"")</f>
        <v/>
      </c>
      <c r="J42" s="5" t="str">
        <f>IF(Table4428185052[[#This Row],[Old or New?]]="Old",Table4428185052[[#This Row],[Post Total]],"")</f>
        <v/>
      </c>
      <c r="K42" s="5" t="b">
        <f>ISNUMBER(Table4428185052[[#This Row],[New]])</f>
        <v>0</v>
      </c>
      <c r="L42" s="5" t="b">
        <f>ISNUMBER(Table4428185052[[#This Row],[Old]])</f>
        <v>0</v>
      </c>
    </row>
    <row r="43" spans="1:12">
      <c r="A43" s="2" t="s">
        <v>12</v>
      </c>
      <c r="B43" s="2" t="s">
        <v>5</v>
      </c>
      <c r="C43" s="1">
        <v>2</v>
      </c>
      <c r="D43" s="2" t="s">
        <v>16</v>
      </c>
      <c r="E43" s="1">
        <v>7</v>
      </c>
      <c r="F43" s="1">
        <v>3</v>
      </c>
      <c r="G43" s="5">
        <f>IF(IF(Table4428185052[[#This Row],[Pre or Post]]="Post",1,0)+IF(ISNUMBER(Table4428185052[[#This Row],[Response]])=TRUE,1,0)=2,1,"")</f>
        <v>1</v>
      </c>
      <c r="H43" s="5">
        <f>IF(IF(Table4428185052[[#This Row],[Pre or Post]]="Post",1,0)+IF(ISNUMBER(Table4428185052[[#This Row],[Response]])=TRUE,1,0)=2,Table4428185052[[#This Row],[Response]],"")</f>
        <v>3</v>
      </c>
      <c r="I43" s="5" t="str">
        <f>IF(Table4428185052[[#This Row],[Old or New?]]="New",Table4428185052[[#This Row],[Post Total]],"")</f>
        <v/>
      </c>
      <c r="J43" s="5">
        <f>IF(Table4428185052[[#This Row],[Old or New?]]="Old",Table4428185052[[#This Row],[Post Total]],"")</f>
        <v>3</v>
      </c>
      <c r="K43" s="5" t="b">
        <f>ISNUMBER(Table4428185052[[#This Row],[New]])</f>
        <v>0</v>
      </c>
      <c r="L43" s="5" t="b">
        <f>ISNUMBER(Table4428185052[[#This Row],[Old]])</f>
        <v>1</v>
      </c>
    </row>
    <row r="44" spans="1:12">
      <c r="A44" s="2" t="s">
        <v>12</v>
      </c>
      <c r="B44" s="2" t="s">
        <v>5</v>
      </c>
      <c r="C44" s="1">
        <v>3</v>
      </c>
      <c r="D44" s="2" t="s">
        <v>16</v>
      </c>
      <c r="E44" s="1">
        <v>7</v>
      </c>
      <c r="F44" s="1">
        <v>4</v>
      </c>
      <c r="G44" s="5">
        <f>IF(IF(Table4428185052[[#This Row],[Pre or Post]]="Post",1,0)+IF(ISNUMBER(Table4428185052[[#This Row],[Response]])=TRUE,1,0)=2,1,"")</f>
        <v>1</v>
      </c>
      <c r="H44" s="5">
        <f>IF(IF(Table4428185052[[#This Row],[Pre or Post]]="Post",1,0)+IF(ISNUMBER(Table4428185052[[#This Row],[Response]])=TRUE,1,0)=2,Table4428185052[[#This Row],[Response]],"")</f>
        <v>4</v>
      </c>
      <c r="I44" s="5" t="str">
        <f>IF(Table4428185052[[#This Row],[Old or New?]]="New",Table4428185052[[#This Row],[Post Total]],"")</f>
        <v/>
      </c>
      <c r="J44" s="5">
        <f>IF(Table4428185052[[#This Row],[Old or New?]]="Old",Table4428185052[[#This Row],[Post Total]],"")</f>
        <v>4</v>
      </c>
      <c r="K44" s="5" t="b">
        <f>ISNUMBER(Table4428185052[[#This Row],[New]])</f>
        <v>0</v>
      </c>
      <c r="L44" s="5" t="b">
        <f>ISNUMBER(Table4428185052[[#This Row],[Old]])</f>
        <v>1</v>
      </c>
    </row>
    <row r="45" spans="1:12">
      <c r="A45" s="2" t="s">
        <v>12</v>
      </c>
      <c r="B45" s="2" t="s">
        <v>5</v>
      </c>
      <c r="C45" s="1">
        <v>4</v>
      </c>
      <c r="D45" s="2" t="s">
        <v>16</v>
      </c>
      <c r="E45" s="1">
        <v>7</v>
      </c>
      <c r="F45" s="1">
        <v>4</v>
      </c>
      <c r="G45" s="5">
        <f>IF(IF(Table4428185052[[#This Row],[Pre or Post]]="Post",1,0)+IF(ISNUMBER(Table4428185052[[#This Row],[Response]])=TRUE,1,0)=2,1,"")</f>
        <v>1</v>
      </c>
      <c r="H45" s="5">
        <f>IF(IF(Table4428185052[[#This Row],[Pre or Post]]="Post",1,0)+IF(ISNUMBER(Table4428185052[[#This Row],[Response]])=TRUE,1,0)=2,Table4428185052[[#This Row],[Response]],"")</f>
        <v>4</v>
      </c>
      <c r="I45" s="5" t="str">
        <f>IF(Table4428185052[[#This Row],[Old or New?]]="New",Table4428185052[[#This Row],[Post Total]],"")</f>
        <v/>
      </c>
      <c r="J45" s="5">
        <f>IF(Table4428185052[[#This Row],[Old or New?]]="Old",Table4428185052[[#This Row],[Post Total]],"")</f>
        <v>4</v>
      </c>
      <c r="K45" s="5" t="b">
        <f>ISNUMBER(Table4428185052[[#This Row],[New]])</f>
        <v>0</v>
      </c>
      <c r="L45" s="5" t="b">
        <f>ISNUMBER(Table4428185052[[#This Row],[Old]])</f>
        <v>1</v>
      </c>
    </row>
    <row r="46" spans="1:12">
      <c r="A46" s="2" t="s">
        <v>12</v>
      </c>
      <c r="B46" s="2" t="s">
        <v>5</v>
      </c>
      <c r="C46" s="1">
        <v>5</v>
      </c>
      <c r="D46" s="2" t="s">
        <v>16</v>
      </c>
      <c r="E46" s="1">
        <v>7</v>
      </c>
      <c r="F46" s="2">
        <v>3</v>
      </c>
      <c r="G46" s="5">
        <f>IF(IF(Table4428185052[[#This Row],[Pre or Post]]="Post",1,0)+IF(ISNUMBER(Table4428185052[[#This Row],[Response]])=TRUE,1,0)=2,1,"")</f>
        <v>1</v>
      </c>
      <c r="H46" s="5">
        <f>IF(IF(Table4428185052[[#This Row],[Pre or Post]]="Post",1,0)+IF(ISNUMBER(Table4428185052[[#This Row],[Response]])=TRUE,1,0)=2,Table4428185052[[#This Row],[Response]],"")</f>
        <v>3</v>
      </c>
      <c r="I46" s="5" t="str">
        <f>IF(Table4428185052[[#This Row],[Old or New?]]="New",Table4428185052[[#This Row],[Post Total]],"")</f>
        <v/>
      </c>
      <c r="J46" s="5">
        <f>IF(Table4428185052[[#This Row],[Old or New?]]="Old",Table4428185052[[#This Row],[Post Total]],"")</f>
        <v>3</v>
      </c>
      <c r="K46" s="5" t="b">
        <f>ISNUMBER(Table4428185052[[#This Row],[New]])</f>
        <v>0</v>
      </c>
      <c r="L46" s="5" t="b">
        <f>ISNUMBER(Table4428185052[[#This Row],[Old]])</f>
        <v>1</v>
      </c>
    </row>
    <row r="47" spans="1:12">
      <c r="A47" s="2" t="s">
        <v>12</v>
      </c>
      <c r="B47" s="2" t="s">
        <v>5</v>
      </c>
      <c r="C47" s="1">
        <v>6</v>
      </c>
      <c r="D47" s="2" t="s">
        <v>16</v>
      </c>
      <c r="E47" s="1">
        <v>7</v>
      </c>
      <c r="F47" s="1">
        <v>5</v>
      </c>
      <c r="G47" s="5">
        <f>IF(IF(Table4428185052[[#This Row],[Pre or Post]]="Post",1,0)+IF(ISNUMBER(Table4428185052[[#This Row],[Response]])=TRUE,1,0)=2,1,"")</f>
        <v>1</v>
      </c>
      <c r="H47" s="5">
        <f>IF(IF(Table4428185052[[#This Row],[Pre or Post]]="Post",1,0)+IF(ISNUMBER(Table4428185052[[#This Row],[Response]])=TRUE,1,0)=2,Table4428185052[[#This Row],[Response]],"")</f>
        <v>5</v>
      </c>
      <c r="I47" s="5" t="str">
        <f>IF(Table4428185052[[#This Row],[Old or New?]]="New",Table4428185052[[#This Row],[Post Total]],"")</f>
        <v/>
      </c>
      <c r="J47" s="5">
        <f>IF(Table4428185052[[#This Row],[Old or New?]]="Old",Table4428185052[[#This Row],[Post Total]],"")</f>
        <v>5</v>
      </c>
      <c r="K47" s="5" t="b">
        <f>ISNUMBER(Table4428185052[[#This Row],[New]])</f>
        <v>0</v>
      </c>
      <c r="L47" s="5" t="b">
        <f>ISNUMBER(Table4428185052[[#This Row],[Old]])</f>
        <v>1</v>
      </c>
    </row>
    <row r="48" spans="1:12">
      <c r="A48" s="2" t="s">
        <v>12</v>
      </c>
      <c r="B48" s="2" t="s">
        <v>5</v>
      </c>
      <c r="C48" s="1">
        <v>7</v>
      </c>
      <c r="D48" s="2" t="s">
        <v>16</v>
      </c>
      <c r="E48" s="1">
        <v>7</v>
      </c>
      <c r="F48" s="1">
        <v>3</v>
      </c>
      <c r="G48" s="5">
        <f>IF(IF(Table4428185052[[#This Row],[Pre or Post]]="Post",1,0)+IF(ISNUMBER(Table4428185052[[#This Row],[Response]])=TRUE,1,0)=2,1,"")</f>
        <v>1</v>
      </c>
      <c r="H48" s="5">
        <f>IF(IF(Table4428185052[[#This Row],[Pre or Post]]="Post",1,0)+IF(ISNUMBER(Table4428185052[[#This Row],[Response]])=TRUE,1,0)=2,Table4428185052[[#This Row],[Response]],"")</f>
        <v>3</v>
      </c>
      <c r="I48" s="5" t="str">
        <f>IF(Table4428185052[[#This Row],[Old or New?]]="New",Table4428185052[[#This Row],[Post Total]],"")</f>
        <v/>
      </c>
      <c r="J48" s="5">
        <f>IF(Table4428185052[[#This Row],[Old or New?]]="Old",Table4428185052[[#This Row],[Post Total]],"")</f>
        <v>3</v>
      </c>
      <c r="K48" s="5" t="b">
        <f>ISNUMBER(Table4428185052[[#This Row],[New]])</f>
        <v>0</v>
      </c>
      <c r="L48" s="5" t="b">
        <f>ISNUMBER(Table4428185052[[#This Row],[Old]])</f>
        <v>1</v>
      </c>
    </row>
    <row r="49" spans="1:12">
      <c r="A49" s="2" t="s">
        <v>12</v>
      </c>
      <c r="B49" s="2" t="s">
        <v>5</v>
      </c>
      <c r="C49" s="1">
        <v>8</v>
      </c>
      <c r="D49" s="2" t="s">
        <v>16</v>
      </c>
      <c r="E49" s="1">
        <v>7</v>
      </c>
      <c r="F49" s="1">
        <v>4</v>
      </c>
      <c r="G49" s="5">
        <f>IF(IF(Table4428185052[[#This Row],[Pre or Post]]="Post",1,0)+IF(ISNUMBER(Table4428185052[[#This Row],[Response]])=TRUE,1,0)=2,1,"")</f>
        <v>1</v>
      </c>
      <c r="H49" s="5">
        <f>IF(IF(Table4428185052[[#This Row],[Pre or Post]]="Post",1,0)+IF(ISNUMBER(Table4428185052[[#This Row],[Response]])=TRUE,1,0)=2,Table4428185052[[#This Row],[Response]],"")</f>
        <v>4</v>
      </c>
      <c r="I49" s="5" t="str">
        <f>IF(Table4428185052[[#This Row],[Old or New?]]="New",Table4428185052[[#This Row],[Post Total]],"")</f>
        <v/>
      </c>
      <c r="J49" s="5">
        <f>IF(Table4428185052[[#This Row],[Old or New?]]="Old",Table4428185052[[#This Row],[Post Total]],"")</f>
        <v>4</v>
      </c>
      <c r="K49" s="5" t="b">
        <f>ISNUMBER(Table4428185052[[#This Row],[New]])</f>
        <v>0</v>
      </c>
      <c r="L49" s="5" t="b">
        <f>ISNUMBER(Table4428185052[[#This Row],[Old]])</f>
        <v>1</v>
      </c>
    </row>
    <row r="50" spans="1:12">
      <c r="A50" s="2" t="s">
        <v>12</v>
      </c>
      <c r="B50" s="2" t="s">
        <v>5</v>
      </c>
      <c r="C50" s="1">
        <v>9</v>
      </c>
      <c r="D50" s="2" t="s">
        <v>16</v>
      </c>
      <c r="E50" s="1">
        <v>7</v>
      </c>
      <c r="F50" s="2">
        <v>4</v>
      </c>
      <c r="G50" s="5">
        <f>IF(IF(Table4428185052[[#This Row],[Pre or Post]]="Post",1,0)+IF(ISNUMBER(Table4428185052[[#This Row],[Response]])=TRUE,1,0)=2,1,"")</f>
        <v>1</v>
      </c>
      <c r="H50" s="5">
        <f>IF(IF(Table4428185052[[#This Row],[Pre or Post]]="Post",1,0)+IF(ISNUMBER(Table4428185052[[#This Row],[Response]])=TRUE,1,0)=2,Table4428185052[[#This Row],[Response]],"")</f>
        <v>4</v>
      </c>
      <c r="I50" s="5" t="str">
        <f>IF(Table4428185052[[#This Row],[Old or New?]]="New",Table4428185052[[#This Row],[Post Total]],"")</f>
        <v/>
      </c>
      <c r="J50" s="5">
        <f>IF(Table4428185052[[#This Row],[Old or New?]]="Old",Table4428185052[[#This Row],[Post Total]],"")</f>
        <v>4</v>
      </c>
      <c r="K50" s="5" t="b">
        <f>ISNUMBER(Table4428185052[[#This Row],[New]])</f>
        <v>0</v>
      </c>
      <c r="L50" s="5" t="b">
        <f>ISNUMBER(Table4428185052[[#This Row],[Old]])</f>
        <v>1</v>
      </c>
    </row>
    <row r="51" spans="1:12">
      <c r="A51" s="2" t="s">
        <v>12</v>
      </c>
      <c r="B51" s="2" t="s">
        <v>5</v>
      </c>
      <c r="C51" s="1">
        <v>10</v>
      </c>
      <c r="D51" s="2" t="s">
        <v>16</v>
      </c>
      <c r="E51" s="1">
        <v>7</v>
      </c>
      <c r="F51" s="1">
        <v>3</v>
      </c>
      <c r="G51" s="5">
        <f>IF(IF(Table4428185052[[#This Row],[Pre or Post]]="Post",1,0)+IF(ISNUMBER(Table4428185052[[#This Row],[Response]])=TRUE,1,0)=2,1,"")</f>
        <v>1</v>
      </c>
      <c r="H51" s="5">
        <f>IF(IF(Table4428185052[[#This Row],[Pre or Post]]="Post",1,0)+IF(ISNUMBER(Table4428185052[[#This Row],[Response]])=TRUE,1,0)=2,Table4428185052[[#This Row],[Response]],"")</f>
        <v>3</v>
      </c>
      <c r="I51" s="5" t="str">
        <f>IF(Table4428185052[[#This Row],[Old or New?]]="New",Table4428185052[[#This Row],[Post Total]],"")</f>
        <v/>
      </c>
      <c r="J51" s="5">
        <f>IF(Table4428185052[[#This Row],[Old or New?]]="Old",Table4428185052[[#This Row],[Post Total]],"")</f>
        <v>3</v>
      </c>
      <c r="K51" s="5" t="b">
        <f>ISNUMBER(Table4428185052[[#This Row],[New]])</f>
        <v>0</v>
      </c>
      <c r="L51" s="5" t="b">
        <f>ISNUMBER(Table4428185052[[#This Row],[Old]])</f>
        <v>1</v>
      </c>
    </row>
    <row r="52" spans="1:12">
      <c r="A52" s="2" t="s">
        <v>12</v>
      </c>
      <c r="B52" s="2" t="s">
        <v>5</v>
      </c>
      <c r="C52" s="1">
        <v>11</v>
      </c>
      <c r="D52" s="2" t="s">
        <v>16</v>
      </c>
      <c r="E52" s="1">
        <v>7</v>
      </c>
      <c r="F52" s="1">
        <v>4</v>
      </c>
      <c r="G52" s="5">
        <f>IF(IF(Table4428185052[[#This Row],[Pre or Post]]="Post",1,0)+IF(ISNUMBER(Table4428185052[[#This Row],[Response]])=TRUE,1,0)=2,1,"")</f>
        <v>1</v>
      </c>
      <c r="H52" s="5">
        <f>IF(IF(Table4428185052[[#This Row],[Pre or Post]]="Post",1,0)+IF(ISNUMBER(Table4428185052[[#This Row],[Response]])=TRUE,1,0)=2,Table4428185052[[#This Row],[Response]],"")</f>
        <v>4</v>
      </c>
      <c r="I52" s="5" t="str">
        <f>IF(Table4428185052[[#This Row],[Old or New?]]="New",Table4428185052[[#This Row],[Post Total]],"")</f>
        <v/>
      </c>
      <c r="J52" s="5">
        <f>IF(Table4428185052[[#This Row],[Old or New?]]="Old",Table4428185052[[#This Row],[Post Total]],"")</f>
        <v>4</v>
      </c>
      <c r="K52" s="5" t="b">
        <f>ISNUMBER(Table4428185052[[#This Row],[New]])</f>
        <v>0</v>
      </c>
      <c r="L52" s="5" t="b">
        <f>ISNUMBER(Table4428185052[[#This Row],[Old]])</f>
        <v>1</v>
      </c>
    </row>
    <row r="53" spans="1:12">
      <c r="A53" s="2" t="s">
        <v>12</v>
      </c>
      <c r="B53" s="2" t="s">
        <v>5</v>
      </c>
      <c r="C53" s="1">
        <v>12</v>
      </c>
      <c r="D53" s="2" t="s">
        <v>16</v>
      </c>
      <c r="E53" s="1">
        <v>7</v>
      </c>
      <c r="G53" s="5" t="str">
        <f>IF(IF(Table4428185052[[#This Row],[Pre or Post]]="Post",1,0)+IF(ISNUMBER(Table4428185052[[#This Row],[Response]])=TRUE,1,0)=2,1,"")</f>
        <v/>
      </c>
      <c r="H53" s="5" t="str">
        <f>IF(IF(Table4428185052[[#This Row],[Pre or Post]]="Post",1,0)+IF(ISNUMBER(Table4428185052[[#This Row],[Response]])=TRUE,1,0)=2,Table4428185052[[#This Row],[Response]],"")</f>
        <v/>
      </c>
      <c r="I53" s="5" t="str">
        <f>IF(Table4428185052[[#This Row],[Old or New?]]="New",Table4428185052[[#This Row],[Post Total]],"")</f>
        <v/>
      </c>
      <c r="J53" s="5" t="str">
        <f>IF(Table4428185052[[#This Row],[Old or New?]]="Old",Table4428185052[[#This Row],[Post Total]],"")</f>
        <v/>
      </c>
      <c r="K53" s="5" t="b">
        <f>ISNUMBER(Table4428185052[[#This Row],[New]])</f>
        <v>0</v>
      </c>
      <c r="L53" s="5" t="b">
        <f>ISNUMBER(Table4428185052[[#This Row],[Old]])</f>
        <v>0</v>
      </c>
    </row>
    <row r="54" spans="1:12">
      <c r="A54" s="2" t="s">
        <v>12</v>
      </c>
      <c r="B54" s="2" t="s">
        <v>5</v>
      </c>
      <c r="C54" s="1">
        <v>13</v>
      </c>
      <c r="D54" s="2" t="s">
        <v>16</v>
      </c>
      <c r="E54" s="1">
        <v>7</v>
      </c>
      <c r="F54" s="2"/>
      <c r="G54" s="5" t="str">
        <f>IF(IF(Table4428185052[[#This Row],[Pre or Post]]="Post",1,0)+IF(ISNUMBER(Table4428185052[[#This Row],[Response]])=TRUE,1,0)=2,1,"")</f>
        <v/>
      </c>
      <c r="H54" s="5" t="str">
        <f>IF(IF(Table4428185052[[#This Row],[Pre or Post]]="Post",1,0)+IF(ISNUMBER(Table4428185052[[#This Row],[Response]])=TRUE,1,0)=2,Table4428185052[[#This Row],[Response]],"")</f>
        <v/>
      </c>
      <c r="I54" s="5" t="str">
        <f>IF(Table4428185052[[#This Row],[Old or New?]]="New",Table4428185052[[#This Row],[Post Total]],"")</f>
        <v/>
      </c>
      <c r="J54" s="5" t="str">
        <f>IF(Table4428185052[[#This Row],[Old or New?]]="Old",Table4428185052[[#This Row],[Post Total]],"")</f>
        <v/>
      </c>
      <c r="K54" s="5" t="b">
        <f>ISNUMBER(Table4428185052[[#This Row],[New]])</f>
        <v>0</v>
      </c>
      <c r="L54" s="5" t="b">
        <f>ISNUMBER(Table4428185052[[#This Row],[Old]])</f>
        <v>0</v>
      </c>
    </row>
    <row r="55" spans="1:12">
      <c r="A55" s="2" t="s">
        <v>12</v>
      </c>
      <c r="B55" s="2" t="s">
        <v>5</v>
      </c>
      <c r="C55" s="1">
        <v>14</v>
      </c>
      <c r="D55" s="2" t="s">
        <v>16</v>
      </c>
      <c r="E55" s="1">
        <v>7</v>
      </c>
      <c r="F55" s="1">
        <v>3</v>
      </c>
      <c r="G55" s="5">
        <f>IF(IF(Table4428185052[[#This Row],[Pre or Post]]="Post",1,0)+IF(ISNUMBER(Table4428185052[[#This Row],[Response]])=TRUE,1,0)=2,1,"")</f>
        <v>1</v>
      </c>
      <c r="H55" s="5">
        <f>IF(IF(Table4428185052[[#This Row],[Pre or Post]]="Post",1,0)+IF(ISNUMBER(Table4428185052[[#This Row],[Response]])=TRUE,1,0)=2,Table4428185052[[#This Row],[Response]],"")</f>
        <v>3</v>
      </c>
      <c r="I55" s="5" t="str">
        <f>IF(Table4428185052[[#This Row],[Old or New?]]="New",Table4428185052[[#This Row],[Post Total]],"")</f>
        <v/>
      </c>
      <c r="J55" s="5">
        <f>IF(Table4428185052[[#This Row],[Old or New?]]="Old",Table4428185052[[#This Row],[Post Total]],"")</f>
        <v>3</v>
      </c>
      <c r="K55" s="5" t="b">
        <f>ISNUMBER(Table4428185052[[#This Row],[New]])</f>
        <v>0</v>
      </c>
      <c r="L55" s="5" t="b">
        <f>ISNUMBER(Table4428185052[[#This Row],[Old]])</f>
        <v>1</v>
      </c>
    </row>
    <row r="56" spans="1:12">
      <c r="A56" s="2" t="s">
        <v>12</v>
      </c>
      <c r="B56" s="2" t="s">
        <v>5</v>
      </c>
      <c r="C56" s="1">
        <v>15</v>
      </c>
      <c r="D56" s="2" t="s">
        <v>16</v>
      </c>
      <c r="E56" s="1">
        <v>7</v>
      </c>
      <c r="F56" s="2"/>
      <c r="G56" s="5" t="str">
        <f>IF(IF(Table4428185052[[#This Row],[Pre or Post]]="Post",1,0)+IF(ISNUMBER(Table4428185052[[#This Row],[Response]])=TRUE,1,0)=2,1,"")</f>
        <v/>
      </c>
      <c r="H56" s="5" t="str">
        <f>IF(IF(Table4428185052[[#This Row],[Pre or Post]]="Post",1,0)+IF(ISNUMBER(Table4428185052[[#This Row],[Response]])=TRUE,1,0)=2,Table4428185052[[#This Row],[Response]],"")</f>
        <v/>
      </c>
      <c r="I56" s="5" t="str">
        <f>IF(Table4428185052[[#This Row],[Old or New?]]="New",Table4428185052[[#This Row],[Post Total]],"")</f>
        <v/>
      </c>
      <c r="J56" s="5" t="str">
        <f>IF(Table4428185052[[#This Row],[Old or New?]]="Old",Table4428185052[[#This Row],[Post Total]],"")</f>
        <v/>
      </c>
      <c r="K56" s="5" t="b">
        <f>ISNUMBER(Table4428185052[[#This Row],[New]])</f>
        <v>0</v>
      </c>
      <c r="L56" s="5" t="b">
        <f>ISNUMBER(Table4428185052[[#This Row],[Old]])</f>
        <v>0</v>
      </c>
    </row>
    <row r="57" spans="1:12">
      <c r="A57" s="2" t="s">
        <v>12</v>
      </c>
      <c r="B57" s="2" t="s">
        <v>5</v>
      </c>
      <c r="C57" s="1">
        <v>16</v>
      </c>
      <c r="D57" s="2" t="s">
        <v>16</v>
      </c>
      <c r="E57" s="1">
        <v>7</v>
      </c>
      <c r="F57" s="1">
        <v>3</v>
      </c>
      <c r="G57" s="5">
        <f>IF(IF(Table4428185052[[#This Row],[Pre or Post]]="Post",1,0)+IF(ISNUMBER(Table4428185052[[#This Row],[Response]])=TRUE,1,0)=2,1,"")</f>
        <v>1</v>
      </c>
      <c r="H57" s="5">
        <f>IF(IF(Table4428185052[[#This Row],[Pre or Post]]="Post",1,0)+IF(ISNUMBER(Table4428185052[[#This Row],[Response]])=TRUE,1,0)=2,Table4428185052[[#This Row],[Response]],"")</f>
        <v>3</v>
      </c>
      <c r="I57" s="5" t="str">
        <f>IF(Table4428185052[[#This Row],[Old or New?]]="New",Table4428185052[[#This Row],[Post Total]],"")</f>
        <v/>
      </c>
      <c r="J57" s="5">
        <f>IF(Table4428185052[[#This Row],[Old or New?]]="Old",Table4428185052[[#This Row],[Post Total]],"")</f>
        <v>3</v>
      </c>
      <c r="K57" s="5" t="b">
        <f>ISNUMBER(Table4428185052[[#This Row],[New]])</f>
        <v>0</v>
      </c>
      <c r="L57" s="5" t="b">
        <f>ISNUMBER(Table4428185052[[#This Row],[Old]])</f>
        <v>1</v>
      </c>
    </row>
    <row r="58" spans="1:12">
      <c r="A58" s="2" t="s">
        <v>12</v>
      </c>
      <c r="B58" s="2" t="s">
        <v>5</v>
      </c>
      <c r="C58" s="1">
        <v>17</v>
      </c>
      <c r="D58" s="2" t="s">
        <v>16</v>
      </c>
      <c r="E58" s="1">
        <v>7</v>
      </c>
      <c r="G58" s="5" t="str">
        <f>IF(IF(Table4428185052[[#This Row],[Pre or Post]]="Post",1,0)+IF(ISNUMBER(Table4428185052[[#This Row],[Response]])=TRUE,1,0)=2,1,"")</f>
        <v/>
      </c>
      <c r="H58" s="5" t="str">
        <f>IF(IF(Table4428185052[[#This Row],[Pre or Post]]="Post",1,0)+IF(ISNUMBER(Table4428185052[[#This Row],[Response]])=TRUE,1,0)=2,Table4428185052[[#This Row],[Response]],"")</f>
        <v/>
      </c>
      <c r="I58" s="5" t="str">
        <f>IF(Table4428185052[[#This Row],[Old or New?]]="New",Table4428185052[[#This Row],[Post Total]],"")</f>
        <v/>
      </c>
      <c r="J58" s="5" t="str">
        <f>IF(Table4428185052[[#This Row],[Old or New?]]="Old",Table4428185052[[#This Row],[Post Total]],"")</f>
        <v/>
      </c>
      <c r="K58" s="5" t="b">
        <f>ISNUMBER(Table4428185052[[#This Row],[New]])</f>
        <v>0</v>
      </c>
      <c r="L58" s="5" t="b">
        <f>ISNUMBER(Table4428185052[[#This Row],[Old]])</f>
        <v>0</v>
      </c>
    </row>
    <row r="59" spans="1:12">
      <c r="A59" s="2" t="s">
        <v>12</v>
      </c>
      <c r="B59" s="2" t="s">
        <v>5</v>
      </c>
      <c r="C59" s="1">
        <v>18</v>
      </c>
      <c r="D59" s="2" t="s">
        <v>16</v>
      </c>
      <c r="E59" s="1">
        <v>7</v>
      </c>
      <c r="F59" s="1">
        <v>2</v>
      </c>
      <c r="G59" s="5">
        <f>IF(IF(Table4428185052[[#This Row],[Pre or Post]]="Post",1,0)+IF(ISNUMBER(Table4428185052[[#This Row],[Response]])=TRUE,1,0)=2,1,"")</f>
        <v>1</v>
      </c>
      <c r="H59" s="5">
        <f>IF(IF(Table4428185052[[#This Row],[Pre or Post]]="Post",1,0)+IF(ISNUMBER(Table4428185052[[#This Row],[Response]])=TRUE,1,0)=2,Table4428185052[[#This Row],[Response]],"")</f>
        <v>2</v>
      </c>
      <c r="I59" s="5" t="str">
        <f>IF(Table4428185052[[#This Row],[Old or New?]]="New",Table4428185052[[#This Row],[Post Total]],"")</f>
        <v/>
      </c>
      <c r="J59" s="5">
        <f>IF(Table4428185052[[#This Row],[Old or New?]]="Old",Table4428185052[[#This Row],[Post Total]],"")</f>
        <v>2</v>
      </c>
      <c r="K59" s="5" t="b">
        <f>ISNUMBER(Table4428185052[[#This Row],[New]])</f>
        <v>0</v>
      </c>
      <c r="L59" s="5" t="b">
        <f>ISNUMBER(Table4428185052[[#This Row],[Old]])</f>
        <v>1</v>
      </c>
    </row>
    <row r="60" spans="1:12">
      <c r="A60" s="2" t="s">
        <v>12</v>
      </c>
      <c r="B60" s="2" t="s">
        <v>5</v>
      </c>
      <c r="C60" s="2">
        <v>19</v>
      </c>
      <c r="D60" s="2" t="s">
        <v>16</v>
      </c>
      <c r="E60" s="1">
        <v>7</v>
      </c>
      <c r="F60" s="2">
        <v>3</v>
      </c>
      <c r="G60" s="5">
        <f>IF(IF(Table4428185052[[#This Row],[Pre or Post]]="Post",1,0)+IF(ISNUMBER(Table4428185052[[#This Row],[Response]])=TRUE,1,0)=2,1,"")</f>
        <v>1</v>
      </c>
      <c r="H60" s="5">
        <f>IF(IF(Table4428185052[[#This Row],[Pre or Post]]="Post",1,0)+IF(ISNUMBER(Table4428185052[[#This Row],[Response]])=TRUE,1,0)=2,Table4428185052[[#This Row],[Response]],"")</f>
        <v>3</v>
      </c>
      <c r="I60" s="5" t="str">
        <f>IF(Table4428185052[[#This Row],[Old or New?]]="New",Table4428185052[[#This Row],[Post Total]],"")</f>
        <v/>
      </c>
      <c r="J60" s="5">
        <f>IF(Table4428185052[[#This Row],[Old or New?]]="Old",Table4428185052[[#This Row],[Post Total]],"")</f>
        <v>3</v>
      </c>
      <c r="K60" s="5" t="b">
        <f>ISNUMBER(Table4428185052[[#This Row],[New]])</f>
        <v>0</v>
      </c>
      <c r="L60" s="5" t="b">
        <f>ISNUMBER(Table4428185052[[#This Row],[Old]])</f>
        <v>1</v>
      </c>
    </row>
    <row r="61" spans="1:12">
      <c r="A61" s="2" t="s">
        <v>12</v>
      </c>
      <c r="B61" s="2" t="s">
        <v>5</v>
      </c>
      <c r="C61" s="2">
        <v>20</v>
      </c>
      <c r="D61" s="2" t="s">
        <v>16</v>
      </c>
      <c r="E61" s="1">
        <v>7</v>
      </c>
      <c r="F61" s="2">
        <v>4</v>
      </c>
      <c r="G61" s="5">
        <f>IF(IF(Table4428185052[[#This Row],[Pre or Post]]="Post",1,0)+IF(ISNUMBER(Table4428185052[[#This Row],[Response]])=TRUE,1,0)=2,1,"")</f>
        <v>1</v>
      </c>
      <c r="H61" s="5">
        <f>IF(IF(Table4428185052[[#This Row],[Pre or Post]]="Post",1,0)+IF(ISNUMBER(Table4428185052[[#This Row],[Response]])=TRUE,1,0)=2,Table4428185052[[#This Row],[Response]],"")</f>
        <v>4</v>
      </c>
      <c r="I61" s="5" t="str">
        <f>IF(Table4428185052[[#This Row],[Old or New?]]="New",Table4428185052[[#This Row],[Post Total]],"")</f>
        <v/>
      </c>
      <c r="J61" s="5">
        <f>IF(Table4428185052[[#This Row],[Old or New?]]="Old",Table4428185052[[#This Row],[Post Total]],"")</f>
        <v>4</v>
      </c>
      <c r="K61" s="5" t="b">
        <f>ISNUMBER(Table4428185052[[#This Row],[New]])</f>
        <v>0</v>
      </c>
      <c r="L61" s="5" t="b">
        <f>ISNUMBER(Table4428185052[[#This Row],[Old]])</f>
        <v>1</v>
      </c>
    </row>
    <row r="62" spans="1:12">
      <c r="A62" s="2" t="s">
        <v>12</v>
      </c>
      <c r="B62" s="2" t="s">
        <v>5</v>
      </c>
      <c r="C62" s="2">
        <v>21</v>
      </c>
      <c r="D62" s="2" t="s">
        <v>16</v>
      </c>
      <c r="E62" s="1">
        <v>7</v>
      </c>
      <c r="F62" s="2">
        <v>5</v>
      </c>
      <c r="G62" s="5">
        <f>IF(IF(Table4428185052[[#This Row],[Pre or Post]]="Post",1,0)+IF(ISNUMBER(Table4428185052[[#This Row],[Response]])=TRUE,1,0)=2,1,"")</f>
        <v>1</v>
      </c>
      <c r="H62" s="5">
        <f>IF(IF(Table4428185052[[#This Row],[Pre or Post]]="Post",1,0)+IF(ISNUMBER(Table4428185052[[#This Row],[Response]])=TRUE,1,0)=2,Table4428185052[[#This Row],[Response]],"")</f>
        <v>5</v>
      </c>
      <c r="I62" s="5" t="str">
        <f>IF(Table4428185052[[#This Row],[Old or New?]]="New",Table4428185052[[#This Row],[Post Total]],"")</f>
        <v/>
      </c>
      <c r="J62" s="5">
        <f>IF(Table4428185052[[#This Row],[Old or New?]]="Old",Table4428185052[[#This Row],[Post Total]],"")</f>
        <v>5</v>
      </c>
      <c r="K62" s="5" t="b">
        <f>ISNUMBER(Table4428185052[[#This Row],[New]])</f>
        <v>0</v>
      </c>
      <c r="L62" s="5" t="b">
        <f>ISNUMBER(Table4428185052[[#This Row],[Old]])</f>
        <v>1</v>
      </c>
    </row>
    <row r="63" spans="1:12">
      <c r="A63" s="2" t="s">
        <v>12</v>
      </c>
      <c r="B63" s="2" t="s">
        <v>5</v>
      </c>
      <c r="C63" s="2">
        <v>22</v>
      </c>
      <c r="D63" s="2" t="s">
        <v>16</v>
      </c>
      <c r="E63" s="1">
        <v>7</v>
      </c>
      <c r="F63" s="2">
        <v>5</v>
      </c>
      <c r="G63" s="5">
        <f>IF(IF(Table4428185052[[#This Row],[Pre or Post]]="Post",1,0)+IF(ISNUMBER(Table4428185052[[#This Row],[Response]])=TRUE,1,0)=2,1,"")</f>
        <v>1</v>
      </c>
      <c r="H63" s="5">
        <f>IF(IF(Table4428185052[[#This Row],[Pre or Post]]="Post",1,0)+IF(ISNUMBER(Table4428185052[[#This Row],[Response]])=TRUE,1,0)=2,Table4428185052[[#This Row],[Response]],"")</f>
        <v>5</v>
      </c>
      <c r="I63" s="5" t="str">
        <f>IF(Table4428185052[[#This Row],[Old or New?]]="New",Table4428185052[[#This Row],[Post Total]],"")</f>
        <v/>
      </c>
      <c r="J63" s="5">
        <f>IF(Table4428185052[[#This Row],[Old or New?]]="Old",Table4428185052[[#This Row],[Post Total]],"")</f>
        <v>5</v>
      </c>
      <c r="K63" s="5" t="b">
        <f>ISNUMBER(Table4428185052[[#This Row],[New]])</f>
        <v>0</v>
      </c>
      <c r="L63" s="5" t="b">
        <f>ISNUMBER(Table4428185052[[#This Row],[Old]])</f>
        <v>1</v>
      </c>
    </row>
    <row r="64" spans="1:12">
      <c r="A64" s="2" t="s">
        <v>12</v>
      </c>
      <c r="B64" s="2" t="s">
        <v>5</v>
      </c>
      <c r="C64" s="2">
        <v>23</v>
      </c>
      <c r="D64" s="2" t="s">
        <v>16</v>
      </c>
      <c r="E64" s="1">
        <v>7</v>
      </c>
      <c r="F64" s="2">
        <v>5</v>
      </c>
      <c r="G64" s="5">
        <f>IF(IF(Table4428185052[[#This Row],[Pre or Post]]="Post",1,0)+IF(ISNUMBER(Table4428185052[[#This Row],[Response]])=TRUE,1,0)=2,1,"")</f>
        <v>1</v>
      </c>
      <c r="H64" s="5">
        <f>IF(IF(Table4428185052[[#This Row],[Pre or Post]]="Post",1,0)+IF(ISNUMBER(Table4428185052[[#This Row],[Response]])=TRUE,1,0)=2,Table4428185052[[#This Row],[Response]],"")</f>
        <v>5</v>
      </c>
      <c r="I64" s="5" t="str">
        <f>IF(Table4428185052[[#This Row],[Old or New?]]="New",Table4428185052[[#This Row],[Post Total]],"")</f>
        <v/>
      </c>
      <c r="J64" s="5">
        <f>IF(Table4428185052[[#This Row],[Old or New?]]="Old",Table4428185052[[#This Row],[Post Total]],"")</f>
        <v>5</v>
      </c>
      <c r="K64" s="5" t="b">
        <f>ISNUMBER(Table4428185052[[#This Row],[New]])</f>
        <v>0</v>
      </c>
      <c r="L64" s="5" t="b">
        <f>ISNUMBER(Table4428185052[[#This Row],[Old]])</f>
        <v>1</v>
      </c>
    </row>
    <row r="65" spans="1:12">
      <c r="A65" s="2" t="s">
        <v>12</v>
      </c>
      <c r="B65" s="2" t="s">
        <v>5</v>
      </c>
      <c r="C65" s="2">
        <v>24</v>
      </c>
      <c r="D65" s="2" t="s">
        <v>16</v>
      </c>
      <c r="E65" s="1">
        <v>7</v>
      </c>
      <c r="F65" s="2">
        <v>4</v>
      </c>
      <c r="G65" s="5">
        <f>IF(IF(Table4428185052[[#This Row],[Pre or Post]]="Post",1,0)+IF(ISNUMBER(Table4428185052[[#This Row],[Response]])=TRUE,1,0)=2,1,"")</f>
        <v>1</v>
      </c>
      <c r="H65" s="5">
        <f>IF(IF(Table4428185052[[#This Row],[Pre or Post]]="Post",1,0)+IF(ISNUMBER(Table4428185052[[#This Row],[Response]])=TRUE,1,0)=2,Table4428185052[[#This Row],[Response]],"")</f>
        <v>4</v>
      </c>
      <c r="I65" s="5" t="str">
        <f>IF(Table4428185052[[#This Row],[Old or New?]]="New",Table4428185052[[#This Row],[Post Total]],"")</f>
        <v/>
      </c>
      <c r="J65" s="5">
        <f>IF(Table4428185052[[#This Row],[Old or New?]]="Old",Table4428185052[[#This Row],[Post Total]],"")</f>
        <v>4</v>
      </c>
      <c r="K65" s="5" t="b">
        <f>ISNUMBER(Table4428185052[[#This Row],[New]])</f>
        <v>0</v>
      </c>
      <c r="L65" s="5" t="b">
        <f>ISNUMBER(Table4428185052[[#This Row],[Old]])</f>
        <v>1</v>
      </c>
    </row>
    <row r="66" spans="1:12">
      <c r="A66" s="1" t="s">
        <v>24</v>
      </c>
      <c r="B66" s="1" t="s">
        <v>23</v>
      </c>
      <c r="C66" s="1">
        <v>1</v>
      </c>
      <c r="D66" s="1" t="s">
        <v>16</v>
      </c>
      <c r="E66" s="1">
        <v>7</v>
      </c>
      <c r="F66" s="1">
        <v>4</v>
      </c>
      <c r="G66" s="5">
        <f>IF(IF(Table4428185052[[#This Row],[Pre or Post]]="Post",1,0)+IF(ISNUMBER(Table4428185052[[#This Row],[Response]])=TRUE,1,0)=2,1,"")</f>
        <v>1</v>
      </c>
      <c r="H66" s="5">
        <f>IF(IF(Table4428185052[[#This Row],[Pre or Post]]="Post",1,0)+IF(ISNUMBER(Table4428185052[[#This Row],[Response]])=TRUE,1,0)=2,Table4428185052[[#This Row],[Response]],"")</f>
        <v>4</v>
      </c>
      <c r="I66" s="5">
        <f>IF(Table4428185052[[#This Row],[Old or New?]]="New",Table4428185052[[#This Row],[Post Total]],"")</f>
        <v>4</v>
      </c>
      <c r="J66" s="5" t="str">
        <f>IF(Table4428185052[[#This Row],[Old or New?]]="Old",Table4428185052[[#This Row],[Post Total]],"")</f>
        <v/>
      </c>
      <c r="K66" s="5" t="b">
        <f>ISNUMBER(Table4428185052[[#This Row],[New]])</f>
        <v>1</v>
      </c>
      <c r="L66" s="5" t="b">
        <f>ISNUMBER(Table4428185052[[#This Row],[Old]])</f>
        <v>0</v>
      </c>
    </row>
    <row r="67" spans="1:12">
      <c r="A67" s="1" t="s">
        <v>24</v>
      </c>
      <c r="B67" s="1" t="s">
        <v>23</v>
      </c>
      <c r="C67" s="1">
        <v>2</v>
      </c>
      <c r="D67" s="1" t="s">
        <v>16</v>
      </c>
      <c r="E67" s="1">
        <v>7</v>
      </c>
      <c r="F67" s="1">
        <v>1</v>
      </c>
      <c r="G67" s="5">
        <f>IF(IF(Table4428185052[[#This Row],[Pre or Post]]="Post",1,0)+IF(ISNUMBER(Table4428185052[[#This Row],[Response]])=TRUE,1,0)=2,1,"")</f>
        <v>1</v>
      </c>
      <c r="H67" s="5">
        <f>IF(IF(Table4428185052[[#This Row],[Pre or Post]]="Post",1,0)+IF(ISNUMBER(Table4428185052[[#This Row],[Response]])=TRUE,1,0)=2,Table4428185052[[#This Row],[Response]],"")</f>
        <v>1</v>
      </c>
      <c r="I67" s="5">
        <f>IF(Table4428185052[[#This Row],[Old or New?]]="New",Table4428185052[[#This Row],[Post Total]],"")</f>
        <v>1</v>
      </c>
      <c r="J67" s="5" t="str">
        <f>IF(Table4428185052[[#This Row],[Old or New?]]="Old",Table4428185052[[#This Row],[Post Total]],"")</f>
        <v/>
      </c>
      <c r="K67" s="5" t="b">
        <f>ISNUMBER(Table4428185052[[#This Row],[New]])</f>
        <v>1</v>
      </c>
      <c r="L67" s="5" t="b">
        <f>ISNUMBER(Table4428185052[[#This Row],[Old]])</f>
        <v>0</v>
      </c>
    </row>
    <row r="68" spans="1:12">
      <c r="A68" s="1" t="s">
        <v>24</v>
      </c>
      <c r="B68" s="1" t="s">
        <v>23</v>
      </c>
      <c r="C68" s="1">
        <v>3</v>
      </c>
      <c r="D68" s="1" t="s">
        <v>16</v>
      </c>
      <c r="E68" s="1">
        <v>7</v>
      </c>
      <c r="F68" s="1">
        <v>4</v>
      </c>
      <c r="G68" s="5">
        <f>IF(IF(Table4428185052[[#This Row],[Pre or Post]]="Post",1,0)+IF(ISNUMBER(Table4428185052[[#This Row],[Response]])=TRUE,1,0)=2,1,"")</f>
        <v>1</v>
      </c>
      <c r="H68" s="5">
        <f>IF(IF(Table4428185052[[#This Row],[Pre or Post]]="Post",1,0)+IF(ISNUMBER(Table4428185052[[#This Row],[Response]])=TRUE,1,0)=2,Table4428185052[[#This Row],[Response]],"")</f>
        <v>4</v>
      </c>
      <c r="I68" s="5">
        <f>IF(Table4428185052[[#This Row],[Old or New?]]="New",Table4428185052[[#This Row],[Post Total]],"")</f>
        <v>4</v>
      </c>
      <c r="J68" s="5" t="str">
        <f>IF(Table4428185052[[#This Row],[Old or New?]]="Old",Table4428185052[[#This Row],[Post Total]],"")</f>
        <v/>
      </c>
      <c r="K68" s="5" t="b">
        <f>ISNUMBER(Table4428185052[[#This Row],[New]])</f>
        <v>1</v>
      </c>
      <c r="L68" s="5" t="b">
        <f>ISNUMBER(Table4428185052[[#This Row],[Old]])</f>
        <v>0</v>
      </c>
    </row>
    <row r="69" spans="1:12">
      <c r="A69" s="1" t="s">
        <v>24</v>
      </c>
      <c r="B69" s="1" t="s">
        <v>23</v>
      </c>
      <c r="C69" s="1">
        <v>4</v>
      </c>
      <c r="D69" s="1" t="s">
        <v>16</v>
      </c>
      <c r="E69" s="1">
        <v>7</v>
      </c>
      <c r="F69" s="1">
        <v>5</v>
      </c>
      <c r="G69" s="5">
        <f>IF(IF(Table4428185052[[#This Row],[Pre or Post]]="Post",1,0)+IF(ISNUMBER(Table4428185052[[#This Row],[Response]])=TRUE,1,0)=2,1,"")</f>
        <v>1</v>
      </c>
      <c r="H69" s="5">
        <f>IF(IF(Table4428185052[[#This Row],[Pre or Post]]="Post",1,0)+IF(ISNUMBER(Table4428185052[[#This Row],[Response]])=TRUE,1,0)=2,Table4428185052[[#This Row],[Response]],"")</f>
        <v>5</v>
      </c>
      <c r="I69" s="5">
        <f>IF(Table4428185052[[#This Row],[Old or New?]]="New",Table4428185052[[#This Row],[Post Total]],"")</f>
        <v>5</v>
      </c>
      <c r="J69" s="5" t="str">
        <f>IF(Table4428185052[[#This Row],[Old or New?]]="Old",Table4428185052[[#This Row],[Post Total]],"")</f>
        <v/>
      </c>
      <c r="K69" s="5" t="b">
        <f>ISNUMBER(Table4428185052[[#This Row],[New]])</f>
        <v>1</v>
      </c>
      <c r="L69" s="5" t="b">
        <f>ISNUMBER(Table4428185052[[#This Row],[Old]])</f>
        <v>0</v>
      </c>
    </row>
    <row r="70" spans="1:12">
      <c r="A70" s="1" t="s">
        <v>24</v>
      </c>
      <c r="B70" s="1" t="s">
        <v>23</v>
      </c>
      <c r="C70" s="1">
        <v>5</v>
      </c>
      <c r="D70" s="1" t="s">
        <v>16</v>
      </c>
      <c r="E70" s="1">
        <v>7</v>
      </c>
      <c r="F70" s="1">
        <v>4</v>
      </c>
      <c r="G70" s="5">
        <f>IF(IF(Table4428185052[[#This Row],[Pre or Post]]="Post",1,0)+IF(ISNUMBER(Table4428185052[[#This Row],[Response]])=TRUE,1,0)=2,1,"")</f>
        <v>1</v>
      </c>
      <c r="H70" s="5">
        <f>IF(IF(Table4428185052[[#This Row],[Pre or Post]]="Post",1,0)+IF(ISNUMBER(Table4428185052[[#This Row],[Response]])=TRUE,1,0)=2,Table4428185052[[#This Row],[Response]],"")</f>
        <v>4</v>
      </c>
      <c r="I70" s="5">
        <f>IF(Table4428185052[[#This Row],[Old or New?]]="New",Table4428185052[[#This Row],[Post Total]],"")</f>
        <v>4</v>
      </c>
      <c r="J70" s="5" t="str">
        <f>IF(Table4428185052[[#This Row],[Old or New?]]="Old",Table4428185052[[#This Row],[Post Total]],"")</f>
        <v/>
      </c>
      <c r="K70" s="5" t="b">
        <f>ISNUMBER(Table4428185052[[#This Row],[New]])</f>
        <v>1</v>
      </c>
      <c r="L70" s="5" t="b">
        <f>ISNUMBER(Table4428185052[[#This Row],[Old]])</f>
        <v>0</v>
      </c>
    </row>
    <row r="71" spans="1:12">
      <c r="A71" s="1" t="s">
        <v>24</v>
      </c>
      <c r="B71" s="1" t="s">
        <v>23</v>
      </c>
      <c r="C71" s="1">
        <v>6</v>
      </c>
      <c r="D71" s="1" t="s">
        <v>16</v>
      </c>
      <c r="E71" s="1">
        <v>7</v>
      </c>
      <c r="F71" s="1">
        <v>3</v>
      </c>
      <c r="G71" s="5">
        <f>IF(IF(Table4428185052[[#This Row],[Pre or Post]]="Post",1,0)+IF(ISNUMBER(Table4428185052[[#This Row],[Response]])=TRUE,1,0)=2,1,"")</f>
        <v>1</v>
      </c>
      <c r="H71" s="5">
        <f>IF(IF(Table4428185052[[#This Row],[Pre or Post]]="Post",1,0)+IF(ISNUMBER(Table4428185052[[#This Row],[Response]])=TRUE,1,0)=2,Table4428185052[[#This Row],[Response]],"")</f>
        <v>3</v>
      </c>
      <c r="I71" s="5">
        <f>IF(Table4428185052[[#This Row],[Old or New?]]="New",Table4428185052[[#This Row],[Post Total]],"")</f>
        <v>3</v>
      </c>
      <c r="J71" s="5" t="str">
        <f>IF(Table4428185052[[#This Row],[Old or New?]]="Old",Table4428185052[[#This Row],[Post Total]],"")</f>
        <v/>
      </c>
      <c r="K71" s="5" t="b">
        <f>ISNUMBER(Table4428185052[[#This Row],[New]])</f>
        <v>1</v>
      </c>
      <c r="L71" s="5" t="b">
        <f>ISNUMBER(Table4428185052[[#This Row],[Old]])</f>
        <v>0</v>
      </c>
    </row>
    <row r="72" spans="1:12">
      <c r="A72" s="1" t="s">
        <v>24</v>
      </c>
      <c r="B72" s="1" t="s">
        <v>23</v>
      </c>
      <c r="C72" s="1">
        <v>7</v>
      </c>
      <c r="D72" s="1" t="s">
        <v>16</v>
      </c>
      <c r="E72" s="1">
        <v>7</v>
      </c>
      <c r="F72" s="1">
        <v>3</v>
      </c>
      <c r="G72" s="5">
        <f>IF(IF(Table4428185052[[#This Row],[Pre or Post]]="Post",1,0)+IF(ISNUMBER(Table4428185052[[#This Row],[Response]])=TRUE,1,0)=2,1,"")</f>
        <v>1</v>
      </c>
      <c r="H72" s="5">
        <f>IF(IF(Table4428185052[[#This Row],[Pre or Post]]="Post",1,0)+IF(ISNUMBER(Table4428185052[[#This Row],[Response]])=TRUE,1,0)=2,Table4428185052[[#This Row],[Response]],"")</f>
        <v>3</v>
      </c>
      <c r="I72" s="5">
        <f>IF(Table4428185052[[#This Row],[Old or New?]]="New",Table4428185052[[#This Row],[Post Total]],"")</f>
        <v>3</v>
      </c>
      <c r="J72" s="5" t="str">
        <f>IF(Table4428185052[[#This Row],[Old or New?]]="Old",Table4428185052[[#This Row],[Post Total]],"")</f>
        <v/>
      </c>
      <c r="K72" s="5" t="b">
        <f>ISNUMBER(Table4428185052[[#This Row],[New]])</f>
        <v>1</v>
      </c>
      <c r="L72" s="5" t="b">
        <f>ISNUMBER(Table4428185052[[#This Row],[Old]])</f>
        <v>0</v>
      </c>
    </row>
    <row r="73" spans="1:12">
      <c r="A73" s="1" t="s">
        <v>24</v>
      </c>
      <c r="B73" s="1" t="s">
        <v>23</v>
      </c>
      <c r="C73" s="1">
        <v>8</v>
      </c>
      <c r="D73" s="1" t="s">
        <v>16</v>
      </c>
      <c r="E73" s="1">
        <v>7</v>
      </c>
      <c r="F73" s="1">
        <v>3</v>
      </c>
      <c r="G73" s="5">
        <f>IF(IF(Table4428185052[[#This Row],[Pre or Post]]="Post",1,0)+IF(ISNUMBER(Table4428185052[[#This Row],[Response]])=TRUE,1,0)=2,1,"")</f>
        <v>1</v>
      </c>
      <c r="H73" s="5">
        <f>IF(IF(Table4428185052[[#This Row],[Pre or Post]]="Post",1,0)+IF(ISNUMBER(Table4428185052[[#This Row],[Response]])=TRUE,1,0)=2,Table4428185052[[#This Row],[Response]],"")</f>
        <v>3</v>
      </c>
      <c r="I73" s="5">
        <f>IF(Table4428185052[[#This Row],[Old or New?]]="New",Table4428185052[[#This Row],[Post Total]],"")</f>
        <v>3</v>
      </c>
      <c r="J73" s="5" t="str">
        <f>IF(Table4428185052[[#This Row],[Old or New?]]="Old",Table4428185052[[#This Row],[Post Total]],"")</f>
        <v/>
      </c>
      <c r="K73" s="5" t="b">
        <f>ISNUMBER(Table4428185052[[#This Row],[New]])</f>
        <v>1</v>
      </c>
      <c r="L73" s="5" t="b">
        <f>ISNUMBER(Table4428185052[[#This Row],[Old]])</f>
        <v>0</v>
      </c>
    </row>
    <row r="74" spans="1:12">
      <c r="A74" s="1" t="s">
        <v>24</v>
      </c>
      <c r="B74" s="1" t="s">
        <v>23</v>
      </c>
      <c r="C74" s="1">
        <v>9</v>
      </c>
      <c r="D74" s="1" t="s">
        <v>16</v>
      </c>
      <c r="E74" s="1">
        <v>7</v>
      </c>
      <c r="F74" s="1">
        <v>2</v>
      </c>
      <c r="G74" s="5">
        <f>IF(IF(Table4428185052[[#This Row],[Pre or Post]]="Post",1,0)+IF(ISNUMBER(Table4428185052[[#This Row],[Response]])=TRUE,1,0)=2,1,"")</f>
        <v>1</v>
      </c>
      <c r="H74" s="5">
        <f>IF(IF(Table4428185052[[#This Row],[Pre or Post]]="Post",1,0)+IF(ISNUMBER(Table4428185052[[#This Row],[Response]])=TRUE,1,0)=2,Table4428185052[[#This Row],[Response]],"")</f>
        <v>2</v>
      </c>
      <c r="I74" s="5">
        <f>IF(Table4428185052[[#This Row],[Old or New?]]="New",Table4428185052[[#This Row],[Post Total]],"")</f>
        <v>2</v>
      </c>
      <c r="J74" s="5" t="str">
        <f>IF(Table4428185052[[#This Row],[Old or New?]]="Old",Table4428185052[[#This Row],[Post Total]],"")</f>
        <v/>
      </c>
      <c r="K74" s="5" t="b">
        <f>ISNUMBER(Table4428185052[[#This Row],[New]])</f>
        <v>1</v>
      </c>
      <c r="L74" s="5" t="b">
        <f>ISNUMBER(Table4428185052[[#This Row],[Old]])</f>
        <v>0</v>
      </c>
    </row>
    <row r="75" spans="1:12">
      <c r="A75" s="1" t="s">
        <v>24</v>
      </c>
      <c r="B75" s="1" t="s">
        <v>23</v>
      </c>
      <c r="C75" s="1">
        <v>10</v>
      </c>
      <c r="D75" s="1" t="s">
        <v>16</v>
      </c>
      <c r="E75" s="1">
        <v>7</v>
      </c>
      <c r="F75" s="1">
        <v>4</v>
      </c>
      <c r="G75" s="5">
        <f>IF(IF(Table4428185052[[#This Row],[Pre or Post]]="Post",1,0)+IF(ISNUMBER(Table4428185052[[#This Row],[Response]])=TRUE,1,0)=2,1,"")</f>
        <v>1</v>
      </c>
      <c r="H75" s="5">
        <f>IF(IF(Table4428185052[[#This Row],[Pre or Post]]="Post",1,0)+IF(ISNUMBER(Table4428185052[[#This Row],[Response]])=TRUE,1,0)=2,Table4428185052[[#This Row],[Response]],"")</f>
        <v>4</v>
      </c>
      <c r="I75" s="5">
        <f>IF(Table4428185052[[#This Row],[Old or New?]]="New",Table4428185052[[#This Row],[Post Total]],"")</f>
        <v>4</v>
      </c>
      <c r="J75" s="5" t="str">
        <f>IF(Table4428185052[[#This Row],[Old or New?]]="Old",Table4428185052[[#This Row],[Post Total]],"")</f>
        <v/>
      </c>
      <c r="K75" s="5" t="b">
        <f>ISNUMBER(Table4428185052[[#This Row],[New]])</f>
        <v>1</v>
      </c>
      <c r="L75" s="5" t="b">
        <f>ISNUMBER(Table4428185052[[#This Row],[Old]])</f>
        <v>0</v>
      </c>
    </row>
    <row r="76" spans="1:12">
      <c r="A76" s="1" t="s">
        <v>24</v>
      </c>
      <c r="B76" s="1" t="s">
        <v>23</v>
      </c>
      <c r="C76" s="1">
        <v>11</v>
      </c>
      <c r="D76" s="1" t="s">
        <v>16</v>
      </c>
      <c r="E76" s="1">
        <v>7</v>
      </c>
      <c r="F76" s="1">
        <v>4</v>
      </c>
      <c r="G76" s="5">
        <f>IF(IF(Table4428185052[[#This Row],[Pre or Post]]="Post",1,0)+IF(ISNUMBER(Table4428185052[[#This Row],[Response]])=TRUE,1,0)=2,1,"")</f>
        <v>1</v>
      </c>
      <c r="H76" s="5">
        <f>IF(IF(Table4428185052[[#This Row],[Pre or Post]]="Post",1,0)+IF(ISNUMBER(Table4428185052[[#This Row],[Response]])=TRUE,1,0)=2,Table4428185052[[#This Row],[Response]],"")</f>
        <v>4</v>
      </c>
      <c r="I76" s="5">
        <f>IF(Table4428185052[[#This Row],[Old or New?]]="New",Table4428185052[[#This Row],[Post Total]],"")</f>
        <v>4</v>
      </c>
      <c r="J76" s="5" t="str">
        <f>IF(Table4428185052[[#This Row],[Old or New?]]="Old",Table4428185052[[#This Row],[Post Total]],"")</f>
        <v/>
      </c>
      <c r="K76" s="5" t="b">
        <f>ISNUMBER(Table4428185052[[#This Row],[New]])</f>
        <v>1</v>
      </c>
      <c r="L76" s="5" t="b">
        <f>ISNUMBER(Table4428185052[[#This Row],[Old]])</f>
        <v>0</v>
      </c>
    </row>
    <row r="77" spans="1:12">
      <c r="A77" s="1" t="s">
        <v>24</v>
      </c>
      <c r="B77" s="1" t="s">
        <v>23</v>
      </c>
      <c r="C77" s="1">
        <v>12</v>
      </c>
      <c r="D77" s="1" t="s">
        <v>16</v>
      </c>
      <c r="E77" s="1">
        <v>7</v>
      </c>
      <c r="F77" s="1">
        <v>4</v>
      </c>
      <c r="G77" s="5">
        <f>IF(IF(Table4428185052[[#This Row],[Pre or Post]]="Post",1,0)+IF(ISNUMBER(Table4428185052[[#This Row],[Response]])=TRUE,1,0)=2,1,"")</f>
        <v>1</v>
      </c>
      <c r="H77" s="5">
        <f>IF(IF(Table4428185052[[#This Row],[Pre or Post]]="Post",1,0)+IF(ISNUMBER(Table4428185052[[#This Row],[Response]])=TRUE,1,0)=2,Table4428185052[[#This Row],[Response]],"")</f>
        <v>4</v>
      </c>
      <c r="I77" s="5">
        <f>IF(Table4428185052[[#This Row],[Old or New?]]="New",Table4428185052[[#This Row],[Post Total]],"")</f>
        <v>4</v>
      </c>
      <c r="J77" s="5" t="str">
        <f>IF(Table4428185052[[#This Row],[Old or New?]]="Old",Table4428185052[[#This Row],[Post Total]],"")</f>
        <v/>
      </c>
      <c r="K77" s="5" t="b">
        <f>ISNUMBER(Table4428185052[[#This Row],[New]])</f>
        <v>1</v>
      </c>
      <c r="L77" s="5" t="b">
        <f>ISNUMBER(Table4428185052[[#This Row],[Old]])</f>
        <v>0</v>
      </c>
    </row>
    <row r="78" spans="1:12">
      <c r="A78" s="1" t="s">
        <v>24</v>
      </c>
      <c r="B78" s="1" t="s">
        <v>23</v>
      </c>
      <c r="C78" s="1">
        <v>13</v>
      </c>
      <c r="D78" s="1" t="s">
        <v>16</v>
      </c>
      <c r="E78" s="1">
        <v>7</v>
      </c>
      <c r="F78" s="1">
        <v>3</v>
      </c>
      <c r="G78" s="5">
        <f>IF(IF(Table4428185052[[#This Row],[Pre or Post]]="Post",1,0)+IF(ISNUMBER(Table4428185052[[#This Row],[Response]])=TRUE,1,0)=2,1,"")</f>
        <v>1</v>
      </c>
      <c r="H78" s="5">
        <f>IF(IF(Table4428185052[[#This Row],[Pre or Post]]="Post",1,0)+IF(ISNUMBER(Table4428185052[[#This Row],[Response]])=TRUE,1,0)=2,Table4428185052[[#This Row],[Response]],"")</f>
        <v>3</v>
      </c>
      <c r="I78" s="5">
        <f>IF(Table4428185052[[#This Row],[Old or New?]]="New",Table4428185052[[#This Row],[Post Total]],"")</f>
        <v>3</v>
      </c>
      <c r="J78" s="5" t="str">
        <f>IF(Table4428185052[[#This Row],[Old or New?]]="Old",Table4428185052[[#This Row],[Post Total]],"")</f>
        <v/>
      </c>
      <c r="K78" s="5" t="b">
        <f>ISNUMBER(Table4428185052[[#This Row],[New]])</f>
        <v>1</v>
      </c>
      <c r="L78" s="5" t="b">
        <f>ISNUMBER(Table4428185052[[#This Row],[Old]])</f>
        <v>0</v>
      </c>
    </row>
    <row r="79" spans="1:12">
      <c r="A79" s="1" t="s">
        <v>24</v>
      </c>
      <c r="B79" s="1" t="s">
        <v>23</v>
      </c>
      <c r="C79" s="1">
        <v>14</v>
      </c>
      <c r="D79" s="1" t="s">
        <v>16</v>
      </c>
      <c r="E79" s="1">
        <v>7</v>
      </c>
      <c r="F79" s="1">
        <v>4</v>
      </c>
      <c r="G79" s="5">
        <f>IF(IF(Table4428185052[[#This Row],[Pre or Post]]="Post",1,0)+IF(ISNUMBER(Table4428185052[[#This Row],[Response]])=TRUE,1,0)=2,1,"")</f>
        <v>1</v>
      </c>
      <c r="H79" s="5">
        <f>IF(IF(Table4428185052[[#This Row],[Pre or Post]]="Post",1,0)+IF(ISNUMBER(Table4428185052[[#This Row],[Response]])=TRUE,1,0)=2,Table4428185052[[#This Row],[Response]],"")</f>
        <v>4</v>
      </c>
      <c r="I79" s="5">
        <f>IF(Table4428185052[[#This Row],[Old or New?]]="New",Table4428185052[[#This Row],[Post Total]],"")</f>
        <v>4</v>
      </c>
      <c r="J79" s="5" t="str">
        <f>IF(Table4428185052[[#This Row],[Old or New?]]="Old",Table4428185052[[#This Row],[Post Total]],"")</f>
        <v/>
      </c>
      <c r="K79" s="5" t="b">
        <f>ISNUMBER(Table4428185052[[#This Row],[New]])</f>
        <v>1</v>
      </c>
      <c r="L79" s="5" t="b">
        <f>ISNUMBER(Table4428185052[[#This Row],[Old]])</f>
        <v>0</v>
      </c>
    </row>
    <row r="80" spans="1:12">
      <c r="A80" s="1" t="s">
        <v>24</v>
      </c>
      <c r="B80" s="1" t="s">
        <v>23</v>
      </c>
      <c r="C80" s="1">
        <v>15</v>
      </c>
      <c r="D80" s="1" t="s">
        <v>16</v>
      </c>
      <c r="E80" s="1">
        <v>7</v>
      </c>
      <c r="F80" s="1">
        <v>4</v>
      </c>
      <c r="G80" s="5">
        <f>IF(IF(Table4428185052[[#This Row],[Pre or Post]]="Post",1,0)+IF(ISNUMBER(Table4428185052[[#This Row],[Response]])=TRUE,1,0)=2,1,"")</f>
        <v>1</v>
      </c>
      <c r="H80" s="5">
        <f>IF(IF(Table4428185052[[#This Row],[Pre or Post]]="Post",1,0)+IF(ISNUMBER(Table4428185052[[#This Row],[Response]])=TRUE,1,0)=2,Table4428185052[[#This Row],[Response]],"")</f>
        <v>4</v>
      </c>
      <c r="I80" s="5">
        <f>IF(Table4428185052[[#This Row],[Old or New?]]="New",Table4428185052[[#This Row],[Post Total]],"")</f>
        <v>4</v>
      </c>
      <c r="J80" s="5" t="str">
        <f>IF(Table4428185052[[#This Row],[Old or New?]]="Old",Table4428185052[[#This Row],[Post Total]],"")</f>
        <v/>
      </c>
      <c r="K80" s="5" t="b">
        <f>ISNUMBER(Table4428185052[[#This Row],[New]])</f>
        <v>1</v>
      </c>
      <c r="L80" s="5" t="b">
        <f>ISNUMBER(Table4428185052[[#This Row],[Old]])</f>
        <v>0</v>
      </c>
    </row>
    <row r="81" spans="1:12">
      <c r="A81" s="1" t="s">
        <v>24</v>
      </c>
      <c r="B81" s="1" t="s">
        <v>23</v>
      </c>
      <c r="C81" s="1">
        <v>16</v>
      </c>
      <c r="D81" s="1" t="s">
        <v>16</v>
      </c>
      <c r="E81" s="1">
        <v>7</v>
      </c>
      <c r="F81" s="1">
        <v>3</v>
      </c>
      <c r="G81" s="5">
        <f>IF(IF(Table4428185052[[#This Row],[Pre or Post]]="Post",1,0)+IF(ISNUMBER(Table4428185052[[#This Row],[Response]])=TRUE,1,0)=2,1,"")</f>
        <v>1</v>
      </c>
      <c r="H81" s="5">
        <f>IF(IF(Table4428185052[[#This Row],[Pre or Post]]="Post",1,0)+IF(ISNUMBER(Table4428185052[[#This Row],[Response]])=TRUE,1,0)=2,Table4428185052[[#This Row],[Response]],"")</f>
        <v>3</v>
      </c>
      <c r="I81" s="5">
        <f>IF(Table4428185052[[#This Row],[Old or New?]]="New",Table4428185052[[#This Row],[Post Total]],"")</f>
        <v>3</v>
      </c>
      <c r="J81" s="5" t="str">
        <f>IF(Table4428185052[[#This Row],[Old or New?]]="Old",Table4428185052[[#This Row],[Post Total]],"")</f>
        <v/>
      </c>
      <c r="K81" s="5" t="b">
        <f>ISNUMBER(Table4428185052[[#This Row],[New]])</f>
        <v>1</v>
      </c>
      <c r="L81" s="5" t="b">
        <f>ISNUMBER(Table4428185052[[#This Row],[Old]])</f>
        <v>0</v>
      </c>
    </row>
    <row r="82" spans="1:12">
      <c r="A82" s="1" t="s">
        <v>24</v>
      </c>
      <c r="B82" s="1" t="s">
        <v>25</v>
      </c>
      <c r="C82" s="1">
        <v>1</v>
      </c>
      <c r="D82" s="1" t="s">
        <v>16</v>
      </c>
      <c r="E82" s="1">
        <v>7</v>
      </c>
      <c r="F82" s="1">
        <v>3</v>
      </c>
      <c r="G82" s="5">
        <f>IF(IF(Table4428185052[[#This Row],[Pre or Post]]="Post",1,0)+IF(ISNUMBER(Table4428185052[[#This Row],[Response]])=TRUE,1,0)=2,1,"")</f>
        <v>1</v>
      </c>
      <c r="H82" s="5">
        <f>IF(IF(Table4428185052[[#This Row],[Pre or Post]]="Post",1,0)+IF(ISNUMBER(Table4428185052[[#This Row],[Response]])=TRUE,1,0)=2,Table4428185052[[#This Row],[Response]],"")</f>
        <v>3</v>
      </c>
      <c r="I82" s="5">
        <f>IF(Table4428185052[[#This Row],[Old or New?]]="New",Table4428185052[[#This Row],[Post Total]],"")</f>
        <v>3</v>
      </c>
      <c r="J82" s="5" t="str">
        <f>IF(Table4428185052[[#This Row],[Old or New?]]="Old",Table4428185052[[#This Row],[Post Total]],"")</f>
        <v/>
      </c>
      <c r="K82" s="5" t="b">
        <f>ISNUMBER(Table4428185052[[#This Row],[New]])</f>
        <v>1</v>
      </c>
      <c r="L82" s="5" t="b">
        <f>ISNUMBER(Table4428185052[[#This Row],[Old]])</f>
        <v>0</v>
      </c>
    </row>
    <row r="83" spans="1:12">
      <c r="A83" s="1" t="s">
        <v>24</v>
      </c>
      <c r="B83" s="1" t="s">
        <v>25</v>
      </c>
      <c r="C83" s="1">
        <v>2</v>
      </c>
      <c r="D83" s="1" t="s">
        <v>16</v>
      </c>
      <c r="E83" s="1">
        <v>7</v>
      </c>
      <c r="F83" s="1">
        <v>2</v>
      </c>
      <c r="G83" s="5">
        <f>IF(IF(Table4428185052[[#This Row],[Pre or Post]]="Post",1,0)+IF(ISNUMBER(Table4428185052[[#This Row],[Response]])=TRUE,1,0)=2,1,"")</f>
        <v>1</v>
      </c>
      <c r="H83" s="5">
        <f>IF(IF(Table4428185052[[#This Row],[Pre or Post]]="Post",1,0)+IF(ISNUMBER(Table4428185052[[#This Row],[Response]])=TRUE,1,0)=2,Table4428185052[[#This Row],[Response]],"")</f>
        <v>2</v>
      </c>
      <c r="I83" s="5">
        <f>IF(Table4428185052[[#This Row],[Old or New?]]="New",Table4428185052[[#This Row],[Post Total]],"")</f>
        <v>2</v>
      </c>
      <c r="J83" s="5" t="str">
        <f>IF(Table4428185052[[#This Row],[Old or New?]]="Old",Table4428185052[[#This Row],[Post Total]],"")</f>
        <v/>
      </c>
      <c r="K83" s="5" t="b">
        <f>ISNUMBER(Table4428185052[[#This Row],[New]])</f>
        <v>1</v>
      </c>
      <c r="L83" s="5" t="b">
        <f>ISNUMBER(Table4428185052[[#This Row],[Old]])</f>
        <v>0</v>
      </c>
    </row>
    <row r="84" spans="1:12">
      <c r="A84" s="1" t="s">
        <v>24</v>
      </c>
      <c r="B84" s="1" t="s">
        <v>25</v>
      </c>
      <c r="C84" s="1">
        <v>3</v>
      </c>
      <c r="D84" s="1" t="s">
        <v>16</v>
      </c>
      <c r="E84" s="1">
        <v>7</v>
      </c>
      <c r="F84" s="1">
        <v>5</v>
      </c>
      <c r="G84" s="5">
        <f>IF(IF(Table4428185052[[#This Row],[Pre or Post]]="Post",1,0)+IF(ISNUMBER(Table4428185052[[#This Row],[Response]])=TRUE,1,0)=2,1,"")</f>
        <v>1</v>
      </c>
      <c r="H84" s="5">
        <f>IF(IF(Table4428185052[[#This Row],[Pre or Post]]="Post",1,0)+IF(ISNUMBER(Table4428185052[[#This Row],[Response]])=TRUE,1,0)=2,Table4428185052[[#This Row],[Response]],"")</f>
        <v>5</v>
      </c>
      <c r="I84" s="5">
        <f>IF(Table4428185052[[#This Row],[Old or New?]]="New",Table4428185052[[#This Row],[Post Total]],"")</f>
        <v>5</v>
      </c>
      <c r="J84" s="5" t="str">
        <f>IF(Table4428185052[[#This Row],[Old or New?]]="Old",Table4428185052[[#This Row],[Post Total]],"")</f>
        <v/>
      </c>
      <c r="K84" s="5" t="b">
        <f>ISNUMBER(Table4428185052[[#This Row],[New]])</f>
        <v>1</v>
      </c>
      <c r="L84" s="5" t="b">
        <f>ISNUMBER(Table4428185052[[#This Row],[Old]])</f>
        <v>0</v>
      </c>
    </row>
    <row r="85" spans="1:12">
      <c r="A85" s="1" t="s">
        <v>24</v>
      </c>
      <c r="B85" s="1" t="s">
        <v>25</v>
      </c>
      <c r="C85" s="1">
        <v>4</v>
      </c>
      <c r="D85" s="1" t="s">
        <v>16</v>
      </c>
      <c r="E85" s="1">
        <v>7</v>
      </c>
      <c r="F85" s="1">
        <v>3</v>
      </c>
      <c r="G85" s="5">
        <f>IF(IF(Table4428185052[[#This Row],[Pre or Post]]="Post",1,0)+IF(ISNUMBER(Table4428185052[[#This Row],[Response]])=TRUE,1,0)=2,1,"")</f>
        <v>1</v>
      </c>
      <c r="H85" s="5">
        <f>IF(IF(Table4428185052[[#This Row],[Pre or Post]]="Post",1,0)+IF(ISNUMBER(Table4428185052[[#This Row],[Response]])=TRUE,1,0)=2,Table4428185052[[#This Row],[Response]],"")</f>
        <v>3</v>
      </c>
      <c r="I85" s="5">
        <f>IF(Table4428185052[[#This Row],[Old or New?]]="New",Table4428185052[[#This Row],[Post Total]],"")</f>
        <v>3</v>
      </c>
      <c r="J85" s="5" t="str">
        <f>IF(Table4428185052[[#This Row],[Old or New?]]="Old",Table4428185052[[#This Row],[Post Total]],"")</f>
        <v/>
      </c>
      <c r="K85" s="5" t="b">
        <f>ISNUMBER(Table4428185052[[#This Row],[New]])</f>
        <v>1</v>
      </c>
      <c r="L85" s="5" t="b">
        <f>ISNUMBER(Table4428185052[[#This Row],[Old]])</f>
        <v>0</v>
      </c>
    </row>
    <row r="86" spans="1:12">
      <c r="A86" s="1" t="s">
        <v>24</v>
      </c>
      <c r="B86" s="1" t="s">
        <v>25</v>
      </c>
      <c r="C86" s="1">
        <v>5</v>
      </c>
      <c r="D86" s="1" t="s">
        <v>16</v>
      </c>
      <c r="E86" s="1">
        <v>7</v>
      </c>
      <c r="F86" s="1">
        <v>4</v>
      </c>
      <c r="G86" s="5">
        <f>IF(IF(Table4428185052[[#This Row],[Pre or Post]]="Post",1,0)+IF(ISNUMBER(Table4428185052[[#This Row],[Response]])=TRUE,1,0)=2,1,"")</f>
        <v>1</v>
      </c>
      <c r="H86" s="5">
        <f>IF(IF(Table4428185052[[#This Row],[Pre or Post]]="Post",1,0)+IF(ISNUMBER(Table4428185052[[#This Row],[Response]])=TRUE,1,0)=2,Table4428185052[[#This Row],[Response]],"")</f>
        <v>4</v>
      </c>
      <c r="I86" s="5">
        <f>IF(Table4428185052[[#This Row],[Old or New?]]="New",Table4428185052[[#This Row],[Post Total]],"")</f>
        <v>4</v>
      </c>
      <c r="J86" s="5" t="str">
        <f>IF(Table4428185052[[#This Row],[Old or New?]]="Old",Table4428185052[[#This Row],[Post Total]],"")</f>
        <v/>
      </c>
      <c r="K86" s="5" t="b">
        <f>ISNUMBER(Table4428185052[[#This Row],[New]])</f>
        <v>1</v>
      </c>
      <c r="L86" s="5" t="b">
        <f>ISNUMBER(Table4428185052[[#This Row],[Old]])</f>
        <v>0</v>
      </c>
    </row>
    <row r="87" spans="1:12">
      <c r="A87" s="1" t="s">
        <v>24</v>
      </c>
      <c r="B87" s="1" t="s">
        <v>25</v>
      </c>
      <c r="C87" s="1">
        <v>6</v>
      </c>
      <c r="D87" s="1" t="s">
        <v>16</v>
      </c>
      <c r="E87" s="1">
        <v>7</v>
      </c>
      <c r="F87" s="1">
        <v>5</v>
      </c>
      <c r="G87" s="5">
        <f>IF(IF(Table4428185052[[#This Row],[Pre or Post]]="Post",1,0)+IF(ISNUMBER(Table4428185052[[#This Row],[Response]])=TRUE,1,0)=2,1,"")</f>
        <v>1</v>
      </c>
      <c r="H87" s="5">
        <f>IF(IF(Table4428185052[[#This Row],[Pre or Post]]="Post",1,0)+IF(ISNUMBER(Table4428185052[[#This Row],[Response]])=TRUE,1,0)=2,Table4428185052[[#This Row],[Response]],"")</f>
        <v>5</v>
      </c>
      <c r="I87" s="5">
        <f>IF(Table4428185052[[#This Row],[Old or New?]]="New",Table4428185052[[#This Row],[Post Total]],"")</f>
        <v>5</v>
      </c>
      <c r="J87" s="5" t="str">
        <f>IF(Table4428185052[[#This Row],[Old or New?]]="Old",Table4428185052[[#This Row],[Post Total]],"")</f>
        <v/>
      </c>
      <c r="K87" s="5" t="b">
        <f>ISNUMBER(Table4428185052[[#This Row],[New]])</f>
        <v>1</v>
      </c>
      <c r="L87" s="5" t="b">
        <f>ISNUMBER(Table4428185052[[#This Row],[Old]])</f>
        <v>0</v>
      </c>
    </row>
    <row r="88" spans="1:12">
      <c r="A88" s="1" t="s">
        <v>24</v>
      </c>
      <c r="B88" s="1" t="s">
        <v>25</v>
      </c>
      <c r="C88" s="1">
        <v>7</v>
      </c>
      <c r="D88" s="1" t="s">
        <v>16</v>
      </c>
      <c r="E88" s="1">
        <v>7</v>
      </c>
      <c r="F88" s="1">
        <v>3</v>
      </c>
      <c r="G88" s="5">
        <f>IF(IF(Table4428185052[[#This Row],[Pre or Post]]="Post",1,0)+IF(ISNUMBER(Table4428185052[[#This Row],[Response]])=TRUE,1,0)=2,1,"")</f>
        <v>1</v>
      </c>
      <c r="H88" s="5">
        <f>IF(IF(Table4428185052[[#This Row],[Pre or Post]]="Post",1,0)+IF(ISNUMBER(Table4428185052[[#This Row],[Response]])=TRUE,1,0)=2,Table4428185052[[#This Row],[Response]],"")</f>
        <v>3</v>
      </c>
      <c r="I88" s="5">
        <f>IF(Table4428185052[[#This Row],[Old or New?]]="New",Table4428185052[[#This Row],[Post Total]],"")</f>
        <v>3</v>
      </c>
      <c r="J88" s="5" t="str">
        <f>IF(Table4428185052[[#This Row],[Old or New?]]="Old",Table4428185052[[#This Row],[Post Total]],"")</f>
        <v/>
      </c>
      <c r="K88" s="5" t="b">
        <f>ISNUMBER(Table4428185052[[#This Row],[New]])</f>
        <v>1</v>
      </c>
      <c r="L88" s="5" t="b">
        <f>ISNUMBER(Table4428185052[[#This Row],[Old]])</f>
        <v>0</v>
      </c>
    </row>
    <row r="89" spans="1:12">
      <c r="A89" s="1" t="s">
        <v>24</v>
      </c>
      <c r="B89" s="1" t="s">
        <v>25</v>
      </c>
      <c r="C89" s="1">
        <v>8</v>
      </c>
      <c r="D89" s="1" t="s">
        <v>16</v>
      </c>
      <c r="E89" s="1">
        <v>7</v>
      </c>
      <c r="F89" s="1">
        <v>4</v>
      </c>
      <c r="G89" s="5">
        <f>IF(IF(Table4428185052[[#This Row],[Pre or Post]]="Post",1,0)+IF(ISNUMBER(Table4428185052[[#This Row],[Response]])=TRUE,1,0)=2,1,"")</f>
        <v>1</v>
      </c>
      <c r="H89" s="5">
        <f>IF(IF(Table4428185052[[#This Row],[Pre or Post]]="Post",1,0)+IF(ISNUMBER(Table4428185052[[#This Row],[Response]])=TRUE,1,0)=2,Table4428185052[[#This Row],[Response]],"")</f>
        <v>4</v>
      </c>
      <c r="I89" s="5">
        <f>IF(Table4428185052[[#This Row],[Old or New?]]="New",Table4428185052[[#This Row],[Post Total]],"")</f>
        <v>4</v>
      </c>
      <c r="J89" s="5" t="str">
        <f>IF(Table4428185052[[#This Row],[Old or New?]]="Old",Table4428185052[[#This Row],[Post Total]],"")</f>
        <v/>
      </c>
      <c r="K89" s="5" t="b">
        <f>ISNUMBER(Table4428185052[[#This Row],[New]])</f>
        <v>1</v>
      </c>
      <c r="L89" s="5" t="b">
        <f>ISNUMBER(Table4428185052[[#This Row],[Old]])</f>
        <v>0</v>
      </c>
    </row>
    <row r="90" spans="1:12">
      <c r="A90" s="1" t="s">
        <v>24</v>
      </c>
      <c r="B90" s="1" t="s">
        <v>25</v>
      </c>
      <c r="C90" s="1">
        <v>9</v>
      </c>
      <c r="D90" s="1" t="s">
        <v>16</v>
      </c>
      <c r="E90" s="1">
        <v>7</v>
      </c>
      <c r="F90" s="1">
        <v>4</v>
      </c>
      <c r="G90" s="5">
        <f>IF(IF(Table4428185052[[#This Row],[Pre or Post]]="Post",1,0)+IF(ISNUMBER(Table4428185052[[#This Row],[Response]])=TRUE,1,0)=2,1,"")</f>
        <v>1</v>
      </c>
      <c r="H90" s="5">
        <f>IF(IF(Table4428185052[[#This Row],[Pre or Post]]="Post",1,0)+IF(ISNUMBER(Table4428185052[[#This Row],[Response]])=TRUE,1,0)=2,Table4428185052[[#This Row],[Response]],"")</f>
        <v>4</v>
      </c>
      <c r="I90" s="5">
        <f>IF(Table4428185052[[#This Row],[Old or New?]]="New",Table4428185052[[#This Row],[Post Total]],"")</f>
        <v>4</v>
      </c>
      <c r="J90" s="5" t="str">
        <f>IF(Table4428185052[[#This Row],[Old or New?]]="Old",Table4428185052[[#This Row],[Post Total]],"")</f>
        <v/>
      </c>
      <c r="K90" s="5" t="b">
        <f>ISNUMBER(Table4428185052[[#This Row],[New]])</f>
        <v>1</v>
      </c>
      <c r="L90" s="5" t="b">
        <f>ISNUMBER(Table4428185052[[#This Row],[Old]])</f>
        <v>0</v>
      </c>
    </row>
    <row r="91" spans="1:12">
      <c r="A91" s="1" t="s">
        <v>24</v>
      </c>
      <c r="B91" s="1" t="s">
        <v>25</v>
      </c>
      <c r="C91" s="1">
        <v>10</v>
      </c>
      <c r="D91" s="1" t="s">
        <v>16</v>
      </c>
      <c r="E91" s="1">
        <v>7</v>
      </c>
      <c r="F91" s="1">
        <v>3</v>
      </c>
      <c r="G91" s="5">
        <f>IF(IF(Table4428185052[[#This Row],[Pre or Post]]="Post",1,0)+IF(ISNUMBER(Table4428185052[[#This Row],[Response]])=TRUE,1,0)=2,1,"")</f>
        <v>1</v>
      </c>
      <c r="H91" s="5">
        <f>IF(IF(Table4428185052[[#This Row],[Pre or Post]]="Post",1,0)+IF(ISNUMBER(Table4428185052[[#This Row],[Response]])=TRUE,1,0)=2,Table4428185052[[#This Row],[Response]],"")</f>
        <v>3</v>
      </c>
      <c r="I91" s="5">
        <f>IF(Table4428185052[[#This Row],[Old or New?]]="New",Table4428185052[[#This Row],[Post Total]],"")</f>
        <v>3</v>
      </c>
      <c r="J91" s="5" t="str">
        <f>IF(Table4428185052[[#This Row],[Old or New?]]="Old",Table4428185052[[#This Row],[Post Total]],"")</f>
        <v/>
      </c>
      <c r="K91" s="5" t="b">
        <f>ISNUMBER(Table4428185052[[#This Row],[New]])</f>
        <v>1</v>
      </c>
      <c r="L91" s="5" t="b">
        <f>ISNUMBER(Table4428185052[[#This Row],[Old]])</f>
        <v>0</v>
      </c>
    </row>
    <row r="92" spans="1:12">
      <c r="A92" s="1" t="s">
        <v>24</v>
      </c>
      <c r="B92" s="1" t="s">
        <v>25</v>
      </c>
      <c r="C92" s="1">
        <v>11</v>
      </c>
      <c r="D92" s="1" t="s">
        <v>16</v>
      </c>
      <c r="E92" s="1">
        <v>7</v>
      </c>
      <c r="F92" s="1">
        <v>4</v>
      </c>
      <c r="G92" s="5">
        <f>IF(IF(Table4428185052[[#This Row],[Pre or Post]]="Post",1,0)+IF(ISNUMBER(Table4428185052[[#This Row],[Response]])=TRUE,1,0)=2,1,"")</f>
        <v>1</v>
      </c>
      <c r="H92" s="5">
        <f>IF(IF(Table4428185052[[#This Row],[Pre or Post]]="Post",1,0)+IF(ISNUMBER(Table4428185052[[#This Row],[Response]])=TRUE,1,0)=2,Table4428185052[[#This Row],[Response]],"")</f>
        <v>4</v>
      </c>
      <c r="I92" s="5">
        <f>IF(Table4428185052[[#This Row],[Old or New?]]="New",Table4428185052[[#This Row],[Post Total]],"")</f>
        <v>4</v>
      </c>
      <c r="J92" s="5" t="str">
        <f>IF(Table4428185052[[#This Row],[Old or New?]]="Old",Table4428185052[[#This Row],[Post Total]],"")</f>
        <v/>
      </c>
      <c r="K92" s="5" t="b">
        <f>ISNUMBER(Table4428185052[[#This Row],[New]])</f>
        <v>1</v>
      </c>
      <c r="L92" s="5" t="b">
        <f>ISNUMBER(Table4428185052[[#This Row],[Old]])</f>
        <v>0</v>
      </c>
    </row>
    <row r="93" spans="1:12">
      <c r="A93" s="1" t="s">
        <v>24</v>
      </c>
      <c r="B93" s="1" t="s">
        <v>25</v>
      </c>
      <c r="C93" s="1">
        <v>12</v>
      </c>
      <c r="D93" s="1" t="s">
        <v>16</v>
      </c>
      <c r="E93" s="1">
        <v>7</v>
      </c>
      <c r="F93" s="1">
        <v>4</v>
      </c>
      <c r="G93" s="5">
        <f>IF(IF(Table4428185052[[#This Row],[Pre or Post]]="Post",1,0)+IF(ISNUMBER(Table4428185052[[#This Row],[Response]])=TRUE,1,0)=2,1,"")</f>
        <v>1</v>
      </c>
      <c r="H93" s="5">
        <f>IF(IF(Table4428185052[[#This Row],[Pre or Post]]="Post",1,0)+IF(ISNUMBER(Table4428185052[[#This Row],[Response]])=TRUE,1,0)=2,Table4428185052[[#This Row],[Response]],"")</f>
        <v>4</v>
      </c>
      <c r="I93" s="5">
        <f>IF(Table4428185052[[#This Row],[Old or New?]]="New",Table4428185052[[#This Row],[Post Total]],"")</f>
        <v>4</v>
      </c>
      <c r="J93" s="5" t="str">
        <f>IF(Table4428185052[[#This Row],[Old or New?]]="Old",Table4428185052[[#This Row],[Post Total]],"")</f>
        <v/>
      </c>
      <c r="K93" s="5" t="b">
        <f>ISNUMBER(Table4428185052[[#This Row],[New]])</f>
        <v>1</v>
      </c>
      <c r="L93" s="5" t="b">
        <f>ISNUMBER(Table4428185052[[#This Row],[Old]])</f>
        <v>0</v>
      </c>
    </row>
    <row r="94" spans="1:12">
      <c r="A94" s="1" t="s">
        <v>24</v>
      </c>
      <c r="B94" s="1" t="s">
        <v>25</v>
      </c>
      <c r="C94" s="1">
        <v>13</v>
      </c>
      <c r="D94" s="1" t="s">
        <v>16</v>
      </c>
      <c r="E94" s="1">
        <v>7</v>
      </c>
      <c r="F94" s="1">
        <v>3</v>
      </c>
      <c r="G94" s="5">
        <f>IF(IF(Table4428185052[[#This Row],[Pre or Post]]="Post",1,0)+IF(ISNUMBER(Table4428185052[[#This Row],[Response]])=TRUE,1,0)=2,1,"")</f>
        <v>1</v>
      </c>
      <c r="H94" s="5">
        <f>IF(IF(Table4428185052[[#This Row],[Pre or Post]]="Post",1,0)+IF(ISNUMBER(Table4428185052[[#This Row],[Response]])=TRUE,1,0)=2,Table4428185052[[#This Row],[Response]],"")</f>
        <v>3</v>
      </c>
      <c r="I94" s="5">
        <f>IF(Table4428185052[[#This Row],[Old or New?]]="New",Table4428185052[[#This Row],[Post Total]],"")</f>
        <v>3</v>
      </c>
      <c r="J94" s="5" t="str">
        <f>IF(Table4428185052[[#This Row],[Old or New?]]="Old",Table4428185052[[#This Row],[Post Total]],"")</f>
        <v/>
      </c>
      <c r="K94" s="5" t="b">
        <f>ISNUMBER(Table4428185052[[#This Row],[New]])</f>
        <v>1</v>
      </c>
      <c r="L94" s="5" t="b">
        <f>ISNUMBER(Table4428185052[[#This Row],[Old]])</f>
        <v>0</v>
      </c>
    </row>
    <row r="95" spans="1:12">
      <c r="A95" s="1" t="s">
        <v>24</v>
      </c>
      <c r="B95" s="1" t="s">
        <v>25</v>
      </c>
      <c r="C95" s="1">
        <v>14</v>
      </c>
      <c r="D95" s="1" t="s">
        <v>16</v>
      </c>
      <c r="E95" s="1">
        <v>7</v>
      </c>
      <c r="F95" s="1">
        <v>3</v>
      </c>
      <c r="G95" s="5">
        <f>IF(IF(Table4428185052[[#This Row],[Pre or Post]]="Post",1,0)+IF(ISNUMBER(Table4428185052[[#This Row],[Response]])=TRUE,1,0)=2,1,"")</f>
        <v>1</v>
      </c>
      <c r="H95" s="5">
        <f>IF(IF(Table4428185052[[#This Row],[Pre or Post]]="Post",1,0)+IF(ISNUMBER(Table4428185052[[#This Row],[Response]])=TRUE,1,0)=2,Table4428185052[[#This Row],[Response]],"")</f>
        <v>3</v>
      </c>
      <c r="I95" s="5">
        <f>IF(Table4428185052[[#This Row],[Old or New?]]="New",Table4428185052[[#This Row],[Post Total]],"")</f>
        <v>3</v>
      </c>
      <c r="J95" s="5" t="str">
        <f>IF(Table4428185052[[#This Row],[Old or New?]]="Old",Table4428185052[[#This Row],[Post Total]],"")</f>
        <v/>
      </c>
      <c r="K95" s="5" t="b">
        <f>ISNUMBER(Table4428185052[[#This Row],[New]])</f>
        <v>1</v>
      </c>
      <c r="L95" s="5" t="b">
        <f>ISNUMBER(Table4428185052[[#This Row],[Old]])</f>
        <v>0</v>
      </c>
    </row>
    <row r="96" spans="1:12">
      <c r="A96" s="1" t="s">
        <v>24</v>
      </c>
      <c r="B96" s="1" t="s">
        <v>25</v>
      </c>
      <c r="C96" s="1">
        <v>18</v>
      </c>
      <c r="D96" s="1" t="s">
        <v>16</v>
      </c>
      <c r="E96" s="1">
        <v>7</v>
      </c>
      <c r="F96" s="1">
        <v>2</v>
      </c>
      <c r="G96" s="5">
        <f>IF(IF(Table4428185052[[#This Row],[Pre or Post]]="Post",1,0)+IF(ISNUMBER(Table4428185052[[#This Row],[Response]])=TRUE,1,0)=2,1,"")</f>
        <v>1</v>
      </c>
      <c r="H96" s="5">
        <f>IF(IF(Table4428185052[[#This Row],[Pre or Post]]="Post",1,0)+IF(ISNUMBER(Table4428185052[[#This Row],[Response]])=TRUE,1,0)=2,Table4428185052[[#This Row],[Response]],"")</f>
        <v>2</v>
      </c>
      <c r="I96" s="5">
        <f>IF(Table4428185052[[#This Row],[Old or New?]]="New",Table4428185052[[#This Row],[Post Total]],"")</f>
        <v>2</v>
      </c>
      <c r="J96" s="5" t="str">
        <f>IF(Table4428185052[[#This Row],[Old or New?]]="Old",Table4428185052[[#This Row],[Post Total]],"")</f>
        <v/>
      </c>
      <c r="K96" s="5" t="b">
        <f>ISNUMBER(Table4428185052[[#This Row],[New]])</f>
        <v>1</v>
      </c>
      <c r="L96" s="5" t="b">
        <f>ISNUMBER(Table4428185052[[#This Row],[Old]])</f>
        <v>0</v>
      </c>
    </row>
    <row r="97" spans="1:12">
      <c r="A97" s="1" t="s">
        <v>24</v>
      </c>
      <c r="B97" s="1" t="s">
        <v>25</v>
      </c>
      <c r="C97" s="1">
        <v>19</v>
      </c>
      <c r="D97" s="1" t="s">
        <v>16</v>
      </c>
      <c r="E97" s="1">
        <v>7</v>
      </c>
      <c r="F97" s="1">
        <v>5</v>
      </c>
      <c r="G97" s="5">
        <f>IF(IF(Table4428185052[[#This Row],[Pre or Post]]="Post",1,0)+IF(ISNUMBER(Table4428185052[[#This Row],[Response]])=TRUE,1,0)=2,1,"")</f>
        <v>1</v>
      </c>
      <c r="H97" s="5">
        <f>IF(IF(Table4428185052[[#This Row],[Pre or Post]]="Post",1,0)+IF(ISNUMBER(Table4428185052[[#This Row],[Response]])=TRUE,1,0)=2,Table4428185052[[#This Row],[Response]],"")</f>
        <v>5</v>
      </c>
      <c r="I97" s="5">
        <f>IF(Table4428185052[[#This Row],[Old or New?]]="New",Table4428185052[[#This Row],[Post Total]],"")</f>
        <v>5</v>
      </c>
      <c r="J97" s="5" t="str">
        <f>IF(Table4428185052[[#This Row],[Old or New?]]="Old",Table4428185052[[#This Row],[Post Total]],"")</f>
        <v/>
      </c>
      <c r="K97" s="5" t="b">
        <f>ISNUMBER(Table4428185052[[#This Row],[New]])</f>
        <v>1</v>
      </c>
      <c r="L97" s="5" t="b">
        <f>ISNUMBER(Table4428185052[[#This Row],[Old]])</f>
        <v>0</v>
      </c>
    </row>
    <row r="98" spans="1:12">
      <c r="A98" s="1" t="s">
        <v>24</v>
      </c>
      <c r="B98" s="1" t="s">
        <v>25</v>
      </c>
      <c r="C98" s="1">
        <v>20</v>
      </c>
      <c r="D98" s="1" t="s">
        <v>16</v>
      </c>
      <c r="E98" s="1">
        <v>7</v>
      </c>
      <c r="F98" s="1">
        <v>4</v>
      </c>
      <c r="G98" s="5">
        <f>IF(IF(Table4428185052[[#This Row],[Pre or Post]]="Post",1,0)+IF(ISNUMBER(Table4428185052[[#This Row],[Response]])=TRUE,1,0)=2,1,"")</f>
        <v>1</v>
      </c>
      <c r="H98" s="5">
        <f>IF(IF(Table4428185052[[#This Row],[Pre or Post]]="Post",1,0)+IF(ISNUMBER(Table4428185052[[#This Row],[Response]])=TRUE,1,0)=2,Table4428185052[[#This Row],[Response]],"")</f>
        <v>4</v>
      </c>
      <c r="I98" s="5">
        <f>IF(Table4428185052[[#This Row],[Old or New?]]="New",Table4428185052[[#This Row],[Post Total]],"")</f>
        <v>4</v>
      </c>
      <c r="J98" s="5" t="str">
        <f>IF(Table4428185052[[#This Row],[Old or New?]]="Old",Table4428185052[[#This Row],[Post Total]],"")</f>
        <v/>
      </c>
      <c r="K98" s="5" t="b">
        <f>ISNUMBER(Table4428185052[[#This Row],[New]])</f>
        <v>1</v>
      </c>
      <c r="L98" s="5" t="b">
        <f>ISNUMBER(Table4428185052[[#This Row],[Old]])</f>
        <v>0</v>
      </c>
    </row>
    <row r="99" spans="1:12">
      <c r="A99" s="1" t="s">
        <v>24</v>
      </c>
      <c r="B99" s="1" t="s">
        <v>25</v>
      </c>
      <c r="C99" s="1">
        <v>21</v>
      </c>
      <c r="D99" s="1" t="s">
        <v>16</v>
      </c>
      <c r="E99" s="1">
        <v>7</v>
      </c>
      <c r="F99" s="1">
        <v>1</v>
      </c>
      <c r="G99" s="5">
        <f>IF(IF(Table4428185052[[#This Row],[Pre or Post]]="Post",1,0)+IF(ISNUMBER(Table4428185052[[#This Row],[Response]])=TRUE,1,0)=2,1,"")</f>
        <v>1</v>
      </c>
      <c r="H99" s="5">
        <f>IF(IF(Table4428185052[[#This Row],[Pre or Post]]="Post",1,0)+IF(ISNUMBER(Table4428185052[[#This Row],[Response]])=TRUE,1,0)=2,Table4428185052[[#This Row],[Response]],"")</f>
        <v>1</v>
      </c>
      <c r="I99" s="5">
        <f>IF(Table4428185052[[#This Row],[Old or New?]]="New",Table4428185052[[#This Row],[Post Total]],"")</f>
        <v>1</v>
      </c>
      <c r="J99" s="5" t="str">
        <f>IF(Table4428185052[[#This Row],[Old or New?]]="Old",Table4428185052[[#This Row],[Post Total]],"")</f>
        <v/>
      </c>
      <c r="K99" s="5" t="b">
        <f>ISNUMBER(Table4428185052[[#This Row],[New]])</f>
        <v>1</v>
      </c>
      <c r="L99" s="5" t="b">
        <f>ISNUMBER(Table4428185052[[#This Row],[Old]])</f>
        <v>0</v>
      </c>
    </row>
    <row r="100" spans="1:12">
      <c r="A100" s="2" t="s">
        <v>24</v>
      </c>
      <c r="B100" s="2" t="s">
        <v>26</v>
      </c>
      <c r="C100" s="1">
        <v>1</v>
      </c>
      <c r="D100" s="1" t="s">
        <v>16</v>
      </c>
      <c r="E100" s="1">
        <v>7</v>
      </c>
      <c r="F100" s="1">
        <v>4</v>
      </c>
      <c r="G100" s="5">
        <f>IF(IF(Table4428185052[[#This Row],[Pre or Post]]="Post",1,0)+IF(ISNUMBER(Table4428185052[[#This Row],[Response]])=TRUE,1,0)=2,1,"")</f>
        <v>1</v>
      </c>
      <c r="H100" s="5">
        <f>IF(IF(Table4428185052[[#This Row],[Pre or Post]]="Post",1,0)+IF(ISNUMBER(Table4428185052[[#This Row],[Response]])=TRUE,1,0)=2,Table4428185052[[#This Row],[Response]],"")</f>
        <v>4</v>
      </c>
      <c r="I100" s="5">
        <f>IF(Table4428185052[[#This Row],[Old or New?]]="New",Table4428185052[[#This Row],[Post Total]],"")</f>
        <v>4</v>
      </c>
      <c r="J100" s="5" t="str">
        <f>IF(Table4428185052[[#This Row],[Old or New?]]="Old",Table4428185052[[#This Row],[Post Total]],"")</f>
        <v/>
      </c>
      <c r="K100" s="5" t="b">
        <f>ISNUMBER(Table4428185052[[#This Row],[New]])</f>
        <v>1</v>
      </c>
      <c r="L100" s="5" t="b">
        <f>ISNUMBER(Table4428185052[[#This Row],[Old]])</f>
        <v>0</v>
      </c>
    </row>
    <row r="101" spans="1:12">
      <c r="A101" s="2" t="s">
        <v>24</v>
      </c>
      <c r="B101" s="2" t="s">
        <v>26</v>
      </c>
      <c r="C101" s="1">
        <v>2</v>
      </c>
      <c r="D101" s="1" t="s">
        <v>16</v>
      </c>
      <c r="E101" s="1">
        <v>7</v>
      </c>
      <c r="F101" s="1">
        <v>1</v>
      </c>
      <c r="G101" s="5">
        <f>IF(IF(Table4428185052[[#This Row],[Pre or Post]]="Post",1,0)+IF(ISNUMBER(Table4428185052[[#This Row],[Response]])=TRUE,1,0)=2,1,"")</f>
        <v>1</v>
      </c>
      <c r="H101" s="5">
        <f>IF(IF(Table4428185052[[#This Row],[Pre or Post]]="Post",1,0)+IF(ISNUMBER(Table4428185052[[#This Row],[Response]])=TRUE,1,0)=2,Table4428185052[[#This Row],[Response]],"")</f>
        <v>1</v>
      </c>
      <c r="I101" s="5">
        <f>IF(Table4428185052[[#This Row],[Old or New?]]="New",Table4428185052[[#This Row],[Post Total]],"")</f>
        <v>1</v>
      </c>
      <c r="J101" s="5" t="str">
        <f>IF(Table4428185052[[#This Row],[Old or New?]]="Old",Table4428185052[[#This Row],[Post Total]],"")</f>
        <v/>
      </c>
      <c r="K101" s="5" t="b">
        <f>ISNUMBER(Table4428185052[[#This Row],[New]])</f>
        <v>1</v>
      </c>
      <c r="L101" s="5" t="b">
        <f>ISNUMBER(Table4428185052[[#This Row],[Old]])</f>
        <v>0</v>
      </c>
    </row>
    <row r="102" spans="1:12">
      <c r="A102" s="2" t="s">
        <v>24</v>
      </c>
      <c r="B102" s="2" t="s">
        <v>26</v>
      </c>
      <c r="C102" s="1">
        <v>3</v>
      </c>
      <c r="D102" s="1" t="s">
        <v>16</v>
      </c>
      <c r="E102" s="1">
        <v>7</v>
      </c>
      <c r="F102" s="1">
        <v>5</v>
      </c>
      <c r="G102" s="5">
        <f>IF(IF(Table4428185052[[#This Row],[Pre or Post]]="Post",1,0)+IF(ISNUMBER(Table4428185052[[#This Row],[Response]])=TRUE,1,0)=2,1,"")</f>
        <v>1</v>
      </c>
      <c r="H102" s="5">
        <f>IF(IF(Table4428185052[[#This Row],[Pre or Post]]="Post",1,0)+IF(ISNUMBER(Table4428185052[[#This Row],[Response]])=TRUE,1,0)=2,Table4428185052[[#This Row],[Response]],"")</f>
        <v>5</v>
      </c>
      <c r="I102" s="5">
        <f>IF(Table4428185052[[#This Row],[Old or New?]]="New",Table4428185052[[#This Row],[Post Total]],"")</f>
        <v>5</v>
      </c>
      <c r="J102" s="5" t="str">
        <f>IF(Table4428185052[[#This Row],[Old or New?]]="Old",Table4428185052[[#This Row],[Post Total]],"")</f>
        <v/>
      </c>
      <c r="K102" s="5" t="b">
        <f>ISNUMBER(Table4428185052[[#This Row],[New]])</f>
        <v>1</v>
      </c>
      <c r="L102" s="5" t="b">
        <f>ISNUMBER(Table4428185052[[#This Row],[Old]])</f>
        <v>0</v>
      </c>
    </row>
    <row r="103" spans="1:12">
      <c r="A103" s="2" t="s">
        <v>24</v>
      </c>
      <c r="B103" s="2" t="s">
        <v>26</v>
      </c>
      <c r="C103" s="1">
        <v>4</v>
      </c>
      <c r="D103" s="1" t="s">
        <v>16</v>
      </c>
      <c r="E103" s="1">
        <v>7</v>
      </c>
      <c r="F103" s="1">
        <v>1</v>
      </c>
      <c r="G103" s="5">
        <f>IF(IF(Table4428185052[[#This Row],[Pre or Post]]="Post",1,0)+IF(ISNUMBER(Table4428185052[[#This Row],[Response]])=TRUE,1,0)=2,1,"")</f>
        <v>1</v>
      </c>
      <c r="H103" s="5">
        <f>IF(IF(Table4428185052[[#This Row],[Pre or Post]]="Post",1,0)+IF(ISNUMBER(Table4428185052[[#This Row],[Response]])=TRUE,1,0)=2,Table4428185052[[#This Row],[Response]],"")</f>
        <v>1</v>
      </c>
      <c r="I103" s="5">
        <f>IF(Table4428185052[[#This Row],[Old or New?]]="New",Table4428185052[[#This Row],[Post Total]],"")</f>
        <v>1</v>
      </c>
      <c r="J103" s="5" t="str">
        <f>IF(Table4428185052[[#This Row],[Old or New?]]="Old",Table4428185052[[#This Row],[Post Total]],"")</f>
        <v/>
      </c>
      <c r="K103" s="5" t="b">
        <f>ISNUMBER(Table4428185052[[#This Row],[New]])</f>
        <v>1</v>
      </c>
      <c r="L103" s="5" t="b">
        <f>ISNUMBER(Table4428185052[[#This Row],[Old]])</f>
        <v>0</v>
      </c>
    </row>
    <row r="104" spans="1:12">
      <c r="A104" s="2" t="s">
        <v>24</v>
      </c>
      <c r="B104" s="2" t="s">
        <v>26</v>
      </c>
      <c r="C104" s="1">
        <v>5</v>
      </c>
      <c r="D104" s="1" t="s">
        <v>16</v>
      </c>
      <c r="E104" s="1">
        <v>7</v>
      </c>
      <c r="F104" s="1">
        <v>2</v>
      </c>
      <c r="G104" s="5">
        <f>IF(IF(Table4428185052[[#This Row],[Pre or Post]]="Post",1,0)+IF(ISNUMBER(Table4428185052[[#This Row],[Response]])=TRUE,1,0)=2,1,"")</f>
        <v>1</v>
      </c>
      <c r="H104" s="5">
        <f>IF(IF(Table4428185052[[#This Row],[Pre or Post]]="Post",1,0)+IF(ISNUMBER(Table4428185052[[#This Row],[Response]])=TRUE,1,0)=2,Table4428185052[[#This Row],[Response]],"")</f>
        <v>2</v>
      </c>
      <c r="I104" s="5">
        <f>IF(Table4428185052[[#This Row],[Old or New?]]="New",Table4428185052[[#This Row],[Post Total]],"")</f>
        <v>2</v>
      </c>
      <c r="J104" s="5" t="str">
        <f>IF(Table4428185052[[#This Row],[Old or New?]]="Old",Table4428185052[[#This Row],[Post Total]],"")</f>
        <v/>
      </c>
      <c r="K104" s="5" t="b">
        <f>ISNUMBER(Table4428185052[[#This Row],[New]])</f>
        <v>1</v>
      </c>
      <c r="L104" s="5" t="b">
        <f>ISNUMBER(Table4428185052[[#This Row],[Old]])</f>
        <v>0</v>
      </c>
    </row>
    <row r="105" spans="1:12">
      <c r="A105" s="2" t="s">
        <v>24</v>
      </c>
      <c r="B105" s="2" t="s">
        <v>26</v>
      </c>
      <c r="C105" s="1">
        <v>6</v>
      </c>
      <c r="D105" s="1" t="s">
        <v>16</v>
      </c>
      <c r="E105" s="1">
        <v>7</v>
      </c>
      <c r="F105" s="1">
        <v>3</v>
      </c>
      <c r="G105" s="5">
        <f>IF(IF(Table4428185052[[#This Row],[Pre or Post]]="Post",1,0)+IF(ISNUMBER(Table4428185052[[#This Row],[Response]])=TRUE,1,0)=2,1,"")</f>
        <v>1</v>
      </c>
      <c r="H105" s="5">
        <f>IF(IF(Table4428185052[[#This Row],[Pre or Post]]="Post",1,0)+IF(ISNUMBER(Table4428185052[[#This Row],[Response]])=TRUE,1,0)=2,Table4428185052[[#This Row],[Response]],"")</f>
        <v>3</v>
      </c>
      <c r="I105" s="5">
        <f>IF(Table4428185052[[#This Row],[Old or New?]]="New",Table4428185052[[#This Row],[Post Total]],"")</f>
        <v>3</v>
      </c>
      <c r="J105" s="5" t="str">
        <f>IF(Table4428185052[[#This Row],[Old or New?]]="Old",Table4428185052[[#This Row],[Post Total]],"")</f>
        <v/>
      </c>
      <c r="K105" s="5" t="b">
        <f>ISNUMBER(Table4428185052[[#This Row],[New]])</f>
        <v>1</v>
      </c>
      <c r="L105" s="5" t="b">
        <f>ISNUMBER(Table4428185052[[#This Row],[Old]])</f>
        <v>0</v>
      </c>
    </row>
    <row r="106" spans="1:12">
      <c r="A106" s="2" t="s">
        <v>24</v>
      </c>
      <c r="B106" s="2" t="s">
        <v>26</v>
      </c>
      <c r="C106" s="1">
        <v>7</v>
      </c>
      <c r="D106" s="1" t="s">
        <v>16</v>
      </c>
      <c r="E106" s="1">
        <v>7</v>
      </c>
      <c r="F106" s="1">
        <v>4</v>
      </c>
      <c r="G106" s="5">
        <f>IF(IF(Table4428185052[[#This Row],[Pre or Post]]="Post",1,0)+IF(ISNUMBER(Table4428185052[[#This Row],[Response]])=TRUE,1,0)=2,1,"")</f>
        <v>1</v>
      </c>
      <c r="H106" s="5">
        <f>IF(IF(Table4428185052[[#This Row],[Pre or Post]]="Post",1,0)+IF(ISNUMBER(Table4428185052[[#This Row],[Response]])=TRUE,1,0)=2,Table4428185052[[#This Row],[Response]],"")</f>
        <v>4</v>
      </c>
      <c r="I106" s="5">
        <f>IF(Table4428185052[[#This Row],[Old or New?]]="New",Table4428185052[[#This Row],[Post Total]],"")</f>
        <v>4</v>
      </c>
      <c r="J106" s="5" t="str">
        <f>IF(Table4428185052[[#This Row],[Old or New?]]="Old",Table4428185052[[#This Row],[Post Total]],"")</f>
        <v/>
      </c>
      <c r="K106" s="5" t="b">
        <f>ISNUMBER(Table4428185052[[#This Row],[New]])</f>
        <v>1</v>
      </c>
      <c r="L106" s="5" t="b">
        <f>ISNUMBER(Table4428185052[[#This Row],[Old]])</f>
        <v>0</v>
      </c>
    </row>
    <row r="107" spans="1:12">
      <c r="A107" s="2" t="s">
        <v>24</v>
      </c>
      <c r="B107" s="2" t="s">
        <v>26</v>
      </c>
      <c r="C107" s="1">
        <v>8</v>
      </c>
      <c r="D107" s="1" t="s">
        <v>16</v>
      </c>
      <c r="E107" s="1">
        <v>7</v>
      </c>
      <c r="F107" s="1">
        <v>5</v>
      </c>
      <c r="G107" s="5">
        <f>IF(IF(Table4428185052[[#This Row],[Pre or Post]]="Post",1,0)+IF(ISNUMBER(Table4428185052[[#This Row],[Response]])=TRUE,1,0)=2,1,"")</f>
        <v>1</v>
      </c>
      <c r="H107" s="5">
        <f>IF(IF(Table4428185052[[#This Row],[Pre or Post]]="Post",1,0)+IF(ISNUMBER(Table4428185052[[#This Row],[Response]])=TRUE,1,0)=2,Table4428185052[[#This Row],[Response]],"")</f>
        <v>5</v>
      </c>
      <c r="I107" s="5">
        <f>IF(Table4428185052[[#This Row],[Old or New?]]="New",Table4428185052[[#This Row],[Post Total]],"")</f>
        <v>5</v>
      </c>
      <c r="J107" s="5" t="str">
        <f>IF(Table4428185052[[#This Row],[Old or New?]]="Old",Table4428185052[[#This Row],[Post Total]],"")</f>
        <v/>
      </c>
      <c r="K107" s="5" t="b">
        <f>ISNUMBER(Table4428185052[[#This Row],[New]])</f>
        <v>1</v>
      </c>
      <c r="L107" s="5" t="b">
        <f>ISNUMBER(Table4428185052[[#This Row],[Old]])</f>
        <v>0</v>
      </c>
    </row>
    <row r="108" spans="1:12">
      <c r="A108" s="2" t="s">
        <v>24</v>
      </c>
      <c r="B108" s="2" t="s">
        <v>26</v>
      </c>
      <c r="C108" s="1">
        <v>9</v>
      </c>
      <c r="D108" s="1" t="s">
        <v>16</v>
      </c>
      <c r="E108" s="1">
        <v>7</v>
      </c>
      <c r="F108" s="1">
        <v>2</v>
      </c>
      <c r="G108" s="5">
        <f>IF(IF(Table4428185052[[#This Row],[Pre or Post]]="Post",1,0)+IF(ISNUMBER(Table4428185052[[#This Row],[Response]])=TRUE,1,0)=2,1,"")</f>
        <v>1</v>
      </c>
      <c r="H108" s="5">
        <f>IF(IF(Table4428185052[[#This Row],[Pre or Post]]="Post",1,0)+IF(ISNUMBER(Table4428185052[[#This Row],[Response]])=TRUE,1,0)=2,Table4428185052[[#This Row],[Response]],"")</f>
        <v>2</v>
      </c>
      <c r="I108" s="5">
        <f>IF(Table4428185052[[#This Row],[Old or New?]]="New",Table4428185052[[#This Row],[Post Total]],"")</f>
        <v>2</v>
      </c>
      <c r="J108" s="5" t="str">
        <f>IF(Table4428185052[[#This Row],[Old or New?]]="Old",Table4428185052[[#This Row],[Post Total]],"")</f>
        <v/>
      </c>
      <c r="K108" s="5" t="b">
        <f>ISNUMBER(Table4428185052[[#This Row],[New]])</f>
        <v>1</v>
      </c>
      <c r="L108" s="5" t="b">
        <f>ISNUMBER(Table4428185052[[#This Row],[Old]])</f>
        <v>0</v>
      </c>
    </row>
    <row r="109" spans="1:12" s="16" customFormat="1">
      <c r="A109" s="2" t="s">
        <v>24</v>
      </c>
      <c r="B109" s="2" t="s">
        <v>26</v>
      </c>
      <c r="C109" s="1">
        <v>10</v>
      </c>
      <c r="D109" s="1" t="s">
        <v>16</v>
      </c>
      <c r="E109" s="1">
        <v>7</v>
      </c>
      <c r="F109" s="1">
        <v>3</v>
      </c>
      <c r="G109" s="5">
        <f>IF(IF(Table4428185052[[#This Row],[Pre or Post]]="Post",1,0)+IF(ISNUMBER(Table4428185052[[#This Row],[Response]])=TRUE,1,0)=2,1,"")</f>
        <v>1</v>
      </c>
      <c r="H109" s="5">
        <f>IF(IF(Table4428185052[[#This Row],[Pre or Post]]="Post",1,0)+IF(ISNUMBER(Table4428185052[[#This Row],[Response]])=TRUE,1,0)=2,Table4428185052[[#This Row],[Response]],"")</f>
        <v>3</v>
      </c>
      <c r="I109" s="5">
        <f>IF(Table4428185052[[#This Row],[Old or New?]]="New",Table4428185052[[#This Row],[Post Total]],"")</f>
        <v>3</v>
      </c>
      <c r="J109" s="5" t="str">
        <f>IF(Table4428185052[[#This Row],[Old or New?]]="Old",Table4428185052[[#This Row],[Post Total]],"")</f>
        <v/>
      </c>
      <c r="K109" s="5" t="b">
        <f>ISNUMBER(Table4428185052[[#This Row],[New]])</f>
        <v>1</v>
      </c>
      <c r="L109" s="5" t="b">
        <f>ISNUMBER(Table4428185052[[#This Row],[Old]])</f>
        <v>0</v>
      </c>
    </row>
    <row r="110" spans="1:12">
      <c r="A110" s="2" t="s">
        <v>24</v>
      </c>
      <c r="B110" s="2" t="s">
        <v>26</v>
      </c>
      <c r="C110" s="1">
        <v>11</v>
      </c>
      <c r="D110" s="1" t="s">
        <v>16</v>
      </c>
      <c r="E110" s="1">
        <v>7</v>
      </c>
      <c r="F110" s="1">
        <v>3</v>
      </c>
      <c r="G110" s="5">
        <f>IF(IF(Table4428185052[[#This Row],[Pre or Post]]="Post",1,0)+IF(ISNUMBER(Table4428185052[[#This Row],[Response]])=TRUE,1,0)=2,1,"")</f>
        <v>1</v>
      </c>
      <c r="H110" s="5">
        <f>IF(IF(Table4428185052[[#This Row],[Pre or Post]]="Post",1,0)+IF(ISNUMBER(Table4428185052[[#This Row],[Response]])=TRUE,1,0)=2,Table4428185052[[#This Row],[Response]],"")</f>
        <v>3</v>
      </c>
      <c r="I110" s="5">
        <f>IF(Table4428185052[[#This Row],[Old or New?]]="New",Table4428185052[[#This Row],[Post Total]],"")</f>
        <v>3</v>
      </c>
      <c r="J110" s="5" t="str">
        <f>IF(Table4428185052[[#This Row],[Old or New?]]="Old",Table4428185052[[#This Row],[Post Total]],"")</f>
        <v/>
      </c>
      <c r="K110" s="5" t="b">
        <f>ISNUMBER(Table4428185052[[#This Row],[New]])</f>
        <v>1</v>
      </c>
      <c r="L110" s="5" t="b">
        <f>ISNUMBER(Table4428185052[[#This Row],[Old]])</f>
        <v>0</v>
      </c>
    </row>
    <row r="111" spans="1:12">
      <c r="A111" s="2" t="s">
        <v>24</v>
      </c>
      <c r="B111" s="2" t="s">
        <v>26</v>
      </c>
      <c r="C111" s="1">
        <v>12</v>
      </c>
      <c r="D111" s="1" t="s">
        <v>16</v>
      </c>
      <c r="E111" s="1">
        <v>7</v>
      </c>
      <c r="F111" s="1">
        <v>3</v>
      </c>
      <c r="G111" s="5">
        <f>IF(IF(Table4428185052[[#This Row],[Pre or Post]]="Post",1,0)+IF(ISNUMBER(Table4428185052[[#This Row],[Response]])=TRUE,1,0)=2,1,"")</f>
        <v>1</v>
      </c>
      <c r="H111" s="5">
        <f>IF(IF(Table4428185052[[#This Row],[Pre or Post]]="Post",1,0)+IF(ISNUMBER(Table4428185052[[#This Row],[Response]])=TRUE,1,0)=2,Table4428185052[[#This Row],[Response]],"")</f>
        <v>3</v>
      </c>
      <c r="I111" s="5">
        <f>IF(Table4428185052[[#This Row],[Old or New?]]="New",Table4428185052[[#This Row],[Post Total]],"")</f>
        <v>3</v>
      </c>
      <c r="J111" s="5" t="str">
        <f>IF(Table4428185052[[#This Row],[Old or New?]]="Old",Table4428185052[[#This Row],[Post Total]],"")</f>
        <v/>
      </c>
      <c r="K111" s="5" t="b">
        <f>ISNUMBER(Table4428185052[[#This Row],[New]])</f>
        <v>1</v>
      </c>
      <c r="L111" s="5" t="b">
        <f>ISNUMBER(Table4428185052[[#This Row],[Old]])</f>
        <v>0</v>
      </c>
    </row>
    <row r="112" spans="1:12">
      <c r="A112" s="2" t="s">
        <v>24</v>
      </c>
      <c r="B112" s="2" t="s">
        <v>26</v>
      </c>
      <c r="C112" s="1">
        <v>13</v>
      </c>
      <c r="D112" s="1" t="s">
        <v>16</v>
      </c>
      <c r="E112" s="1">
        <v>7</v>
      </c>
      <c r="F112" s="1">
        <v>2</v>
      </c>
      <c r="G112" s="5">
        <f>IF(IF(Table4428185052[[#This Row],[Pre or Post]]="Post",1,0)+IF(ISNUMBER(Table4428185052[[#This Row],[Response]])=TRUE,1,0)=2,1,"")</f>
        <v>1</v>
      </c>
      <c r="H112" s="5">
        <f>IF(IF(Table4428185052[[#This Row],[Pre or Post]]="Post",1,0)+IF(ISNUMBER(Table4428185052[[#This Row],[Response]])=TRUE,1,0)=2,Table4428185052[[#This Row],[Response]],"")</f>
        <v>2</v>
      </c>
      <c r="I112" s="5">
        <f>IF(Table4428185052[[#This Row],[Old or New?]]="New",Table4428185052[[#This Row],[Post Total]],"")</f>
        <v>2</v>
      </c>
      <c r="J112" s="5" t="str">
        <f>IF(Table4428185052[[#This Row],[Old or New?]]="Old",Table4428185052[[#This Row],[Post Total]],"")</f>
        <v/>
      </c>
      <c r="K112" s="5" t="b">
        <f>ISNUMBER(Table4428185052[[#This Row],[New]])</f>
        <v>1</v>
      </c>
      <c r="L112" s="5" t="b">
        <f>ISNUMBER(Table4428185052[[#This Row],[Old]])</f>
        <v>0</v>
      </c>
    </row>
    <row r="113" spans="1:12">
      <c r="A113" s="2" t="s">
        <v>24</v>
      </c>
      <c r="B113" s="2" t="s">
        <v>26</v>
      </c>
      <c r="C113" s="1">
        <v>14</v>
      </c>
      <c r="D113" s="1" t="s">
        <v>16</v>
      </c>
      <c r="E113" s="1">
        <v>7</v>
      </c>
      <c r="F113" s="1">
        <v>3</v>
      </c>
      <c r="G113" s="5">
        <f>IF(IF(Table4428185052[[#This Row],[Pre or Post]]="Post",1,0)+IF(ISNUMBER(Table4428185052[[#This Row],[Response]])=TRUE,1,0)=2,1,"")</f>
        <v>1</v>
      </c>
      <c r="H113" s="5">
        <f>IF(IF(Table4428185052[[#This Row],[Pre or Post]]="Post",1,0)+IF(ISNUMBER(Table4428185052[[#This Row],[Response]])=TRUE,1,0)=2,Table4428185052[[#This Row],[Response]],"")</f>
        <v>3</v>
      </c>
      <c r="I113" s="5">
        <f>IF(Table4428185052[[#This Row],[Old or New?]]="New",Table4428185052[[#This Row],[Post Total]],"")</f>
        <v>3</v>
      </c>
      <c r="J113" s="5" t="str">
        <f>IF(Table4428185052[[#This Row],[Old or New?]]="Old",Table4428185052[[#This Row],[Post Total]],"")</f>
        <v/>
      </c>
      <c r="K113" s="5" t="b">
        <f>ISNUMBER(Table4428185052[[#This Row],[New]])</f>
        <v>1</v>
      </c>
      <c r="L113" s="5" t="b">
        <f>ISNUMBER(Table4428185052[[#This Row],[Old]])</f>
        <v>0</v>
      </c>
    </row>
    <row r="114" spans="1:12">
      <c r="A114" s="2" t="s">
        <v>24</v>
      </c>
      <c r="B114" s="2" t="s">
        <v>26</v>
      </c>
      <c r="C114" s="1">
        <v>15</v>
      </c>
      <c r="D114" s="1" t="s">
        <v>16</v>
      </c>
      <c r="E114" s="1">
        <v>7</v>
      </c>
      <c r="F114" s="1">
        <v>4</v>
      </c>
      <c r="G114" s="5">
        <f>IF(IF(Table4428185052[[#This Row],[Pre or Post]]="Post",1,0)+IF(ISNUMBER(Table4428185052[[#This Row],[Response]])=TRUE,1,0)=2,1,"")</f>
        <v>1</v>
      </c>
      <c r="H114" s="5">
        <f>IF(IF(Table4428185052[[#This Row],[Pre or Post]]="Post",1,0)+IF(ISNUMBER(Table4428185052[[#This Row],[Response]])=TRUE,1,0)=2,Table4428185052[[#This Row],[Response]],"")</f>
        <v>4</v>
      </c>
      <c r="I114" s="5">
        <f>IF(Table4428185052[[#This Row],[Old or New?]]="New",Table4428185052[[#This Row],[Post Total]],"")</f>
        <v>4</v>
      </c>
      <c r="J114" s="5" t="str">
        <f>IF(Table4428185052[[#This Row],[Old or New?]]="Old",Table4428185052[[#This Row],[Post Total]],"")</f>
        <v/>
      </c>
      <c r="K114" s="5" t="b">
        <f>ISNUMBER(Table4428185052[[#This Row],[New]])</f>
        <v>1</v>
      </c>
      <c r="L114" s="5" t="b">
        <f>ISNUMBER(Table4428185052[[#This Row],[Old]])</f>
        <v>0</v>
      </c>
    </row>
    <row r="115" spans="1:12">
      <c r="A115" s="2" t="s">
        <v>24</v>
      </c>
      <c r="B115" s="2" t="s">
        <v>28</v>
      </c>
      <c r="C115" s="1">
        <v>1</v>
      </c>
      <c r="D115" s="1" t="s">
        <v>16</v>
      </c>
      <c r="E115" s="1">
        <v>7</v>
      </c>
      <c r="F115" s="2">
        <v>4</v>
      </c>
      <c r="G115" s="5">
        <f>IF(IF(Table4428185052[[#This Row],[Pre or Post]]="Post",1,0)+IF(ISNUMBER(Table4428185052[[#This Row],[Response]])=TRUE,1,0)=2,1,"")</f>
        <v>1</v>
      </c>
      <c r="H115" s="5">
        <f>IF(IF(Table4428185052[[#This Row],[Pre or Post]]="Post",1,0)+IF(ISNUMBER(Table4428185052[[#This Row],[Response]])=TRUE,1,0)=2,Table4428185052[[#This Row],[Response]],"")</f>
        <v>4</v>
      </c>
      <c r="I115" s="5">
        <f>IF(Table4428185052[[#This Row],[Old or New?]]="New",Table4428185052[[#This Row],[Post Total]],"")</f>
        <v>4</v>
      </c>
      <c r="J115" s="5" t="str">
        <f>IF(Table4428185052[[#This Row],[Old or New?]]="Old",Table4428185052[[#This Row],[Post Total]],"")</f>
        <v/>
      </c>
      <c r="K115" s="5" t="b">
        <f>ISNUMBER(Table4428185052[[#This Row],[New]])</f>
        <v>1</v>
      </c>
      <c r="L115" s="5" t="b">
        <f>ISNUMBER(Table4428185052[[#This Row],[Old]])</f>
        <v>0</v>
      </c>
    </row>
    <row r="116" spans="1:12">
      <c r="A116" s="2" t="s">
        <v>24</v>
      </c>
      <c r="B116" s="2" t="s">
        <v>28</v>
      </c>
      <c r="C116" s="1">
        <v>2</v>
      </c>
      <c r="D116" s="1" t="s">
        <v>16</v>
      </c>
      <c r="E116" s="1">
        <v>7</v>
      </c>
      <c r="F116" s="2">
        <v>3</v>
      </c>
      <c r="G116" s="5">
        <f>IF(IF(Table4428185052[[#This Row],[Pre or Post]]="Post",1,0)+IF(ISNUMBER(Table4428185052[[#This Row],[Response]])=TRUE,1,0)=2,1,"")</f>
        <v>1</v>
      </c>
      <c r="H116" s="5">
        <f>IF(IF(Table4428185052[[#This Row],[Pre or Post]]="Post",1,0)+IF(ISNUMBER(Table4428185052[[#This Row],[Response]])=TRUE,1,0)=2,Table4428185052[[#This Row],[Response]],"")</f>
        <v>3</v>
      </c>
      <c r="I116" s="5">
        <f>IF(Table4428185052[[#This Row],[Old or New?]]="New",Table4428185052[[#This Row],[Post Total]],"")</f>
        <v>3</v>
      </c>
      <c r="J116" s="5" t="str">
        <f>IF(Table4428185052[[#This Row],[Old or New?]]="Old",Table4428185052[[#This Row],[Post Total]],"")</f>
        <v/>
      </c>
      <c r="K116" s="5" t="b">
        <f>ISNUMBER(Table4428185052[[#This Row],[New]])</f>
        <v>1</v>
      </c>
      <c r="L116" s="5" t="b">
        <f>ISNUMBER(Table4428185052[[#This Row],[Old]])</f>
        <v>0</v>
      </c>
    </row>
    <row r="117" spans="1:12">
      <c r="A117" s="2" t="s">
        <v>24</v>
      </c>
      <c r="B117" s="2" t="s">
        <v>28</v>
      </c>
      <c r="C117" s="1">
        <v>3</v>
      </c>
      <c r="D117" s="1" t="s">
        <v>16</v>
      </c>
      <c r="E117" s="1">
        <v>7</v>
      </c>
      <c r="F117" s="2">
        <v>2</v>
      </c>
      <c r="G117" s="5">
        <f>IF(IF(Table4428185052[[#This Row],[Pre or Post]]="Post",1,0)+IF(ISNUMBER(Table4428185052[[#This Row],[Response]])=TRUE,1,0)=2,1,"")</f>
        <v>1</v>
      </c>
      <c r="H117" s="5">
        <f>IF(IF(Table4428185052[[#This Row],[Pre or Post]]="Post",1,0)+IF(ISNUMBER(Table4428185052[[#This Row],[Response]])=TRUE,1,0)=2,Table4428185052[[#This Row],[Response]],"")</f>
        <v>2</v>
      </c>
      <c r="I117" s="5">
        <f>IF(Table4428185052[[#This Row],[Old or New?]]="New",Table4428185052[[#This Row],[Post Total]],"")</f>
        <v>2</v>
      </c>
      <c r="J117" s="5" t="str">
        <f>IF(Table4428185052[[#This Row],[Old or New?]]="Old",Table4428185052[[#This Row],[Post Total]],"")</f>
        <v/>
      </c>
      <c r="K117" s="5" t="b">
        <f>ISNUMBER(Table4428185052[[#This Row],[New]])</f>
        <v>1</v>
      </c>
      <c r="L117" s="5" t="b">
        <f>ISNUMBER(Table4428185052[[#This Row],[Old]])</f>
        <v>0</v>
      </c>
    </row>
    <row r="118" spans="1:12">
      <c r="A118" s="2" t="s">
        <v>24</v>
      </c>
      <c r="B118" s="2" t="s">
        <v>28</v>
      </c>
      <c r="C118" s="1">
        <v>4</v>
      </c>
      <c r="D118" s="1" t="s">
        <v>16</v>
      </c>
      <c r="E118" s="1">
        <v>7</v>
      </c>
      <c r="F118" s="2">
        <v>5</v>
      </c>
      <c r="G118" s="5">
        <f>IF(IF(Table4428185052[[#This Row],[Pre or Post]]="Post",1,0)+IF(ISNUMBER(Table4428185052[[#This Row],[Response]])=TRUE,1,0)=2,1,"")</f>
        <v>1</v>
      </c>
      <c r="H118" s="5">
        <f>IF(IF(Table4428185052[[#This Row],[Pre or Post]]="Post",1,0)+IF(ISNUMBER(Table4428185052[[#This Row],[Response]])=TRUE,1,0)=2,Table4428185052[[#This Row],[Response]],"")</f>
        <v>5</v>
      </c>
      <c r="I118" s="5">
        <f>IF(Table4428185052[[#This Row],[Old or New?]]="New",Table4428185052[[#This Row],[Post Total]],"")</f>
        <v>5</v>
      </c>
      <c r="J118" s="5" t="str">
        <f>IF(Table4428185052[[#This Row],[Old or New?]]="Old",Table4428185052[[#This Row],[Post Total]],"")</f>
        <v/>
      </c>
      <c r="K118" s="5" t="b">
        <f>ISNUMBER(Table4428185052[[#This Row],[New]])</f>
        <v>1</v>
      </c>
      <c r="L118" s="5" t="b">
        <f>ISNUMBER(Table4428185052[[#This Row],[Old]])</f>
        <v>0</v>
      </c>
    </row>
    <row r="119" spans="1:12">
      <c r="A119" s="2" t="s">
        <v>24</v>
      </c>
      <c r="B119" s="2" t="s">
        <v>28</v>
      </c>
      <c r="C119" s="1">
        <v>5</v>
      </c>
      <c r="D119" s="1" t="s">
        <v>16</v>
      </c>
      <c r="E119" s="1">
        <v>7</v>
      </c>
      <c r="F119" s="2">
        <v>3</v>
      </c>
      <c r="G119" s="5">
        <f>IF(IF(Table4428185052[[#This Row],[Pre or Post]]="Post",1,0)+IF(ISNUMBER(Table4428185052[[#This Row],[Response]])=TRUE,1,0)=2,1,"")</f>
        <v>1</v>
      </c>
      <c r="H119" s="5">
        <f>IF(IF(Table4428185052[[#This Row],[Pre or Post]]="Post",1,0)+IF(ISNUMBER(Table4428185052[[#This Row],[Response]])=TRUE,1,0)=2,Table4428185052[[#This Row],[Response]],"")</f>
        <v>3</v>
      </c>
      <c r="I119" s="5">
        <f>IF(Table4428185052[[#This Row],[Old or New?]]="New",Table4428185052[[#This Row],[Post Total]],"")</f>
        <v>3</v>
      </c>
      <c r="J119" s="5" t="str">
        <f>IF(Table4428185052[[#This Row],[Old or New?]]="Old",Table4428185052[[#This Row],[Post Total]],"")</f>
        <v/>
      </c>
      <c r="K119" s="5" t="b">
        <f>ISNUMBER(Table4428185052[[#This Row],[New]])</f>
        <v>1</v>
      </c>
      <c r="L119" s="5" t="b">
        <f>ISNUMBER(Table4428185052[[#This Row],[Old]])</f>
        <v>0</v>
      </c>
    </row>
    <row r="120" spans="1:12">
      <c r="A120" s="2" t="s">
        <v>24</v>
      </c>
      <c r="B120" s="2" t="s">
        <v>28</v>
      </c>
      <c r="C120" s="1">
        <v>6</v>
      </c>
      <c r="D120" s="1" t="s">
        <v>16</v>
      </c>
      <c r="E120" s="1">
        <v>7</v>
      </c>
      <c r="F120" s="2">
        <v>4</v>
      </c>
      <c r="G120" s="5">
        <f>IF(IF(Table4428185052[[#This Row],[Pre or Post]]="Post",1,0)+IF(ISNUMBER(Table4428185052[[#This Row],[Response]])=TRUE,1,0)=2,1,"")</f>
        <v>1</v>
      </c>
      <c r="H120" s="5">
        <f>IF(IF(Table4428185052[[#This Row],[Pre or Post]]="Post",1,0)+IF(ISNUMBER(Table4428185052[[#This Row],[Response]])=TRUE,1,0)=2,Table4428185052[[#This Row],[Response]],"")</f>
        <v>4</v>
      </c>
      <c r="I120" s="5">
        <f>IF(Table4428185052[[#This Row],[Old or New?]]="New",Table4428185052[[#This Row],[Post Total]],"")</f>
        <v>4</v>
      </c>
      <c r="J120" s="5" t="str">
        <f>IF(Table4428185052[[#This Row],[Old or New?]]="Old",Table4428185052[[#This Row],[Post Total]],"")</f>
        <v/>
      </c>
      <c r="K120" s="5" t="b">
        <f>ISNUMBER(Table4428185052[[#This Row],[New]])</f>
        <v>1</v>
      </c>
      <c r="L120" s="5" t="b">
        <f>ISNUMBER(Table4428185052[[#This Row],[Old]])</f>
        <v>0</v>
      </c>
    </row>
    <row r="121" spans="1:12">
      <c r="A121" s="2" t="s">
        <v>24</v>
      </c>
      <c r="B121" s="2" t="s">
        <v>28</v>
      </c>
      <c r="C121" s="1">
        <v>7</v>
      </c>
      <c r="D121" s="1" t="s">
        <v>16</v>
      </c>
      <c r="E121" s="1">
        <v>7</v>
      </c>
      <c r="F121" s="2">
        <v>4</v>
      </c>
      <c r="G121" s="5">
        <f>IF(IF(Table4428185052[[#This Row],[Pre or Post]]="Post",1,0)+IF(ISNUMBER(Table4428185052[[#This Row],[Response]])=TRUE,1,0)=2,1,"")</f>
        <v>1</v>
      </c>
      <c r="H121" s="5">
        <f>IF(IF(Table4428185052[[#This Row],[Pre or Post]]="Post",1,0)+IF(ISNUMBER(Table4428185052[[#This Row],[Response]])=TRUE,1,0)=2,Table4428185052[[#This Row],[Response]],"")</f>
        <v>4</v>
      </c>
      <c r="I121" s="5">
        <f>IF(Table4428185052[[#This Row],[Old or New?]]="New",Table4428185052[[#This Row],[Post Total]],"")</f>
        <v>4</v>
      </c>
      <c r="J121" s="5" t="str">
        <f>IF(Table4428185052[[#This Row],[Old or New?]]="Old",Table4428185052[[#This Row],[Post Total]],"")</f>
        <v/>
      </c>
      <c r="K121" s="5" t="b">
        <f>ISNUMBER(Table4428185052[[#This Row],[New]])</f>
        <v>1</v>
      </c>
      <c r="L121" s="5" t="b">
        <f>ISNUMBER(Table4428185052[[#This Row],[Old]])</f>
        <v>0</v>
      </c>
    </row>
    <row r="122" spans="1:12">
      <c r="A122" s="2" t="s">
        <v>24</v>
      </c>
      <c r="B122" s="2" t="s">
        <v>28</v>
      </c>
      <c r="C122" s="1">
        <v>8</v>
      </c>
      <c r="D122" s="1" t="s">
        <v>16</v>
      </c>
      <c r="E122" s="1">
        <v>7</v>
      </c>
      <c r="F122" s="1">
        <v>4</v>
      </c>
      <c r="G122" s="5">
        <f>IF(IF(Table4428185052[[#This Row],[Pre or Post]]="Post",1,0)+IF(ISNUMBER(Table4428185052[[#This Row],[Response]])=TRUE,1,0)=2,1,"")</f>
        <v>1</v>
      </c>
      <c r="H122" s="5">
        <f>IF(IF(Table4428185052[[#This Row],[Pre or Post]]="Post",1,0)+IF(ISNUMBER(Table4428185052[[#This Row],[Response]])=TRUE,1,0)=2,Table4428185052[[#This Row],[Response]],"")</f>
        <v>4</v>
      </c>
      <c r="I122" s="5">
        <f>IF(Table4428185052[[#This Row],[Old or New?]]="New",Table4428185052[[#This Row],[Post Total]],"")</f>
        <v>4</v>
      </c>
      <c r="J122" s="5" t="str">
        <f>IF(Table4428185052[[#This Row],[Old or New?]]="Old",Table4428185052[[#This Row],[Post Total]],"")</f>
        <v/>
      </c>
      <c r="K122" s="5" t="b">
        <f>ISNUMBER(Table4428185052[[#This Row],[New]])</f>
        <v>1</v>
      </c>
      <c r="L122" s="5" t="b">
        <f>ISNUMBER(Table4428185052[[#This Row],[Old]])</f>
        <v>0</v>
      </c>
    </row>
    <row r="123" spans="1:12">
      <c r="A123" s="2" t="s">
        <v>24</v>
      </c>
      <c r="B123" s="2" t="s">
        <v>28</v>
      </c>
      <c r="C123" s="1">
        <v>9</v>
      </c>
      <c r="D123" s="1" t="s">
        <v>16</v>
      </c>
      <c r="E123" s="1">
        <v>7</v>
      </c>
      <c r="F123" s="1">
        <v>3</v>
      </c>
      <c r="G123" s="5">
        <f>IF(IF(Table4428185052[[#This Row],[Pre or Post]]="Post",1,0)+IF(ISNUMBER(Table4428185052[[#This Row],[Response]])=TRUE,1,0)=2,1,"")</f>
        <v>1</v>
      </c>
      <c r="H123" s="5">
        <f>IF(IF(Table4428185052[[#This Row],[Pre or Post]]="Post",1,0)+IF(ISNUMBER(Table4428185052[[#This Row],[Response]])=TRUE,1,0)=2,Table4428185052[[#This Row],[Response]],"")</f>
        <v>3</v>
      </c>
      <c r="I123" s="5">
        <f>IF(Table4428185052[[#This Row],[Old or New?]]="New",Table4428185052[[#This Row],[Post Total]],"")</f>
        <v>3</v>
      </c>
      <c r="J123" s="5" t="str">
        <f>IF(Table4428185052[[#This Row],[Old or New?]]="Old",Table4428185052[[#This Row],[Post Total]],"")</f>
        <v/>
      </c>
      <c r="K123" s="5" t="b">
        <f>ISNUMBER(Table4428185052[[#This Row],[New]])</f>
        <v>1</v>
      </c>
      <c r="L123" s="5" t="b">
        <f>ISNUMBER(Table4428185052[[#This Row],[Old]])</f>
        <v>0</v>
      </c>
    </row>
    <row r="124" spans="1:12">
      <c r="A124" s="2" t="s">
        <v>24</v>
      </c>
      <c r="B124" s="2" t="s">
        <v>28</v>
      </c>
      <c r="C124" s="1">
        <v>10</v>
      </c>
      <c r="D124" s="1" t="s">
        <v>16</v>
      </c>
      <c r="E124" s="1">
        <v>7</v>
      </c>
      <c r="F124" s="1">
        <v>3</v>
      </c>
      <c r="G124" s="5">
        <f>IF(IF(Table4428185052[[#This Row],[Pre or Post]]="Post",1,0)+IF(ISNUMBER(Table4428185052[[#This Row],[Response]])=TRUE,1,0)=2,1,"")</f>
        <v>1</v>
      </c>
      <c r="H124" s="5">
        <f>IF(IF(Table4428185052[[#This Row],[Pre or Post]]="Post",1,0)+IF(ISNUMBER(Table4428185052[[#This Row],[Response]])=TRUE,1,0)=2,Table4428185052[[#This Row],[Response]],"")</f>
        <v>3</v>
      </c>
      <c r="I124" s="5">
        <f>IF(Table4428185052[[#This Row],[Old or New?]]="New",Table4428185052[[#This Row],[Post Total]],"")</f>
        <v>3</v>
      </c>
      <c r="J124" s="5" t="str">
        <f>IF(Table4428185052[[#This Row],[Old or New?]]="Old",Table4428185052[[#This Row],[Post Total]],"")</f>
        <v/>
      </c>
      <c r="K124" s="5" t="b">
        <f>ISNUMBER(Table4428185052[[#This Row],[New]])</f>
        <v>1</v>
      </c>
      <c r="L124" s="5" t="b">
        <f>ISNUMBER(Table4428185052[[#This Row],[Old]])</f>
        <v>0</v>
      </c>
    </row>
    <row r="125" spans="1:12">
      <c r="A125" s="2" t="s">
        <v>24</v>
      </c>
      <c r="B125" s="2" t="s">
        <v>28</v>
      </c>
      <c r="C125" s="1">
        <v>11</v>
      </c>
      <c r="D125" s="1" t="s">
        <v>16</v>
      </c>
      <c r="E125" s="1">
        <v>7</v>
      </c>
      <c r="F125" s="1">
        <v>4</v>
      </c>
      <c r="G125" s="5">
        <f>IF(IF(Table4428185052[[#This Row],[Pre or Post]]="Post",1,0)+IF(ISNUMBER(Table4428185052[[#This Row],[Response]])=TRUE,1,0)=2,1,"")</f>
        <v>1</v>
      </c>
      <c r="H125" s="5">
        <f>IF(IF(Table4428185052[[#This Row],[Pre or Post]]="Post",1,0)+IF(ISNUMBER(Table4428185052[[#This Row],[Response]])=TRUE,1,0)=2,Table4428185052[[#This Row],[Response]],"")</f>
        <v>4</v>
      </c>
      <c r="I125" s="5">
        <f>IF(Table4428185052[[#This Row],[Old or New?]]="New",Table4428185052[[#This Row],[Post Total]],"")</f>
        <v>4</v>
      </c>
      <c r="J125" s="5" t="str">
        <f>IF(Table4428185052[[#This Row],[Old or New?]]="Old",Table4428185052[[#This Row],[Post Total]],"")</f>
        <v/>
      </c>
      <c r="K125" s="5" t="b">
        <f>ISNUMBER(Table4428185052[[#This Row],[New]])</f>
        <v>1</v>
      </c>
      <c r="L125" s="5" t="b">
        <f>ISNUMBER(Table4428185052[[#This Row],[Old]])</f>
        <v>0</v>
      </c>
    </row>
    <row r="126" spans="1:12">
      <c r="A126" s="2" t="s">
        <v>24</v>
      </c>
      <c r="B126" s="2" t="s">
        <v>28</v>
      </c>
      <c r="C126" s="1">
        <v>12</v>
      </c>
      <c r="D126" s="1" t="s">
        <v>16</v>
      </c>
      <c r="E126" s="1">
        <v>7</v>
      </c>
      <c r="F126" s="1">
        <v>2</v>
      </c>
      <c r="G126" s="5">
        <f>IF(IF(Table4428185052[[#This Row],[Pre or Post]]="Post",1,0)+IF(ISNUMBER(Table4428185052[[#This Row],[Response]])=TRUE,1,0)=2,1,"")</f>
        <v>1</v>
      </c>
      <c r="H126" s="5">
        <f>IF(IF(Table4428185052[[#This Row],[Pre or Post]]="Post",1,0)+IF(ISNUMBER(Table4428185052[[#This Row],[Response]])=TRUE,1,0)=2,Table4428185052[[#This Row],[Response]],"")</f>
        <v>2</v>
      </c>
      <c r="I126" s="5">
        <f>IF(Table4428185052[[#This Row],[Old or New?]]="New",Table4428185052[[#This Row],[Post Total]],"")</f>
        <v>2</v>
      </c>
      <c r="J126" s="5" t="str">
        <f>IF(Table4428185052[[#This Row],[Old or New?]]="Old",Table4428185052[[#This Row],[Post Total]],"")</f>
        <v/>
      </c>
      <c r="K126" s="5" t="b">
        <f>ISNUMBER(Table4428185052[[#This Row],[New]])</f>
        <v>1</v>
      </c>
      <c r="L126" s="5" t="b">
        <f>ISNUMBER(Table4428185052[[#This Row],[Old]])</f>
        <v>0</v>
      </c>
    </row>
    <row r="127" spans="1:12">
      <c r="A127" s="2" t="s">
        <v>24</v>
      </c>
      <c r="B127" s="2" t="s">
        <v>28</v>
      </c>
      <c r="C127" s="1">
        <v>13</v>
      </c>
      <c r="D127" s="1" t="s">
        <v>16</v>
      </c>
      <c r="E127" s="1">
        <v>7</v>
      </c>
      <c r="F127" s="1">
        <v>4</v>
      </c>
      <c r="G127" s="5">
        <f>IF(IF(Table4428185052[[#This Row],[Pre or Post]]="Post",1,0)+IF(ISNUMBER(Table4428185052[[#This Row],[Response]])=TRUE,1,0)=2,1,"")</f>
        <v>1</v>
      </c>
      <c r="H127" s="5">
        <f>IF(IF(Table4428185052[[#This Row],[Pre or Post]]="Post",1,0)+IF(ISNUMBER(Table4428185052[[#This Row],[Response]])=TRUE,1,0)=2,Table4428185052[[#This Row],[Response]],"")</f>
        <v>4</v>
      </c>
      <c r="I127" s="5">
        <f>IF(Table4428185052[[#This Row],[Old or New?]]="New",Table4428185052[[#This Row],[Post Total]],"")</f>
        <v>4</v>
      </c>
      <c r="J127" s="5" t="str">
        <f>IF(Table4428185052[[#This Row],[Old or New?]]="Old",Table4428185052[[#This Row],[Post Total]],"")</f>
        <v/>
      </c>
      <c r="K127" s="5" t="b">
        <f>ISNUMBER(Table4428185052[[#This Row],[New]])</f>
        <v>1</v>
      </c>
      <c r="L127" s="5" t="b">
        <f>ISNUMBER(Table4428185052[[#This Row],[Old]])</f>
        <v>0</v>
      </c>
    </row>
    <row r="128" spans="1:12">
      <c r="A128" s="2" t="s">
        <v>24</v>
      </c>
      <c r="B128" s="2" t="s">
        <v>30</v>
      </c>
      <c r="C128" s="1">
        <v>1</v>
      </c>
      <c r="D128" s="2" t="s">
        <v>16</v>
      </c>
      <c r="E128" s="1">
        <v>7</v>
      </c>
      <c r="F128" s="1">
        <v>3</v>
      </c>
      <c r="G128" s="5">
        <f>IF(IF(Table4428185052[[#This Row],[Pre or Post]]="Post",1,0)+IF(ISNUMBER(Table4428185052[[#This Row],[Response]])=TRUE,1,0)=2,1,"")</f>
        <v>1</v>
      </c>
      <c r="H128" s="5">
        <f>IF(IF(Table4428185052[[#This Row],[Pre or Post]]="Post",1,0)+IF(ISNUMBER(Table4428185052[[#This Row],[Response]])=TRUE,1,0)=2,Table4428185052[[#This Row],[Response]],"")</f>
        <v>3</v>
      </c>
      <c r="I128" s="5">
        <f>IF(Table4428185052[[#This Row],[Old or New?]]="New",Table4428185052[[#This Row],[Post Total]],"")</f>
        <v>3</v>
      </c>
      <c r="J128" s="5" t="str">
        <f>IF(Table4428185052[[#This Row],[Old or New?]]="Old",Table4428185052[[#This Row],[Post Total]],"")</f>
        <v/>
      </c>
      <c r="K128" s="5" t="b">
        <f>ISNUMBER(Table4428185052[[#This Row],[New]])</f>
        <v>1</v>
      </c>
      <c r="L128" s="5" t="b">
        <f>ISNUMBER(Table4428185052[[#This Row],[Old]])</f>
        <v>0</v>
      </c>
    </row>
    <row r="129" spans="1:12">
      <c r="A129" s="2" t="s">
        <v>24</v>
      </c>
      <c r="B129" s="2" t="s">
        <v>30</v>
      </c>
      <c r="C129" s="1">
        <v>2</v>
      </c>
      <c r="D129" s="2" t="s">
        <v>16</v>
      </c>
      <c r="E129" s="1">
        <v>7</v>
      </c>
      <c r="F129" s="1">
        <v>4</v>
      </c>
      <c r="G129" s="5">
        <f>IF(IF(Table4428185052[[#This Row],[Pre or Post]]="Post",1,0)+IF(ISNUMBER(Table4428185052[[#This Row],[Response]])=TRUE,1,0)=2,1,"")</f>
        <v>1</v>
      </c>
      <c r="H129" s="5">
        <f>IF(IF(Table4428185052[[#This Row],[Pre or Post]]="Post",1,0)+IF(ISNUMBER(Table4428185052[[#This Row],[Response]])=TRUE,1,0)=2,Table4428185052[[#This Row],[Response]],"")</f>
        <v>4</v>
      </c>
      <c r="I129" s="5">
        <f>IF(Table4428185052[[#This Row],[Old or New?]]="New",Table4428185052[[#This Row],[Post Total]],"")</f>
        <v>4</v>
      </c>
      <c r="J129" s="5" t="str">
        <f>IF(Table4428185052[[#This Row],[Old or New?]]="Old",Table4428185052[[#This Row],[Post Total]],"")</f>
        <v/>
      </c>
      <c r="K129" s="5" t="b">
        <f>ISNUMBER(Table4428185052[[#This Row],[New]])</f>
        <v>1</v>
      </c>
      <c r="L129" s="5" t="b">
        <f>ISNUMBER(Table4428185052[[#This Row],[Old]])</f>
        <v>0</v>
      </c>
    </row>
    <row r="130" spans="1:12">
      <c r="A130" s="2" t="s">
        <v>24</v>
      </c>
      <c r="B130" s="2" t="s">
        <v>30</v>
      </c>
      <c r="C130" s="1">
        <v>3</v>
      </c>
      <c r="D130" s="2" t="s">
        <v>16</v>
      </c>
      <c r="E130" s="1">
        <v>7</v>
      </c>
      <c r="F130" s="1">
        <v>3</v>
      </c>
      <c r="G130" s="5">
        <f>IF(IF(Table4428185052[[#This Row],[Pre or Post]]="Post",1,0)+IF(ISNUMBER(Table4428185052[[#This Row],[Response]])=TRUE,1,0)=2,1,"")</f>
        <v>1</v>
      </c>
      <c r="H130" s="5">
        <f>IF(IF(Table4428185052[[#This Row],[Pre or Post]]="Post",1,0)+IF(ISNUMBER(Table4428185052[[#This Row],[Response]])=TRUE,1,0)=2,Table4428185052[[#This Row],[Response]],"")</f>
        <v>3</v>
      </c>
      <c r="I130" s="5">
        <f>IF(Table4428185052[[#This Row],[Old or New?]]="New",Table4428185052[[#This Row],[Post Total]],"")</f>
        <v>3</v>
      </c>
      <c r="J130" s="5" t="str">
        <f>IF(Table4428185052[[#This Row],[Old or New?]]="Old",Table4428185052[[#This Row],[Post Total]],"")</f>
        <v/>
      </c>
      <c r="K130" s="5" t="b">
        <f>ISNUMBER(Table4428185052[[#This Row],[New]])</f>
        <v>1</v>
      </c>
      <c r="L130" s="5" t="b">
        <f>ISNUMBER(Table4428185052[[#This Row],[Old]])</f>
        <v>0</v>
      </c>
    </row>
    <row r="131" spans="1:12">
      <c r="A131" s="2" t="s">
        <v>24</v>
      </c>
      <c r="B131" s="2" t="s">
        <v>30</v>
      </c>
      <c r="C131" s="1">
        <v>4</v>
      </c>
      <c r="D131" s="2" t="s">
        <v>16</v>
      </c>
      <c r="E131" s="1">
        <v>7</v>
      </c>
      <c r="F131" s="1">
        <v>4</v>
      </c>
      <c r="G131" s="5">
        <f>IF(IF(Table4428185052[[#This Row],[Pre or Post]]="Post",1,0)+IF(ISNUMBER(Table4428185052[[#This Row],[Response]])=TRUE,1,0)=2,1,"")</f>
        <v>1</v>
      </c>
      <c r="H131" s="5">
        <f>IF(IF(Table4428185052[[#This Row],[Pre or Post]]="Post",1,0)+IF(ISNUMBER(Table4428185052[[#This Row],[Response]])=TRUE,1,0)=2,Table4428185052[[#This Row],[Response]],"")</f>
        <v>4</v>
      </c>
      <c r="I131" s="5">
        <f>IF(Table4428185052[[#This Row],[Old or New?]]="New",Table4428185052[[#This Row],[Post Total]],"")</f>
        <v>4</v>
      </c>
      <c r="J131" s="5" t="str">
        <f>IF(Table4428185052[[#This Row],[Old or New?]]="Old",Table4428185052[[#This Row],[Post Total]],"")</f>
        <v/>
      </c>
      <c r="K131" s="5" t="b">
        <f>ISNUMBER(Table4428185052[[#This Row],[New]])</f>
        <v>1</v>
      </c>
      <c r="L131" s="5" t="b">
        <f>ISNUMBER(Table4428185052[[#This Row],[Old]])</f>
        <v>0</v>
      </c>
    </row>
    <row r="132" spans="1:12">
      <c r="A132" s="2" t="s">
        <v>24</v>
      </c>
      <c r="B132" s="2" t="s">
        <v>30</v>
      </c>
      <c r="C132" s="1">
        <v>5</v>
      </c>
      <c r="D132" s="2" t="s">
        <v>16</v>
      </c>
      <c r="E132" s="1">
        <v>7</v>
      </c>
      <c r="F132" s="1">
        <v>2</v>
      </c>
      <c r="G132" s="5">
        <f>IF(IF(Table4428185052[[#This Row],[Pre or Post]]="Post",1,0)+IF(ISNUMBER(Table4428185052[[#This Row],[Response]])=TRUE,1,0)=2,1,"")</f>
        <v>1</v>
      </c>
      <c r="H132" s="5">
        <f>IF(IF(Table4428185052[[#This Row],[Pre or Post]]="Post",1,0)+IF(ISNUMBER(Table4428185052[[#This Row],[Response]])=TRUE,1,0)=2,Table4428185052[[#This Row],[Response]],"")</f>
        <v>2</v>
      </c>
      <c r="I132" s="5">
        <f>IF(Table4428185052[[#This Row],[Old or New?]]="New",Table4428185052[[#This Row],[Post Total]],"")</f>
        <v>2</v>
      </c>
      <c r="J132" s="5" t="str">
        <f>IF(Table4428185052[[#This Row],[Old or New?]]="Old",Table4428185052[[#This Row],[Post Total]],"")</f>
        <v/>
      </c>
      <c r="K132" s="5" t="b">
        <f>ISNUMBER(Table4428185052[[#This Row],[New]])</f>
        <v>1</v>
      </c>
      <c r="L132" s="5" t="b">
        <f>ISNUMBER(Table4428185052[[#This Row],[Old]])</f>
        <v>0</v>
      </c>
    </row>
    <row r="133" spans="1:12">
      <c r="A133" s="2" t="s">
        <v>24</v>
      </c>
      <c r="B133" s="2" t="s">
        <v>30</v>
      </c>
      <c r="C133" s="1">
        <v>6</v>
      </c>
      <c r="D133" s="2" t="s">
        <v>16</v>
      </c>
      <c r="E133" s="1">
        <v>7</v>
      </c>
      <c r="F133" s="1">
        <v>5</v>
      </c>
      <c r="G133" s="5">
        <f>IF(IF(Table4428185052[[#This Row],[Pre or Post]]="Post",1,0)+IF(ISNUMBER(Table4428185052[[#This Row],[Response]])=TRUE,1,0)=2,1,"")</f>
        <v>1</v>
      </c>
      <c r="H133" s="5">
        <f>IF(IF(Table4428185052[[#This Row],[Pre or Post]]="Post",1,0)+IF(ISNUMBER(Table4428185052[[#This Row],[Response]])=TRUE,1,0)=2,Table4428185052[[#This Row],[Response]],"")</f>
        <v>5</v>
      </c>
      <c r="I133" s="5">
        <f>IF(Table4428185052[[#This Row],[Old or New?]]="New",Table4428185052[[#This Row],[Post Total]],"")</f>
        <v>5</v>
      </c>
      <c r="J133" s="5" t="str">
        <f>IF(Table4428185052[[#This Row],[Old or New?]]="Old",Table4428185052[[#This Row],[Post Total]],"")</f>
        <v/>
      </c>
      <c r="K133" s="5" t="b">
        <f>ISNUMBER(Table4428185052[[#This Row],[New]])</f>
        <v>1</v>
      </c>
      <c r="L133" s="5" t="b">
        <f>ISNUMBER(Table4428185052[[#This Row],[Old]])</f>
        <v>0</v>
      </c>
    </row>
    <row r="134" spans="1:12">
      <c r="A134" s="2" t="s">
        <v>24</v>
      </c>
      <c r="B134" s="2" t="s">
        <v>30</v>
      </c>
      <c r="C134" s="1">
        <v>7</v>
      </c>
      <c r="D134" s="2" t="s">
        <v>16</v>
      </c>
      <c r="E134" s="1">
        <v>7</v>
      </c>
      <c r="F134" s="1">
        <v>5</v>
      </c>
      <c r="G134" s="5">
        <f>IF(IF(Table4428185052[[#This Row],[Pre or Post]]="Post",1,0)+IF(ISNUMBER(Table4428185052[[#This Row],[Response]])=TRUE,1,0)=2,1,"")</f>
        <v>1</v>
      </c>
      <c r="H134" s="5">
        <f>IF(IF(Table4428185052[[#This Row],[Pre or Post]]="Post",1,0)+IF(ISNUMBER(Table4428185052[[#This Row],[Response]])=TRUE,1,0)=2,Table4428185052[[#This Row],[Response]],"")</f>
        <v>5</v>
      </c>
      <c r="I134" s="5">
        <f>IF(Table4428185052[[#This Row],[Old or New?]]="New",Table4428185052[[#This Row],[Post Total]],"")</f>
        <v>5</v>
      </c>
      <c r="J134" s="5" t="str">
        <f>IF(Table4428185052[[#This Row],[Old or New?]]="Old",Table4428185052[[#This Row],[Post Total]],"")</f>
        <v/>
      </c>
      <c r="K134" s="5" t="b">
        <f>ISNUMBER(Table4428185052[[#This Row],[New]])</f>
        <v>1</v>
      </c>
      <c r="L134" s="5" t="b">
        <f>ISNUMBER(Table4428185052[[#This Row],[Old]])</f>
        <v>0</v>
      </c>
    </row>
    <row r="135" spans="1:12">
      <c r="A135" s="2" t="s">
        <v>24</v>
      </c>
      <c r="B135" s="2" t="s">
        <v>30</v>
      </c>
      <c r="C135" s="1">
        <v>8</v>
      </c>
      <c r="D135" s="2" t="s">
        <v>16</v>
      </c>
      <c r="E135" s="1">
        <v>7</v>
      </c>
      <c r="F135" s="1">
        <v>4</v>
      </c>
      <c r="G135" s="5">
        <f>IF(IF(Table4428185052[[#This Row],[Pre or Post]]="Post",1,0)+IF(ISNUMBER(Table4428185052[[#This Row],[Response]])=TRUE,1,0)=2,1,"")</f>
        <v>1</v>
      </c>
      <c r="H135" s="5">
        <f>IF(IF(Table4428185052[[#This Row],[Pre or Post]]="Post",1,0)+IF(ISNUMBER(Table4428185052[[#This Row],[Response]])=TRUE,1,0)=2,Table4428185052[[#This Row],[Response]],"")</f>
        <v>4</v>
      </c>
      <c r="I135" s="5">
        <f>IF(Table4428185052[[#This Row],[Old or New?]]="New",Table4428185052[[#This Row],[Post Total]],"")</f>
        <v>4</v>
      </c>
      <c r="J135" s="5" t="str">
        <f>IF(Table4428185052[[#This Row],[Old or New?]]="Old",Table4428185052[[#This Row],[Post Total]],"")</f>
        <v/>
      </c>
      <c r="K135" s="5" t="b">
        <f>ISNUMBER(Table4428185052[[#This Row],[New]])</f>
        <v>1</v>
      </c>
      <c r="L135" s="5" t="b">
        <f>ISNUMBER(Table4428185052[[#This Row],[Old]])</f>
        <v>0</v>
      </c>
    </row>
    <row r="136" spans="1:12">
      <c r="A136" s="2" t="s">
        <v>24</v>
      </c>
      <c r="B136" s="2" t="s">
        <v>30</v>
      </c>
      <c r="C136" s="1">
        <v>9</v>
      </c>
      <c r="D136" s="2" t="s">
        <v>16</v>
      </c>
      <c r="E136" s="1">
        <v>7</v>
      </c>
      <c r="F136" s="1">
        <v>4</v>
      </c>
      <c r="G136" s="5">
        <f>IF(IF(Table4428185052[[#This Row],[Pre or Post]]="Post",1,0)+IF(ISNUMBER(Table4428185052[[#This Row],[Response]])=TRUE,1,0)=2,1,"")</f>
        <v>1</v>
      </c>
      <c r="H136" s="5">
        <f>IF(IF(Table4428185052[[#This Row],[Pre or Post]]="Post",1,0)+IF(ISNUMBER(Table4428185052[[#This Row],[Response]])=TRUE,1,0)=2,Table4428185052[[#This Row],[Response]],"")</f>
        <v>4</v>
      </c>
      <c r="I136" s="5">
        <f>IF(Table4428185052[[#This Row],[Old or New?]]="New",Table4428185052[[#This Row],[Post Total]],"")</f>
        <v>4</v>
      </c>
      <c r="J136" s="5" t="str">
        <f>IF(Table4428185052[[#This Row],[Old or New?]]="Old",Table4428185052[[#This Row],[Post Total]],"")</f>
        <v/>
      </c>
      <c r="K136" s="5" t="b">
        <f>ISNUMBER(Table4428185052[[#This Row],[New]])</f>
        <v>1</v>
      </c>
      <c r="L136" s="5" t="b">
        <f>ISNUMBER(Table4428185052[[#This Row],[Old]])</f>
        <v>0</v>
      </c>
    </row>
    <row r="137" spans="1:12">
      <c r="A137" s="2" t="s">
        <v>24</v>
      </c>
      <c r="B137" s="2" t="s">
        <v>30</v>
      </c>
      <c r="C137" s="1">
        <v>10</v>
      </c>
      <c r="D137" s="2" t="s">
        <v>16</v>
      </c>
      <c r="E137" s="1">
        <v>7</v>
      </c>
      <c r="F137" s="1">
        <v>4</v>
      </c>
      <c r="G137" s="5">
        <f>IF(IF(Table4428185052[[#This Row],[Pre or Post]]="Post",1,0)+IF(ISNUMBER(Table4428185052[[#This Row],[Response]])=TRUE,1,0)=2,1,"")</f>
        <v>1</v>
      </c>
      <c r="H137" s="5">
        <f>IF(IF(Table4428185052[[#This Row],[Pre or Post]]="Post",1,0)+IF(ISNUMBER(Table4428185052[[#This Row],[Response]])=TRUE,1,0)=2,Table4428185052[[#This Row],[Response]],"")</f>
        <v>4</v>
      </c>
      <c r="I137" s="5">
        <f>IF(Table4428185052[[#This Row],[Old or New?]]="New",Table4428185052[[#This Row],[Post Total]],"")</f>
        <v>4</v>
      </c>
      <c r="J137" s="5" t="str">
        <f>IF(Table4428185052[[#This Row],[Old or New?]]="Old",Table4428185052[[#This Row],[Post Total]],"")</f>
        <v/>
      </c>
      <c r="K137" s="5" t="b">
        <f>ISNUMBER(Table4428185052[[#This Row],[New]])</f>
        <v>1</v>
      </c>
      <c r="L137" s="5" t="b">
        <f>ISNUMBER(Table4428185052[[#This Row],[Old]])</f>
        <v>0</v>
      </c>
    </row>
    <row r="138" spans="1:12">
      <c r="A138" s="2" t="s">
        <v>24</v>
      </c>
      <c r="B138" s="2" t="s">
        <v>30</v>
      </c>
      <c r="C138" s="1">
        <v>11</v>
      </c>
      <c r="D138" s="2" t="s">
        <v>16</v>
      </c>
      <c r="E138" s="1">
        <v>7</v>
      </c>
      <c r="F138" s="1">
        <v>4</v>
      </c>
      <c r="G138" s="5">
        <f>IF(IF(Table4428185052[[#This Row],[Pre or Post]]="Post",1,0)+IF(ISNUMBER(Table4428185052[[#This Row],[Response]])=TRUE,1,0)=2,1,"")</f>
        <v>1</v>
      </c>
      <c r="H138" s="5">
        <f>IF(IF(Table4428185052[[#This Row],[Pre or Post]]="Post",1,0)+IF(ISNUMBER(Table4428185052[[#This Row],[Response]])=TRUE,1,0)=2,Table4428185052[[#This Row],[Response]],"")</f>
        <v>4</v>
      </c>
      <c r="I138" s="5">
        <f>IF(Table4428185052[[#This Row],[Old or New?]]="New",Table4428185052[[#This Row],[Post Total]],"")</f>
        <v>4</v>
      </c>
      <c r="J138" s="5" t="str">
        <f>IF(Table4428185052[[#This Row],[Old or New?]]="Old",Table4428185052[[#This Row],[Post Total]],"")</f>
        <v/>
      </c>
      <c r="K138" s="5" t="b">
        <f>ISNUMBER(Table4428185052[[#This Row],[New]])</f>
        <v>1</v>
      </c>
      <c r="L138" s="5" t="b">
        <f>ISNUMBER(Table4428185052[[#This Row],[Old]])</f>
        <v>0</v>
      </c>
    </row>
    <row r="139" spans="1:12">
      <c r="A139" s="2" t="s">
        <v>24</v>
      </c>
      <c r="B139" s="2" t="s">
        <v>30</v>
      </c>
      <c r="C139" s="1">
        <v>12</v>
      </c>
      <c r="D139" s="2" t="s">
        <v>16</v>
      </c>
      <c r="E139" s="1">
        <v>7</v>
      </c>
      <c r="F139" s="1">
        <v>4</v>
      </c>
      <c r="G139" s="5">
        <f>IF(IF(Table4428185052[[#This Row],[Pre or Post]]="Post",1,0)+IF(ISNUMBER(Table4428185052[[#This Row],[Response]])=TRUE,1,0)=2,1,"")</f>
        <v>1</v>
      </c>
      <c r="H139" s="5">
        <f>IF(IF(Table4428185052[[#This Row],[Pre or Post]]="Post",1,0)+IF(ISNUMBER(Table4428185052[[#This Row],[Response]])=TRUE,1,0)=2,Table4428185052[[#This Row],[Response]],"")</f>
        <v>4</v>
      </c>
      <c r="I139" s="5">
        <f>IF(Table4428185052[[#This Row],[Old or New?]]="New",Table4428185052[[#This Row],[Post Total]],"")</f>
        <v>4</v>
      </c>
      <c r="J139" s="5" t="str">
        <f>IF(Table4428185052[[#This Row],[Old or New?]]="Old",Table4428185052[[#This Row],[Post Total]],"")</f>
        <v/>
      </c>
      <c r="K139" s="5" t="b">
        <f>ISNUMBER(Table4428185052[[#This Row],[New]])</f>
        <v>1</v>
      </c>
      <c r="L139" s="5" t="b">
        <f>ISNUMBER(Table4428185052[[#This Row],[Old]])</f>
        <v>0</v>
      </c>
    </row>
    <row r="140" spans="1:12">
      <c r="A140" s="2" t="s">
        <v>24</v>
      </c>
      <c r="B140" s="2" t="s">
        <v>30</v>
      </c>
      <c r="C140" s="1">
        <v>13</v>
      </c>
      <c r="D140" s="2" t="s">
        <v>16</v>
      </c>
      <c r="E140" s="1">
        <v>7</v>
      </c>
      <c r="F140" s="1">
        <v>3</v>
      </c>
      <c r="G140" s="5">
        <f>IF(IF(Table4428185052[[#This Row],[Pre or Post]]="Post",1,0)+IF(ISNUMBER(Table4428185052[[#This Row],[Response]])=TRUE,1,0)=2,1,"")</f>
        <v>1</v>
      </c>
      <c r="H140" s="5">
        <f>IF(IF(Table4428185052[[#This Row],[Pre or Post]]="Post",1,0)+IF(ISNUMBER(Table4428185052[[#This Row],[Response]])=TRUE,1,0)=2,Table4428185052[[#This Row],[Response]],"")</f>
        <v>3</v>
      </c>
      <c r="I140" s="5">
        <f>IF(Table4428185052[[#This Row],[Old or New?]]="New",Table4428185052[[#This Row],[Post Total]],"")</f>
        <v>3</v>
      </c>
      <c r="J140" s="5" t="str">
        <f>IF(Table4428185052[[#This Row],[Old or New?]]="Old",Table4428185052[[#This Row],[Post Total]],"")</f>
        <v/>
      </c>
      <c r="K140" s="5" t="b">
        <f>ISNUMBER(Table4428185052[[#This Row],[New]])</f>
        <v>1</v>
      </c>
      <c r="L140" s="5" t="b">
        <f>ISNUMBER(Table4428185052[[#This Row],[Old]])</f>
        <v>0</v>
      </c>
    </row>
    <row r="141" spans="1:12">
      <c r="A141" s="2" t="s">
        <v>24</v>
      </c>
      <c r="B141" s="2" t="s">
        <v>30</v>
      </c>
      <c r="C141" s="1">
        <v>14</v>
      </c>
      <c r="D141" s="2" t="s">
        <v>16</v>
      </c>
      <c r="E141" s="1">
        <v>7</v>
      </c>
      <c r="F141" s="1">
        <v>2</v>
      </c>
      <c r="G141" s="5">
        <f>IF(IF(Table4428185052[[#This Row],[Pre or Post]]="Post",1,0)+IF(ISNUMBER(Table4428185052[[#This Row],[Response]])=TRUE,1,0)=2,1,"")</f>
        <v>1</v>
      </c>
      <c r="H141" s="5">
        <f>IF(IF(Table4428185052[[#This Row],[Pre or Post]]="Post",1,0)+IF(ISNUMBER(Table4428185052[[#This Row],[Response]])=TRUE,1,0)=2,Table4428185052[[#This Row],[Response]],"")</f>
        <v>2</v>
      </c>
      <c r="I141" s="5">
        <f>IF(Table4428185052[[#This Row],[Old or New?]]="New",Table4428185052[[#This Row],[Post Total]],"")</f>
        <v>2</v>
      </c>
      <c r="J141" s="5" t="str">
        <f>IF(Table4428185052[[#This Row],[Old or New?]]="Old",Table4428185052[[#This Row],[Post Total]],"")</f>
        <v/>
      </c>
      <c r="K141" s="5" t="b">
        <f>ISNUMBER(Table4428185052[[#This Row],[New]])</f>
        <v>1</v>
      </c>
      <c r="L141" s="5" t="b">
        <f>ISNUMBER(Table4428185052[[#This Row],[Old]])</f>
        <v>0</v>
      </c>
    </row>
    <row r="142" spans="1:12">
      <c r="A142" s="2" t="s">
        <v>24</v>
      </c>
      <c r="B142" s="2" t="s">
        <v>30</v>
      </c>
      <c r="C142" s="1">
        <v>15</v>
      </c>
      <c r="D142" s="2" t="s">
        <v>16</v>
      </c>
      <c r="E142" s="1">
        <v>7</v>
      </c>
      <c r="F142" s="1">
        <v>3</v>
      </c>
      <c r="G142" s="5">
        <f>IF(IF(Table4428185052[[#This Row],[Pre or Post]]="Post",1,0)+IF(ISNUMBER(Table4428185052[[#This Row],[Response]])=TRUE,1,0)=2,1,"")</f>
        <v>1</v>
      </c>
      <c r="H142" s="5">
        <f>IF(IF(Table4428185052[[#This Row],[Pre or Post]]="Post",1,0)+IF(ISNUMBER(Table4428185052[[#This Row],[Response]])=TRUE,1,0)=2,Table4428185052[[#This Row],[Response]],"")</f>
        <v>3</v>
      </c>
      <c r="I142" s="5">
        <f>IF(Table4428185052[[#This Row],[Old or New?]]="New",Table4428185052[[#This Row],[Post Total]],"")</f>
        <v>3</v>
      </c>
      <c r="J142" s="5" t="str">
        <f>IF(Table4428185052[[#This Row],[Old or New?]]="Old",Table4428185052[[#This Row],[Post Total]],"")</f>
        <v/>
      </c>
      <c r="K142" s="5" t="b">
        <f>ISNUMBER(Table4428185052[[#This Row],[New]])</f>
        <v>1</v>
      </c>
      <c r="L142" s="5" t="b">
        <f>ISNUMBER(Table4428185052[[#This Row],[Old]])</f>
        <v>0</v>
      </c>
    </row>
    <row r="143" spans="1:12">
      <c r="A143" s="2" t="s">
        <v>24</v>
      </c>
      <c r="B143" s="2" t="s">
        <v>30</v>
      </c>
      <c r="C143" s="1">
        <v>16</v>
      </c>
      <c r="D143" s="2" t="s">
        <v>16</v>
      </c>
      <c r="E143" s="1">
        <v>7</v>
      </c>
      <c r="F143" s="1">
        <v>3</v>
      </c>
      <c r="G143" s="5">
        <f>IF(IF(Table4428185052[[#This Row],[Pre or Post]]="Post",1,0)+IF(ISNUMBER(Table4428185052[[#This Row],[Response]])=TRUE,1,0)=2,1,"")</f>
        <v>1</v>
      </c>
      <c r="H143" s="5">
        <f>IF(IF(Table4428185052[[#This Row],[Pre or Post]]="Post",1,0)+IF(ISNUMBER(Table4428185052[[#This Row],[Response]])=TRUE,1,0)=2,Table4428185052[[#This Row],[Response]],"")</f>
        <v>3</v>
      </c>
      <c r="I143" s="5">
        <f>IF(Table4428185052[[#This Row],[Old or New?]]="New",Table4428185052[[#This Row],[Post Total]],"")</f>
        <v>3</v>
      </c>
      <c r="J143" s="5" t="str">
        <f>IF(Table4428185052[[#This Row],[Old or New?]]="Old",Table4428185052[[#This Row],[Post Total]],"")</f>
        <v/>
      </c>
      <c r="K143" s="5" t="b">
        <f>ISNUMBER(Table4428185052[[#This Row],[New]])</f>
        <v>1</v>
      </c>
      <c r="L143" s="5" t="b">
        <f>ISNUMBER(Table4428185052[[#This Row],[Old]])</f>
        <v>0</v>
      </c>
    </row>
    <row r="144" spans="1:12">
      <c r="A144" s="2" t="s">
        <v>24</v>
      </c>
      <c r="B144" s="2" t="s">
        <v>30</v>
      </c>
      <c r="C144" s="1">
        <v>17</v>
      </c>
      <c r="D144" s="2" t="s">
        <v>16</v>
      </c>
      <c r="E144" s="1">
        <v>7</v>
      </c>
      <c r="F144" s="1">
        <v>4</v>
      </c>
      <c r="G144" s="5">
        <f>IF(IF(Table4428185052[[#This Row],[Pre or Post]]="Post",1,0)+IF(ISNUMBER(Table4428185052[[#This Row],[Response]])=TRUE,1,0)=2,1,"")</f>
        <v>1</v>
      </c>
      <c r="H144" s="5">
        <f>IF(IF(Table4428185052[[#This Row],[Pre or Post]]="Post",1,0)+IF(ISNUMBER(Table4428185052[[#This Row],[Response]])=TRUE,1,0)=2,Table4428185052[[#This Row],[Response]],"")</f>
        <v>4</v>
      </c>
      <c r="I144" s="5">
        <f>IF(Table4428185052[[#This Row],[Old or New?]]="New",Table4428185052[[#This Row],[Post Total]],"")</f>
        <v>4</v>
      </c>
      <c r="J144" s="5" t="str">
        <f>IF(Table4428185052[[#This Row],[Old or New?]]="Old",Table4428185052[[#This Row],[Post Total]],"")</f>
        <v/>
      </c>
      <c r="K144" s="5" t="b">
        <f>ISNUMBER(Table4428185052[[#This Row],[New]])</f>
        <v>1</v>
      </c>
      <c r="L144" s="5" t="b">
        <f>ISNUMBER(Table4428185052[[#This Row],[Old]])</f>
        <v>0</v>
      </c>
    </row>
    <row r="145" spans="1:12">
      <c r="A145" s="2" t="s">
        <v>24</v>
      </c>
      <c r="B145" s="2" t="s">
        <v>30</v>
      </c>
      <c r="C145" s="1">
        <v>18</v>
      </c>
      <c r="D145" s="2" t="s">
        <v>16</v>
      </c>
      <c r="E145" s="1">
        <v>7</v>
      </c>
      <c r="F145" s="1">
        <v>3</v>
      </c>
      <c r="G145" s="5">
        <f>IF(IF(Table4428185052[[#This Row],[Pre or Post]]="Post",1,0)+IF(ISNUMBER(Table4428185052[[#This Row],[Response]])=TRUE,1,0)=2,1,"")</f>
        <v>1</v>
      </c>
      <c r="H145" s="5">
        <f>IF(IF(Table4428185052[[#This Row],[Pre or Post]]="Post",1,0)+IF(ISNUMBER(Table4428185052[[#This Row],[Response]])=TRUE,1,0)=2,Table4428185052[[#This Row],[Response]],"")</f>
        <v>3</v>
      </c>
      <c r="I145" s="5">
        <f>IF(Table4428185052[[#This Row],[Old or New?]]="New",Table4428185052[[#This Row],[Post Total]],"")</f>
        <v>3</v>
      </c>
      <c r="J145" s="5" t="str">
        <f>IF(Table4428185052[[#This Row],[Old or New?]]="Old",Table4428185052[[#This Row],[Post Total]],"")</f>
        <v/>
      </c>
      <c r="K145" s="5" t="b">
        <f>ISNUMBER(Table4428185052[[#This Row],[New]])</f>
        <v>1</v>
      </c>
      <c r="L145" s="5" t="b">
        <f>ISNUMBER(Table4428185052[[#This Row],[Old]])</f>
        <v>0</v>
      </c>
    </row>
    <row r="146" spans="1:12">
      <c r="A146" s="2" t="s">
        <v>24</v>
      </c>
      <c r="B146" s="2" t="s">
        <v>30</v>
      </c>
      <c r="C146" s="2">
        <v>19</v>
      </c>
      <c r="D146" s="2" t="s">
        <v>16</v>
      </c>
      <c r="E146" s="1">
        <v>7</v>
      </c>
      <c r="F146" s="1">
        <v>3</v>
      </c>
      <c r="G146" s="5">
        <f>IF(IF(Table4428185052[[#This Row],[Pre or Post]]="Post",1,0)+IF(ISNUMBER(Table4428185052[[#This Row],[Response]])=TRUE,1,0)=2,1,"")</f>
        <v>1</v>
      </c>
      <c r="H146" s="5">
        <f>IF(IF(Table4428185052[[#This Row],[Pre or Post]]="Post",1,0)+IF(ISNUMBER(Table4428185052[[#This Row],[Response]])=TRUE,1,0)=2,Table4428185052[[#This Row],[Response]],"")</f>
        <v>3</v>
      </c>
      <c r="I146" s="5">
        <f>IF(Table4428185052[[#This Row],[Old or New?]]="New",Table4428185052[[#This Row],[Post Total]],"")</f>
        <v>3</v>
      </c>
      <c r="J146" s="5" t="str">
        <f>IF(Table4428185052[[#This Row],[Old or New?]]="Old",Table4428185052[[#This Row],[Post Total]],"")</f>
        <v/>
      </c>
      <c r="K146" s="5" t="b">
        <f>ISNUMBER(Table4428185052[[#This Row],[New]])</f>
        <v>1</v>
      </c>
      <c r="L146" s="5" t="b">
        <f>ISNUMBER(Table4428185052[[#This Row],[Old]])</f>
        <v>0</v>
      </c>
    </row>
    <row r="147" spans="1:12">
      <c r="A147" s="2" t="s">
        <v>24</v>
      </c>
      <c r="B147" s="2" t="s">
        <v>31</v>
      </c>
      <c r="C147" s="1">
        <v>1</v>
      </c>
      <c r="D147" s="2" t="s">
        <v>16</v>
      </c>
      <c r="E147" s="1">
        <v>7</v>
      </c>
      <c r="F147" s="1">
        <v>5</v>
      </c>
      <c r="G147" s="5">
        <f>IF(IF(Table4428185052[[#This Row],[Pre or Post]]="Post",1,0)+IF(ISNUMBER(Table4428185052[[#This Row],[Response]])=TRUE,1,0)=2,1,"")</f>
        <v>1</v>
      </c>
      <c r="H147" s="5">
        <f>IF(IF(Table4428185052[[#This Row],[Pre or Post]]="Post",1,0)+IF(ISNUMBER(Table4428185052[[#This Row],[Response]])=TRUE,1,0)=2,Table4428185052[[#This Row],[Response]],"")</f>
        <v>5</v>
      </c>
      <c r="I147" s="5">
        <f>IF(Table4428185052[[#This Row],[Old or New?]]="New",Table4428185052[[#This Row],[Post Total]],"")</f>
        <v>5</v>
      </c>
      <c r="J147" s="5" t="str">
        <f>IF(Table4428185052[[#This Row],[Old or New?]]="Old",Table4428185052[[#This Row],[Post Total]],"")</f>
        <v/>
      </c>
      <c r="K147" s="5" t="b">
        <f>ISNUMBER(Table4428185052[[#This Row],[New]])</f>
        <v>1</v>
      </c>
      <c r="L147" s="5" t="b">
        <f>ISNUMBER(Table4428185052[[#This Row],[Old]])</f>
        <v>0</v>
      </c>
    </row>
    <row r="148" spans="1:12">
      <c r="A148" s="2" t="s">
        <v>24</v>
      </c>
      <c r="B148" s="2" t="s">
        <v>31</v>
      </c>
      <c r="C148" s="1">
        <v>2</v>
      </c>
      <c r="D148" s="2" t="s">
        <v>16</v>
      </c>
      <c r="E148" s="1">
        <v>7</v>
      </c>
      <c r="F148" s="1">
        <v>5</v>
      </c>
      <c r="G148" s="5">
        <f>IF(IF(Table4428185052[[#This Row],[Pre or Post]]="Post",1,0)+IF(ISNUMBER(Table4428185052[[#This Row],[Response]])=TRUE,1,0)=2,1,"")</f>
        <v>1</v>
      </c>
      <c r="H148" s="5">
        <f>IF(IF(Table4428185052[[#This Row],[Pre or Post]]="Post",1,0)+IF(ISNUMBER(Table4428185052[[#This Row],[Response]])=TRUE,1,0)=2,Table4428185052[[#This Row],[Response]],"")</f>
        <v>5</v>
      </c>
      <c r="I148" s="5">
        <f>IF(Table4428185052[[#This Row],[Old or New?]]="New",Table4428185052[[#This Row],[Post Total]],"")</f>
        <v>5</v>
      </c>
      <c r="J148" s="5" t="str">
        <f>IF(Table4428185052[[#This Row],[Old or New?]]="Old",Table4428185052[[#This Row],[Post Total]],"")</f>
        <v/>
      </c>
      <c r="K148" s="5" t="b">
        <f>ISNUMBER(Table4428185052[[#This Row],[New]])</f>
        <v>1</v>
      </c>
      <c r="L148" s="5" t="b">
        <f>ISNUMBER(Table4428185052[[#This Row],[Old]])</f>
        <v>0</v>
      </c>
    </row>
    <row r="149" spans="1:12">
      <c r="A149" s="2" t="s">
        <v>24</v>
      </c>
      <c r="B149" s="2" t="s">
        <v>31</v>
      </c>
      <c r="C149" s="1">
        <v>3</v>
      </c>
      <c r="D149" s="2" t="s">
        <v>16</v>
      </c>
      <c r="E149" s="1">
        <v>7</v>
      </c>
      <c r="F149" s="1">
        <v>3</v>
      </c>
      <c r="G149" s="5">
        <f>IF(IF(Table4428185052[[#This Row],[Pre or Post]]="Post",1,0)+IF(ISNUMBER(Table4428185052[[#This Row],[Response]])=TRUE,1,0)=2,1,"")</f>
        <v>1</v>
      </c>
      <c r="H149" s="5">
        <f>IF(IF(Table4428185052[[#This Row],[Pre or Post]]="Post",1,0)+IF(ISNUMBER(Table4428185052[[#This Row],[Response]])=TRUE,1,0)=2,Table4428185052[[#This Row],[Response]],"")</f>
        <v>3</v>
      </c>
      <c r="I149" s="5">
        <f>IF(Table4428185052[[#This Row],[Old or New?]]="New",Table4428185052[[#This Row],[Post Total]],"")</f>
        <v>3</v>
      </c>
      <c r="J149" s="5" t="str">
        <f>IF(Table4428185052[[#This Row],[Old or New?]]="Old",Table4428185052[[#This Row],[Post Total]],"")</f>
        <v/>
      </c>
      <c r="K149" s="5" t="b">
        <f>ISNUMBER(Table4428185052[[#This Row],[New]])</f>
        <v>1</v>
      </c>
      <c r="L149" s="5" t="b">
        <f>ISNUMBER(Table4428185052[[#This Row],[Old]])</f>
        <v>0</v>
      </c>
    </row>
    <row r="150" spans="1:12">
      <c r="A150" s="2" t="s">
        <v>24</v>
      </c>
      <c r="B150" s="2" t="s">
        <v>31</v>
      </c>
      <c r="C150" s="1">
        <v>4</v>
      </c>
      <c r="D150" s="2" t="s">
        <v>16</v>
      </c>
      <c r="E150" s="1">
        <v>7</v>
      </c>
      <c r="F150" s="1">
        <v>3</v>
      </c>
      <c r="G150" s="5">
        <f>IF(IF(Table4428185052[[#This Row],[Pre or Post]]="Post",1,0)+IF(ISNUMBER(Table4428185052[[#This Row],[Response]])=TRUE,1,0)=2,1,"")</f>
        <v>1</v>
      </c>
      <c r="H150" s="5">
        <f>IF(IF(Table4428185052[[#This Row],[Pre or Post]]="Post",1,0)+IF(ISNUMBER(Table4428185052[[#This Row],[Response]])=TRUE,1,0)=2,Table4428185052[[#This Row],[Response]],"")</f>
        <v>3</v>
      </c>
      <c r="I150" s="5">
        <f>IF(Table4428185052[[#This Row],[Old or New?]]="New",Table4428185052[[#This Row],[Post Total]],"")</f>
        <v>3</v>
      </c>
      <c r="J150" s="5" t="str">
        <f>IF(Table4428185052[[#This Row],[Old or New?]]="Old",Table4428185052[[#This Row],[Post Total]],"")</f>
        <v/>
      </c>
      <c r="K150" s="5" t="b">
        <f>ISNUMBER(Table4428185052[[#This Row],[New]])</f>
        <v>1</v>
      </c>
      <c r="L150" s="5" t="b">
        <f>ISNUMBER(Table4428185052[[#This Row],[Old]])</f>
        <v>0</v>
      </c>
    </row>
    <row r="151" spans="1:12">
      <c r="A151" s="2" t="s">
        <v>24</v>
      </c>
      <c r="B151" s="2" t="s">
        <v>31</v>
      </c>
      <c r="C151" s="1">
        <v>5</v>
      </c>
      <c r="D151" s="2" t="s">
        <v>16</v>
      </c>
      <c r="E151" s="1">
        <v>7</v>
      </c>
      <c r="F151" s="1">
        <v>3</v>
      </c>
      <c r="G151" s="5">
        <f>IF(IF(Table4428185052[[#This Row],[Pre or Post]]="Post",1,0)+IF(ISNUMBER(Table4428185052[[#This Row],[Response]])=TRUE,1,0)=2,1,"")</f>
        <v>1</v>
      </c>
      <c r="H151" s="5">
        <f>IF(IF(Table4428185052[[#This Row],[Pre or Post]]="Post",1,0)+IF(ISNUMBER(Table4428185052[[#This Row],[Response]])=TRUE,1,0)=2,Table4428185052[[#This Row],[Response]],"")</f>
        <v>3</v>
      </c>
      <c r="I151" s="5">
        <f>IF(Table4428185052[[#This Row],[Old or New?]]="New",Table4428185052[[#This Row],[Post Total]],"")</f>
        <v>3</v>
      </c>
      <c r="J151" s="5" t="str">
        <f>IF(Table4428185052[[#This Row],[Old or New?]]="Old",Table4428185052[[#This Row],[Post Total]],"")</f>
        <v/>
      </c>
      <c r="K151" s="5" t="b">
        <f>ISNUMBER(Table4428185052[[#This Row],[New]])</f>
        <v>1</v>
      </c>
      <c r="L151" s="5" t="b">
        <f>ISNUMBER(Table4428185052[[#This Row],[Old]])</f>
        <v>0</v>
      </c>
    </row>
    <row r="152" spans="1:12">
      <c r="A152" s="2" t="s">
        <v>24</v>
      </c>
      <c r="B152" s="2" t="s">
        <v>31</v>
      </c>
      <c r="C152" s="1">
        <v>6</v>
      </c>
      <c r="D152" s="2" t="s">
        <v>16</v>
      </c>
      <c r="E152" s="1">
        <v>7</v>
      </c>
      <c r="F152" s="1">
        <v>2</v>
      </c>
      <c r="G152" s="5">
        <f>IF(IF(Table4428185052[[#This Row],[Pre or Post]]="Post",1,0)+IF(ISNUMBER(Table4428185052[[#This Row],[Response]])=TRUE,1,0)=2,1,"")</f>
        <v>1</v>
      </c>
      <c r="H152" s="5">
        <f>IF(IF(Table4428185052[[#This Row],[Pre or Post]]="Post",1,0)+IF(ISNUMBER(Table4428185052[[#This Row],[Response]])=TRUE,1,0)=2,Table4428185052[[#This Row],[Response]],"")</f>
        <v>2</v>
      </c>
      <c r="I152" s="5">
        <f>IF(Table4428185052[[#This Row],[Old or New?]]="New",Table4428185052[[#This Row],[Post Total]],"")</f>
        <v>2</v>
      </c>
      <c r="J152" s="5" t="str">
        <f>IF(Table4428185052[[#This Row],[Old or New?]]="Old",Table4428185052[[#This Row],[Post Total]],"")</f>
        <v/>
      </c>
      <c r="K152" s="5" t="b">
        <f>ISNUMBER(Table4428185052[[#This Row],[New]])</f>
        <v>1</v>
      </c>
      <c r="L152" s="5" t="b">
        <f>ISNUMBER(Table4428185052[[#This Row],[Old]])</f>
        <v>0</v>
      </c>
    </row>
    <row r="153" spans="1:12">
      <c r="A153" s="2" t="s">
        <v>24</v>
      </c>
      <c r="B153" s="2" t="s">
        <v>31</v>
      </c>
      <c r="C153" s="1">
        <v>7</v>
      </c>
      <c r="D153" s="2" t="s">
        <v>16</v>
      </c>
      <c r="E153" s="1">
        <v>7</v>
      </c>
      <c r="F153" s="1">
        <v>5</v>
      </c>
      <c r="G153" s="5">
        <f>IF(IF(Table4428185052[[#This Row],[Pre or Post]]="Post",1,0)+IF(ISNUMBER(Table4428185052[[#This Row],[Response]])=TRUE,1,0)=2,1,"")</f>
        <v>1</v>
      </c>
      <c r="H153" s="5">
        <f>IF(IF(Table4428185052[[#This Row],[Pre or Post]]="Post",1,0)+IF(ISNUMBER(Table4428185052[[#This Row],[Response]])=TRUE,1,0)=2,Table4428185052[[#This Row],[Response]],"")</f>
        <v>5</v>
      </c>
      <c r="I153" s="5">
        <f>IF(Table4428185052[[#This Row],[Old or New?]]="New",Table4428185052[[#This Row],[Post Total]],"")</f>
        <v>5</v>
      </c>
      <c r="J153" s="5" t="str">
        <f>IF(Table4428185052[[#This Row],[Old or New?]]="Old",Table4428185052[[#This Row],[Post Total]],"")</f>
        <v/>
      </c>
      <c r="K153" s="5" t="b">
        <f>ISNUMBER(Table4428185052[[#This Row],[New]])</f>
        <v>1</v>
      </c>
      <c r="L153" s="5" t="b">
        <f>ISNUMBER(Table4428185052[[#This Row],[Old]])</f>
        <v>0</v>
      </c>
    </row>
    <row r="154" spans="1:12">
      <c r="A154" s="2" t="s">
        <v>24</v>
      </c>
      <c r="B154" s="2" t="s">
        <v>31</v>
      </c>
      <c r="C154" s="1">
        <v>8</v>
      </c>
      <c r="D154" s="2" t="s">
        <v>16</v>
      </c>
      <c r="E154" s="1">
        <v>7</v>
      </c>
      <c r="F154" s="1">
        <v>3</v>
      </c>
      <c r="G154" s="5">
        <f>IF(IF(Table4428185052[[#This Row],[Pre or Post]]="Post",1,0)+IF(ISNUMBER(Table4428185052[[#This Row],[Response]])=TRUE,1,0)=2,1,"")</f>
        <v>1</v>
      </c>
      <c r="H154" s="5">
        <f>IF(IF(Table4428185052[[#This Row],[Pre or Post]]="Post",1,0)+IF(ISNUMBER(Table4428185052[[#This Row],[Response]])=TRUE,1,0)=2,Table4428185052[[#This Row],[Response]],"")</f>
        <v>3</v>
      </c>
      <c r="I154" s="5">
        <f>IF(Table4428185052[[#This Row],[Old or New?]]="New",Table4428185052[[#This Row],[Post Total]],"")</f>
        <v>3</v>
      </c>
      <c r="J154" s="5" t="str">
        <f>IF(Table4428185052[[#This Row],[Old or New?]]="Old",Table4428185052[[#This Row],[Post Total]],"")</f>
        <v/>
      </c>
      <c r="K154" s="5" t="b">
        <f>ISNUMBER(Table4428185052[[#This Row],[New]])</f>
        <v>1</v>
      </c>
      <c r="L154" s="5" t="b">
        <f>ISNUMBER(Table4428185052[[#This Row],[Old]])</f>
        <v>0</v>
      </c>
    </row>
    <row r="155" spans="1:12">
      <c r="A155" s="2" t="s">
        <v>24</v>
      </c>
      <c r="B155" s="2" t="s">
        <v>31</v>
      </c>
      <c r="C155" s="1">
        <v>9</v>
      </c>
      <c r="D155" s="2" t="s">
        <v>16</v>
      </c>
      <c r="E155" s="1">
        <v>7</v>
      </c>
      <c r="F155" s="1">
        <v>5</v>
      </c>
      <c r="G155" s="5">
        <f>IF(IF(Table4428185052[[#This Row],[Pre or Post]]="Post",1,0)+IF(ISNUMBER(Table4428185052[[#This Row],[Response]])=TRUE,1,0)=2,1,"")</f>
        <v>1</v>
      </c>
      <c r="H155" s="5">
        <f>IF(IF(Table4428185052[[#This Row],[Pre or Post]]="Post",1,0)+IF(ISNUMBER(Table4428185052[[#This Row],[Response]])=TRUE,1,0)=2,Table4428185052[[#This Row],[Response]],"")</f>
        <v>5</v>
      </c>
      <c r="I155" s="5">
        <f>IF(Table4428185052[[#This Row],[Old or New?]]="New",Table4428185052[[#This Row],[Post Total]],"")</f>
        <v>5</v>
      </c>
      <c r="J155" s="5" t="str">
        <f>IF(Table4428185052[[#This Row],[Old or New?]]="Old",Table4428185052[[#This Row],[Post Total]],"")</f>
        <v/>
      </c>
      <c r="K155" s="5" t="b">
        <f>ISNUMBER(Table4428185052[[#This Row],[New]])</f>
        <v>1</v>
      </c>
      <c r="L155" s="5" t="b">
        <f>ISNUMBER(Table4428185052[[#This Row],[Old]])</f>
        <v>0</v>
      </c>
    </row>
    <row r="156" spans="1:12">
      <c r="A156" s="2" t="s">
        <v>24</v>
      </c>
      <c r="B156" s="2" t="s">
        <v>31</v>
      </c>
      <c r="C156" s="1">
        <v>10</v>
      </c>
      <c r="D156" s="2" t="s">
        <v>16</v>
      </c>
      <c r="E156" s="1">
        <v>7</v>
      </c>
      <c r="F156" s="1">
        <v>3</v>
      </c>
      <c r="G156" s="5">
        <f>IF(IF(Table4428185052[[#This Row],[Pre or Post]]="Post",1,0)+IF(ISNUMBER(Table4428185052[[#This Row],[Response]])=TRUE,1,0)=2,1,"")</f>
        <v>1</v>
      </c>
      <c r="H156" s="5">
        <f>IF(IF(Table4428185052[[#This Row],[Pre or Post]]="Post",1,0)+IF(ISNUMBER(Table4428185052[[#This Row],[Response]])=TRUE,1,0)=2,Table4428185052[[#This Row],[Response]],"")</f>
        <v>3</v>
      </c>
      <c r="I156" s="5">
        <f>IF(Table4428185052[[#This Row],[Old or New?]]="New",Table4428185052[[#This Row],[Post Total]],"")</f>
        <v>3</v>
      </c>
      <c r="J156" s="5" t="str">
        <f>IF(Table4428185052[[#This Row],[Old or New?]]="Old",Table4428185052[[#This Row],[Post Total]],"")</f>
        <v/>
      </c>
      <c r="K156" s="5" t="b">
        <f>ISNUMBER(Table4428185052[[#This Row],[New]])</f>
        <v>1</v>
      </c>
      <c r="L156" s="5" t="b">
        <f>ISNUMBER(Table4428185052[[#This Row],[Old]])</f>
        <v>0</v>
      </c>
    </row>
    <row r="157" spans="1:12">
      <c r="A157" s="2" t="s">
        <v>24</v>
      </c>
      <c r="B157" s="2" t="s">
        <v>31</v>
      </c>
      <c r="C157" s="1">
        <v>11</v>
      </c>
      <c r="D157" s="2" t="s">
        <v>16</v>
      </c>
      <c r="E157" s="1">
        <v>7</v>
      </c>
      <c r="G157" s="5" t="str">
        <f>IF(IF(Table4428185052[[#This Row],[Pre or Post]]="Post",1,0)+IF(ISNUMBER(Table4428185052[[#This Row],[Response]])=TRUE,1,0)=2,1,"")</f>
        <v/>
      </c>
      <c r="H157" s="5" t="str">
        <f>IF(IF(Table4428185052[[#This Row],[Pre or Post]]="Post",1,0)+IF(ISNUMBER(Table4428185052[[#This Row],[Response]])=TRUE,1,0)=2,Table4428185052[[#This Row],[Response]],"")</f>
        <v/>
      </c>
      <c r="I157" s="5" t="str">
        <f>IF(Table4428185052[[#This Row],[Old or New?]]="New",Table4428185052[[#This Row],[Post Total]],"")</f>
        <v/>
      </c>
      <c r="J157" s="5" t="str">
        <f>IF(Table4428185052[[#This Row],[Old or New?]]="Old",Table4428185052[[#This Row],[Post Total]],"")</f>
        <v/>
      </c>
      <c r="K157" s="5" t="b">
        <f>ISNUMBER(Table4428185052[[#This Row],[New]])</f>
        <v>0</v>
      </c>
      <c r="L157" s="5" t="b">
        <f>ISNUMBER(Table4428185052[[#This Row],[Old]])</f>
        <v>0</v>
      </c>
    </row>
    <row r="158" spans="1:12">
      <c r="A158" s="2" t="s">
        <v>24</v>
      </c>
      <c r="B158" s="2" t="s">
        <v>31</v>
      </c>
      <c r="C158" s="1">
        <v>12</v>
      </c>
      <c r="D158" s="2" t="s">
        <v>16</v>
      </c>
      <c r="E158" s="1">
        <v>7</v>
      </c>
      <c r="F158" s="1">
        <v>5</v>
      </c>
      <c r="G158" s="5">
        <f>IF(IF(Table4428185052[[#This Row],[Pre or Post]]="Post",1,0)+IF(ISNUMBER(Table4428185052[[#This Row],[Response]])=TRUE,1,0)=2,1,"")</f>
        <v>1</v>
      </c>
      <c r="H158" s="5">
        <f>IF(IF(Table4428185052[[#This Row],[Pre or Post]]="Post",1,0)+IF(ISNUMBER(Table4428185052[[#This Row],[Response]])=TRUE,1,0)=2,Table4428185052[[#This Row],[Response]],"")</f>
        <v>5</v>
      </c>
      <c r="I158" s="5">
        <f>IF(Table4428185052[[#This Row],[Old or New?]]="New",Table4428185052[[#This Row],[Post Total]],"")</f>
        <v>5</v>
      </c>
      <c r="J158" s="5" t="str">
        <f>IF(Table4428185052[[#This Row],[Old or New?]]="Old",Table4428185052[[#This Row],[Post Total]],"")</f>
        <v/>
      </c>
      <c r="K158" s="5" t="b">
        <f>ISNUMBER(Table4428185052[[#This Row],[New]])</f>
        <v>1</v>
      </c>
      <c r="L158" s="5" t="b">
        <f>ISNUMBER(Table4428185052[[#This Row],[Old]])</f>
        <v>0</v>
      </c>
    </row>
    <row r="159" spans="1:12">
      <c r="A159" s="2" t="s">
        <v>24</v>
      </c>
      <c r="B159" s="2" t="s">
        <v>31</v>
      </c>
      <c r="C159" s="1">
        <v>13</v>
      </c>
      <c r="D159" s="2" t="s">
        <v>16</v>
      </c>
      <c r="E159" s="1">
        <v>7</v>
      </c>
      <c r="G159" s="5" t="str">
        <f>IF(IF(Table4428185052[[#This Row],[Pre or Post]]="Post",1,0)+IF(ISNUMBER(Table4428185052[[#This Row],[Response]])=TRUE,1,0)=2,1,"")</f>
        <v/>
      </c>
      <c r="H159" s="5" t="str">
        <f>IF(IF(Table4428185052[[#This Row],[Pre or Post]]="Post",1,0)+IF(ISNUMBER(Table4428185052[[#This Row],[Response]])=TRUE,1,0)=2,Table4428185052[[#This Row],[Response]],"")</f>
        <v/>
      </c>
      <c r="I159" s="5" t="str">
        <f>IF(Table4428185052[[#This Row],[Old or New?]]="New",Table4428185052[[#This Row],[Post Total]],"")</f>
        <v/>
      </c>
      <c r="J159" s="5" t="str">
        <f>IF(Table4428185052[[#This Row],[Old or New?]]="Old",Table4428185052[[#This Row],[Post Total]],"")</f>
        <v/>
      </c>
      <c r="K159" s="5" t="b">
        <f>ISNUMBER(Table4428185052[[#This Row],[New]])</f>
        <v>0</v>
      </c>
      <c r="L159" s="5" t="b">
        <f>ISNUMBER(Table4428185052[[#This Row],[Old]])</f>
        <v>0</v>
      </c>
    </row>
    <row r="160" spans="1:12">
      <c r="A160" s="2" t="s">
        <v>24</v>
      </c>
      <c r="B160" s="2" t="s">
        <v>31</v>
      </c>
      <c r="C160" s="1">
        <v>14</v>
      </c>
      <c r="D160" s="2" t="s">
        <v>16</v>
      </c>
      <c r="E160" s="1">
        <v>7</v>
      </c>
      <c r="F160" s="1">
        <v>3</v>
      </c>
      <c r="G160" s="5">
        <f>IF(IF(Table4428185052[[#This Row],[Pre or Post]]="Post",1,0)+IF(ISNUMBER(Table4428185052[[#This Row],[Response]])=TRUE,1,0)=2,1,"")</f>
        <v>1</v>
      </c>
      <c r="H160" s="5">
        <f>IF(IF(Table4428185052[[#This Row],[Pre or Post]]="Post",1,0)+IF(ISNUMBER(Table4428185052[[#This Row],[Response]])=TRUE,1,0)=2,Table4428185052[[#This Row],[Response]],"")</f>
        <v>3</v>
      </c>
      <c r="I160" s="5">
        <f>IF(Table4428185052[[#This Row],[Old or New?]]="New",Table4428185052[[#This Row],[Post Total]],"")</f>
        <v>3</v>
      </c>
      <c r="J160" s="5" t="str">
        <f>IF(Table4428185052[[#This Row],[Old or New?]]="Old",Table4428185052[[#This Row],[Post Total]],"")</f>
        <v/>
      </c>
      <c r="K160" s="5" t="b">
        <f>ISNUMBER(Table4428185052[[#This Row],[New]])</f>
        <v>1</v>
      </c>
      <c r="L160" s="5" t="b">
        <f>ISNUMBER(Table4428185052[[#This Row],[Old]])</f>
        <v>0</v>
      </c>
    </row>
    <row r="161" spans="1:14">
      <c r="A161" s="2" t="s">
        <v>24</v>
      </c>
      <c r="B161" s="2" t="s">
        <v>31</v>
      </c>
      <c r="C161" s="1">
        <v>15</v>
      </c>
      <c r="D161" s="2" t="s">
        <v>16</v>
      </c>
      <c r="E161" s="1">
        <v>7</v>
      </c>
      <c r="F161" s="1">
        <v>5</v>
      </c>
      <c r="G161" s="5">
        <f>IF(IF(Table4428185052[[#This Row],[Pre or Post]]="Post",1,0)+IF(ISNUMBER(Table4428185052[[#This Row],[Response]])=TRUE,1,0)=2,1,"")</f>
        <v>1</v>
      </c>
      <c r="H161" s="5">
        <f>IF(IF(Table4428185052[[#This Row],[Pre or Post]]="Post",1,0)+IF(ISNUMBER(Table4428185052[[#This Row],[Response]])=TRUE,1,0)=2,Table4428185052[[#This Row],[Response]],"")</f>
        <v>5</v>
      </c>
      <c r="I161" s="5">
        <f>IF(Table4428185052[[#This Row],[Old or New?]]="New",Table4428185052[[#This Row],[Post Total]],"")</f>
        <v>5</v>
      </c>
      <c r="J161" s="5" t="str">
        <f>IF(Table4428185052[[#This Row],[Old or New?]]="Old",Table4428185052[[#This Row],[Post Total]],"")</f>
        <v/>
      </c>
      <c r="K161" s="5" t="b">
        <f>ISNUMBER(Table4428185052[[#This Row],[New]])</f>
        <v>1</v>
      </c>
      <c r="L161" s="5" t="b">
        <f>ISNUMBER(Table4428185052[[#This Row],[Old]])</f>
        <v>0</v>
      </c>
    </row>
    <row r="162" spans="1:14">
      <c r="A162" s="2"/>
      <c r="B162" s="2"/>
      <c r="C162" s="2"/>
      <c r="D162" s="2"/>
      <c r="E162" s="2"/>
      <c r="F162" s="2">
        <f>SUM([Response])</f>
        <v>547</v>
      </c>
      <c r="G162" s="6">
        <f>SUM([Answered?])</f>
        <v>152</v>
      </c>
      <c r="H162" s="2">
        <f>SUM([Post Total])</f>
        <v>547</v>
      </c>
      <c r="I162" s="2">
        <f>SUM([New])</f>
        <v>324</v>
      </c>
      <c r="J162" s="2">
        <f>SUM([Old])</f>
        <v>223</v>
      </c>
      <c r="K162" s="2">
        <f>COUNTIF([Count New],"TRUE")</f>
        <v>94</v>
      </c>
      <c r="L162" s="2">
        <f>COUNTIF([Count Old],"TRUE")</f>
        <v>58</v>
      </c>
    </row>
    <row r="163" spans="1:14">
      <c r="A163" s="2"/>
      <c r="B163" s="2"/>
      <c r="C163" s="2"/>
      <c r="D163" s="2"/>
      <c r="E163" s="2"/>
      <c r="F163" s="2"/>
      <c r="G163" s="6"/>
      <c r="H163" s="2"/>
      <c r="I163" s="2"/>
      <c r="J163" s="2"/>
    </row>
    <row r="164" spans="1:14" ht="30">
      <c r="A164" s="16" t="s">
        <v>4</v>
      </c>
      <c r="B164" s="16" t="s">
        <v>36</v>
      </c>
      <c r="C164" s="16" t="s">
        <v>37</v>
      </c>
      <c r="D164" s="16" t="s">
        <v>68</v>
      </c>
      <c r="E164" s="16" t="s">
        <v>69</v>
      </c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>
      <c r="A165" s="1" t="s">
        <v>16</v>
      </c>
      <c r="B165" s="1">
        <f>COUNTIF(Table4428185052[Pre or Post],"Post")</f>
        <v>160</v>
      </c>
      <c r="C165" s="1">
        <f>Table4428185052[[#Totals],[Answered?]]</f>
        <v>152</v>
      </c>
      <c r="D165" s="1">
        <f>Table4428185052[[#Totals],[Post Total]]/Table51229195156[[#This Row],[Total Answers]]</f>
        <v>3.5986842105263159</v>
      </c>
      <c r="E165" s="1">
        <f>STDEV(Table4428185052[Post Total])</f>
        <v>1.0812052902890557</v>
      </c>
    </row>
    <row r="167" spans="1:14" ht="30">
      <c r="A167" s="16" t="s">
        <v>135</v>
      </c>
      <c r="B167" s="16" t="s">
        <v>36</v>
      </c>
      <c r="C167" s="16" t="s">
        <v>37</v>
      </c>
      <c r="D167" s="16" t="s">
        <v>68</v>
      </c>
      <c r="E167" s="16" t="s">
        <v>69</v>
      </c>
    </row>
    <row r="168" spans="1:14">
      <c r="A168" s="1" t="s">
        <v>24</v>
      </c>
      <c r="B168" s="1">
        <f>COUNTIF(Table4428185052[Old or New?],"New")</f>
        <v>96</v>
      </c>
      <c r="C168" s="1">
        <f>Table4428185052[[#Totals],[Count New]]</f>
        <v>94</v>
      </c>
      <c r="D168" s="1">
        <f>Table4428185052[[#Totals],[New]]/[Total Answers]</f>
        <v>3.4468085106382977</v>
      </c>
      <c r="E168" s="1">
        <f>STDEV(Table4428185052[New])</f>
        <v>1.0329727564779798</v>
      </c>
    </row>
    <row r="169" spans="1:14">
      <c r="A169" s="2" t="s">
        <v>12</v>
      </c>
      <c r="B169" s="2">
        <f>COUNTIF(Table4428185052[Old or New?],"Old")</f>
        <v>64</v>
      </c>
      <c r="C169" s="2">
        <f>Table4428185052[[#Totals],[Count Old]]</f>
        <v>58</v>
      </c>
      <c r="D169" s="2">
        <f>Table4428185052[[#Totals],[Old]]/Table5122919515357[[#This Row],[Total Answers]]</f>
        <v>3.8448275862068964</v>
      </c>
      <c r="E169" s="2">
        <f>STDEV(Table4428185052[Old])</f>
        <v>1.120803661193587</v>
      </c>
    </row>
    <row r="171" spans="1:14">
      <c r="A171" s="1" t="s">
        <v>138</v>
      </c>
      <c r="B171" s="30" t="s">
        <v>157</v>
      </c>
      <c r="C171" s="30"/>
      <c r="D171" s="30"/>
      <c r="E171" s="30"/>
      <c r="F171" s="30"/>
    </row>
    <row r="172" spans="1:14">
      <c r="A172" s="1" t="s">
        <v>156</v>
      </c>
    </row>
  </sheetData>
  <mergeCells count="1">
    <mergeCell ref="B171:F171"/>
  </mergeCells>
  <conditionalFormatting sqref="F2:F161">
    <cfRule type="cellIs" dxfId="548" priority="1" operator="equal">
      <formula>"No"</formula>
    </cfRule>
    <cfRule type="cellIs" dxfId="547" priority="2" operator="equal">
      <formula>"Yes"</formula>
    </cfRule>
  </conditionalFormatting>
  <pageMargins left="0.7" right="0.7" top="0.75" bottom="0.75" header="0.3" footer="0.3"/>
  <pageSetup scale="27" orientation="portrait" horizontalDpi="300" verticalDpi="300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N172"/>
  <sheetViews>
    <sheetView workbookViewId="0">
      <pane ySplit="1" topLeftCell="A131" activePane="bottomLeft" state="frozen"/>
      <selection activeCell="E37" sqref="E37"/>
      <selection pane="bottomLeft" activeCell="A164" sqref="A164:E172"/>
    </sheetView>
  </sheetViews>
  <sheetFormatPr defaultColWidth="16.7109375" defaultRowHeight="15"/>
  <cols>
    <col min="1" max="16384" width="16.7109375" style="1"/>
  </cols>
  <sheetData>
    <row r="1" spans="1:12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35</v>
      </c>
      <c r="H1" s="1" t="s">
        <v>67</v>
      </c>
      <c r="I1" s="1" t="s">
        <v>24</v>
      </c>
      <c r="J1" s="1" t="s">
        <v>12</v>
      </c>
      <c r="K1" s="1" t="s">
        <v>136</v>
      </c>
      <c r="L1" s="1" t="s">
        <v>137</v>
      </c>
    </row>
    <row r="2" spans="1:12">
      <c r="A2" s="1" t="s">
        <v>12</v>
      </c>
      <c r="B2" s="1" t="s">
        <v>10</v>
      </c>
      <c r="C2" s="1">
        <v>1</v>
      </c>
      <c r="D2" s="1" t="s">
        <v>16</v>
      </c>
      <c r="E2" s="1">
        <v>5</v>
      </c>
      <c r="F2" s="1">
        <v>4</v>
      </c>
      <c r="G2" s="5">
        <f>IF(IF(Table442818505258[[#This Row],[Pre or Post]]="Post",1,0)+IF(ISNUMBER(Table442818505258[[#This Row],[Response]])=TRUE,1,0)=2,1,"")</f>
        <v>1</v>
      </c>
      <c r="H2" s="5">
        <f>IF(IF(Table442818505258[[#This Row],[Pre or Post]]="Post",1,0)+IF(ISNUMBER(Table442818505258[[#This Row],[Response]])=TRUE,1,0)=2,Table442818505258[[#This Row],[Response]],"")</f>
        <v>4</v>
      </c>
      <c r="I2" s="5" t="str">
        <f>IF(Table442818505258[[#This Row],[Old or New?]]="New",Table442818505258[[#This Row],[Post Total]],"")</f>
        <v/>
      </c>
      <c r="J2" s="5">
        <f>IF(Table442818505258[[#This Row],[Old or New?]]="Old",Table442818505258[[#This Row],[Post Total]],"")</f>
        <v>4</v>
      </c>
      <c r="K2" s="5" t="b">
        <f>ISNUMBER(Table442818505258[[#This Row],[New]])</f>
        <v>0</v>
      </c>
      <c r="L2" s="5" t="b">
        <f>ISNUMBER(Table442818505258[[#This Row],[Old]])</f>
        <v>1</v>
      </c>
    </row>
    <row r="3" spans="1:12">
      <c r="A3" s="1" t="s">
        <v>12</v>
      </c>
      <c r="B3" s="1" t="s">
        <v>10</v>
      </c>
      <c r="C3" s="1">
        <v>2</v>
      </c>
      <c r="D3" s="1" t="s">
        <v>16</v>
      </c>
      <c r="E3" s="1">
        <v>5</v>
      </c>
      <c r="F3" s="1">
        <v>3</v>
      </c>
      <c r="G3" s="5">
        <f>IF(IF(Table442818505258[[#This Row],[Pre or Post]]="Post",1,0)+IF(ISNUMBER(Table442818505258[[#This Row],[Response]])=TRUE,1,0)=2,1,"")</f>
        <v>1</v>
      </c>
      <c r="H3" s="5">
        <f>IF(IF(Table442818505258[[#This Row],[Pre or Post]]="Post",1,0)+IF(ISNUMBER(Table442818505258[[#This Row],[Response]])=TRUE,1,0)=2,Table442818505258[[#This Row],[Response]],"")</f>
        <v>3</v>
      </c>
      <c r="I3" s="5" t="str">
        <f>IF(Table442818505258[[#This Row],[Old or New?]]="New",Table442818505258[[#This Row],[Post Total]],"")</f>
        <v/>
      </c>
      <c r="J3" s="5">
        <f>IF(Table442818505258[[#This Row],[Old or New?]]="Old",Table442818505258[[#This Row],[Post Total]],"")</f>
        <v>3</v>
      </c>
      <c r="K3" s="5" t="b">
        <f>ISNUMBER(Table442818505258[[#This Row],[New]])</f>
        <v>0</v>
      </c>
      <c r="L3" s="5" t="b">
        <f>ISNUMBER(Table442818505258[[#This Row],[Old]])</f>
        <v>1</v>
      </c>
    </row>
    <row r="4" spans="1:12">
      <c r="A4" s="1" t="s">
        <v>12</v>
      </c>
      <c r="B4" s="1" t="s">
        <v>10</v>
      </c>
      <c r="C4" s="1">
        <v>3</v>
      </c>
      <c r="D4" s="1" t="s">
        <v>16</v>
      </c>
      <c r="E4" s="1">
        <v>5</v>
      </c>
      <c r="F4" s="1">
        <v>5</v>
      </c>
      <c r="G4" s="5">
        <f>IF(IF(Table442818505258[[#This Row],[Pre or Post]]="Post",1,0)+IF(ISNUMBER(Table442818505258[[#This Row],[Response]])=TRUE,1,0)=2,1,"")</f>
        <v>1</v>
      </c>
      <c r="H4" s="5">
        <f>IF(IF(Table442818505258[[#This Row],[Pre or Post]]="Post",1,0)+IF(ISNUMBER(Table442818505258[[#This Row],[Response]])=TRUE,1,0)=2,Table442818505258[[#This Row],[Response]],"")</f>
        <v>5</v>
      </c>
      <c r="I4" s="5" t="str">
        <f>IF(Table442818505258[[#This Row],[Old or New?]]="New",Table442818505258[[#This Row],[Post Total]],"")</f>
        <v/>
      </c>
      <c r="J4" s="5">
        <f>IF(Table442818505258[[#This Row],[Old or New?]]="Old",Table442818505258[[#This Row],[Post Total]],"")</f>
        <v>5</v>
      </c>
      <c r="K4" s="5" t="b">
        <f>ISNUMBER(Table442818505258[[#This Row],[New]])</f>
        <v>0</v>
      </c>
      <c r="L4" s="5" t="b">
        <f>ISNUMBER(Table442818505258[[#This Row],[Old]])</f>
        <v>1</v>
      </c>
    </row>
    <row r="5" spans="1:12">
      <c r="A5" s="1" t="s">
        <v>12</v>
      </c>
      <c r="B5" s="1" t="s">
        <v>10</v>
      </c>
      <c r="C5" s="1">
        <v>4</v>
      </c>
      <c r="D5" s="1" t="s">
        <v>16</v>
      </c>
      <c r="E5" s="1">
        <v>5</v>
      </c>
      <c r="F5" s="1">
        <v>5</v>
      </c>
      <c r="G5" s="5">
        <f>IF(IF(Table442818505258[[#This Row],[Pre or Post]]="Post",1,0)+IF(ISNUMBER(Table442818505258[[#This Row],[Response]])=TRUE,1,0)=2,1,"")</f>
        <v>1</v>
      </c>
      <c r="H5" s="5">
        <f>IF(IF(Table442818505258[[#This Row],[Pre or Post]]="Post",1,0)+IF(ISNUMBER(Table442818505258[[#This Row],[Response]])=TRUE,1,0)=2,Table442818505258[[#This Row],[Response]],"")</f>
        <v>5</v>
      </c>
      <c r="I5" s="5" t="str">
        <f>IF(Table442818505258[[#This Row],[Old or New?]]="New",Table442818505258[[#This Row],[Post Total]],"")</f>
        <v/>
      </c>
      <c r="J5" s="5">
        <f>IF(Table442818505258[[#This Row],[Old or New?]]="Old",Table442818505258[[#This Row],[Post Total]],"")</f>
        <v>5</v>
      </c>
      <c r="K5" s="5" t="b">
        <f>ISNUMBER(Table442818505258[[#This Row],[New]])</f>
        <v>0</v>
      </c>
      <c r="L5" s="5" t="b">
        <f>ISNUMBER(Table442818505258[[#This Row],[Old]])</f>
        <v>1</v>
      </c>
    </row>
    <row r="6" spans="1:12">
      <c r="A6" s="1" t="s">
        <v>12</v>
      </c>
      <c r="B6" s="1" t="s">
        <v>10</v>
      </c>
      <c r="C6" s="1">
        <v>5</v>
      </c>
      <c r="D6" s="1" t="s">
        <v>16</v>
      </c>
      <c r="E6" s="1">
        <v>5</v>
      </c>
      <c r="F6" s="1">
        <v>4</v>
      </c>
      <c r="G6" s="5">
        <f>IF(IF(Table442818505258[[#This Row],[Pre or Post]]="Post",1,0)+IF(ISNUMBER(Table442818505258[[#This Row],[Response]])=TRUE,1,0)=2,1,"")</f>
        <v>1</v>
      </c>
      <c r="H6" s="5">
        <f>IF(IF(Table442818505258[[#This Row],[Pre or Post]]="Post",1,0)+IF(ISNUMBER(Table442818505258[[#This Row],[Response]])=TRUE,1,0)=2,Table442818505258[[#This Row],[Response]],"")</f>
        <v>4</v>
      </c>
      <c r="I6" s="5" t="str">
        <f>IF(Table442818505258[[#This Row],[Old or New?]]="New",Table442818505258[[#This Row],[Post Total]],"")</f>
        <v/>
      </c>
      <c r="J6" s="5">
        <f>IF(Table442818505258[[#This Row],[Old or New?]]="Old",Table442818505258[[#This Row],[Post Total]],"")</f>
        <v>4</v>
      </c>
      <c r="K6" s="5" t="b">
        <f>ISNUMBER(Table442818505258[[#This Row],[New]])</f>
        <v>0</v>
      </c>
      <c r="L6" s="5" t="b">
        <f>ISNUMBER(Table442818505258[[#This Row],[Old]])</f>
        <v>1</v>
      </c>
    </row>
    <row r="7" spans="1:12">
      <c r="A7" s="1" t="s">
        <v>12</v>
      </c>
      <c r="B7" s="1" t="s">
        <v>10</v>
      </c>
      <c r="C7" s="1">
        <v>6</v>
      </c>
      <c r="D7" s="1" t="s">
        <v>16</v>
      </c>
      <c r="E7" s="1">
        <v>5</v>
      </c>
      <c r="F7" s="1">
        <v>4</v>
      </c>
      <c r="G7" s="5">
        <f>IF(IF(Table442818505258[[#This Row],[Pre or Post]]="Post",1,0)+IF(ISNUMBER(Table442818505258[[#This Row],[Response]])=TRUE,1,0)=2,1,"")</f>
        <v>1</v>
      </c>
      <c r="H7" s="5">
        <f>IF(IF(Table442818505258[[#This Row],[Pre or Post]]="Post",1,0)+IF(ISNUMBER(Table442818505258[[#This Row],[Response]])=TRUE,1,0)=2,Table442818505258[[#This Row],[Response]],"")</f>
        <v>4</v>
      </c>
      <c r="I7" s="5" t="str">
        <f>IF(Table442818505258[[#This Row],[Old or New?]]="New",Table442818505258[[#This Row],[Post Total]],"")</f>
        <v/>
      </c>
      <c r="J7" s="5">
        <f>IF(Table442818505258[[#This Row],[Old or New?]]="Old",Table442818505258[[#This Row],[Post Total]],"")</f>
        <v>4</v>
      </c>
      <c r="K7" s="5" t="b">
        <f>ISNUMBER(Table442818505258[[#This Row],[New]])</f>
        <v>0</v>
      </c>
      <c r="L7" s="5" t="b">
        <f>ISNUMBER(Table442818505258[[#This Row],[Old]])</f>
        <v>1</v>
      </c>
    </row>
    <row r="8" spans="1:12">
      <c r="A8" s="1" t="s">
        <v>12</v>
      </c>
      <c r="B8" s="1" t="s">
        <v>10</v>
      </c>
      <c r="C8" s="1">
        <v>7</v>
      </c>
      <c r="D8" s="1" t="s">
        <v>16</v>
      </c>
      <c r="E8" s="1">
        <v>5</v>
      </c>
      <c r="F8" s="1">
        <v>5</v>
      </c>
      <c r="G8" s="5">
        <f>IF(IF(Table442818505258[[#This Row],[Pre or Post]]="Post",1,0)+IF(ISNUMBER(Table442818505258[[#This Row],[Response]])=TRUE,1,0)=2,1,"")</f>
        <v>1</v>
      </c>
      <c r="H8" s="5">
        <f>IF(IF(Table442818505258[[#This Row],[Pre or Post]]="Post",1,0)+IF(ISNUMBER(Table442818505258[[#This Row],[Response]])=TRUE,1,0)=2,Table442818505258[[#This Row],[Response]],"")</f>
        <v>5</v>
      </c>
      <c r="I8" s="5" t="str">
        <f>IF(Table442818505258[[#This Row],[Old or New?]]="New",Table442818505258[[#This Row],[Post Total]],"")</f>
        <v/>
      </c>
      <c r="J8" s="5">
        <f>IF(Table442818505258[[#This Row],[Old or New?]]="Old",Table442818505258[[#This Row],[Post Total]],"")</f>
        <v>5</v>
      </c>
      <c r="K8" s="5" t="b">
        <f>ISNUMBER(Table442818505258[[#This Row],[New]])</f>
        <v>0</v>
      </c>
      <c r="L8" s="5" t="b">
        <f>ISNUMBER(Table442818505258[[#This Row],[Old]])</f>
        <v>1</v>
      </c>
    </row>
    <row r="9" spans="1:12">
      <c r="A9" s="1" t="s">
        <v>12</v>
      </c>
      <c r="B9" s="1" t="s">
        <v>10</v>
      </c>
      <c r="C9" s="1">
        <v>8</v>
      </c>
      <c r="D9" s="1" t="s">
        <v>16</v>
      </c>
      <c r="E9" s="1">
        <v>5</v>
      </c>
      <c r="F9" s="1">
        <v>5</v>
      </c>
      <c r="G9" s="5">
        <f>IF(IF(Table442818505258[[#This Row],[Pre or Post]]="Post",1,0)+IF(ISNUMBER(Table442818505258[[#This Row],[Response]])=TRUE,1,0)=2,1,"")</f>
        <v>1</v>
      </c>
      <c r="H9" s="5">
        <f>IF(IF(Table442818505258[[#This Row],[Pre or Post]]="Post",1,0)+IF(ISNUMBER(Table442818505258[[#This Row],[Response]])=TRUE,1,0)=2,Table442818505258[[#This Row],[Response]],"")</f>
        <v>5</v>
      </c>
      <c r="I9" s="5" t="str">
        <f>IF(Table442818505258[[#This Row],[Old or New?]]="New",Table442818505258[[#This Row],[Post Total]],"")</f>
        <v/>
      </c>
      <c r="J9" s="5">
        <f>IF(Table442818505258[[#This Row],[Old or New?]]="Old",Table442818505258[[#This Row],[Post Total]],"")</f>
        <v>5</v>
      </c>
      <c r="K9" s="5" t="b">
        <f>ISNUMBER(Table442818505258[[#This Row],[New]])</f>
        <v>0</v>
      </c>
      <c r="L9" s="5" t="b">
        <f>ISNUMBER(Table442818505258[[#This Row],[Old]])</f>
        <v>1</v>
      </c>
    </row>
    <row r="10" spans="1:12">
      <c r="A10" s="1" t="s">
        <v>12</v>
      </c>
      <c r="B10" s="1" t="s">
        <v>10</v>
      </c>
      <c r="C10" s="1">
        <v>9</v>
      </c>
      <c r="D10" s="1" t="s">
        <v>16</v>
      </c>
      <c r="E10" s="1">
        <v>5</v>
      </c>
      <c r="F10" s="1">
        <v>5</v>
      </c>
      <c r="G10" s="5">
        <f>IF(IF(Table442818505258[[#This Row],[Pre or Post]]="Post",1,0)+IF(ISNUMBER(Table442818505258[[#This Row],[Response]])=TRUE,1,0)=2,1,"")</f>
        <v>1</v>
      </c>
      <c r="H10" s="5">
        <f>IF(IF(Table442818505258[[#This Row],[Pre or Post]]="Post",1,0)+IF(ISNUMBER(Table442818505258[[#This Row],[Response]])=TRUE,1,0)=2,Table442818505258[[#This Row],[Response]],"")</f>
        <v>5</v>
      </c>
      <c r="I10" s="5" t="str">
        <f>IF(Table442818505258[[#This Row],[Old or New?]]="New",Table442818505258[[#This Row],[Post Total]],"")</f>
        <v/>
      </c>
      <c r="J10" s="5">
        <f>IF(Table442818505258[[#This Row],[Old or New?]]="Old",Table442818505258[[#This Row],[Post Total]],"")</f>
        <v>5</v>
      </c>
      <c r="K10" s="5" t="b">
        <f>ISNUMBER(Table442818505258[[#This Row],[New]])</f>
        <v>0</v>
      </c>
      <c r="L10" s="5" t="b">
        <f>ISNUMBER(Table442818505258[[#This Row],[Old]])</f>
        <v>1</v>
      </c>
    </row>
    <row r="11" spans="1:12">
      <c r="A11" s="1" t="s">
        <v>12</v>
      </c>
      <c r="B11" s="1" t="s">
        <v>10</v>
      </c>
      <c r="C11" s="1">
        <v>10</v>
      </c>
      <c r="D11" s="1" t="s">
        <v>16</v>
      </c>
      <c r="E11" s="1">
        <v>5</v>
      </c>
      <c r="F11" s="1">
        <v>5</v>
      </c>
      <c r="G11" s="5">
        <f>IF(IF(Table442818505258[[#This Row],[Pre or Post]]="Post",1,0)+IF(ISNUMBER(Table442818505258[[#This Row],[Response]])=TRUE,1,0)=2,1,"")</f>
        <v>1</v>
      </c>
      <c r="H11" s="5">
        <f>IF(IF(Table442818505258[[#This Row],[Pre or Post]]="Post",1,0)+IF(ISNUMBER(Table442818505258[[#This Row],[Response]])=TRUE,1,0)=2,Table442818505258[[#This Row],[Response]],"")</f>
        <v>5</v>
      </c>
      <c r="I11" s="5" t="str">
        <f>IF(Table442818505258[[#This Row],[Old or New?]]="New",Table442818505258[[#This Row],[Post Total]],"")</f>
        <v/>
      </c>
      <c r="J11" s="5">
        <f>IF(Table442818505258[[#This Row],[Old or New?]]="Old",Table442818505258[[#This Row],[Post Total]],"")</f>
        <v>5</v>
      </c>
      <c r="K11" s="5" t="b">
        <f>ISNUMBER(Table442818505258[[#This Row],[New]])</f>
        <v>0</v>
      </c>
      <c r="L11" s="5" t="b">
        <f>ISNUMBER(Table442818505258[[#This Row],[Old]])</f>
        <v>1</v>
      </c>
    </row>
    <row r="12" spans="1:12">
      <c r="A12" s="1" t="s">
        <v>12</v>
      </c>
      <c r="B12" s="1" t="s">
        <v>10</v>
      </c>
      <c r="C12" s="1">
        <v>11</v>
      </c>
      <c r="D12" s="1" t="s">
        <v>16</v>
      </c>
      <c r="E12" s="1">
        <v>5</v>
      </c>
      <c r="F12" s="1">
        <v>4</v>
      </c>
      <c r="G12" s="5">
        <f>IF(IF(Table442818505258[[#This Row],[Pre or Post]]="Post",1,0)+IF(ISNUMBER(Table442818505258[[#This Row],[Response]])=TRUE,1,0)=2,1,"")</f>
        <v>1</v>
      </c>
      <c r="H12" s="5">
        <f>IF(IF(Table442818505258[[#This Row],[Pre or Post]]="Post",1,0)+IF(ISNUMBER(Table442818505258[[#This Row],[Response]])=TRUE,1,0)=2,Table442818505258[[#This Row],[Response]],"")</f>
        <v>4</v>
      </c>
      <c r="I12" s="5" t="str">
        <f>IF(Table442818505258[[#This Row],[Old or New?]]="New",Table442818505258[[#This Row],[Post Total]],"")</f>
        <v/>
      </c>
      <c r="J12" s="5">
        <f>IF(Table442818505258[[#This Row],[Old or New?]]="Old",Table442818505258[[#This Row],[Post Total]],"")</f>
        <v>4</v>
      </c>
      <c r="K12" s="5" t="b">
        <f>ISNUMBER(Table442818505258[[#This Row],[New]])</f>
        <v>0</v>
      </c>
      <c r="L12" s="5" t="b">
        <f>ISNUMBER(Table442818505258[[#This Row],[Old]])</f>
        <v>1</v>
      </c>
    </row>
    <row r="13" spans="1:12">
      <c r="A13" s="1" t="s">
        <v>12</v>
      </c>
      <c r="B13" s="1" t="s">
        <v>10</v>
      </c>
      <c r="C13" s="1">
        <v>12</v>
      </c>
      <c r="D13" s="1" t="s">
        <v>16</v>
      </c>
      <c r="E13" s="1">
        <v>5</v>
      </c>
      <c r="F13" s="1">
        <v>5</v>
      </c>
      <c r="G13" s="5">
        <f>IF(IF(Table442818505258[[#This Row],[Pre or Post]]="Post",1,0)+IF(ISNUMBER(Table442818505258[[#This Row],[Response]])=TRUE,1,0)=2,1,"")</f>
        <v>1</v>
      </c>
      <c r="H13" s="5">
        <f>IF(IF(Table442818505258[[#This Row],[Pre or Post]]="Post",1,0)+IF(ISNUMBER(Table442818505258[[#This Row],[Response]])=TRUE,1,0)=2,Table442818505258[[#This Row],[Response]],"")</f>
        <v>5</v>
      </c>
      <c r="I13" s="5" t="str">
        <f>IF(Table442818505258[[#This Row],[Old or New?]]="New",Table442818505258[[#This Row],[Post Total]],"")</f>
        <v/>
      </c>
      <c r="J13" s="5">
        <f>IF(Table442818505258[[#This Row],[Old or New?]]="Old",Table442818505258[[#This Row],[Post Total]],"")</f>
        <v>5</v>
      </c>
      <c r="K13" s="5" t="b">
        <f>ISNUMBER(Table442818505258[[#This Row],[New]])</f>
        <v>0</v>
      </c>
      <c r="L13" s="5" t="b">
        <f>ISNUMBER(Table442818505258[[#This Row],[Old]])</f>
        <v>1</v>
      </c>
    </row>
    <row r="14" spans="1:12">
      <c r="A14" s="1" t="s">
        <v>12</v>
      </c>
      <c r="B14" s="1" t="s">
        <v>10</v>
      </c>
      <c r="C14" s="1">
        <v>13</v>
      </c>
      <c r="D14" s="1" t="s">
        <v>16</v>
      </c>
      <c r="E14" s="1">
        <v>5</v>
      </c>
      <c r="F14" s="1">
        <v>4</v>
      </c>
      <c r="G14" s="5">
        <f>IF(IF(Table442818505258[[#This Row],[Pre or Post]]="Post",1,0)+IF(ISNUMBER(Table442818505258[[#This Row],[Response]])=TRUE,1,0)=2,1,"")</f>
        <v>1</v>
      </c>
      <c r="H14" s="5">
        <f>IF(IF(Table442818505258[[#This Row],[Pre or Post]]="Post",1,0)+IF(ISNUMBER(Table442818505258[[#This Row],[Response]])=TRUE,1,0)=2,Table442818505258[[#This Row],[Response]],"")</f>
        <v>4</v>
      </c>
      <c r="I14" s="5" t="str">
        <f>IF(Table442818505258[[#This Row],[Old or New?]]="New",Table442818505258[[#This Row],[Post Total]],"")</f>
        <v/>
      </c>
      <c r="J14" s="5">
        <f>IF(Table442818505258[[#This Row],[Old or New?]]="Old",Table442818505258[[#This Row],[Post Total]],"")</f>
        <v>4</v>
      </c>
      <c r="K14" s="5" t="b">
        <f>ISNUMBER(Table442818505258[[#This Row],[New]])</f>
        <v>0</v>
      </c>
      <c r="L14" s="5" t="b">
        <f>ISNUMBER(Table442818505258[[#This Row],[Old]])</f>
        <v>1</v>
      </c>
    </row>
    <row r="15" spans="1:12">
      <c r="A15" s="1" t="s">
        <v>12</v>
      </c>
      <c r="B15" s="1" t="s">
        <v>10</v>
      </c>
      <c r="C15" s="1">
        <v>14</v>
      </c>
      <c r="D15" s="1" t="s">
        <v>16</v>
      </c>
      <c r="E15" s="1">
        <v>5</v>
      </c>
      <c r="F15" s="1">
        <v>5</v>
      </c>
      <c r="G15" s="5">
        <f>IF(IF(Table442818505258[[#This Row],[Pre or Post]]="Post",1,0)+IF(ISNUMBER(Table442818505258[[#This Row],[Response]])=TRUE,1,0)=2,1,"")</f>
        <v>1</v>
      </c>
      <c r="H15" s="5">
        <f>IF(IF(Table442818505258[[#This Row],[Pre or Post]]="Post",1,0)+IF(ISNUMBER(Table442818505258[[#This Row],[Response]])=TRUE,1,0)=2,Table442818505258[[#This Row],[Response]],"")</f>
        <v>5</v>
      </c>
      <c r="I15" s="5" t="str">
        <f>IF(Table442818505258[[#This Row],[Old or New?]]="New",Table442818505258[[#This Row],[Post Total]],"")</f>
        <v/>
      </c>
      <c r="J15" s="5">
        <f>IF(Table442818505258[[#This Row],[Old or New?]]="Old",Table442818505258[[#This Row],[Post Total]],"")</f>
        <v>5</v>
      </c>
      <c r="K15" s="5" t="b">
        <f>ISNUMBER(Table442818505258[[#This Row],[New]])</f>
        <v>0</v>
      </c>
      <c r="L15" s="5" t="b">
        <f>ISNUMBER(Table442818505258[[#This Row],[Old]])</f>
        <v>1</v>
      </c>
    </row>
    <row r="16" spans="1:12">
      <c r="A16" s="1" t="s">
        <v>12</v>
      </c>
      <c r="B16" s="1" t="s">
        <v>10</v>
      </c>
      <c r="C16" s="1">
        <v>15</v>
      </c>
      <c r="D16" s="1" t="s">
        <v>16</v>
      </c>
      <c r="E16" s="1">
        <v>5</v>
      </c>
      <c r="F16" s="1">
        <v>2</v>
      </c>
      <c r="G16" s="5">
        <f>IF(IF(Table442818505258[[#This Row],[Pre or Post]]="Post",1,0)+IF(ISNUMBER(Table442818505258[[#This Row],[Response]])=TRUE,1,0)=2,1,"")</f>
        <v>1</v>
      </c>
      <c r="H16" s="5">
        <f>IF(IF(Table442818505258[[#This Row],[Pre or Post]]="Post",1,0)+IF(ISNUMBER(Table442818505258[[#This Row],[Response]])=TRUE,1,0)=2,Table442818505258[[#This Row],[Response]],"")</f>
        <v>2</v>
      </c>
      <c r="I16" s="5" t="str">
        <f>IF(Table442818505258[[#This Row],[Old or New?]]="New",Table442818505258[[#This Row],[Post Total]],"")</f>
        <v/>
      </c>
      <c r="J16" s="5">
        <f>IF(Table442818505258[[#This Row],[Old or New?]]="Old",Table442818505258[[#This Row],[Post Total]],"")</f>
        <v>2</v>
      </c>
      <c r="K16" s="5" t="b">
        <f>ISNUMBER(Table442818505258[[#This Row],[New]])</f>
        <v>0</v>
      </c>
      <c r="L16" s="5" t="b">
        <f>ISNUMBER(Table442818505258[[#This Row],[Old]])</f>
        <v>1</v>
      </c>
    </row>
    <row r="17" spans="1:12">
      <c r="A17" s="1" t="s">
        <v>12</v>
      </c>
      <c r="B17" s="1" t="s">
        <v>10</v>
      </c>
      <c r="C17" s="1">
        <v>16</v>
      </c>
      <c r="D17" s="1" t="s">
        <v>16</v>
      </c>
      <c r="E17" s="1">
        <v>5</v>
      </c>
      <c r="F17" s="1">
        <v>4</v>
      </c>
      <c r="G17" s="5">
        <f>IF(IF(Table442818505258[[#This Row],[Pre or Post]]="Post",1,0)+IF(ISNUMBER(Table442818505258[[#This Row],[Response]])=TRUE,1,0)=2,1,"")</f>
        <v>1</v>
      </c>
      <c r="H17" s="5">
        <f>IF(IF(Table442818505258[[#This Row],[Pre or Post]]="Post",1,0)+IF(ISNUMBER(Table442818505258[[#This Row],[Response]])=TRUE,1,0)=2,Table442818505258[[#This Row],[Response]],"")</f>
        <v>4</v>
      </c>
      <c r="I17" s="5" t="str">
        <f>IF(Table442818505258[[#This Row],[Old or New?]]="New",Table442818505258[[#This Row],[Post Total]],"")</f>
        <v/>
      </c>
      <c r="J17" s="5">
        <f>IF(Table442818505258[[#This Row],[Old or New?]]="Old",Table442818505258[[#This Row],[Post Total]],"")</f>
        <v>4</v>
      </c>
      <c r="K17" s="5" t="b">
        <f>ISNUMBER(Table442818505258[[#This Row],[New]])</f>
        <v>0</v>
      </c>
      <c r="L17" s="5" t="b">
        <f>ISNUMBER(Table442818505258[[#This Row],[Old]])</f>
        <v>1</v>
      </c>
    </row>
    <row r="18" spans="1:12">
      <c r="A18" s="1" t="s">
        <v>12</v>
      </c>
      <c r="B18" s="1" t="s">
        <v>10</v>
      </c>
      <c r="C18" s="1">
        <v>17</v>
      </c>
      <c r="D18" s="1" t="s">
        <v>16</v>
      </c>
      <c r="E18" s="1">
        <v>5</v>
      </c>
      <c r="F18" s="1">
        <v>5</v>
      </c>
      <c r="G18" s="5">
        <f>IF(IF(Table442818505258[[#This Row],[Pre or Post]]="Post",1,0)+IF(ISNUMBER(Table442818505258[[#This Row],[Response]])=TRUE,1,0)=2,1,"")</f>
        <v>1</v>
      </c>
      <c r="H18" s="5">
        <f>IF(IF(Table442818505258[[#This Row],[Pre or Post]]="Post",1,0)+IF(ISNUMBER(Table442818505258[[#This Row],[Response]])=TRUE,1,0)=2,Table442818505258[[#This Row],[Response]],"")</f>
        <v>5</v>
      </c>
      <c r="I18" s="5" t="str">
        <f>IF(Table442818505258[[#This Row],[Old or New?]]="New",Table442818505258[[#This Row],[Post Total]],"")</f>
        <v/>
      </c>
      <c r="J18" s="5">
        <f>IF(Table442818505258[[#This Row],[Old or New?]]="Old",Table442818505258[[#This Row],[Post Total]],"")</f>
        <v>5</v>
      </c>
      <c r="K18" s="5" t="b">
        <f>ISNUMBER(Table442818505258[[#This Row],[New]])</f>
        <v>0</v>
      </c>
      <c r="L18" s="5" t="b">
        <f>ISNUMBER(Table442818505258[[#This Row],[Old]])</f>
        <v>1</v>
      </c>
    </row>
    <row r="19" spans="1:12">
      <c r="A19" s="1" t="s">
        <v>12</v>
      </c>
      <c r="B19" s="1" t="s">
        <v>10</v>
      </c>
      <c r="C19" s="1">
        <v>18</v>
      </c>
      <c r="D19" s="1" t="s">
        <v>16</v>
      </c>
      <c r="E19" s="1">
        <v>5</v>
      </c>
      <c r="F19" s="1">
        <v>4</v>
      </c>
      <c r="G19" s="5">
        <f>IF(IF(Table442818505258[[#This Row],[Pre or Post]]="Post",1,0)+IF(ISNUMBER(Table442818505258[[#This Row],[Response]])=TRUE,1,0)=2,1,"")</f>
        <v>1</v>
      </c>
      <c r="H19" s="5">
        <f>IF(IF(Table442818505258[[#This Row],[Pre or Post]]="Post",1,0)+IF(ISNUMBER(Table442818505258[[#This Row],[Response]])=TRUE,1,0)=2,Table442818505258[[#This Row],[Response]],"")</f>
        <v>4</v>
      </c>
      <c r="I19" s="5" t="str">
        <f>IF(Table442818505258[[#This Row],[Old or New?]]="New",Table442818505258[[#This Row],[Post Total]],"")</f>
        <v/>
      </c>
      <c r="J19" s="5">
        <f>IF(Table442818505258[[#This Row],[Old or New?]]="Old",Table442818505258[[#This Row],[Post Total]],"")</f>
        <v>4</v>
      </c>
      <c r="K19" s="5" t="b">
        <f>ISNUMBER(Table442818505258[[#This Row],[New]])</f>
        <v>0</v>
      </c>
      <c r="L19" s="5" t="b">
        <f>ISNUMBER(Table442818505258[[#This Row],[Old]])</f>
        <v>1</v>
      </c>
    </row>
    <row r="20" spans="1:12">
      <c r="A20" s="2" t="s">
        <v>12</v>
      </c>
      <c r="B20" s="2" t="s">
        <v>21</v>
      </c>
      <c r="C20" s="1">
        <v>1</v>
      </c>
      <c r="D20" s="2" t="s">
        <v>16</v>
      </c>
      <c r="E20" s="1">
        <v>5</v>
      </c>
      <c r="F20" s="1">
        <v>5</v>
      </c>
      <c r="G20" s="5">
        <f>IF(IF(Table442818505258[[#This Row],[Pre or Post]]="Post",1,0)+IF(ISNUMBER(Table442818505258[[#This Row],[Response]])=TRUE,1,0)=2,1,"")</f>
        <v>1</v>
      </c>
      <c r="H20" s="5">
        <f>IF(IF(Table442818505258[[#This Row],[Pre or Post]]="Post",1,0)+IF(ISNUMBER(Table442818505258[[#This Row],[Response]])=TRUE,1,0)=2,Table442818505258[[#This Row],[Response]],"")</f>
        <v>5</v>
      </c>
      <c r="I20" s="5" t="str">
        <f>IF(Table442818505258[[#This Row],[Old or New?]]="New",Table442818505258[[#This Row],[Post Total]],"")</f>
        <v/>
      </c>
      <c r="J20" s="5">
        <f>IF(Table442818505258[[#This Row],[Old or New?]]="Old",Table442818505258[[#This Row],[Post Total]],"")</f>
        <v>5</v>
      </c>
      <c r="K20" s="5" t="b">
        <f>ISNUMBER(Table442818505258[[#This Row],[New]])</f>
        <v>0</v>
      </c>
      <c r="L20" s="5" t="b">
        <f>ISNUMBER(Table442818505258[[#This Row],[Old]])</f>
        <v>1</v>
      </c>
    </row>
    <row r="21" spans="1:12">
      <c r="A21" s="2" t="s">
        <v>12</v>
      </c>
      <c r="B21" s="2" t="s">
        <v>21</v>
      </c>
      <c r="C21" s="1">
        <v>2</v>
      </c>
      <c r="D21" s="2" t="s">
        <v>16</v>
      </c>
      <c r="E21" s="1">
        <v>5</v>
      </c>
      <c r="G21" s="5" t="str">
        <f>IF(IF(Table442818505258[[#This Row],[Pre or Post]]="Post",1,0)+IF(ISNUMBER(Table442818505258[[#This Row],[Response]])=TRUE,1,0)=2,1,"")</f>
        <v/>
      </c>
      <c r="H21" s="5" t="str">
        <f>IF(IF(Table442818505258[[#This Row],[Pre or Post]]="Post",1,0)+IF(ISNUMBER(Table442818505258[[#This Row],[Response]])=TRUE,1,0)=2,Table442818505258[[#This Row],[Response]],"")</f>
        <v/>
      </c>
      <c r="I21" s="5" t="str">
        <f>IF(Table442818505258[[#This Row],[Old or New?]]="New",Table442818505258[[#This Row],[Post Total]],"")</f>
        <v/>
      </c>
      <c r="J21" s="5" t="str">
        <f>IF(Table442818505258[[#This Row],[Old or New?]]="Old",Table442818505258[[#This Row],[Post Total]],"")</f>
        <v/>
      </c>
      <c r="K21" s="5" t="b">
        <f>ISNUMBER(Table442818505258[[#This Row],[New]])</f>
        <v>0</v>
      </c>
      <c r="L21" s="5" t="b">
        <f>ISNUMBER(Table442818505258[[#This Row],[Old]])</f>
        <v>0</v>
      </c>
    </row>
    <row r="22" spans="1:12">
      <c r="A22" s="2" t="s">
        <v>12</v>
      </c>
      <c r="B22" s="2" t="s">
        <v>21</v>
      </c>
      <c r="C22" s="1">
        <v>3</v>
      </c>
      <c r="D22" s="2" t="s">
        <v>16</v>
      </c>
      <c r="E22" s="1">
        <v>5</v>
      </c>
      <c r="F22" s="1">
        <v>4</v>
      </c>
      <c r="G22" s="5">
        <f>IF(IF(Table442818505258[[#This Row],[Pre or Post]]="Post",1,0)+IF(ISNUMBER(Table442818505258[[#This Row],[Response]])=TRUE,1,0)=2,1,"")</f>
        <v>1</v>
      </c>
      <c r="H22" s="5">
        <f>IF(IF(Table442818505258[[#This Row],[Pre or Post]]="Post",1,0)+IF(ISNUMBER(Table442818505258[[#This Row],[Response]])=TRUE,1,0)=2,Table442818505258[[#This Row],[Response]],"")</f>
        <v>4</v>
      </c>
      <c r="I22" s="5" t="str">
        <f>IF(Table442818505258[[#This Row],[Old or New?]]="New",Table442818505258[[#This Row],[Post Total]],"")</f>
        <v/>
      </c>
      <c r="J22" s="5">
        <f>IF(Table442818505258[[#This Row],[Old or New?]]="Old",Table442818505258[[#This Row],[Post Total]],"")</f>
        <v>4</v>
      </c>
      <c r="K22" s="5" t="b">
        <f>ISNUMBER(Table442818505258[[#This Row],[New]])</f>
        <v>0</v>
      </c>
      <c r="L22" s="5" t="b">
        <f>ISNUMBER(Table442818505258[[#This Row],[Old]])</f>
        <v>1</v>
      </c>
    </row>
    <row r="23" spans="1:12">
      <c r="A23" s="2" t="s">
        <v>12</v>
      </c>
      <c r="B23" s="2" t="s">
        <v>21</v>
      </c>
      <c r="C23" s="1">
        <v>4</v>
      </c>
      <c r="D23" s="2" t="s">
        <v>16</v>
      </c>
      <c r="E23" s="1">
        <v>5</v>
      </c>
      <c r="F23" s="1">
        <v>5</v>
      </c>
      <c r="G23" s="5">
        <f>IF(IF(Table442818505258[[#This Row],[Pre or Post]]="Post",1,0)+IF(ISNUMBER(Table442818505258[[#This Row],[Response]])=TRUE,1,0)=2,1,"")</f>
        <v>1</v>
      </c>
      <c r="H23" s="5">
        <f>IF(IF(Table442818505258[[#This Row],[Pre or Post]]="Post",1,0)+IF(ISNUMBER(Table442818505258[[#This Row],[Response]])=TRUE,1,0)=2,Table442818505258[[#This Row],[Response]],"")</f>
        <v>5</v>
      </c>
      <c r="I23" s="5" t="str">
        <f>IF(Table442818505258[[#This Row],[Old or New?]]="New",Table442818505258[[#This Row],[Post Total]],"")</f>
        <v/>
      </c>
      <c r="J23" s="5">
        <f>IF(Table442818505258[[#This Row],[Old or New?]]="Old",Table442818505258[[#This Row],[Post Total]],"")</f>
        <v>5</v>
      </c>
      <c r="K23" s="5" t="b">
        <f>ISNUMBER(Table442818505258[[#This Row],[New]])</f>
        <v>0</v>
      </c>
      <c r="L23" s="5" t="b">
        <f>ISNUMBER(Table442818505258[[#This Row],[Old]])</f>
        <v>1</v>
      </c>
    </row>
    <row r="24" spans="1:12">
      <c r="A24" s="2" t="s">
        <v>12</v>
      </c>
      <c r="B24" s="2" t="s">
        <v>21</v>
      </c>
      <c r="C24" s="1">
        <v>5</v>
      </c>
      <c r="D24" s="2" t="s">
        <v>16</v>
      </c>
      <c r="E24" s="1">
        <v>5</v>
      </c>
      <c r="F24" s="1">
        <v>4</v>
      </c>
      <c r="G24" s="5">
        <f>IF(IF(Table442818505258[[#This Row],[Pre or Post]]="Post",1,0)+IF(ISNUMBER(Table442818505258[[#This Row],[Response]])=TRUE,1,0)=2,1,"")</f>
        <v>1</v>
      </c>
      <c r="H24" s="5">
        <f>IF(IF(Table442818505258[[#This Row],[Pre or Post]]="Post",1,0)+IF(ISNUMBER(Table442818505258[[#This Row],[Response]])=TRUE,1,0)=2,Table442818505258[[#This Row],[Response]],"")</f>
        <v>4</v>
      </c>
      <c r="I24" s="5" t="str">
        <f>IF(Table442818505258[[#This Row],[Old or New?]]="New",Table442818505258[[#This Row],[Post Total]],"")</f>
        <v/>
      </c>
      <c r="J24" s="5">
        <f>IF(Table442818505258[[#This Row],[Old or New?]]="Old",Table442818505258[[#This Row],[Post Total]],"")</f>
        <v>4</v>
      </c>
      <c r="K24" s="5" t="b">
        <f>ISNUMBER(Table442818505258[[#This Row],[New]])</f>
        <v>0</v>
      </c>
      <c r="L24" s="5" t="b">
        <f>ISNUMBER(Table442818505258[[#This Row],[Old]])</f>
        <v>1</v>
      </c>
    </row>
    <row r="25" spans="1:12">
      <c r="A25" s="2" t="s">
        <v>12</v>
      </c>
      <c r="B25" s="2" t="s">
        <v>21</v>
      </c>
      <c r="C25" s="1">
        <v>6</v>
      </c>
      <c r="D25" s="2" t="s">
        <v>16</v>
      </c>
      <c r="E25" s="1">
        <v>5</v>
      </c>
      <c r="F25" s="1">
        <v>3</v>
      </c>
      <c r="G25" s="5">
        <f>IF(IF(Table442818505258[[#This Row],[Pre or Post]]="Post",1,0)+IF(ISNUMBER(Table442818505258[[#This Row],[Response]])=TRUE,1,0)=2,1,"")</f>
        <v>1</v>
      </c>
      <c r="H25" s="5">
        <f>IF(IF(Table442818505258[[#This Row],[Pre or Post]]="Post",1,0)+IF(ISNUMBER(Table442818505258[[#This Row],[Response]])=TRUE,1,0)=2,Table442818505258[[#This Row],[Response]],"")</f>
        <v>3</v>
      </c>
      <c r="I25" s="5" t="str">
        <f>IF(Table442818505258[[#This Row],[Old or New?]]="New",Table442818505258[[#This Row],[Post Total]],"")</f>
        <v/>
      </c>
      <c r="J25" s="5">
        <f>IF(Table442818505258[[#This Row],[Old or New?]]="Old",Table442818505258[[#This Row],[Post Total]],"")</f>
        <v>3</v>
      </c>
      <c r="K25" s="5" t="b">
        <f>ISNUMBER(Table442818505258[[#This Row],[New]])</f>
        <v>0</v>
      </c>
      <c r="L25" s="5" t="b">
        <f>ISNUMBER(Table442818505258[[#This Row],[Old]])</f>
        <v>1</v>
      </c>
    </row>
    <row r="26" spans="1:12">
      <c r="A26" s="2" t="s">
        <v>12</v>
      </c>
      <c r="B26" s="2" t="s">
        <v>21</v>
      </c>
      <c r="C26" s="1">
        <v>7</v>
      </c>
      <c r="D26" s="2" t="s">
        <v>16</v>
      </c>
      <c r="E26" s="1">
        <v>5</v>
      </c>
      <c r="F26" s="1">
        <v>5</v>
      </c>
      <c r="G26" s="5">
        <f>IF(IF(Table442818505258[[#This Row],[Pre or Post]]="Post",1,0)+IF(ISNUMBER(Table442818505258[[#This Row],[Response]])=TRUE,1,0)=2,1,"")</f>
        <v>1</v>
      </c>
      <c r="H26" s="5">
        <f>IF(IF(Table442818505258[[#This Row],[Pre or Post]]="Post",1,0)+IF(ISNUMBER(Table442818505258[[#This Row],[Response]])=TRUE,1,0)=2,Table442818505258[[#This Row],[Response]],"")</f>
        <v>5</v>
      </c>
      <c r="I26" s="5" t="str">
        <f>IF(Table442818505258[[#This Row],[Old or New?]]="New",Table442818505258[[#This Row],[Post Total]],"")</f>
        <v/>
      </c>
      <c r="J26" s="5">
        <f>IF(Table442818505258[[#This Row],[Old or New?]]="Old",Table442818505258[[#This Row],[Post Total]],"")</f>
        <v>5</v>
      </c>
      <c r="K26" s="5" t="b">
        <f>ISNUMBER(Table442818505258[[#This Row],[New]])</f>
        <v>0</v>
      </c>
      <c r="L26" s="5" t="b">
        <f>ISNUMBER(Table442818505258[[#This Row],[Old]])</f>
        <v>1</v>
      </c>
    </row>
    <row r="27" spans="1:12">
      <c r="A27" s="2" t="s">
        <v>12</v>
      </c>
      <c r="B27" s="2" t="s">
        <v>21</v>
      </c>
      <c r="C27" s="1">
        <v>8</v>
      </c>
      <c r="D27" s="2" t="s">
        <v>16</v>
      </c>
      <c r="E27" s="1">
        <v>5</v>
      </c>
      <c r="F27" s="1">
        <v>4</v>
      </c>
      <c r="G27" s="5">
        <f>IF(IF(Table442818505258[[#This Row],[Pre or Post]]="Post",1,0)+IF(ISNUMBER(Table442818505258[[#This Row],[Response]])=TRUE,1,0)=2,1,"")</f>
        <v>1</v>
      </c>
      <c r="H27" s="5">
        <f>IF(IF(Table442818505258[[#This Row],[Pre or Post]]="Post",1,0)+IF(ISNUMBER(Table442818505258[[#This Row],[Response]])=TRUE,1,0)=2,Table442818505258[[#This Row],[Response]],"")</f>
        <v>4</v>
      </c>
      <c r="I27" s="5" t="str">
        <f>IF(Table442818505258[[#This Row],[Old or New?]]="New",Table442818505258[[#This Row],[Post Total]],"")</f>
        <v/>
      </c>
      <c r="J27" s="5">
        <f>IF(Table442818505258[[#This Row],[Old or New?]]="Old",Table442818505258[[#This Row],[Post Total]],"")</f>
        <v>4</v>
      </c>
      <c r="K27" s="5" t="b">
        <f>ISNUMBER(Table442818505258[[#This Row],[New]])</f>
        <v>0</v>
      </c>
      <c r="L27" s="5" t="b">
        <f>ISNUMBER(Table442818505258[[#This Row],[Old]])</f>
        <v>1</v>
      </c>
    </row>
    <row r="28" spans="1:12">
      <c r="A28" s="2" t="s">
        <v>12</v>
      </c>
      <c r="B28" s="2" t="s">
        <v>21</v>
      </c>
      <c r="C28" s="1">
        <v>9</v>
      </c>
      <c r="D28" s="2" t="s">
        <v>16</v>
      </c>
      <c r="E28" s="1">
        <v>5</v>
      </c>
      <c r="F28" s="1">
        <v>5</v>
      </c>
      <c r="G28" s="5">
        <f>IF(IF(Table442818505258[[#This Row],[Pre or Post]]="Post",1,0)+IF(ISNUMBER(Table442818505258[[#This Row],[Response]])=TRUE,1,0)=2,1,"")</f>
        <v>1</v>
      </c>
      <c r="H28" s="5">
        <f>IF(IF(Table442818505258[[#This Row],[Pre or Post]]="Post",1,0)+IF(ISNUMBER(Table442818505258[[#This Row],[Response]])=TRUE,1,0)=2,Table442818505258[[#This Row],[Response]],"")</f>
        <v>5</v>
      </c>
      <c r="I28" s="5" t="str">
        <f>IF(Table442818505258[[#This Row],[Old or New?]]="New",Table442818505258[[#This Row],[Post Total]],"")</f>
        <v/>
      </c>
      <c r="J28" s="5">
        <f>IF(Table442818505258[[#This Row],[Old or New?]]="Old",Table442818505258[[#This Row],[Post Total]],"")</f>
        <v>5</v>
      </c>
      <c r="K28" s="5" t="b">
        <f>ISNUMBER(Table442818505258[[#This Row],[New]])</f>
        <v>0</v>
      </c>
      <c r="L28" s="5" t="b">
        <f>ISNUMBER(Table442818505258[[#This Row],[Old]])</f>
        <v>1</v>
      </c>
    </row>
    <row r="29" spans="1:12">
      <c r="A29" s="2" t="s">
        <v>12</v>
      </c>
      <c r="B29" s="2" t="s">
        <v>21</v>
      </c>
      <c r="C29" s="1">
        <v>10</v>
      </c>
      <c r="D29" s="2" t="s">
        <v>16</v>
      </c>
      <c r="E29" s="1">
        <v>5</v>
      </c>
      <c r="F29" s="1">
        <v>3</v>
      </c>
      <c r="G29" s="5">
        <f>IF(IF(Table442818505258[[#This Row],[Pre or Post]]="Post",1,0)+IF(ISNUMBER(Table442818505258[[#This Row],[Response]])=TRUE,1,0)=2,1,"")</f>
        <v>1</v>
      </c>
      <c r="H29" s="5">
        <f>IF(IF(Table442818505258[[#This Row],[Pre or Post]]="Post",1,0)+IF(ISNUMBER(Table442818505258[[#This Row],[Response]])=TRUE,1,0)=2,Table442818505258[[#This Row],[Response]],"")</f>
        <v>3</v>
      </c>
      <c r="I29" s="5" t="str">
        <f>IF(Table442818505258[[#This Row],[Old or New?]]="New",Table442818505258[[#This Row],[Post Total]],"")</f>
        <v/>
      </c>
      <c r="J29" s="5">
        <f>IF(Table442818505258[[#This Row],[Old or New?]]="Old",Table442818505258[[#This Row],[Post Total]],"")</f>
        <v>3</v>
      </c>
      <c r="K29" s="5" t="b">
        <f>ISNUMBER(Table442818505258[[#This Row],[New]])</f>
        <v>0</v>
      </c>
      <c r="L29" s="5" t="b">
        <f>ISNUMBER(Table442818505258[[#This Row],[Old]])</f>
        <v>1</v>
      </c>
    </row>
    <row r="30" spans="1:12">
      <c r="A30" s="2" t="s">
        <v>12</v>
      </c>
      <c r="B30" s="2" t="s">
        <v>21</v>
      </c>
      <c r="C30" s="1">
        <v>11</v>
      </c>
      <c r="D30" s="2" t="s">
        <v>16</v>
      </c>
      <c r="E30" s="1">
        <v>5</v>
      </c>
      <c r="F30" s="1">
        <v>5</v>
      </c>
      <c r="G30" s="5">
        <f>IF(IF(Table442818505258[[#This Row],[Pre or Post]]="Post",1,0)+IF(ISNUMBER(Table442818505258[[#This Row],[Response]])=TRUE,1,0)=2,1,"")</f>
        <v>1</v>
      </c>
      <c r="H30" s="5">
        <f>IF(IF(Table442818505258[[#This Row],[Pre or Post]]="Post",1,0)+IF(ISNUMBER(Table442818505258[[#This Row],[Response]])=TRUE,1,0)=2,Table442818505258[[#This Row],[Response]],"")</f>
        <v>5</v>
      </c>
      <c r="I30" s="5" t="str">
        <f>IF(Table442818505258[[#This Row],[Old or New?]]="New",Table442818505258[[#This Row],[Post Total]],"")</f>
        <v/>
      </c>
      <c r="J30" s="5">
        <f>IF(Table442818505258[[#This Row],[Old or New?]]="Old",Table442818505258[[#This Row],[Post Total]],"")</f>
        <v>5</v>
      </c>
      <c r="K30" s="5" t="b">
        <f>ISNUMBER(Table442818505258[[#This Row],[New]])</f>
        <v>0</v>
      </c>
      <c r="L30" s="5" t="b">
        <f>ISNUMBER(Table442818505258[[#This Row],[Old]])</f>
        <v>1</v>
      </c>
    </row>
    <row r="31" spans="1:12">
      <c r="A31" s="2" t="s">
        <v>12</v>
      </c>
      <c r="B31" s="2" t="s">
        <v>21</v>
      </c>
      <c r="C31" s="1">
        <v>12</v>
      </c>
      <c r="D31" s="2" t="s">
        <v>16</v>
      </c>
      <c r="E31" s="1">
        <v>5</v>
      </c>
      <c r="F31" s="1">
        <v>1</v>
      </c>
      <c r="G31" s="5">
        <f>IF(IF(Table442818505258[[#This Row],[Pre or Post]]="Post",1,0)+IF(ISNUMBER(Table442818505258[[#This Row],[Response]])=TRUE,1,0)=2,1,"")</f>
        <v>1</v>
      </c>
      <c r="H31" s="5">
        <f>IF(IF(Table442818505258[[#This Row],[Pre or Post]]="Post",1,0)+IF(ISNUMBER(Table442818505258[[#This Row],[Response]])=TRUE,1,0)=2,Table442818505258[[#This Row],[Response]],"")</f>
        <v>1</v>
      </c>
      <c r="I31" s="5" t="str">
        <f>IF(Table442818505258[[#This Row],[Old or New?]]="New",Table442818505258[[#This Row],[Post Total]],"")</f>
        <v/>
      </c>
      <c r="J31" s="5">
        <f>IF(Table442818505258[[#This Row],[Old or New?]]="Old",Table442818505258[[#This Row],[Post Total]],"")</f>
        <v>1</v>
      </c>
      <c r="K31" s="5" t="b">
        <f>ISNUMBER(Table442818505258[[#This Row],[New]])</f>
        <v>0</v>
      </c>
      <c r="L31" s="5" t="b">
        <f>ISNUMBER(Table442818505258[[#This Row],[Old]])</f>
        <v>1</v>
      </c>
    </row>
    <row r="32" spans="1:12">
      <c r="A32" s="2" t="s">
        <v>12</v>
      </c>
      <c r="B32" s="2" t="s">
        <v>21</v>
      </c>
      <c r="C32" s="1">
        <v>13</v>
      </c>
      <c r="D32" s="2" t="s">
        <v>16</v>
      </c>
      <c r="E32" s="1">
        <v>5</v>
      </c>
      <c r="F32" s="1">
        <v>5</v>
      </c>
      <c r="G32" s="5">
        <f>IF(IF(Table442818505258[[#This Row],[Pre or Post]]="Post",1,0)+IF(ISNUMBER(Table442818505258[[#This Row],[Response]])=TRUE,1,0)=2,1,"")</f>
        <v>1</v>
      </c>
      <c r="H32" s="5">
        <f>IF(IF(Table442818505258[[#This Row],[Pre or Post]]="Post",1,0)+IF(ISNUMBER(Table442818505258[[#This Row],[Response]])=TRUE,1,0)=2,Table442818505258[[#This Row],[Response]],"")</f>
        <v>5</v>
      </c>
      <c r="I32" s="5" t="str">
        <f>IF(Table442818505258[[#This Row],[Old or New?]]="New",Table442818505258[[#This Row],[Post Total]],"")</f>
        <v/>
      </c>
      <c r="J32" s="5">
        <f>IF(Table442818505258[[#This Row],[Old or New?]]="Old",Table442818505258[[#This Row],[Post Total]],"")</f>
        <v>5</v>
      </c>
      <c r="K32" s="5" t="b">
        <f>ISNUMBER(Table442818505258[[#This Row],[New]])</f>
        <v>0</v>
      </c>
      <c r="L32" s="5" t="b">
        <f>ISNUMBER(Table442818505258[[#This Row],[Old]])</f>
        <v>1</v>
      </c>
    </row>
    <row r="33" spans="1:12">
      <c r="A33" s="2" t="s">
        <v>12</v>
      </c>
      <c r="B33" s="2" t="s">
        <v>21</v>
      </c>
      <c r="C33" s="1">
        <v>14</v>
      </c>
      <c r="D33" s="2" t="s">
        <v>16</v>
      </c>
      <c r="E33" s="1">
        <v>5</v>
      </c>
      <c r="F33" s="1">
        <v>3</v>
      </c>
      <c r="G33" s="5">
        <f>IF(IF(Table442818505258[[#This Row],[Pre or Post]]="Post",1,0)+IF(ISNUMBER(Table442818505258[[#This Row],[Response]])=TRUE,1,0)=2,1,"")</f>
        <v>1</v>
      </c>
      <c r="H33" s="5">
        <f>IF(IF(Table442818505258[[#This Row],[Pre or Post]]="Post",1,0)+IF(ISNUMBER(Table442818505258[[#This Row],[Response]])=TRUE,1,0)=2,Table442818505258[[#This Row],[Response]],"")</f>
        <v>3</v>
      </c>
      <c r="I33" s="5" t="str">
        <f>IF(Table442818505258[[#This Row],[Old or New?]]="New",Table442818505258[[#This Row],[Post Total]],"")</f>
        <v/>
      </c>
      <c r="J33" s="5">
        <f>IF(Table442818505258[[#This Row],[Old or New?]]="Old",Table442818505258[[#This Row],[Post Total]],"")</f>
        <v>3</v>
      </c>
      <c r="K33" s="5" t="b">
        <f>ISNUMBER(Table442818505258[[#This Row],[New]])</f>
        <v>0</v>
      </c>
      <c r="L33" s="5" t="b">
        <f>ISNUMBER(Table442818505258[[#This Row],[Old]])</f>
        <v>1</v>
      </c>
    </row>
    <row r="34" spans="1:12">
      <c r="A34" s="2" t="s">
        <v>12</v>
      </c>
      <c r="B34" s="2" t="s">
        <v>21</v>
      </c>
      <c r="C34" s="1">
        <v>15</v>
      </c>
      <c r="D34" s="2" t="s">
        <v>16</v>
      </c>
      <c r="E34" s="1">
        <v>5</v>
      </c>
      <c r="F34" s="1">
        <v>3</v>
      </c>
      <c r="G34" s="5">
        <f>IF(IF(Table442818505258[[#This Row],[Pre or Post]]="Post",1,0)+IF(ISNUMBER(Table442818505258[[#This Row],[Response]])=TRUE,1,0)=2,1,"")</f>
        <v>1</v>
      </c>
      <c r="H34" s="5">
        <f>IF(IF(Table442818505258[[#This Row],[Pre or Post]]="Post",1,0)+IF(ISNUMBER(Table442818505258[[#This Row],[Response]])=TRUE,1,0)=2,Table442818505258[[#This Row],[Response]],"")</f>
        <v>3</v>
      </c>
      <c r="I34" s="5" t="str">
        <f>IF(Table442818505258[[#This Row],[Old or New?]]="New",Table442818505258[[#This Row],[Post Total]],"")</f>
        <v/>
      </c>
      <c r="J34" s="5">
        <f>IF(Table442818505258[[#This Row],[Old or New?]]="Old",Table442818505258[[#This Row],[Post Total]],"")</f>
        <v>3</v>
      </c>
      <c r="K34" s="5" t="b">
        <f>ISNUMBER(Table442818505258[[#This Row],[New]])</f>
        <v>0</v>
      </c>
      <c r="L34" s="5" t="b">
        <f>ISNUMBER(Table442818505258[[#This Row],[Old]])</f>
        <v>1</v>
      </c>
    </row>
    <row r="35" spans="1:12">
      <c r="A35" s="2" t="s">
        <v>12</v>
      </c>
      <c r="B35" s="2" t="s">
        <v>21</v>
      </c>
      <c r="C35" s="1">
        <v>16</v>
      </c>
      <c r="D35" s="2" t="s">
        <v>16</v>
      </c>
      <c r="E35" s="1">
        <v>5</v>
      </c>
      <c r="F35" s="1">
        <v>4</v>
      </c>
      <c r="G35" s="5">
        <f>IF(IF(Table442818505258[[#This Row],[Pre or Post]]="Post",1,0)+IF(ISNUMBER(Table442818505258[[#This Row],[Response]])=TRUE,1,0)=2,1,"")</f>
        <v>1</v>
      </c>
      <c r="H35" s="5">
        <f>IF(IF(Table442818505258[[#This Row],[Pre or Post]]="Post",1,0)+IF(ISNUMBER(Table442818505258[[#This Row],[Response]])=TRUE,1,0)=2,Table442818505258[[#This Row],[Response]],"")</f>
        <v>4</v>
      </c>
      <c r="I35" s="5" t="str">
        <f>IF(Table442818505258[[#This Row],[Old or New?]]="New",Table442818505258[[#This Row],[Post Total]],"")</f>
        <v/>
      </c>
      <c r="J35" s="5">
        <f>IF(Table442818505258[[#This Row],[Old or New?]]="Old",Table442818505258[[#This Row],[Post Total]],"")</f>
        <v>4</v>
      </c>
      <c r="K35" s="5" t="b">
        <f>ISNUMBER(Table442818505258[[#This Row],[New]])</f>
        <v>0</v>
      </c>
      <c r="L35" s="5" t="b">
        <f>ISNUMBER(Table442818505258[[#This Row],[Old]])</f>
        <v>1</v>
      </c>
    </row>
    <row r="36" spans="1:12">
      <c r="A36" s="2" t="s">
        <v>12</v>
      </c>
      <c r="B36" s="2" t="s">
        <v>21</v>
      </c>
      <c r="C36" s="1">
        <v>17</v>
      </c>
      <c r="D36" s="2" t="s">
        <v>16</v>
      </c>
      <c r="E36" s="1">
        <v>5</v>
      </c>
      <c r="G36" s="5" t="str">
        <f>IF(IF(Table442818505258[[#This Row],[Pre or Post]]="Post",1,0)+IF(ISNUMBER(Table442818505258[[#This Row],[Response]])=TRUE,1,0)=2,1,"")</f>
        <v/>
      </c>
      <c r="H36" s="5" t="str">
        <f>IF(IF(Table442818505258[[#This Row],[Pre or Post]]="Post",1,0)+IF(ISNUMBER(Table442818505258[[#This Row],[Response]])=TRUE,1,0)=2,Table442818505258[[#This Row],[Response]],"")</f>
        <v/>
      </c>
      <c r="I36" s="5" t="str">
        <f>IF(Table442818505258[[#This Row],[Old or New?]]="New",Table442818505258[[#This Row],[Post Total]],"")</f>
        <v/>
      </c>
      <c r="J36" s="5" t="str">
        <f>IF(Table442818505258[[#This Row],[Old or New?]]="Old",Table442818505258[[#This Row],[Post Total]],"")</f>
        <v/>
      </c>
      <c r="K36" s="5" t="b">
        <f>ISNUMBER(Table442818505258[[#This Row],[New]])</f>
        <v>0</v>
      </c>
      <c r="L36" s="5" t="b">
        <f>ISNUMBER(Table442818505258[[#This Row],[Old]])</f>
        <v>0</v>
      </c>
    </row>
    <row r="37" spans="1:12">
      <c r="A37" s="2" t="s">
        <v>12</v>
      </c>
      <c r="B37" s="2" t="s">
        <v>21</v>
      </c>
      <c r="C37" s="1">
        <v>18</v>
      </c>
      <c r="D37" s="2" t="s">
        <v>16</v>
      </c>
      <c r="E37" s="1">
        <v>5</v>
      </c>
      <c r="F37" s="1">
        <v>4</v>
      </c>
      <c r="G37" s="5">
        <f>IF(IF(Table442818505258[[#This Row],[Pre or Post]]="Post",1,0)+IF(ISNUMBER(Table442818505258[[#This Row],[Response]])=TRUE,1,0)=2,1,"")</f>
        <v>1</v>
      </c>
      <c r="H37" s="5">
        <f>IF(IF(Table442818505258[[#This Row],[Pre or Post]]="Post",1,0)+IF(ISNUMBER(Table442818505258[[#This Row],[Response]])=TRUE,1,0)=2,Table442818505258[[#This Row],[Response]],"")</f>
        <v>4</v>
      </c>
      <c r="I37" s="5" t="str">
        <f>IF(Table442818505258[[#This Row],[Old or New?]]="New",Table442818505258[[#This Row],[Post Total]],"")</f>
        <v/>
      </c>
      <c r="J37" s="5">
        <f>IF(Table442818505258[[#This Row],[Old or New?]]="Old",Table442818505258[[#This Row],[Post Total]],"")</f>
        <v>4</v>
      </c>
      <c r="K37" s="5" t="b">
        <f>ISNUMBER(Table442818505258[[#This Row],[New]])</f>
        <v>0</v>
      </c>
      <c r="L37" s="5" t="b">
        <f>ISNUMBER(Table442818505258[[#This Row],[Old]])</f>
        <v>1</v>
      </c>
    </row>
    <row r="38" spans="1:12">
      <c r="A38" s="2" t="s">
        <v>12</v>
      </c>
      <c r="B38" s="2" t="s">
        <v>21</v>
      </c>
      <c r="C38" s="1">
        <v>19</v>
      </c>
      <c r="D38" s="2" t="s">
        <v>16</v>
      </c>
      <c r="E38" s="1">
        <v>5</v>
      </c>
      <c r="F38" s="1">
        <v>5</v>
      </c>
      <c r="G38" s="5">
        <f>IF(IF(Table442818505258[[#This Row],[Pre or Post]]="Post",1,0)+IF(ISNUMBER(Table442818505258[[#This Row],[Response]])=TRUE,1,0)=2,1,"")</f>
        <v>1</v>
      </c>
      <c r="H38" s="5">
        <f>IF(IF(Table442818505258[[#This Row],[Pre or Post]]="Post",1,0)+IF(ISNUMBER(Table442818505258[[#This Row],[Response]])=TRUE,1,0)=2,Table442818505258[[#This Row],[Response]],"")</f>
        <v>5</v>
      </c>
      <c r="I38" s="5" t="str">
        <f>IF(Table442818505258[[#This Row],[Old or New?]]="New",Table442818505258[[#This Row],[Post Total]],"")</f>
        <v/>
      </c>
      <c r="J38" s="5">
        <f>IF(Table442818505258[[#This Row],[Old or New?]]="Old",Table442818505258[[#This Row],[Post Total]],"")</f>
        <v>5</v>
      </c>
      <c r="K38" s="5" t="b">
        <f>ISNUMBER(Table442818505258[[#This Row],[New]])</f>
        <v>0</v>
      </c>
      <c r="L38" s="5" t="b">
        <f>ISNUMBER(Table442818505258[[#This Row],[Old]])</f>
        <v>1</v>
      </c>
    </row>
    <row r="39" spans="1:12">
      <c r="A39" s="2" t="s">
        <v>12</v>
      </c>
      <c r="B39" s="2" t="s">
        <v>21</v>
      </c>
      <c r="C39" s="1">
        <v>20</v>
      </c>
      <c r="D39" s="2" t="s">
        <v>16</v>
      </c>
      <c r="E39" s="1">
        <v>5</v>
      </c>
      <c r="F39" s="1">
        <v>4</v>
      </c>
      <c r="G39" s="5">
        <f>IF(IF(Table442818505258[[#This Row],[Pre or Post]]="Post",1,0)+IF(ISNUMBER(Table442818505258[[#This Row],[Response]])=TRUE,1,0)=2,1,"")</f>
        <v>1</v>
      </c>
      <c r="H39" s="5">
        <f>IF(IF(Table442818505258[[#This Row],[Pre or Post]]="Post",1,0)+IF(ISNUMBER(Table442818505258[[#This Row],[Response]])=TRUE,1,0)=2,Table442818505258[[#This Row],[Response]],"")</f>
        <v>4</v>
      </c>
      <c r="I39" s="5" t="str">
        <f>IF(Table442818505258[[#This Row],[Old or New?]]="New",Table442818505258[[#This Row],[Post Total]],"")</f>
        <v/>
      </c>
      <c r="J39" s="5">
        <f>IF(Table442818505258[[#This Row],[Old or New?]]="Old",Table442818505258[[#This Row],[Post Total]],"")</f>
        <v>4</v>
      </c>
      <c r="K39" s="5" t="b">
        <f>ISNUMBER(Table442818505258[[#This Row],[New]])</f>
        <v>0</v>
      </c>
      <c r="L39" s="5" t="b">
        <f>ISNUMBER(Table442818505258[[#This Row],[Old]])</f>
        <v>1</v>
      </c>
    </row>
    <row r="40" spans="1:12">
      <c r="A40" s="2" t="s">
        <v>12</v>
      </c>
      <c r="B40" s="2" t="s">
        <v>21</v>
      </c>
      <c r="C40" s="1">
        <v>21</v>
      </c>
      <c r="D40" s="2" t="s">
        <v>16</v>
      </c>
      <c r="E40" s="1">
        <v>5</v>
      </c>
      <c r="F40" s="1">
        <v>3</v>
      </c>
      <c r="G40" s="5">
        <f>IF(IF(Table442818505258[[#This Row],[Pre or Post]]="Post",1,0)+IF(ISNUMBER(Table442818505258[[#This Row],[Response]])=TRUE,1,0)=2,1,"")</f>
        <v>1</v>
      </c>
      <c r="H40" s="5">
        <f>IF(IF(Table442818505258[[#This Row],[Pre or Post]]="Post",1,0)+IF(ISNUMBER(Table442818505258[[#This Row],[Response]])=TRUE,1,0)=2,Table442818505258[[#This Row],[Response]],"")</f>
        <v>3</v>
      </c>
      <c r="I40" s="5" t="str">
        <f>IF(Table442818505258[[#This Row],[Old or New?]]="New",Table442818505258[[#This Row],[Post Total]],"")</f>
        <v/>
      </c>
      <c r="J40" s="5">
        <f>IF(Table442818505258[[#This Row],[Old or New?]]="Old",Table442818505258[[#This Row],[Post Total]],"")</f>
        <v>3</v>
      </c>
      <c r="K40" s="5" t="b">
        <f>ISNUMBER(Table442818505258[[#This Row],[New]])</f>
        <v>0</v>
      </c>
      <c r="L40" s="5" t="b">
        <f>ISNUMBER(Table442818505258[[#This Row],[Old]])</f>
        <v>1</v>
      </c>
    </row>
    <row r="41" spans="1:12">
      <c r="A41" s="2" t="s">
        <v>12</v>
      </c>
      <c r="B41" s="2" t="s">
        <v>21</v>
      </c>
      <c r="C41" s="1">
        <v>22</v>
      </c>
      <c r="D41" s="2" t="s">
        <v>16</v>
      </c>
      <c r="E41" s="1">
        <v>5</v>
      </c>
      <c r="F41" s="1">
        <v>5</v>
      </c>
      <c r="G41" s="5">
        <f>IF(IF(Table442818505258[[#This Row],[Pre or Post]]="Post",1,0)+IF(ISNUMBER(Table442818505258[[#This Row],[Response]])=TRUE,1,0)=2,1,"")</f>
        <v>1</v>
      </c>
      <c r="H41" s="5">
        <f>IF(IF(Table442818505258[[#This Row],[Pre or Post]]="Post",1,0)+IF(ISNUMBER(Table442818505258[[#This Row],[Response]])=TRUE,1,0)=2,Table442818505258[[#This Row],[Response]],"")</f>
        <v>5</v>
      </c>
      <c r="I41" s="5" t="str">
        <f>IF(Table442818505258[[#This Row],[Old or New?]]="New",Table442818505258[[#This Row],[Post Total]],"")</f>
        <v/>
      </c>
      <c r="J41" s="5">
        <f>IF(Table442818505258[[#This Row],[Old or New?]]="Old",Table442818505258[[#This Row],[Post Total]],"")</f>
        <v>5</v>
      </c>
      <c r="K41" s="5" t="b">
        <f>ISNUMBER(Table442818505258[[#This Row],[New]])</f>
        <v>0</v>
      </c>
      <c r="L41" s="5" t="b">
        <f>ISNUMBER(Table442818505258[[#This Row],[Old]])</f>
        <v>1</v>
      </c>
    </row>
    <row r="42" spans="1:12">
      <c r="A42" s="2" t="s">
        <v>12</v>
      </c>
      <c r="B42" s="2" t="s">
        <v>21</v>
      </c>
      <c r="C42" s="1">
        <v>23</v>
      </c>
      <c r="D42" s="2" t="s">
        <v>16</v>
      </c>
      <c r="E42" s="1">
        <v>5</v>
      </c>
      <c r="F42" s="1">
        <v>3</v>
      </c>
      <c r="G42" s="5">
        <f>IF(IF(Table442818505258[[#This Row],[Pre or Post]]="Post",1,0)+IF(ISNUMBER(Table442818505258[[#This Row],[Response]])=TRUE,1,0)=2,1,"")</f>
        <v>1</v>
      </c>
      <c r="H42" s="5">
        <f>IF(IF(Table442818505258[[#This Row],[Pre or Post]]="Post",1,0)+IF(ISNUMBER(Table442818505258[[#This Row],[Response]])=TRUE,1,0)=2,Table442818505258[[#This Row],[Response]],"")</f>
        <v>3</v>
      </c>
      <c r="I42" s="5" t="str">
        <f>IF(Table442818505258[[#This Row],[Old or New?]]="New",Table442818505258[[#This Row],[Post Total]],"")</f>
        <v/>
      </c>
      <c r="J42" s="5">
        <f>IF(Table442818505258[[#This Row],[Old or New?]]="Old",Table442818505258[[#This Row],[Post Total]],"")</f>
        <v>3</v>
      </c>
      <c r="K42" s="5" t="b">
        <f>ISNUMBER(Table442818505258[[#This Row],[New]])</f>
        <v>0</v>
      </c>
      <c r="L42" s="5" t="b">
        <f>ISNUMBER(Table442818505258[[#This Row],[Old]])</f>
        <v>1</v>
      </c>
    </row>
    <row r="43" spans="1:12">
      <c r="A43" s="2" t="s">
        <v>12</v>
      </c>
      <c r="B43" s="2" t="s">
        <v>5</v>
      </c>
      <c r="C43" s="1">
        <v>1</v>
      </c>
      <c r="D43" s="2" t="s">
        <v>16</v>
      </c>
      <c r="E43" s="1">
        <v>5</v>
      </c>
      <c r="G43" s="5" t="str">
        <f>IF(IF(Table442818505258[[#This Row],[Pre or Post]]="Post",1,0)+IF(ISNUMBER(Table442818505258[[#This Row],[Response]])=TRUE,1,0)=2,1,"")</f>
        <v/>
      </c>
      <c r="H43" s="5" t="str">
        <f>IF(IF(Table442818505258[[#This Row],[Pre or Post]]="Post",1,0)+IF(ISNUMBER(Table442818505258[[#This Row],[Response]])=TRUE,1,0)=2,Table442818505258[[#This Row],[Response]],"")</f>
        <v/>
      </c>
      <c r="I43" s="5" t="str">
        <f>IF(Table442818505258[[#This Row],[Old or New?]]="New",Table442818505258[[#This Row],[Post Total]],"")</f>
        <v/>
      </c>
      <c r="J43" s="5" t="str">
        <f>IF(Table442818505258[[#This Row],[Old or New?]]="Old",Table442818505258[[#This Row],[Post Total]],"")</f>
        <v/>
      </c>
      <c r="K43" s="5" t="b">
        <f>ISNUMBER(Table442818505258[[#This Row],[New]])</f>
        <v>0</v>
      </c>
      <c r="L43" s="5" t="b">
        <f>ISNUMBER(Table442818505258[[#This Row],[Old]])</f>
        <v>0</v>
      </c>
    </row>
    <row r="44" spans="1:12">
      <c r="A44" s="2" t="s">
        <v>12</v>
      </c>
      <c r="B44" s="2" t="s">
        <v>5</v>
      </c>
      <c r="C44" s="1">
        <v>2</v>
      </c>
      <c r="D44" s="2" t="s">
        <v>16</v>
      </c>
      <c r="E44" s="1">
        <v>5</v>
      </c>
      <c r="F44" s="1">
        <v>4</v>
      </c>
      <c r="G44" s="5">
        <f>IF(IF(Table442818505258[[#This Row],[Pre or Post]]="Post",1,0)+IF(ISNUMBER(Table442818505258[[#This Row],[Response]])=TRUE,1,0)=2,1,"")</f>
        <v>1</v>
      </c>
      <c r="H44" s="5">
        <f>IF(IF(Table442818505258[[#This Row],[Pre or Post]]="Post",1,0)+IF(ISNUMBER(Table442818505258[[#This Row],[Response]])=TRUE,1,0)=2,Table442818505258[[#This Row],[Response]],"")</f>
        <v>4</v>
      </c>
      <c r="I44" s="5" t="str">
        <f>IF(Table442818505258[[#This Row],[Old or New?]]="New",Table442818505258[[#This Row],[Post Total]],"")</f>
        <v/>
      </c>
      <c r="J44" s="5">
        <f>IF(Table442818505258[[#This Row],[Old or New?]]="Old",Table442818505258[[#This Row],[Post Total]],"")</f>
        <v>4</v>
      </c>
      <c r="K44" s="5" t="b">
        <f>ISNUMBER(Table442818505258[[#This Row],[New]])</f>
        <v>0</v>
      </c>
      <c r="L44" s="5" t="b">
        <f>ISNUMBER(Table442818505258[[#This Row],[Old]])</f>
        <v>1</v>
      </c>
    </row>
    <row r="45" spans="1:12">
      <c r="A45" s="2" t="s">
        <v>12</v>
      </c>
      <c r="B45" s="2" t="s">
        <v>5</v>
      </c>
      <c r="C45" s="1">
        <v>3</v>
      </c>
      <c r="D45" s="2" t="s">
        <v>16</v>
      </c>
      <c r="E45" s="1">
        <v>5</v>
      </c>
      <c r="F45" s="1">
        <v>3</v>
      </c>
      <c r="G45" s="5">
        <f>IF(IF(Table442818505258[[#This Row],[Pre or Post]]="Post",1,0)+IF(ISNUMBER(Table442818505258[[#This Row],[Response]])=TRUE,1,0)=2,1,"")</f>
        <v>1</v>
      </c>
      <c r="H45" s="5">
        <f>IF(IF(Table442818505258[[#This Row],[Pre or Post]]="Post",1,0)+IF(ISNUMBER(Table442818505258[[#This Row],[Response]])=TRUE,1,0)=2,Table442818505258[[#This Row],[Response]],"")</f>
        <v>3</v>
      </c>
      <c r="I45" s="5" t="str">
        <f>IF(Table442818505258[[#This Row],[Old or New?]]="New",Table442818505258[[#This Row],[Post Total]],"")</f>
        <v/>
      </c>
      <c r="J45" s="5">
        <f>IF(Table442818505258[[#This Row],[Old or New?]]="Old",Table442818505258[[#This Row],[Post Total]],"")</f>
        <v>3</v>
      </c>
      <c r="K45" s="5" t="b">
        <f>ISNUMBER(Table442818505258[[#This Row],[New]])</f>
        <v>0</v>
      </c>
      <c r="L45" s="5" t="b">
        <f>ISNUMBER(Table442818505258[[#This Row],[Old]])</f>
        <v>1</v>
      </c>
    </row>
    <row r="46" spans="1:12">
      <c r="A46" s="2" t="s">
        <v>12</v>
      </c>
      <c r="B46" s="2" t="s">
        <v>5</v>
      </c>
      <c r="C46" s="1">
        <v>4</v>
      </c>
      <c r="D46" s="2" t="s">
        <v>16</v>
      </c>
      <c r="E46" s="1">
        <v>5</v>
      </c>
      <c r="F46" s="1">
        <v>3</v>
      </c>
      <c r="G46" s="5">
        <f>IF(IF(Table442818505258[[#This Row],[Pre or Post]]="Post",1,0)+IF(ISNUMBER(Table442818505258[[#This Row],[Response]])=TRUE,1,0)=2,1,"")</f>
        <v>1</v>
      </c>
      <c r="H46" s="5">
        <f>IF(IF(Table442818505258[[#This Row],[Pre or Post]]="Post",1,0)+IF(ISNUMBER(Table442818505258[[#This Row],[Response]])=TRUE,1,0)=2,Table442818505258[[#This Row],[Response]],"")</f>
        <v>3</v>
      </c>
      <c r="I46" s="5" t="str">
        <f>IF(Table442818505258[[#This Row],[Old or New?]]="New",Table442818505258[[#This Row],[Post Total]],"")</f>
        <v/>
      </c>
      <c r="J46" s="5">
        <f>IF(Table442818505258[[#This Row],[Old or New?]]="Old",Table442818505258[[#This Row],[Post Total]],"")</f>
        <v>3</v>
      </c>
      <c r="K46" s="5" t="b">
        <f>ISNUMBER(Table442818505258[[#This Row],[New]])</f>
        <v>0</v>
      </c>
      <c r="L46" s="5" t="b">
        <f>ISNUMBER(Table442818505258[[#This Row],[Old]])</f>
        <v>1</v>
      </c>
    </row>
    <row r="47" spans="1:12">
      <c r="A47" s="2" t="s">
        <v>12</v>
      </c>
      <c r="B47" s="2" t="s">
        <v>5</v>
      </c>
      <c r="C47" s="1">
        <v>5</v>
      </c>
      <c r="D47" s="2" t="s">
        <v>16</v>
      </c>
      <c r="E47" s="1">
        <v>5</v>
      </c>
      <c r="F47" s="1">
        <v>4</v>
      </c>
      <c r="G47" s="5">
        <f>IF(IF(Table442818505258[[#This Row],[Pre or Post]]="Post",1,0)+IF(ISNUMBER(Table442818505258[[#This Row],[Response]])=TRUE,1,0)=2,1,"")</f>
        <v>1</v>
      </c>
      <c r="H47" s="5">
        <f>IF(IF(Table442818505258[[#This Row],[Pre or Post]]="Post",1,0)+IF(ISNUMBER(Table442818505258[[#This Row],[Response]])=TRUE,1,0)=2,Table442818505258[[#This Row],[Response]],"")</f>
        <v>4</v>
      </c>
      <c r="I47" s="5" t="str">
        <f>IF(Table442818505258[[#This Row],[Old or New?]]="New",Table442818505258[[#This Row],[Post Total]],"")</f>
        <v/>
      </c>
      <c r="J47" s="5">
        <f>IF(Table442818505258[[#This Row],[Old or New?]]="Old",Table442818505258[[#This Row],[Post Total]],"")</f>
        <v>4</v>
      </c>
      <c r="K47" s="5" t="b">
        <f>ISNUMBER(Table442818505258[[#This Row],[New]])</f>
        <v>0</v>
      </c>
      <c r="L47" s="5" t="b">
        <f>ISNUMBER(Table442818505258[[#This Row],[Old]])</f>
        <v>1</v>
      </c>
    </row>
    <row r="48" spans="1:12">
      <c r="A48" s="2" t="s">
        <v>12</v>
      </c>
      <c r="B48" s="2" t="s">
        <v>5</v>
      </c>
      <c r="C48" s="1">
        <v>6</v>
      </c>
      <c r="D48" s="2" t="s">
        <v>16</v>
      </c>
      <c r="E48" s="1">
        <v>5</v>
      </c>
      <c r="F48" s="1">
        <v>5</v>
      </c>
      <c r="G48" s="5">
        <f>IF(IF(Table442818505258[[#This Row],[Pre or Post]]="Post",1,0)+IF(ISNUMBER(Table442818505258[[#This Row],[Response]])=TRUE,1,0)=2,1,"")</f>
        <v>1</v>
      </c>
      <c r="H48" s="5">
        <f>IF(IF(Table442818505258[[#This Row],[Pre or Post]]="Post",1,0)+IF(ISNUMBER(Table442818505258[[#This Row],[Response]])=TRUE,1,0)=2,Table442818505258[[#This Row],[Response]],"")</f>
        <v>5</v>
      </c>
      <c r="I48" s="5" t="str">
        <f>IF(Table442818505258[[#This Row],[Old or New?]]="New",Table442818505258[[#This Row],[Post Total]],"")</f>
        <v/>
      </c>
      <c r="J48" s="5">
        <f>IF(Table442818505258[[#This Row],[Old or New?]]="Old",Table442818505258[[#This Row],[Post Total]],"")</f>
        <v>5</v>
      </c>
      <c r="K48" s="5" t="b">
        <f>ISNUMBER(Table442818505258[[#This Row],[New]])</f>
        <v>0</v>
      </c>
      <c r="L48" s="5" t="b">
        <f>ISNUMBER(Table442818505258[[#This Row],[Old]])</f>
        <v>1</v>
      </c>
    </row>
    <row r="49" spans="1:12">
      <c r="A49" s="2" t="s">
        <v>12</v>
      </c>
      <c r="B49" s="2" t="s">
        <v>5</v>
      </c>
      <c r="C49" s="1">
        <v>7</v>
      </c>
      <c r="D49" s="2" t="s">
        <v>16</v>
      </c>
      <c r="E49" s="1">
        <v>5</v>
      </c>
      <c r="F49" s="1">
        <v>3</v>
      </c>
      <c r="G49" s="5">
        <f>IF(IF(Table442818505258[[#This Row],[Pre or Post]]="Post",1,0)+IF(ISNUMBER(Table442818505258[[#This Row],[Response]])=TRUE,1,0)=2,1,"")</f>
        <v>1</v>
      </c>
      <c r="H49" s="5">
        <f>IF(IF(Table442818505258[[#This Row],[Pre or Post]]="Post",1,0)+IF(ISNUMBER(Table442818505258[[#This Row],[Response]])=TRUE,1,0)=2,Table442818505258[[#This Row],[Response]],"")</f>
        <v>3</v>
      </c>
      <c r="I49" s="5" t="str">
        <f>IF(Table442818505258[[#This Row],[Old or New?]]="New",Table442818505258[[#This Row],[Post Total]],"")</f>
        <v/>
      </c>
      <c r="J49" s="5">
        <f>IF(Table442818505258[[#This Row],[Old or New?]]="Old",Table442818505258[[#This Row],[Post Total]],"")</f>
        <v>3</v>
      </c>
      <c r="K49" s="5" t="b">
        <f>ISNUMBER(Table442818505258[[#This Row],[New]])</f>
        <v>0</v>
      </c>
      <c r="L49" s="5" t="b">
        <f>ISNUMBER(Table442818505258[[#This Row],[Old]])</f>
        <v>1</v>
      </c>
    </row>
    <row r="50" spans="1:12">
      <c r="A50" s="2" t="s">
        <v>12</v>
      </c>
      <c r="B50" s="2" t="s">
        <v>5</v>
      </c>
      <c r="C50" s="1">
        <v>8</v>
      </c>
      <c r="D50" s="2" t="s">
        <v>16</v>
      </c>
      <c r="E50" s="1">
        <v>5</v>
      </c>
      <c r="F50" s="1">
        <v>4</v>
      </c>
      <c r="G50" s="5">
        <f>IF(IF(Table442818505258[[#This Row],[Pre or Post]]="Post",1,0)+IF(ISNUMBER(Table442818505258[[#This Row],[Response]])=TRUE,1,0)=2,1,"")</f>
        <v>1</v>
      </c>
      <c r="H50" s="5">
        <f>IF(IF(Table442818505258[[#This Row],[Pre or Post]]="Post",1,0)+IF(ISNUMBER(Table442818505258[[#This Row],[Response]])=TRUE,1,0)=2,Table442818505258[[#This Row],[Response]],"")</f>
        <v>4</v>
      </c>
      <c r="I50" s="5" t="str">
        <f>IF(Table442818505258[[#This Row],[Old or New?]]="New",Table442818505258[[#This Row],[Post Total]],"")</f>
        <v/>
      </c>
      <c r="J50" s="5">
        <f>IF(Table442818505258[[#This Row],[Old or New?]]="Old",Table442818505258[[#This Row],[Post Total]],"")</f>
        <v>4</v>
      </c>
      <c r="K50" s="5" t="b">
        <f>ISNUMBER(Table442818505258[[#This Row],[New]])</f>
        <v>0</v>
      </c>
      <c r="L50" s="5" t="b">
        <f>ISNUMBER(Table442818505258[[#This Row],[Old]])</f>
        <v>1</v>
      </c>
    </row>
    <row r="51" spans="1:12">
      <c r="A51" s="2" t="s">
        <v>12</v>
      </c>
      <c r="B51" s="2" t="s">
        <v>5</v>
      </c>
      <c r="C51" s="1">
        <v>9</v>
      </c>
      <c r="D51" s="2" t="s">
        <v>16</v>
      </c>
      <c r="E51" s="1">
        <v>5</v>
      </c>
      <c r="F51" s="1">
        <v>4</v>
      </c>
      <c r="G51" s="5">
        <f>IF(IF(Table442818505258[[#This Row],[Pre or Post]]="Post",1,0)+IF(ISNUMBER(Table442818505258[[#This Row],[Response]])=TRUE,1,0)=2,1,"")</f>
        <v>1</v>
      </c>
      <c r="H51" s="5">
        <f>IF(IF(Table442818505258[[#This Row],[Pre or Post]]="Post",1,0)+IF(ISNUMBER(Table442818505258[[#This Row],[Response]])=TRUE,1,0)=2,Table442818505258[[#This Row],[Response]],"")</f>
        <v>4</v>
      </c>
      <c r="I51" s="5" t="str">
        <f>IF(Table442818505258[[#This Row],[Old or New?]]="New",Table442818505258[[#This Row],[Post Total]],"")</f>
        <v/>
      </c>
      <c r="J51" s="5">
        <f>IF(Table442818505258[[#This Row],[Old or New?]]="Old",Table442818505258[[#This Row],[Post Total]],"")</f>
        <v>4</v>
      </c>
      <c r="K51" s="5" t="b">
        <f>ISNUMBER(Table442818505258[[#This Row],[New]])</f>
        <v>0</v>
      </c>
      <c r="L51" s="5" t="b">
        <f>ISNUMBER(Table442818505258[[#This Row],[Old]])</f>
        <v>1</v>
      </c>
    </row>
    <row r="52" spans="1:12">
      <c r="A52" s="2" t="s">
        <v>12</v>
      </c>
      <c r="B52" s="2" t="s">
        <v>5</v>
      </c>
      <c r="C52" s="1">
        <v>10</v>
      </c>
      <c r="D52" s="2" t="s">
        <v>16</v>
      </c>
      <c r="E52" s="1">
        <v>5</v>
      </c>
      <c r="F52" s="1">
        <v>5</v>
      </c>
      <c r="G52" s="5">
        <f>IF(IF(Table442818505258[[#This Row],[Pre or Post]]="Post",1,0)+IF(ISNUMBER(Table442818505258[[#This Row],[Response]])=TRUE,1,0)=2,1,"")</f>
        <v>1</v>
      </c>
      <c r="H52" s="5">
        <f>IF(IF(Table442818505258[[#This Row],[Pre or Post]]="Post",1,0)+IF(ISNUMBER(Table442818505258[[#This Row],[Response]])=TRUE,1,0)=2,Table442818505258[[#This Row],[Response]],"")</f>
        <v>5</v>
      </c>
      <c r="I52" s="5" t="str">
        <f>IF(Table442818505258[[#This Row],[Old or New?]]="New",Table442818505258[[#This Row],[Post Total]],"")</f>
        <v/>
      </c>
      <c r="J52" s="5">
        <f>IF(Table442818505258[[#This Row],[Old or New?]]="Old",Table442818505258[[#This Row],[Post Total]],"")</f>
        <v>5</v>
      </c>
      <c r="K52" s="5" t="b">
        <f>ISNUMBER(Table442818505258[[#This Row],[New]])</f>
        <v>0</v>
      </c>
      <c r="L52" s="5" t="b">
        <f>ISNUMBER(Table442818505258[[#This Row],[Old]])</f>
        <v>1</v>
      </c>
    </row>
    <row r="53" spans="1:12">
      <c r="A53" s="2" t="s">
        <v>12</v>
      </c>
      <c r="B53" s="2" t="s">
        <v>5</v>
      </c>
      <c r="C53" s="1">
        <v>11</v>
      </c>
      <c r="D53" s="2" t="s">
        <v>16</v>
      </c>
      <c r="E53" s="1">
        <v>5</v>
      </c>
      <c r="F53" s="1">
        <v>5</v>
      </c>
      <c r="G53" s="5">
        <f>IF(IF(Table442818505258[[#This Row],[Pre or Post]]="Post",1,0)+IF(ISNUMBER(Table442818505258[[#This Row],[Response]])=TRUE,1,0)=2,1,"")</f>
        <v>1</v>
      </c>
      <c r="H53" s="5">
        <f>IF(IF(Table442818505258[[#This Row],[Pre or Post]]="Post",1,0)+IF(ISNUMBER(Table442818505258[[#This Row],[Response]])=TRUE,1,0)=2,Table442818505258[[#This Row],[Response]],"")</f>
        <v>5</v>
      </c>
      <c r="I53" s="5" t="str">
        <f>IF(Table442818505258[[#This Row],[Old or New?]]="New",Table442818505258[[#This Row],[Post Total]],"")</f>
        <v/>
      </c>
      <c r="J53" s="5">
        <f>IF(Table442818505258[[#This Row],[Old or New?]]="Old",Table442818505258[[#This Row],[Post Total]],"")</f>
        <v>5</v>
      </c>
      <c r="K53" s="5" t="b">
        <f>ISNUMBER(Table442818505258[[#This Row],[New]])</f>
        <v>0</v>
      </c>
      <c r="L53" s="5" t="b">
        <f>ISNUMBER(Table442818505258[[#This Row],[Old]])</f>
        <v>1</v>
      </c>
    </row>
    <row r="54" spans="1:12">
      <c r="A54" s="2" t="s">
        <v>12</v>
      </c>
      <c r="B54" s="2" t="s">
        <v>5</v>
      </c>
      <c r="C54" s="1">
        <v>12</v>
      </c>
      <c r="D54" s="2" t="s">
        <v>16</v>
      </c>
      <c r="E54" s="1">
        <v>5</v>
      </c>
      <c r="F54" s="1">
        <v>5</v>
      </c>
      <c r="G54" s="5">
        <f>IF(IF(Table442818505258[[#This Row],[Pre or Post]]="Post",1,0)+IF(ISNUMBER(Table442818505258[[#This Row],[Response]])=TRUE,1,0)=2,1,"")</f>
        <v>1</v>
      </c>
      <c r="H54" s="5">
        <f>IF(IF(Table442818505258[[#This Row],[Pre or Post]]="Post",1,0)+IF(ISNUMBER(Table442818505258[[#This Row],[Response]])=TRUE,1,0)=2,Table442818505258[[#This Row],[Response]],"")</f>
        <v>5</v>
      </c>
      <c r="I54" s="5" t="str">
        <f>IF(Table442818505258[[#This Row],[Old or New?]]="New",Table442818505258[[#This Row],[Post Total]],"")</f>
        <v/>
      </c>
      <c r="J54" s="5">
        <f>IF(Table442818505258[[#This Row],[Old or New?]]="Old",Table442818505258[[#This Row],[Post Total]],"")</f>
        <v>5</v>
      </c>
      <c r="K54" s="5" t="b">
        <f>ISNUMBER(Table442818505258[[#This Row],[New]])</f>
        <v>0</v>
      </c>
      <c r="L54" s="5" t="b">
        <f>ISNUMBER(Table442818505258[[#This Row],[Old]])</f>
        <v>1</v>
      </c>
    </row>
    <row r="55" spans="1:12">
      <c r="A55" s="2" t="s">
        <v>12</v>
      </c>
      <c r="B55" s="2" t="s">
        <v>5</v>
      </c>
      <c r="C55" s="1">
        <v>13</v>
      </c>
      <c r="D55" s="2" t="s">
        <v>16</v>
      </c>
      <c r="E55" s="1">
        <v>5</v>
      </c>
      <c r="F55" s="1">
        <v>4</v>
      </c>
      <c r="G55" s="5">
        <f>IF(IF(Table442818505258[[#This Row],[Pre or Post]]="Post",1,0)+IF(ISNUMBER(Table442818505258[[#This Row],[Response]])=TRUE,1,0)=2,1,"")</f>
        <v>1</v>
      </c>
      <c r="H55" s="5">
        <f>IF(IF(Table442818505258[[#This Row],[Pre or Post]]="Post",1,0)+IF(ISNUMBER(Table442818505258[[#This Row],[Response]])=TRUE,1,0)=2,Table442818505258[[#This Row],[Response]],"")</f>
        <v>4</v>
      </c>
      <c r="I55" s="5" t="str">
        <f>IF(Table442818505258[[#This Row],[Old or New?]]="New",Table442818505258[[#This Row],[Post Total]],"")</f>
        <v/>
      </c>
      <c r="J55" s="5">
        <f>IF(Table442818505258[[#This Row],[Old or New?]]="Old",Table442818505258[[#This Row],[Post Total]],"")</f>
        <v>4</v>
      </c>
      <c r="K55" s="5" t="b">
        <f>ISNUMBER(Table442818505258[[#This Row],[New]])</f>
        <v>0</v>
      </c>
      <c r="L55" s="5" t="b">
        <f>ISNUMBER(Table442818505258[[#This Row],[Old]])</f>
        <v>1</v>
      </c>
    </row>
    <row r="56" spans="1:12">
      <c r="A56" s="2" t="s">
        <v>12</v>
      </c>
      <c r="B56" s="2" t="s">
        <v>5</v>
      </c>
      <c r="C56" s="1">
        <v>14</v>
      </c>
      <c r="D56" s="2" t="s">
        <v>16</v>
      </c>
      <c r="E56" s="1">
        <v>5</v>
      </c>
      <c r="F56" s="1">
        <v>3</v>
      </c>
      <c r="G56" s="5">
        <f>IF(IF(Table442818505258[[#This Row],[Pre or Post]]="Post",1,0)+IF(ISNUMBER(Table442818505258[[#This Row],[Response]])=TRUE,1,0)=2,1,"")</f>
        <v>1</v>
      </c>
      <c r="H56" s="5">
        <f>IF(IF(Table442818505258[[#This Row],[Pre or Post]]="Post",1,0)+IF(ISNUMBER(Table442818505258[[#This Row],[Response]])=TRUE,1,0)=2,Table442818505258[[#This Row],[Response]],"")</f>
        <v>3</v>
      </c>
      <c r="I56" s="5" t="str">
        <f>IF(Table442818505258[[#This Row],[Old or New?]]="New",Table442818505258[[#This Row],[Post Total]],"")</f>
        <v/>
      </c>
      <c r="J56" s="5">
        <f>IF(Table442818505258[[#This Row],[Old or New?]]="Old",Table442818505258[[#This Row],[Post Total]],"")</f>
        <v>3</v>
      </c>
      <c r="K56" s="5" t="b">
        <f>ISNUMBER(Table442818505258[[#This Row],[New]])</f>
        <v>0</v>
      </c>
      <c r="L56" s="5" t="b">
        <f>ISNUMBER(Table442818505258[[#This Row],[Old]])</f>
        <v>1</v>
      </c>
    </row>
    <row r="57" spans="1:12">
      <c r="A57" s="2" t="s">
        <v>12</v>
      </c>
      <c r="B57" s="2" t="s">
        <v>5</v>
      </c>
      <c r="C57" s="1">
        <v>15</v>
      </c>
      <c r="D57" s="2" t="s">
        <v>16</v>
      </c>
      <c r="E57" s="1">
        <v>5</v>
      </c>
      <c r="F57" s="1">
        <v>5</v>
      </c>
      <c r="G57" s="5">
        <f>IF(IF(Table442818505258[[#This Row],[Pre or Post]]="Post",1,0)+IF(ISNUMBER(Table442818505258[[#This Row],[Response]])=TRUE,1,0)=2,1,"")</f>
        <v>1</v>
      </c>
      <c r="H57" s="5">
        <f>IF(IF(Table442818505258[[#This Row],[Pre or Post]]="Post",1,0)+IF(ISNUMBER(Table442818505258[[#This Row],[Response]])=TRUE,1,0)=2,Table442818505258[[#This Row],[Response]],"")</f>
        <v>5</v>
      </c>
      <c r="I57" s="5" t="str">
        <f>IF(Table442818505258[[#This Row],[Old or New?]]="New",Table442818505258[[#This Row],[Post Total]],"")</f>
        <v/>
      </c>
      <c r="J57" s="5">
        <f>IF(Table442818505258[[#This Row],[Old or New?]]="Old",Table442818505258[[#This Row],[Post Total]],"")</f>
        <v>5</v>
      </c>
      <c r="K57" s="5" t="b">
        <f>ISNUMBER(Table442818505258[[#This Row],[New]])</f>
        <v>0</v>
      </c>
      <c r="L57" s="5" t="b">
        <f>ISNUMBER(Table442818505258[[#This Row],[Old]])</f>
        <v>1</v>
      </c>
    </row>
    <row r="58" spans="1:12">
      <c r="A58" s="2" t="s">
        <v>12</v>
      </c>
      <c r="B58" s="2" t="s">
        <v>5</v>
      </c>
      <c r="C58" s="1">
        <v>16</v>
      </c>
      <c r="D58" s="2" t="s">
        <v>16</v>
      </c>
      <c r="E58" s="1">
        <v>5</v>
      </c>
      <c r="F58" s="1">
        <v>4</v>
      </c>
      <c r="G58" s="5">
        <f>IF(IF(Table442818505258[[#This Row],[Pre or Post]]="Post",1,0)+IF(ISNUMBER(Table442818505258[[#This Row],[Response]])=TRUE,1,0)=2,1,"")</f>
        <v>1</v>
      </c>
      <c r="H58" s="5">
        <f>IF(IF(Table442818505258[[#This Row],[Pre or Post]]="Post",1,0)+IF(ISNUMBER(Table442818505258[[#This Row],[Response]])=TRUE,1,0)=2,Table442818505258[[#This Row],[Response]],"")</f>
        <v>4</v>
      </c>
      <c r="I58" s="5" t="str">
        <f>IF(Table442818505258[[#This Row],[Old or New?]]="New",Table442818505258[[#This Row],[Post Total]],"")</f>
        <v/>
      </c>
      <c r="J58" s="5">
        <f>IF(Table442818505258[[#This Row],[Old or New?]]="Old",Table442818505258[[#This Row],[Post Total]],"")</f>
        <v>4</v>
      </c>
      <c r="K58" s="5" t="b">
        <f>ISNUMBER(Table442818505258[[#This Row],[New]])</f>
        <v>0</v>
      </c>
      <c r="L58" s="5" t="b">
        <f>ISNUMBER(Table442818505258[[#This Row],[Old]])</f>
        <v>1</v>
      </c>
    </row>
    <row r="59" spans="1:12">
      <c r="A59" s="2" t="s">
        <v>12</v>
      </c>
      <c r="B59" s="2" t="s">
        <v>5</v>
      </c>
      <c r="C59" s="1">
        <v>17</v>
      </c>
      <c r="D59" s="2" t="s">
        <v>16</v>
      </c>
      <c r="E59" s="1">
        <v>5</v>
      </c>
      <c r="F59" s="1">
        <v>5</v>
      </c>
      <c r="G59" s="5">
        <f>IF(IF(Table442818505258[[#This Row],[Pre or Post]]="Post",1,0)+IF(ISNUMBER(Table442818505258[[#This Row],[Response]])=TRUE,1,0)=2,1,"")</f>
        <v>1</v>
      </c>
      <c r="H59" s="5">
        <f>IF(IF(Table442818505258[[#This Row],[Pre or Post]]="Post",1,0)+IF(ISNUMBER(Table442818505258[[#This Row],[Response]])=TRUE,1,0)=2,Table442818505258[[#This Row],[Response]],"")</f>
        <v>5</v>
      </c>
      <c r="I59" s="5" t="str">
        <f>IF(Table442818505258[[#This Row],[Old or New?]]="New",Table442818505258[[#This Row],[Post Total]],"")</f>
        <v/>
      </c>
      <c r="J59" s="5">
        <f>IF(Table442818505258[[#This Row],[Old or New?]]="Old",Table442818505258[[#This Row],[Post Total]],"")</f>
        <v>5</v>
      </c>
      <c r="K59" s="5" t="b">
        <f>ISNUMBER(Table442818505258[[#This Row],[New]])</f>
        <v>0</v>
      </c>
      <c r="L59" s="5" t="b">
        <f>ISNUMBER(Table442818505258[[#This Row],[Old]])</f>
        <v>1</v>
      </c>
    </row>
    <row r="60" spans="1:12">
      <c r="A60" s="2" t="s">
        <v>12</v>
      </c>
      <c r="B60" s="2" t="s">
        <v>5</v>
      </c>
      <c r="C60" s="1">
        <v>18</v>
      </c>
      <c r="D60" s="2" t="s">
        <v>16</v>
      </c>
      <c r="E60" s="1">
        <v>5</v>
      </c>
      <c r="F60" s="1">
        <v>4</v>
      </c>
      <c r="G60" s="5">
        <f>IF(IF(Table442818505258[[#This Row],[Pre or Post]]="Post",1,0)+IF(ISNUMBER(Table442818505258[[#This Row],[Response]])=TRUE,1,0)=2,1,"")</f>
        <v>1</v>
      </c>
      <c r="H60" s="5">
        <f>IF(IF(Table442818505258[[#This Row],[Pre or Post]]="Post",1,0)+IF(ISNUMBER(Table442818505258[[#This Row],[Response]])=TRUE,1,0)=2,Table442818505258[[#This Row],[Response]],"")</f>
        <v>4</v>
      </c>
      <c r="I60" s="5" t="str">
        <f>IF(Table442818505258[[#This Row],[Old or New?]]="New",Table442818505258[[#This Row],[Post Total]],"")</f>
        <v/>
      </c>
      <c r="J60" s="5">
        <f>IF(Table442818505258[[#This Row],[Old or New?]]="Old",Table442818505258[[#This Row],[Post Total]],"")</f>
        <v>4</v>
      </c>
      <c r="K60" s="5" t="b">
        <f>ISNUMBER(Table442818505258[[#This Row],[New]])</f>
        <v>0</v>
      </c>
      <c r="L60" s="5" t="b">
        <f>ISNUMBER(Table442818505258[[#This Row],[Old]])</f>
        <v>1</v>
      </c>
    </row>
    <row r="61" spans="1:12">
      <c r="A61" s="2" t="s">
        <v>12</v>
      </c>
      <c r="B61" s="2" t="s">
        <v>5</v>
      </c>
      <c r="C61" s="2">
        <v>19</v>
      </c>
      <c r="D61" s="2" t="s">
        <v>16</v>
      </c>
      <c r="E61" s="1">
        <v>5</v>
      </c>
      <c r="F61" s="2">
        <v>4</v>
      </c>
      <c r="G61" s="5">
        <f>IF(IF(Table442818505258[[#This Row],[Pre or Post]]="Post",1,0)+IF(ISNUMBER(Table442818505258[[#This Row],[Response]])=TRUE,1,0)=2,1,"")</f>
        <v>1</v>
      </c>
      <c r="H61" s="5">
        <f>IF(IF(Table442818505258[[#This Row],[Pre or Post]]="Post",1,0)+IF(ISNUMBER(Table442818505258[[#This Row],[Response]])=TRUE,1,0)=2,Table442818505258[[#This Row],[Response]],"")</f>
        <v>4</v>
      </c>
      <c r="I61" s="5" t="str">
        <f>IF(Table442818505258[[#This Row],[Old or New?]]="New",Table442818505258[[#This Row],[Post Total]],"")</f>
        <v/>
      </c>
      <c r="J61" s="5">
        <f>IF(Table442818505258[[#This Row],[Old or New?]]="Old",Table442818505258[[#This Row],[Post Total]],"")</f>
        <v>4</v>
      </c>
      <c r="K61" s="5" t="b">
        <f>ISNUMBER(Table442818505258[[#This Row],[New]])</f>
        <v>0</v>
      </c>
      <c r="L61" s="5" t="b">
        <f>ISNUMBER(Table442818505258[[#This Row],[Old]])</f>
        <v>1</v>
      </c>
    </row>
    <row r="62" spans="1:12">
      <c r="A62" s="2" t="s">
        <v>12</v>
      </c>
      <c r="B62" s="2" t="s">
        <v>5</v>
      </c>
      <c r="C62" s="2">
        <v>20</v>
      </c>
      <c r="D62" s="2" t="s">
        <v>16</v>
      </c>
      <c r="E62" s="1">
        <v>5</v>
      </c>
      <c r="F62" s="2">
        <v>3</v>
      </c>
      <c r="G62" s="5">
        <f>IF(IF(Table442818505258[[#This Row],[Pre or Post]]="Post",1,0)+IF(ISNUMBER(Table442818505258[[#This Row],[Response]])=TRUE,1,0)=2,1,"")</f>
        <v>1</v>
      </c>
      <c r="H62" s="5">
        <f>IF(IF(Table442818505258[[#This Row],[Pre or Post]]="Post",1,0)+IF(ISNUMBER(Table442818505258[[#This Row],[Response]])=TRUE,1,0)=2,Table442818505258[[#This Row],[Response]],"")</f>
        <v>3</v>
      </c>
      <c r="I62" s="5" t="str">
        <f>IF(Table442818505258[[#This Row],[Old or New?]]="New",Table442818505258[[#This Row],[Post Total]],"")</f>
        <v/>
      </c>
      <c r="J62" s="5">
        <f>IF(Table442818505258[[#This Row],[Old or New?]]="Old",Table442818505258[[#This Row],[Post Total]],"")</f>
        <v>3</v>
      </c>
      <c r="K62" s="5" t="b">
        <f>ISNUMBER(Table442818505258[[#This Row],[New]])</f>
        <v>0</v>
      </c>
      <c r="L62" s="5" t="b">
        <f>ISNUMBER(Table442818505258[[#This Row],[Old]])</f>
        <v>1</v>
      </c>
    </row>
    <row r="63" spans="1:12">
      <c r="A63" s="2" t="s">
        <v>12</v>
      </c>
      <c r="B63" s="2" t="s">
        <v>5</v>
      </c>
      <c r="C63" s="2">
        <v>21</v>
      </c>
      <c r="D63" s="2" t="s">
        <v>16</v>
      </c>
      <c r="E63" s="1">
        <v>5</v>
      </c>
      <c r="F63" s="2">
        <v>4</v>
      </c>
      <c r="G63" s="5">
        <f>IF(IF(Table442818505258[[#This Row],[Pre or Post]]="Post",1,0)+IF(ISNUMBER(Table442818505258[[#This Row],[Response]])=TRUE,1,0)=2,1,"")</f>
        <v>1</v>
      </c>
      <c r="H63" s="5">
        <f>IF(IF(Table442818505258[[#This Row],[Pre or Post]]="Post",1,0)+IF(ISNUMBER(Table442818505258[[#This Row],[Response]])=TRUE,1,0)=2,Table442818505258[[#This Row],[Response]],"")</f>
        <v>4</v>
      </c>
      <c r="I63" s="5" t="str">
        <f>IF(Table442818505258[[#This Row],[Old or New?]]="New",Table442818505258[[#This Row],[Post Total]],"")</f>
        <v/>
      </c>
      <c r="J63" s="5">
        <f>IF(Table442818505258[[#This Row],[Old or New?]]="Old",Table442818505258[[#This Row],[Post Total]],"")</f>
        <v>4</v>
      </c>
      <c r="K63" s="5" t="b">
        <f>ISNUMBER(Table442818505258[[#This Row],[New]])</f>
        <v>0</v>
      </c>
      <c r="L63" s="5" t="b">
        <f>ISNUMBER(Table442818505258[[#This Row],[Old]])</f>
        <v>1</v>
      </c>
    </row>
    <row r="64" spans="1:12">
      <c r="A64" s="2" t="s">
        <v>12</v>
      </c>
      <c r="B64" s="2" t="s">
        <v>5</v>
      </c>
      <c r="C64" s="2">
        <v>22</v>
      </c>
      <c r="D64" s="2" t="s">
        <v>16</v>
      </c>
      <c r="E64" s="1">
        <v>5</v>
      </c>
      <c r="F64" s="2">
        <v>4</v>
      </c>
      <c r="G64" s="5">
        <f>IF(IF(Table442818505258[[#This Row],[Pre or Post]]="Post",1,0)+IF(ISNUMBER(Table442818505258[[#This Row],[Response]])=TRUE,1,0)=2,1,"")</f>
        <v>1</v>
      </c>
      <c r="H64" s="5">
        <f>IF(IF(Table442818505258[[#This Row],[Pre or Post]]="Post",1,0)+IF(ISNUMBER(Table442818505258[[#This Row],[Response]])=TRUE,1,0)=2,Table442818505258[[#This Row],[Response]],"")</f>
        <v>4</v>
      </c>
      <c r="I64" s="5" t="str">
        <f>IF(Table442818505258[[#This Row],[Old or New?]]="New",Table442818505258[[#This Row],[Post Total]],"")</f>
        <v/>
      </c>
      <c r="J64" s="5">
        <f>IF(Table442818505258[[#This Row],[Old or New?]]="Old",Table442818505258[[#This Row],[Post Total]],"")</f>
        <v>4</v>
      </c>
      <c r="K64" s="5" t="b">
        <f>ISNUMBER(Table442818505258[[#This Row],[New]])</f>
        <v>0</v>
      </c>
      <c r="L64" s="5" t="b">
        <f>ISNUMBER(Table442818505258[[#This Row],[Old]])</f>
        <v>1</v>
      </c>
    </row>
    <row r="65" spans="1:12">
      <c r="A65" s="2" t="s">
        <v>12</v>
      </c>
      <c r="B65" s="2" t="s">
        <v>5</v>
      </c>
      <c r="C65" s="2">
        <v>23</v>
      </c>
      <c r="D65" s="2" t="s">
        <v>16</v>
      </c>
      <c r="E65" s="1">
        <v>5</v>
      </c>
      <c r="F65" s="2">
        <v>4</v>
      </c>
      <c r="G65" s="5">
        <f>IF(IF(Table442818505258[[#This Row],[Pre or Post]]="Post",1,0)+IF(ISNUMBER(Table442818505258[[#This Row],[Response]])=TRUE,1,0)=2,1,"")</f>
        <v>1</v>
      </c>
      <c r="H65" s="5">
        <f>IF(IF(Table442818505258[[#This Row],[Pre or Post]]="Post",1,0)+IF(ISNUMBER(Table442818505258[[#This Row],[Response]])=TRUE,1,0)=2,Table442818505258[[#This Row],[Response]],"")</f>
        <v>4</v>
      </c>
      <c r="I65" s="5" t="str">
        <f>IF(Table442818505258[[#This Row],[Old or New?]]="New",Table442818505258[[#This Row],[Post Total]],"")</f>
        <v/>
      </c>
      <c r="J65" s="5">
        <f>IF(Table442818505258[[#This Row],[Old or New?]]="Old",Table442818505258[[#This Row],[Post Total]],"")</f>
        <v>4</v>
      </c>
      <c r="K65" s="5" t="b">
        <f>ISNUMBER(Table442818505258[[#This Row],[New]])</f>
        <v>0</v>
      </c>
      <c r="L65" s="5" t="b">
        <f>ISNUMBER(Table442818505258[[#This Row],[Old]])</f>
        <v>1</v>
      </c>
    </row>
    <row r="66" spans="1:12">
      <c r="A66" s="2" t="s">
        <v>12</v>
      </c>
      <c r="B66" s="2" t="s">
        <v>5</v>
      </c>
      <c r="C66" s="2">
        <v>24</v>
      </c>
      <c r="D66" s="2" t="s">
        <v>16</v>
      </c>
      <c r="E66" s="1">
        <v>5</v>
      </c>
      <c r="F66" s="2">
        <v>4</v>
      </c>
      <c r="G66" s="5">
        <f>IF(IF(Table442818505258[[#This Row],[Pre or Post]]="Post",1,0)+IF(ISNUMBER(Table442818505258[[#This Row],[Response]])=TRUE,1,0)=2,1,"")</f>
        <v>1</v>
      </c>
      <c r="H66" s="5">
        <f>IF(IF(Table442818505258[[#This Row],[Pre or Post]]="Post",1,0)+IF(ISNUMBER(Table442818505258[[#This Row],[Response]])=TRUE,1,0)=2,Table442818505258[[#This Row],[Response]],"")</f>
        <v>4</v>
      </c>
      <c r="I66" s="5" t="str">
        <f>IF(Table442818505258[[#This Row],[Old or New?]]="New",Table442818505258[[#This Row],[Post Total]],"")</f>
        <v/>
      </c>
      <c r="J66" s="5">
        <f>IF(Table442818505258[[#This Row],[Old or New?]]="Old",Table442818505258[[#This Row],[Post Total]],"")</f>
        <v>4</v>
      </c>
      <c r="K66" s="5" t="b">
        <f>ISNUMBER(Table442818505258[[#This Row],[New]])</f>
        <v>0</v>
      </c>
      <c r="L66" s="5" t="b">
        <f>ISNUMBER(Table442818505258[[#This Row],[Old]])</f>
        <v>1</v>
      </c>
    </row>
    <row r="67" spans="1:12">
      <c r="A67" s="1" t="s">
        <v>24</v>
      </c>
      <c r="B67" s="1" t="s">
        <v>23</v>
      </c>
      <c r="C67" s="1">
        <v>1</v>
      </c>
      <c r="D67" s="1" t="s">
        <v>16</v>
      </c>
      <c r="E67" s="1">
        <v>5</v>
      </c>
      <c r="F67" s="1">
        <v>4</v>
      </c>
      <c r="G67" s="5">
        <f>IF(IF(Table442818505258[[#This Row],[Pre or Post]]="Post",1,0)+IF(ISNUMBER(Table442818505258[[#This Row],[Response]])=TRUE,1,0)=2,1,"")</f>
        <v>1</v>
      </c>
      <c r="H67" s="5">
        <f>IF(IF(Table442818505258[[#This Row],[Pre or Post]]="Post",1,0)+IF(ISNUMBER(Table442818505258[[#This Row],[Response]])=TRUE,1,0)=2,Table442818505258[[#This Row],[Response]],"")</f>
        <v>4</v>
      </c>
      <c r="I67" s="5">
        <f>IF(Table442818505258[[#This Row],[Old or New?]]="New",Table442818505258[[#This Row],[Post Total]],"")</f>
        <v>4</v>
      </c>
      <c r="J67" s="5" t="str">
        <f>IF(Table442818505258[[#This Row],[Old or New?]]="Old",Table442818505258[[#This Row],[Post Total]],"")</f>
        <v/>
      </c>
      <c r="K67" s="5" t="b">
        <f>ISNUMBER(Table442818505258[[#This Row],[New]])</f>
        <v>1</v>
      </c>
      <c r="L67" s="5" t="b">
        <f>ISNUMBER(Table442818505258[[#This Row],[Old]])</f>
        <v>0</v>
      </c>
    </row>
    <row r="68" spans="1:12">
      <c r="A68" s="1" t="s">
        <v>24</v>
      </c>
      <c r="B68" s="1" t="s">
        <v>23</v>
      </c>
      <c r="C68" s="1">
        <v>2</v>
      </c>
      <c r="D68" s="1" t="s">
        <v>16</v>
      </c>
      <c r="E68" s="1">
        <v>5</v>
      </c>
      <c r="F68" s="1">
        <v>1</v>
      </c>
      <c r="G68" s="5">
        <f>IF(IF(Table442818505258[[#This Row],[Pre or Post]]="Post",1,0)+IF(ISNUMBER(Table442818505258[[#This Row],[Response]])=TRUE,1,0)=2,1,"")</f>
        <v>1</v>
      </c>
      <c r="H68" s="5">
        <f>IF(IF(Table442818505258[[#This Row],[Pre or Post]]="Post",1,0)+IF(ISNUMBER(Table442818505258[[#This Row],[Response]])=TRUE,1,0)=2,Table442818505258[[#This Row],[Response]],"")</f>
        <v>1</v>
      </c>
      <c r="I68" s="5">
        <f>IF(Table442818505258[[#This Row],[Old or New?]]="New",Table442818505258[[#This Row],[Post Total]],"")</f>
        <v>1</v>
      </c>
      <c r="J68" s="5" t="str">
        <f>IF(Table442818505258[[#This Row],[Old or New?]]="Old",Table442818505258[[#This Row],[Post Total]],"")</f>
        <v/>
      </c>
      <c r="K68" s="5" t="b">
        <f>ISNUMBER(Table442818505258[[#This Row],[New]])</f>
        <v>1</v>
      </c>
      <c r="L68" s="5" t="b">
        <f>ISNUMBER(Table442818505258[[#This Row],[Old]])</f>
        <v>0</v>
      </c>
    </row>
    <row r="69" spans="1:12">
      <c r="A69" s="1" t="s">
        <v>24</v>
      </c>
      <c r="B69" s="1" t="s">
        <v>23</v>
      </c>
      <c r="C69" s="1">
        <v>3</v>
      </c>
      <c r="D69" s="1" t="s">
        <v>16</v>
      </c>
      <c r="E69" s="1">
        <v>5</v>
      </c>
      <c r="F69" s="1">
        <v>3</v>
      </c>
      <c r="G69" s="5">
        <f>IF(IF(Table442818505258[[#This Row],[Pre or Post]]="Post",1,0)+IF(ISNUMBER(Table442818505258[[#This Row],[Response]])=TRUE,1,0)=2,1,"")</f>
        <v>1</v>
      </c>
      <c r="H69" s="5">
        <f>IF(IF(Table442818505258[[#This Row],[Pre or Post]]="Post",1,0)+IF(ISNUMBER(Table442818505258[[#This Row],[Response]])=TRUE,1,0)=2,Table442818505258[[#This Row],[Response]],"")</f>
        <v>3</v>
      </c>
      <c r="I69" s="5">
        <f>IF(Table442818505258[[#This Row],[Old or New?]]="New",Table442818505258[[#This Row],[Post Total]],"")</f>
        <v>3</v>
      </c>
      <c r="J69" s="5" t="str">
        <f>IF(Table442818505258[[#This Row],[Old or New?]]="Old",Table442818505258[[#This Row],[Post Total]],"")</f>
        <v/>
      </c>
      <c r="K69" s="5" t="b">
        <f>ISNUMBER(Table442818505258[[#This Row],[New]])</f>
        <v>1</v>
      </c>
      <c r="L69" s="5" t="b">
        <f>ISNUMBER(Table442818505258[[#This Row],[Old]])</f>
        <v>0</v>
      </c>
    </row>
    <row r="70" spans="1:12">
      <c r="A70" s="1" t="s">
        <v>24</v>
      </c>
      <c r="B70" s="1" t="s">
        <v>23</v>
      </c>
      <c r="C70" s="1">
        <v>4</v>
      </c>
      <c r="D70" s="1" t="s">
        <v>16</v>
      </c>
      <c r="E70" s="1">
        <v>5</v>
      </c>
      <c r="F70" s="1">
        <v>4</v>
      </c>
      <c r="G70" s="5">
        <f>IF(IF(Table442818505258[[#This Row],[Pre or Post]]="Post",1,0)+IF(ISNUMBER(Table442818505258[[#This Row],[Response]])=TRUE,1,0)=2,1,"")</f>
        <v>1</v>
      </c>
      <c r="H70" s="5">
        <f>IF(IF(Table442818505258[[#This Row],[Pre or Post]]="Post",1,0)+IF(ISNUMBER(Table442818505258[[#This Row],[Response]])=TRUE,1,0)=2,Table442818505258[[#This Row],[Response]],"")</f>
        <v>4</v>
      </c>
      <c r="I70" s="5">
        <f>IF(Table442818505258[[#This Row],[Old or New?]]="New",Table442818505258[[#This Row],[Post Total]],"")</f>
        <v>4</v>
      </c>
      <c r="J70" s="5" t="str">
        <f>IF(Table442818505258[[#This Row],[Old or New?]]="Old",Table442818505258[[#This Row],[Post Total]],"")</f>
        <v/>
      </c>
      <c r="K70" s="5" t="b">
        <f>ISNUMBER(Table442818505258[[#This Row],[New]])</f>
        <v>1</v>
      </c>
      <c r="L70" s="5" t="b">
        <f>ISNUMBER(Table442818505258[[#This Row],[Old]])</f>
        <v>0</v>
      </c>
    </row>
    <row r="71" spans="1:12">
      <c r="A71" s="1" t="s">
        <v>24</v>
      </c>
      <c r="B71" s="1" t="s">
        <v>23</v>
      </c>
      <c r="C71" s="1">
        <v>5</v>
      </c>
      <c r="D71" s="1" t="s">
        <v>16</v>
      </c>
      <c r="E71" s="1">
        <v>5</v>
      </c>
      <c r="F71" s="1">
        <v>5</v>
      </c>
      <c r="G71" s="5">
        <f>IF(IF(Table442818505258[[#This Row],[Pre or Post]]="Post",1,0)+IF(ISNUMBER(Table442818505258[[#This Row],[Response]])=TRUE,1,0)=2,1,"")</f>
        <v>1</v>
      </c>
      <c r="H71" s="5">
        <f>IF(IF(Table442818505258[[#This Row],[Pre or Post]]="Post",1,0)+IF(ISNUMBER(Table442818505258[[#This Row],[Response]])=TRUE,1,0)=2,Table442818505258[[#This Row],[Response]],"")</f>
        <v>5</v>
      </c>
      <c r="I71" s="5">
        <f>IF(Table442818505258[[#This Row],[Old or New?]]="New",Table442818505258[[#This Row],[Post Total]],"")</f>
        <v>5</v>
      </c>
      <c r="J71" s="5" t="str">
        <f>IF(Table442818505258[[#This Row],[Old or New?]]="Old",Table442818505258[[#This Row],[Post Total]],"")</f>
        <v/>
      </c>
      <c r="K71" s="5" t="b">
        <f>ISNUMBER(Table442818505258[[#This Row],[New]])</f>
        <v>1</v>
      </c>
      <c r="L71" s="5" t="b">
        <f>ISNUMBER(Table442818505258[[#This Row],[Old]])</f>
        <v>0</v>
      </c>
    </row>
    <row r="72" spans="1:12">
      <c r="A72" s="1" t="s">
        <v>24</v>
      </c>
      <c r="B72" s="1" t="s">
        <v>23</v>
      </c>
      <c r="C72" s="1">
        <v>6</v>
      </c>
      <c r="D72" s="1" t="s">
        <v>16</v>
      </c>
      <c r="E72" s="1">
        <v>5</v>
      </c>
      <c r="F72" s="1">
        <v>4</v>
      </c>
      <c r="G72" s="5">
        <f>IF(IF(Table442818505258[[#This Row],[Pre or Post]]="Post",1,0)+IF(ISNUMBER(Table442818505258[[#This Row],[Response]])=TRUE,1,0)=2,1,"")</f>
        <v>1</v>
      </c>
      <c r="H72" s="5">
        <f>IF(IF(Table442818505258[[#This Row],[Pre or Post]]="Post",1,0)+IF(ISNUMBER(Table442818505258[[#This Row],[Response]])=TRUE,1,0)=2,Table442818505258[[#This Row],[Response]],"")</f>
        <v>4</v>
      </c>
      <c r="I72" s="5">
        <f>IF(Table442818505258[[#This Row],[Old or New?]]="New",Table442818505258[[#This Row],[Post Total]],"")</f>
        <v>4</v>
      </c>
      <c r="J72" s="5" t="str">
        <f>IF(Table442818505258[[#This Row],[Old or New?]]="Old",Table442818505258[[#This Row],[Post Total]],"")</f>
        <v/>
      </c>
      <c r="K72" s="5" t="b">
        <f>ISNUMBER(Table442818505258[[#This Row],[New]])</f>
        <v>1</v>
      </c>
      <c r="L72" s="5" t="b">
        <f>ISNUMBER(Table442818505258[[#This Row],[Old]])</f>
        <v>0</v>
      </c>
    </row>
    <row r="73" spans="1:12">
      <c r="A73" s="1" t="s">
        <v>24</v>
      </c>
      <c r="B73" s="1" t="s">
        <v>23</v>
      </c>
      <c r="C73" s="1">
        <v>7</v>
      </c>
      <c r="D73" s="1" t="s">
        <v>16</v>
      </c>
      <c r="E73" s="1">
        <v>5</v>
      </c>
      <c r="F73" s="1">
        <v>3</v>
      </c>
      <c r="G73" s="5">
        <f>IF(IF(Table442818505258[[#This Row],[Pre or Post]]="Post",1,0)+IF(ISNUMBER(Table442818505258[[#This Row],[Response]])=TRUE,1,0)=2,1,"")</f>
        <v>1</v>
      </c>
      <c r="H73" s="5">
        <f>IF(IF(Table442818505258[[#This Row],[Pre or Post]]="Post",1,0)+IF(ISNUMBER(Table442818505258[[#This Row],[Response]])=TRUE,1,0)=2,Table442818505258[[#This Row],[Response]],"")</f>
        <v>3</v>
      </c>
      <c r="I73" s="5">
        <f>IF(Table442818505258[[#This Row],[Old or New?]]="New",Table442818505258[[#This Row],[Post Total]],"")</f>
        <v>3</v>
      </c>
      <c r="J73" s="5" t="str">
        <f>IF(Table442818505258[[#This Row],[Old or New?]]="Old",Table442818505258[[#This Row],[Post Total]],"")</f>
        <v/>
      </c>
      <c r="K73" s="5" t="b">
        <f>ISNUMBER(Table442818505258[[#This Row],[New]])</f>
        <v>1</v>
      </c>
      <c r="L73" s="5" t="b">
        <f>ISNUMBER(Table442818505258[[#This Row],[Old]])</f>
        <v>0</v>
      </c>
    </row>
    <row r="74" spans="1:12">
      <c r="A74" s="1" t="s">
        <v>24</v>
      </c>
      <c r="B74" s="1" t="s">
        <v>23</v>
      </c>
      <c r="C74" s="1">
        <v>8</v>
      </c>
      <c r="D74" s="1" t="s">
        <v>16</v>
      </c>
      <c r="E74" s="1">
        <v>5</v>
      </c>
      <c r="F74" s="1">
        <v>3</v>
      </c>
      <c r="G74" s="5">
        <f>IF(IF(Table442818505258[[#This Row],[Pre or Post]]="Post",1,0)+IF(ISNUMBER(Table442818505258[[#This Row],[Response]])=TRUE,1,0)=2,1,"")</f>
        <v>1</v>
      </c>
      <c r="H74" s="5">
        <f>IF(IF(Table442818505258[[#This Row],[Pre or Post]]="Post",1,0)+IF(ISNUMBER(Table442818505258[[#This Row],[Response]])=TRUE,1,0)=2,Table442818505258[[#This Row],[Response]],"")</f>
        <v>3</v>
      </c>
      <c r="I74" s="5">
        <f>IF(Table442818505258[[#This Row],[Old or New?]]="New",Table442818505258[[#This Row],[Post Total]],"")</f>
        <v>3</v>
      </c>
      <c r="J74" s="5" t="str">
        <f>IF(Table442818505258[[#This Row],[Old or New?]]="Old",Table442818505258[[#This Row],[Post Total]],"")</f>
        <v/>
      </c>
      <c r="K74" s="5" t="b">
        <f>ISNUMBER(Table442818505258[[#This Row],[New]])</f>
        <v>1</v>
      </c>
      <c r="L74" s="5" t="b">
        <f>ISNUMBER(Table442818505258[[#This Row],[Old]])</f>
        <v>0</v>
      </c>
    </row>
    <row r="75" spans="1:12">
      <c r="A75" s="1" t="s">
        <v>24</v>
      </c>
      <c r="B75" s="1" t="s">
        <v>23</v>
      </c>
      <c r="C75" s="1">
        <v>9</v>
      </c>
      <c r="D75" s="1" t="s">
        <v>16</v>
      </c>
      <c r="E75" s="1">
        <v>5</v>
      </c>
      <c r="F75" s="1">
        <v>3</v>
      </c>
      <c r="G75" s="5">
        <f>IF(IF(Table442818505258[[#This Row],[Pre or Post]]="Post",1,0)+IF(ISNUMBER(Table442818505258[[#This Row],[Response]])=TRUE,1,0)=2,1,"")</f>
        <v>1</v>
      </c>
      <c r="H75" s="5">
        <f>IF(IF(Table442818505258[[#This Row],[Pre or Post]]="Post",1,0)+IF(ISNUMBER(Table442818505258[[#This Row],[Response]])=TRUE,1,0)=2,Table442818505258[[#This Row],[Response]],"")</f>
        <v>3</v>
      </c>
      <c r="I75" s="5">
        <f>IF(Table442818505258[[#This Row],[Old or New?]]="New",Table442818505258[[#This Row],[Post Total]],"")</f>
        <v>3</v>
      </c>
      <c r="J75" s="5" t="str">
        <f>IF(Table442818505258[[#This Row],[Old or New?]]="Old",Table442818505258[[#This Row],[Post Total]],"")</f>
        <v/>
      </c>
      <c r="K75" s="5" t="b">
        <f>ISNUMBER(Table442818505258[[#This Row],[New]])</f>
        <v>1</v>
      </c>
      <c r="L75" s="5" t="b">
        <f>ISNUMBER(Table442818505258[[#This Row],[Old]])</f>
        <v>0</v>
      </c>
    </row>
    <row r="76" spans="1:12">
      <c r="A76" s="1" t="s">
        <v>24</v>
      </c>
      <c r="B76" s="1" t="s">
        <v>23</v>
      </c>
      <c r="C76" s="1">
        <v>10</v>
      </c>
      <c r="D76" s="1" t="s">
        <v>16</v>
      </c>
      <c r="E76" s="1">
        <v>5</v>
      </c>
      <c r="F76" s="1">
        <v>5</v>
      </c>
      <c r="G76" s="5">
        <f>IF(IF(Table442818505258[[#This Row],[Pre or Post]]="Post",1,0)+IF(ISNUMBER(Table442818505258[[#This Row],[Response]])=TRUE,1,0)=2,1,"")</f>
        <v>1</v>
      </c>
      <c r="H76" s="5">
        <f>IF(IF(Table442818505258[[#This Row],[Pre or Post]]="Post",1,0)+IF(ISNUMBER(Table442818505258[[#This Row],[Response]])=TRUE,1,0)=2,Table442818505258[[#This Row],[Response]],"")</f>
        <v>5</v>
      </c>
      <c r="I76" s="5">
        <f>IF(Table442818505258[[#This Row],[Old or New?]]="New",Table442818505258[[#This Row],[Post Total]],"")</f>
        <v>5</v>
      </c>
      <c r="J76" s="5" t="str">
        <f>IF(Table442818505258[[#This Row],[Old or New?]]="Old",Table442818505258[[#This Row],[Post Total]],"")</f>
        <v/>
      </c>
      <c r="K76" s="5" t="b">
        <f>ISNUMBER(Table442818505258[[#This Row],[New]])</f>
        <v>1</v>
      </c>
      <c r="L76" s="5" t="b">
        <f>ISNUMBER(Table442818505258[[#This Row],[Old]])</f>
        <v>0</v>
      </c>
    </row>
    <row r="77" spans="1:12">
      <c r="A77" s="1" t="s">
        <v>24</v>
      </c>
      <c r="B77" s="1" t="s">
        <v>23</v>
      </c>
      <c r="C77" s="1">
        <v>11</v>
      </c>
      <c r="D77" s="1" t="s">
        <v>16</v>
      </c>
      <c r="E77" s="1">
        <v>5</v>
      </c>
      <c r="F77" s="1">
        <v>3</v>
      </c>
      <c r="G77" s="5">
        <f>IF(IF(Table442818505258[[#This Row],[Pre or Post]]="Post",1,0)+IF(ISNUMBER(Table442818505258[[#This Row],[Response]])=TRUE,1,0)=2,1,"")</f>
        <v>1</v>
      </c>
      <c r="H77" s="5">
        <f>IF(IF(Table442818505258[[#This Row],[Pre or Post]]="Post",1,0)+IF(ISNUMBER(Table442818505258[[#This Row],[Response]])=TRUE,1,0)=2,Table442818505258[[#This Row],[Response]],"")</f>
        <v>3</v>
      </c>
      <c r="I77" s="5">
        <f>IF(Table442818505258[[#This Row],[Old or New?]]="New",Table442818505258[[#This Row],[Post Total]],"")</f>
        <v>3</v>
      </c>
      <c r="J77" s="5" t="str">
        <f>IF(Table442818505258[[#This Row],[Old or New?]]="Old",Table442818505258[[#This Row],[Post Total]],"")</f>
        <v/>
      </c>
      <c r="K77" s="5" t="b">
        <f>ISNUMBER(Table442818505258[[#This Row],[New]])</f>
        <v>1</v>
      </c>
      <c r="L77" s="5" t="b">
        <f>ISNUMBER(Table442818505258[[#This Row],[Old]])</f>
        <v>0</v>
      </c>
    </row>
    <row r="78" spans="1:12">
      <c r="A78" s="1" t="s">
        <v>24</v>
      </c>
      <c r="B78" s="1" t="s">
        <v>23</v>
      </c>
      <c r="C78" s="1">
        <v>12</v>
      </c>
      <c r="D78" s="1" t="s">
        <v>16</v>
      </c>
      <c r="E78" s="1">
        <v>5</v>
      </c>
      <c r="F78" s="1">
        <v>3</v>
      </c>
      <c r="G78" s="5">
        <f>IF(IF(Table442818505258[[#This Row],[Pre or Post]]="Post",1,0)+IF(ISNUMBER(Table442818505258[[#This Row],[Response]])=TRUE,1,0)=2,1,"")</f>
        <v>1</v>
      </c>
      <c r="H78" s="5">
        <f>IF(IF(Table442818505258[[#This Row],[Pre or Post]]="Post",1,0)+IF(ISNUMBER(Table442818505258[[#This Row],[Response]])=TRUE,1,0)=2,Table442818505258[[#This Row],[Response]],"")</f>
        <v>3</v>
      </c>
      <c r="I78" s="5">
        <f>IF(Table442818505258[[#This Row],[Old or New?]]="New",Table442818505258[[#This Row],[Post Total]],"")</f>
        <v>3</v>
      </c>
      <c r="J78" s="5" t="str">
        <f>IF(Table442818505258[[#This Row],[Old or New?]]="Old",Table442818505258[[#This Row],[Post Total]],"")</f>
        <v/>
      </c>
      <c r="K78" s="5" t="b">
        <f>ISNUMBER(Table442818505258[[#This Row],[New]])</f>
        <v>1</v>
      </c>
      <c r="L78" s="5" t="b">
        <f>ISNUMBER(Table442818505258[[#This Row],[Old]])</f>
        <v>0</v>
      </c>
    </row>
    <row r="79" spans="1:12">
      <c r="A79" s="1" t="s">
        <v>24</v>
      </c>
      <c r="B79" s="1" t="s">
        <v>23</v>
      </c>
      <c r="C79" s="1">
        <v>13</v>
      </c>
      <c r="D79" s="1" t="s">
        <v>16</v>
      </c>
      <c r="E79" s="1">
        <v>5</v>
      </c>
      <c r="F79" s="1">
        <v>4</v>
      </c>
      <c r="G79" s="5">
        <f>IF(IF(Table442818505258[[#This Row],[Pre or Post]]="Post",1,0)+IF(ISNUMBER(Table442818505258[[#This Row],[Response]])=TRUE,1,0)=2,1,"")</f>
        <v>1</v>
      </c>
      <c r="H79" s="5">
        <f>IF(IF(Table442818505258[[#This Row],[Pre or Post]]="Post",1,0)+IF(ISNUMBER(Table442818505258[[#This Row],[Response]])=TRUE,1,0)=2,Table442818505258[[#This Row],[Response]],"")</f>
        <v>4</v>
      </c>
      <c r="I79" s="5">
        <f>IF(Table442818505258[[#This Row],[Old or New?]]="New",Table442818505258[[#This Row],[Post Total]],"")</f>
        <v>4</v>
      </c>
      <c r="J79" s="5" t="str">
        <f>IF(Table442818505258[[#This Row],[Old or New?]]="Old",Table442818505258[[#This Row],[Post Total]],"")</f>
        <v/>
      </c>
      <c r="K79" s="5" t="b">
        <f>ISNUMBER(Table442818505258[[#This Row],[New]])</f>
        <v>1</v>
      </c>
      <c r="L79" s="5" t="b">
        <f>ISNUMBER(Table442818505258[[#This Row],[Old]])</f>
        <v>0</v>
      </c>
    </row>
    <row r="80" spans="1:12">
      <c r="A80" s="1" t="s">
        <v>24</v>
      </c>
      <c r="B80" s="1" t="s">
        <v>23</v>
      </c>
      <c r="C80" s="1">
        <v>14</v>
      </c>
      <c r="D80" s="1" t="s">
        <v>16</v>
      </c>
      <c r="E80" s="1">
        <v>5</v>
      </c>
      <c r="F80" s="1">
        <v>4</v>
      </c>
      <c r="G80" s="5">
        <f>IF(IF(Table442818505258[[#This Row],[Pre or Post]]="Post",1,0)+IF(ISNUMBER(Table442818505258[[#This Row],[Response]])=TRUE,1,0)=2,1,"")</f>
        <v>1</v>
      </c>
      <c r="H80" s="5">
        <f>IF(IF(Table442818505258[[#This Row],[Pre or Post]]="Post",1,0)+IF(ISNUMBER(Table442818505258[[#This Row],[Response]])=TRUE,1,0)=2,Table442818505258[[#This Row],[Response]],"")</f>
        <v>4</v>
      </c>
      <c r="I80" s="5">
        <f>IF(Table442818505258[[#This Row],[Old or New?]]="New",Table442818505258[[#This Row],[Post Total]],"")</f>
        <v>4</v>
      </c>
      <c r="J80" s="5" t="str">
        <f>IF(Table442818505258[[#This Row],[Old or New?]]="Old",Table442818505258[[#This Row],[Post Total]],"")</f>
        <v/>
      </c>
      <c r="K80" s="5" t="b">
        <f>ISNUMBER(Table442818505258[[#This Row],[New]])</f>
        <v>1</v>
      </c>
      <c r="L80" s="5" t="b">
        <f>ISNUMBER(Table442818505258[[#This Row],[Old]])</f>
        <v>0</v>
      </c>
    </row>
    <row r="81" spans="1:12">
      <c r="A81" s="1" t="s">
        <v>24</v>
      </c>
      <c r="B81" s="1" t="s">
        <v>23</v>
      </c>
      <c r="C81" s="1">
        <v>15</v>
      </c>
      <c r="D81" s="1" t="s">
        <v>16</v>
      </c>
      <c r="E81" s="1">
        <v>5</v>
      </c>
      <c r="F81" s="1">
        <v>5</v>
      </c>
      <c r="G81" s="5">
        <f>IF(IF(Table442818505258[[#This Row],[Pre or Post]]="Post",1,0)+IF(ISNUMBER(Table442818505258[[#This Row],[Response]])=TRUE,1,0)=2,1,"")</f>
        <v>1</v>
      </c>
      <c r="H81" s="5">
        <f>IF(IF(Table442818505258[[#This Row],[Pre or Post]]="Post",1,0)+IF(ISNUMBER(Table442818505258[[#This Row],[Response]])=TRUE,1,0)=2,Table442818505258[[#This Row],[Response]],"")</f>
        <v>5</v>
      </c>
      <c r="I81" s="5">
        <f>IF(Table442818505258[[#This Row],[Old or New?]]="New",Table442818505258[[#This Row],[Post Total]],"")</f>
        <v>5</v>
      </c>
      <c r="J81" s="5" t="str">
        <f>IF(Table442818505258[[#This Row],[Old or New?]]="Old",Table442818505258[[#This Row],[Post Total]],"")</f>
        <v/>
      </c>
      <c r="K81" s="5" t="b">
        <f>ISNUMBER(Table442818505258[[#This Row],[New]])</f>
        <v>1</v>
      </c>
      <c r="L81" s="5" t="b">
        <f>ISNUMBER(Table442818505258[[#This Row],[Old]])</f>
        <v>0</v>
      </c>
    </row>
    <row r="82" spans="1:12">
      <c r="A82" s="1" t="s">
        <v>24</v>
      </c>
      <c r="B82" s="1" t="s">
        <v>23</v>
      </c>
      <c r="C82" s="1">
        <v>16</v>
      </c>
      <c r="D82" s="1" t="s">
        <v>16</v>
      </c>
      <c r="E82" s="1">
        <v>5</v>
      </c>
      <c r="F82" s="1">
        <v>4</v>
      </c>
      <c r="G82" s="5">
        <f>IF(IF(Table442818505258[[#This Row],[Pre or Post]]="Post",1,0)+IF(ISNUMBER(Table442818505258[[#This Row],[Response]])=TRUE,1,0)=2,1,"")</f>
        <v>1</v>
      </c>
      <c r="H82" s="5">
        <f>IF(IF(Table442818505258[[#This Row],[Pre or Post]]="Post",1,0)+IF(ISNUMBER(Table442818505258[[#This Row],[Response]])=TRUE,1,0)=2,Table442818505258[[#This Row],[Response]],"")</f>
        <v>4</v>
      </c>
      <c r="I82" s="5">
        <f>IF(Table442818505258[[#This Row],[Old or New?]]="New",Table442818505258[[#This Row],[Post Total]],"")</f>
        <v>4</v>
      </c>
      <c r="J82" s="5" t="str">
        <f>IF(Table442818505258[[#This Row],[Old or New?]]="Old",Table442818505258[[#This Row],[Post Total]],"")</f>
        <v/>
      </c>
      <c r="K82" s="5" t="b">
        <f>ISNUMBER(Table442818505258[[#This Row],[New]])</f>
        <v>1</v>
      </c>
      <c r="L82" s="5" t="b">
        <f>ISNUMBER(Table442818505258[[#This Row],[Old]])</f>
        <v>0</v>
      </c>
    </row>
    <row r="83" spans="1:12">
      <c r="A83" s="1" t="s">
        <v>24</v>
      </c>
      <c r="B83" s="1" t="s">
        <v>25</v>
      </c>
      <c r="C83" s="1">
        <v>1</v>
      </c>
      <c r="D83" s="1" t="s">
        <v>16</v>
      </c>
      <c r="E83" s="1">
        <v>5</v>
      </c>
      <c r="F83" s="1">
        <v>4</v>
      </c>
      <c r="G83" s="5">
        <f>IF(IF(Table442818505258[[#This Row],[Pre or Post]]="Post",1,0)+IF(ISNUMBER(Table442818505258[[#This Row],[Response]])=TRUE,1,0)=2,1,"")</f>
        <v>1</v>
      </c>
      <c r="H83" s="5">
        <f>IF(IF(Table442818505258[[#This Row],[Pre or Post]]="Post",1,0)+IF(ISNUMBER(Table442818505258[[#This Row],[Response]])=TRUE,1,0)=2,Table442818505258[[#This Row],[Response]],"")</f>
        <v>4</v>
      </c>
      <c r="I83" s="5">
        <f>IF(Table442818505258[[#This Row],[Old or New?]]="New",Table442818505258[[#This Row],[Post Total]],"")</f>
        <v>4</v>
      </c>
      <c r="J83" s="5" t="str">
        <f>IF(Table442818505258[[#This Row],[Old or New?]]="Old",Table442818505258[[#This Row],[Post Total]],"")</f>
        <v/>
      </c>
      <c r="K83" s="5" t="b">
        <f>ISNUMBER(Table442818505258[[#This Row],[New]])</f>
        <v>1</v>
      </c>
      <c r="L83" s="5" t="b">
        <f>ISNUMBER(Table442818505258[[#This Row],[Old]])</f>
        <v>0</v>
      </c>
    </row>
    <row r="84" spans="1:12">
      <c r="A84" s="1" t="s">
        <v>24</v>
      </c>
      <c r="B84" s="1" t="s">
        <v>25</v>
      </c>
      <c r="C84" s="1">
        <v>2</v>
      </c>
      <c r="D84" s="1" t="s">
        <v>16</v>
      </c>
      <c r="E84" s="1">
        <v>5</v>
      </c>
      <c r="F84" s="1">
        <v>4</v>
      </c>
      <c r="G84" s="5">
        <f>IF(IF(Table442818505258[[#This Row],[Pre or Post]]="Post",1,0)+IF(ISNUMBER(Table442818505258[[#This Row],[Response]])=TRUE,1,0)=2,1,"")</f>
        <v>1</v>
      </c>
      <c r="H84" s="5">
        <f>IF(IF(Table442818505258[[#This Row],[Pre or Post]]="Post",1,0)+IF(ISNUMBER(Table442818505258[[#This Row],[Response]])=TRUE,1,0)=2,Table442818505258[[#This Row],[Response]],"")</f>
        <v>4</v>
      </c>
      <c r="I84" s="5">
        <f>IF(Table442818505258[[#This Row],[Old or New?]]="New",Table442818505258[[#This Row],[Post Total]],"")</f>
        <v>4</v>
      </c>
      <c r="J84" s="5" t="str">
        <f>IF(Table442818505258[[#This Row],[Old or New?]]="Old",Table442818505258[[#This Row],[Post Total]],"")</f>
        <v/>
      </c>
      <c r="K84" s="5" t="b">
        <f>ISNUMBER(Table442818505258[[#This Row],[New]])</f>
        <v>1</v>
      </c>
      <c r="L84" s="5" t="b">
        <f>ISNUMBER(Table442818505258[[#This Row],[Old]])</f>
        <v>0</v>
      </c>
    </row>
    <row r="85" spans="1:12">
      <c r="A85" s="1" t="s">
        <v>24</v>
      </c>
      <c r="B85" s="1" t="s">
        <v>25</v>
      </c>
      <c r="C85" s="1">
        <v>3</v>
      </c>
      <c r="D85" s="1" t="s">
        <v>16</v>
      </c>
      <c r="E85" s="1">
        <v>5</v>
      </c>
      <c r="F85" s="1">
        <v>5</v>
      </c>
      <c r="G85" s="5">
        <f>IF(IF(Table442818505258[[#This Row],[Pre or Post]]="Post",1,0)+IF(ISNUMBER(Table442818505258[[#This Row],[Response]])=TRUE,1,0)=2,1,"")</f>
        <v>1</v>
      </c>
      <c r="H85" s="5">
        <f>IF(IF(Table442818505258[[#This Row],[Pre or Post]]="Post",1,0)+IF(ISNUMBER(Table442818505258[[#This Row],[Response]])=TRUE,1,0)=2,Table442818505258[[#This Row],[Response]],"")</f>
        <v>5</v>
      </c>
      <c r="I85" s="5">
        <f>IF(Table442818505258[[#This Row],[Old or New?]]="New",Table442818505258[[#This Row],[Post Total]],"")</f>
        <v>5</v>
      </c>
      <c r="J85" s="5" t="str">
        <f>IF(Table442818505258[[#This Row],[Old or New?]]="Old",Table442818505258[[#This Row],[Post Total]],"")</f>
        <v/>
      </c>
      <c r="K85" s="5" t="b">
        <f>ISNUMBER(Table442818505258[[#This Row],[New]])</f>
        <v>1</v>
      </c>
      <c r="L85" s="5" t="b">
        <f>ISNUMBER(Table442818505258[[#This Row],[Old]])</f>
        <v>0</v>
      </c>
    </row>
    <row r="86" spans="1:12">
      <c r="A86" s="1" t="s">
        <v>24</v>
      </c>
      <c r="B86" s="1" t="s">
        <v>25</v>
      </c>
      <c r="C86" s="1">
        <v>4</v>
      </c>
      <c r="D86" s="1" t="s">
        <v>16</v>
      </c>
      <c r="E86" s="1">
        <v>5</v>
      </c>
      <c r="F86" s="1">
        <v>5</v>
      </c>
      <c r="G86" s="5">
        <f>IF(IF(Table442818505258[[#This Row],[Pre or Post]]="Post",1,0)+IF(ISNUMBER(Table442818505258[[#This Row],[Response]])=TRUE,1,0)=2,1,"")</f>
        <v>1</v>
      </c>
      <c r="H86" s="5">
        <f>IF(IF(Table442818505258[[#This Row],[Pre or Post]]="Post",1,0)+IF(ISNUMBER(Table442818505258[[#This Row],[Response]])=TRUE,1,0)=2,Table442818505258[[#This Row],[Response]],"")</f>
        <v>5</v>
      </c>
      <c r="I86" s="5">
        <f>IF(Table442818505258[[#This Row],[Old or New?]]="New",Table442818505258[[#This Row],[Post Total]],"")</f>
        <v>5</v>
      </c>
      <c r="J86" s="5" t="str">
        <f>IF(Table442818505258[[#This Row],[Old or New?]]="Old",Table442818505258[[#This Row],[Post Total]],"")</f>
        <v/>
      </c>
      <c r="K86" s="5" t="b">
        <f>ISNUMBER(Table442818505258[[#This Row],[New]])</f>
        <v>1</v>
      </c>
      <c r="L86" s="5" t="b">
        <f>ISNUMBER(Table442818505258[[#This Row],[Old]])</f>
        <v>0</v>
      </c>
    </row>
    <row r="87" spans="1:12">
      <c r="A87" s="1" t="s">
        <v>24</v>
      </c>
      <c r="B87" s="1" t="s">
        <v>25</v>
      </c>
      <c r="C87" s="1">
        <v>5</v>
      </c>
      <c r="D87" s="1" t="s">
        <v>16</v>
      </c>
      <c r="E87" s="1">
        <v>5</v>
      </c>
      <c r="F87" s="1">
        <v>4</v>
      </c>
      <c r="G87" s="5">
        <f>IF(IF(Table442818505258[[#This Row],[Pre or Post]]="Post",1,0)+IF(ISNUMBER(Table442818505258[[#This Row],[Response]])=TRUE,1,0)=2,1,"")</f>
        <v>1</v>
      </c>
      <c r="H87" s="5">
        <f>IF(IF(Table442818505258[[#This Row],[Pre or Post]]="Post",1,0)+IF(ISNUMBER(Table442818505258[[#This Row],[Response]])=TRUE,1,0)=2,Table442818505258[[#This Row],[Response]],"")</f>
        <v>4</v>
      </c>
      <c r="I87" s="5">
        <f>IF(Table442818505258[[#This Row],[Old or New?]]="New",Table442818505258[[#This Row],[Post Total]],"")</f>
        <v>4</v>
      </c>
      <c r="J87" s="5" t="str">
        <f>IF(Table442818505258[[#This Row],[Old or New?]]="Old",Table442818505258[[#This Row],[Post Total]],"")</f>
        <v/>
      </c>
      <c r="K87" s="5" t="b">
        <f>ISNUMBER(Table442818505258[[#This Row],[New]])</f>
        <v>1</v>
      </c>
      <c r="L87" s="5" t="b">
        <f>ISNUMBER(Table442818505258[[#This Row],[Old]])</f>
        <v>0</v>
      </c>
    </row>
    <row r="88" spans="1:12">
      <c r="A88" s="1" t="s">
        <v>24</v>
      </c>
      <c r="B88" s="1" t="s">
        <v>25</v>
      </c>
      <c r="C88" s="1">
        <v>6</v>
      </c>
      <c r="D88" s="1" t="s">
        <v>16</v>
      </c>
      <c r="E88" s="1">
        <v>5</v>
      </c>
      <c r="F88" s="1">
        <v>5</v>
      </c>
      <c r="G88" s="5">
        <f>IF(IF(Table442818505258[[#This Row],[Pre or Post]]="Post",1,0)+IF(ISNUMBER(Table442818505258[[#This Row],[Response]])=TRUE,1,0)=2,1,"")</f>
        <v>1</v>
      </c>
      <c r="H88" s="5">
        <f>IF(IF(Table442818505258[[#This Row],[Pre or Post]]="Post",1,0)+IF(ISNUMBER(Table442818505258[[#This Row],[Response]])=TRUE,1,0)=2,Table442818505258[[#This Row],[Response]],"")</f>
        <v>5</v>
      </c>
      <c r="I88" s="5">
        <f>IF(Table442818505258[[#This Row],[Old or New?]]="New",Table442818505258[[#This Row],[Post Total]],"")</f>
        <v>5</v>
      </c>
      <c r="J88" s="5" t="str">
        <f>IF(Table442818505258[[#This Row],[Old or New?]]="Old",Table442818505258[[#This Row],[Post Total]],"")</f>
        <v/>
      </c>
      <c r="K88" s="5" t="b">
        <f>ISNUMBER(Table442818505258[[#This Row],[New]])</f>
        <v>1</v>
      </c>
      <c r="L88" s="5" t="b">
        <f>ISNUMBER(Table442818505258[[#This Row],[Old]])</f>
        <v>0</v>
      </c>
    </row>
    <row r="89" spans="1:12">
      <c r="A89" s="1" t="s">
        <v>24</v>
      </c>
      <c r="B89" s="1" t="s">
        <v>25</v>
      </c>
      <c r="C89" s="1">
        <v>7</v>
      </c>
      <c r="D89" s="1" t="s">
        <v>16</v>
      </c>
      <c r="E89" s="1">
        <v>5</v>
      </c>
      <c r="F89" s="1">
        <v>4</v>
      </c>
      <c r="G89" s="5">
        <f>IF(IF(Table442818505258[[#This Row],[Pre or Post]]="Post",1,0)+IF(ISNUMBER(Table442818505258[[#This Row],[Response]])=TRUE,1,0)=2,1,"")</f>
        <v>1</v>
      </c>
      <c r="H89" s="5">
        <f>IF(IF(Table442818505258[[#This Row],[Pre or Post]]="Post",1,0)+IF(ISNUMBER(Table442818505258[[#This Row],[Response]])=TRUE,1,0)=2,Table442818505258[[#This Row],[Response]],"")</f>
        <v>4</v>
      </c>
      <c r="I89" s="5">
        <f>IF(Table442818505258[[#This Row],[Old or New?]]="New",Table442818505258[[#This Row],[Post Total]],"")</f>
        <v>4</v>
      </c>
      <c r="J89" s="5" t="str">
        <f>IF(Table442818505258[[#This Row],[Old or New?]]="Old",Table442818505258[[#This Row],[Post Total]],"")</f>
        <v/>
      </c>
      <c r="K89" s="5" t="b">
        <f>ISNUMBER(Table442818505258[[#This Row],[New]])</f>
        <v>1</v>
      </c>
      <c r="L89" s="5" t="b">
        <f>ISNUMBER(Table442818505258[[#This Row],[Old]])</f>
        <v>0</v>
      </c>
    </row>
    <row r="90" spans="1:12">
      <c r="A90" s="1" t="s">
        <v>24</v>
      </c>
      <c r="B90" s="1" t="s">
        <v>25</v>
      </c>
      <c r="C90" s="1">
        <v>8</v>
      </c>
      <c r="D90" s="1" t="s">
        <v>16</v>
      </c>
      <c r="E90" s="1">
        <v>5</v>
      </c>
      <c r="F90" s="1">
        <v>4</v>
      </c>
      <c r="G90" s="5">
        <f>IF(IF(Table442818505258[[#This Row],[Pre or Post]]="Post",1,0)+IF(ISNUMBER(Table442818505258[[#This Row],[Response]])=TRUE,1,0)=2,1,"")</f>
        <v>1</v>
      </c>
      <c r="H90" s="5">
        <f>IF(IF(Table442818505258[[#This Row],[Pre or Post]]="Post",1,0)+IF(ISNUMBER(Table442818505258[[#This Row],[Response]])=TRUE,1,0)=2,Table442818505258[[#This Row],[Response]],"")</f>
        <v>4</v>
      </c>
      <c r="I90" s="5">
        <f>IF(Table442818505258[[#This Row],[Old or New?]]="New",Table442818505258[[#This Row],[Post Total]],"")</f>
        <v>4</v>
      </c>
      <c r="J90" s="5" t="str">
        <f>IF(Table442818505258[[#This Row],[Old or New?]]="Old",Table442818505258[[#This Row],[Post Total]],"")</f>
        <v/>
      </c>
      <c r="K90" s="5" t="b">
        <f>ISNUMBER(Table442818505258[[#This Row],[New]])</f>
        <v>1</v>
      </c>
      <c r="L90" s="5" t="b">
        <f>ISNUMBER(Table442818505258[[#This Row],[Old]])</f>
        <v>0</v>
      </c>
    </row>
    <row r="91" spans="1:12">
      <c r="A91" s="1" t="s">
        <v>24</v>
      </c>
      <c r="B91" s="1" t="s">
        <v>25</v>
      </c>
      <c r="C91" s="1">
        <v>9</v>
      </c>
      <c r="D91" s="1" t="s">
        <v>16</v>
      </c>
      <c r="E91" s="1">
        <v>5</v>
      </c>
      <c r="F91" s="1">
        <v>4</v>
      </c>
      <c r="G91" s="5">
        <f>IF(IF(Table442818505258[[#This Row],[Pre or Post]]="Post",1,0)+IF(ISNUMBER(Table442818505258[[#This Row],[Response]])=TRUE,1,0)=2,1,"")</f>
        <v>1</v>
      </c>
      <c r="H91" s="5">
        <f>IF(IF(Table442818505258[[#This Row],[Pre or Post]]="Post",1,0)+IF(ISNUMBER(Table442818505258[[#This Row],[Response]])=TRUE,1,0)=2,Table442818505258[[#This Row],[Response]],"")</f>
        <v>4</v>
      </c>
      <c r="I91" s="5">
        <f>IF(Table442818505258[[#This Row],[Old or New?]]="New",Table442818505258[[#This Row],[Post Total]],"")</f>
        <v>4</v>
      </c>
      <c r="J91" s="5" t="str">
        <f>IF(Table442818505258[[#This Row],[Old or New?]]="Old",Table442818505258[[#This Row],[Post Total]],"")</f>
        <v/>
      </c>
      <c r="K91" s="5" t="b">
        <f>ISNUMBER(Table442818505258[[#This Row],[New]])</f>
        <v>1</v>
      </c>
      <c r="L91" s="5" t="b">
        <f>ISNUMBER(Table442818505258[[#This Row],[Old]])</f>
        <v>0</v>
      </c>
    </row>
    <row r="92" spans="1:12">
      <c r="A92" s="1" t="s">
        <v>24</v>
      </c>
      <c r="B92" s="1" t="s">
        <v>25</v>
      </c>
      <c r="C92" s="1">
        <v>10</v>
      </c>
      <c r="D92" s="1" t="s">
        <v>16</v>
      </c>
      <c r="E92" s="1">
        <v>5</v>
      </c>
      <c r="F92" s="1">
        <v>3</v>
      </c>
      <c r="G92" s="5">
        <f>IF(IF(Table442818505258[[#This Row],[Pre or Post]]="Post",1,0)+IF(ISNUMBER(Table442818505258[[#This Row],[Response]])=TRUE,1,0)=2,1,"")</f>
        <v>1</v>
      </c>
      <c r="H92" s="5">
        <f>IF(IF(Table442818505258[[#This Row],[Pre or Post]]="Post",1,0)+IF(ISNUMBER(Table442818505258[[#This Row],[Response]])=TRUE,1,0)=2,Table442818505258[[#This Row],[Response]],"")</f>
        <v>3</v>
      </c>
      <c r="I92" s="5">
        <f>IF(Table442818505258[[#This Row],[Old or New?]]="New",Table442818505258[[#This Row],[Post Total]],"")</f>
        <v>3</v>
      </c>
      <c r="J92" s="5" t="str">
        <f>IF(Table442818505258[[#This Row],[Old or New?]]="Old",Table442818505258[[#This Row],[Post Total]],"")</f>
        <v/>
      </c>
      <c r="K92" s="5" t="b">
        <f>ISNUMBER(Table442818505258[[#This Row],[New]])</f>
        <v>1</v>
      </c>
      <c r="L92" s="5" t="b">
        <f>ISNUMBER(Table442818505258[[#This Row],[Old]])</f>
        <v>0</v>
      </c>
    </row>
    <row r="93" spans="1:12">
      <c r="A93" s="1" t="s">
        <v>24</v>
      </c>
      <c r="B93" s="1" t="s">
        <v>25</v>
      </c>
      <c r="C93" s="1">
        <v>11</v>
      </c>
      <c r="D93" s="1" t="s">
        <v>16</v>
      </c>
      <c r="E93" s="1">
        <v>5</v>
      </c>
      <c r="F93" s="1">
        <v>4</v>
      </c>
      <c r="G93" s="5">
        <f>IF(IF(Table442818505258[[#This Row],[Pre or Post]]="Post",1,0)+IF(ISNUMBER(Table442818505258[[#This Row],[Response]])=TRUE,1,0)=2,1,"")</f>
        <v>1</v>
      </c>
      <c r="H93" s="5">
        <f>IF(IF(Table442818505258[[#This Row],[Pre or Post]]="Post",1,0)+IF(ISNUMBER(Table442818505258[[#This Row],[Response]])=TRUE,1,0)=2,Table442818505258[[#This Row],[Response]],"")</f>
        <v>4</v>
      </c>
      <c r="I93" s="5">
        <f>IF(Table442818505258[[#This Row],[Old or New?]]="New",Table442818505258[[#This Row],[Post Total]],"")</f>
        <v>4</v>
      </c>
      <c r="J93" s="5" t="str">
        <f>IF(Table442818505258[[#This Row],[Old or New?]]="Old",Table442818505258[[#This Row],[Post Total]],"")</f>
        <v/>
      </c>
      <c r="K93" s="5" t="b">
        <f>ISNUMBER(Table442818505258[[#This Row],[New]])</f>
        <v>1</v>
      </c>
      <c r="L93" s="5" t="b">
        <f>ISNUMBER(Table442818505258[[#This Row],[Old]])</f>
        <v>0</v>
      </c>
    </row>
    <row r="94" spans="1:12">
      <c r="A94" s="1" t="s">
        <v>24</v>
      </c>
      <c r="B94" s="1" t="s">
        <v>25</v>
      </c>
      <c r="C94" s="1">
        <v>12</v>
      </c>
      <c r="D94" s="1" t="s">
        <v>16</v>
      </c>
      <c r="E94" s="1">
        <v>5</v>
      </c>
      <c r="F94" s="1">
        <v>5</v>
      </c>
      <c r="G94" s="5">
        <f>IF(IF(Table442818505258[[#This Row],[Pre or Post]]="Post",1,0)+IF(ISNUMBER(Table442818505258[[#This Row],[Response]])=TRUE,1,0)=2,1,"")</f>
        <v>1</v>
      </c>
      <c r="H94" s="5">
        <f>IF(IF(Table442818505258[[#This Row],[Pre or Post]]="Post",1,0)+IF(ISNUMBER(Table442818505258[[#This Row],[Response]])=TRUE,1,0)=2,Table442818505258[[#This Row],[Response]],"")</f>
        <v>5</v>
      </c>
      <c r="I94" s="5">
        <f>IF(Table442818505258[[#This Row],[Old or New?]]="New",Table442818505258[[#This Row],[Post Total]],"")</f>
        <v>5</v>
      </c>
      <c r="J94" s="5" t="str">
        <f>IF(Table442818505258[[#This Row],[Old or New?]]="Old",Table442818505258[[#This Row],[Post Total]],"")</f>
        <v/>
      </c>
      <c r="K94" s="5" t="b">
        <f>ISNUMBER(Table442818505258[[#This Row],[New]])</f>
        <v>1</v>
      </c>
      <c r="L94" s="5" t="b">
        <f>ISNUMBER(Table442818505258[[#This Row],[Old]])</f>
        <v>0</v>
      </c>
    </row>
    <row r="95" spans="1:12">
      <c r="A95" s="1" t="s">
        <v>24</v>
      </c>
      <c r="B95" s="1" t="s">
        <v>25</v>
      </c>
      <c r="C95" s="1">
        <v>13</v>
      </c>
      <c r="D95" s="1" t="s">
        <v>16</v>
      </c>
      <c r="E95" s="1">
        <v>5</v>
      </c>
      <c r="F95" s="1">
        <v>5</v>
      </c>
      <c r="G95" s="5">
        <f>IF(IF(Table442818505258[[#This Row],[Pre or Post]]="Post",1,0)+IF(ISNUMBER(Table442818505258[[#This Row],[Response]])=TRUE,1,0)=2,1,"")</f>
        <v>1</v>
      </c>
      <c r="H95" s="5">
        <f>IF(IF(Table442818505258[[#This Row],[Pre or Post]]="Post",1,0)+IF(ISNUMBER(Table442818505258[[#This Row],[Response]])=TRUE,1,0)=2,Table442818505258[[#This Row],[Response]],"")</f>
        <v>5</v>
      </c>
      <c r="I95" s="5">
        <f>IF(Table442818505258[[#This Row],[Old or New?]]="New",Table442818505258[[#This Row],[Post Total]],"")</f>
        <v>5</v>
      </c>
      <c r="J95" s="5" t="str">
        <f>IF(Table442818505258[[#This Row],[Old or New?]]="Old",Table442818505258[[#This Row],[Post Total]],"")</f>
        <v/>
      </c>
      <c r="K95" s="5" t="b">
        <f>ISNUMBER(Table442818505258[[#This Row],[New]])</f>
        <v>1</v>
      </c>
      <c r="L95" s="5" t="b">
        <f>ISNUMBER(Table442818505258[[#This Row],[Old]])</f>
        <v>0</v>
      </c>
    </row>
    <row r="96" spans="1:12">
      <c r="A96" s="1" t="s">
        <v>24</v>
      </c>
      <c r="B96" s="1" t="s">
        <v>25</v>
      </c>
      <c r="C96" s="1">
        <v>14</v>
      </c>
      <c r="D96" s="1" t="s">
        <v>16</v>
      </c>
      <c r="E96" s="1">
        <v>5</v>
      </c>
      <c r="F96" s="1">
        <v>3</v>
      </c>
      <c r="G96" s="5">
        <f>IF(IF(Table442818505258[[#This Row],[Pre or Post]]="Post",1,0)+IF(ISNUMBER(Table442818505258[[#This Row],[Response]])=TRUE,1,0)=2,1,"")</f>
        <v>1</v>
      </c>
      <c r="H96" s="5">
        <f>IF(IF(Table442818505258[[#This Row],[Pre or Post]]="Post",1,0)+IF(ISNUMBER(Table442818505258[[#This Row],[Response]])=TRUE,1,0)=2,Table442818505258[[#This Row],[Response]],"")</f>
        <v>3</v>
      </c>
      <c r="I96" s="5">
        <f>IF(Table442818505258[[#This Row],[Old or New?]]="New",Table442818505258[[#This Row],[Post Total]],"")</f>
        <v>3</v>
      </c>
      <c r="J96" s="5" t="str">
        <f>IF(Table442818505258[[#This Row],[Old or New?]]="Old",Table442818505258[[#This Row],[Post Total]],"")</f>
        <v/>
      </c>
      <c r="K96" s="5" t="b">
        <f>ISNUMBER(Table442818505258[[#This Row],[New]])</f>
        <v>1</v>
      </c>
      <c r="L96" s="5" t="b">
        <f>ISNUMBER(Table442818505258[[#This Row],[Old]])</f>
        <v>0</v>
      </c>
    </row>
    <row r="97" spans="1:12">
      <c r="A97" s="1" t="s">
        <v>24</v>
      </c>
      <c r="B97" s="1" t="s">
        <v>25</v>
      </c>
      <c r="C97" s="1">
        <v>18</v>
      </c>
      <c r="D97" s="1" t="s">
        <v>16</v>
      </c>
      <c r="E97" s="1">
        <v>5</v>
      </c>
      <c r="F97" s="1">
        <v>3</v>
      </c>
      <c r="G97" s="5">
        <f>IF(IF(Table442818505258[[#This Row],[Pre or Post]]="Post",1,0)+IF(ISNUMBER(Table442818505258[[#This Row],[Response]])=TRUE,1,0)=2,1,"")</f>
        <v>1</v>
      </c>
      <c r="H97" s="5">
        <f>IF(IF(Table442818505258[[#This Row],[Pre or Post]]="Post",1,0)+IF(ISNUMBER(Table442818505258[[#This Row],[Response]])=TRUE,1,0)=2,Table442818505258[[#This Row],[Response]],"")</f>
        <v>3</v>
      </c>
      <c r="I97" s="5">
        <f>IF(Table442818505258[[#This Row],[Old or New?]]="New",Table442818505258[[#This Row],[Post Total]],"")</f>
        <v>3</v>
      </c>
      <c r="J97" s="5" t="str">
        <f>IF(Table442818505258[[#This Row],[Old or New?]]="Old",Table442818505258[[#This Row],[Post Total]],"")</f>
        <v/>
      </c>
      <c r="K97" s="5" t="b">
        <f>ISNUMBER(Table442818505258[[#This Row],[New]])</f>
        <v>1</v>
      </c>
      <c r="L97" s="5" t="b">
        <f>ISNUMBER(Table442818505258[[#This Row],[Old]])</f>
        <v>0</v>
      </c>
    </row>
    <row r="98" spans="1:12">
      <c r="A98" s="1" t="s">
        <v>24</v>
      </c>
      <c r="B98" s="1" t="s">
        <v>25</v>
      </c>
      <c r="C98" s="1">
        <v>19</v>
      </c>
      <c r="D98" s="1" t="s">
        <v>16</v>
      </c>
      <c r="E98" s="1">
        <v>5</v>
      </c>
      <c r="F98" s="1">
        <v>4</v>
      </c>
      <c r="G98" s="5">
        <f>IF(IF(Table442818505258[[#This Row],[Pre or Post]]="Post",1,0)+IF(ISNUMBER(Table442818505258[[#This Row],[Response]])=TRUE,1,0)=2,1,"")</f>
        <v>1</v>
      </c>
      <c r="H98" s="5">
        <f>IF(IF(Table442818505258[[#This Row],[Pre or Post]]="Post",1,0)+IF(ISNUMBER(Table442818505258[[#This Row],[Response]])=TRUE,1,0)=2,Table442818505258[[#This Row],[Response]],"")</f>
        <v>4</v>
      </c>
      <c r="I98" s="5">
        <f>IF(Table442818505258[[#This Row],[Old or New?]]="New",Table442818505258[[#This Row],[Post Total]],"")</f>
        <v>4</v>
      </c>
      <c r="J98" s="5" t="str">
        <f>IF(Table442818505258[[#This Row],[Old or New?]]="Old",Table442818505258[[#This Row],[Post Total]],"")</f>
        <v/>
      </c>
      <c r="K98" s="5" t="b">
        <f>ISNUMBER(Table442818505258[[#This Row],[New]])</f>
        <v>1</v>
      </c>
      <c r="L98" s="5" t="b">
        <f>ISNUMBER(Table442818505258[[#This Row],[Old]])</f>
        <v>0</v>
      </c>
    </row>
    <row r="99" spans="1:12">
      <c r="A99" s="1" t="s">
        <v>24</v>
      </c>
      <c r="B99" s="1" t="s">
        <v>25</v>
      </c>
      <c r="C99" s="1">
        <v>20</v>
      </c>
      <c r="D99" s="1" t="s">
        <v>16</v>
      </c>
      <c r="E99" s="1">
        <v>5</v>
      </c>
      <c r="F99" s="1">
        <v>2</v>
      </c>
      <c r="G99" s="5">
        <f>IF(IF(Table442818505258[[#This Row],[Pre or Post]]="Post",1,0)+IF(ISNUMBER(Table442818505258[[#This Row],[Response]])=TRUE,1,0)=2,1,"")</f>
        <v>1</v>
      </c>
      <c r="H99" s="5">
        <f>IF(IF(Table442818505258[[#This Row],[Pre or Post]]="Post",1,0)+IF(ISNUMBER(Table442818505258[[#This Row],[Response]])=TRUE,1,0)=2,Table442818505258[[#This Row],[Response]],"")</f>
        <v>2</v>
      </c>
      <c r="I99" s="5">
        <f>IF(Table442818505258[[#This Row],[Old or New?]]="New",Table442818505258[[#This Row],[Post Total]],"")</f>
        <v>2</v>
      </c>
      <c r="J99" s="5" t="str">
        <f>IF(Table442818505258[[#This Row],[Old or New?]]="Old",Table442818505258[[#This Row],[Post Total]],"")</f>
        <v/>
      </c>
      <c r="K99" s="5" t="b">
        <f>ISNUMBER(Table442818505258[[#This Row],[New]])</f>
        <v>1</v>
      </c>
      <c r="L99" s="5" t="b">
        <f>ISNUMBER(Table442818505258[[#This Row],[Old]])</f>
        <v>0</v>
      </c>
    </row>
    <row r="100" spans="1:12">
      <c r="A100" s="1" t="s">
        <v>24</v>
      </c>
      <c r="B100" s="1" t="s">
        <v>25</v>
      </c>
      <c r="C100" s="1">
        <v>21</v>
      </c>
      <c r="D100" s="1" t="s">
        <v>16</v>
      </c>
      <c r="E100" s="1">
        <v>5</v>
      </c>
      <c r="F100" s="1">
        <v>2</v>
      </c>
      <c r="G100" s="5">
        <f>IF(IF(Table442818505258[[#This Row],[Pre or Post]]="Post",1,0)+IF(ISNUMBER(Table442818505258[[#This Row],[Response]])=TRUE,1,0)=2,1,"")</f>
        <v>1</v>
      </c>
      <c r="H100" s="5">
        <f>IF(IF(Table442818505258[[#This Row],[Pre or Post]]="Post",1,0)+IF(ISNUMBER(Table442818505258[[#This Row],[Response]])=TRUE,1,0)=2,Table442818505258[[#This Row],[Response]],"")</f>
        <v>2</v>
      </c>
      <c r="I100" s="5">
        <f>IF(Table442818505258[[#This Row],[Old or New?]]="New",Table442818505258[[#This Row],[Post Total]],"")</f>
        <v>2</v>
      </c>
      <c r="J100" s="5" t="str">
        <f>IF(Table442818505258[[#This Row],[Old or New?]]="Old",Table442818505258[[#This Row],[Post Total]],"")</f>
        <v/>
      </c>
      <c r="K100" s="5" t="b">
        <f>ISNUMBER(Table442818505258[[#This Row],[New]])</f>
        <v>1</v>
      </c>
      <c r="L100" s="5" t="b">
        <f>ISNUMBER(Table442818505258[[#This Row],[Old]])</f>
        <v>0</v>
      </c>
    </row>
    <row r="101" spans="1:12">
      <c r="A101" s="2" t="s">
        <v>24</v>
      </c>
      <c r="B101" s="2" t="s">
        <v>26</v>
      </c>
      <c r="C101" s="1">
        <v>1</v>
      </c>
      <c r="D101" s="1" t="s">
        <v>16</v>
      </c>
      <c r="E101" s="1">
        <v>5</v>
      </c>
      <c r="F101" s="1">
        <v>4</v>
      </c>
      <c r="G101" s="5">
        <f>IF(IF(Table442818505258[[#This Row],[Pre or Post]]="Post",1,0)+IF(ISNUMBER(Table442818505258[[#This Row],[Response]])=TRUE,1,0)=2,1,"")</f>
        <v>1</v>
      </c>
      <c r="H101" s="5">
        <f>IF(IF(Table442818505258[[#This Row],[Pre or Post]]="Post",1,0)+IF(ISNUMBER(Table442818505258[[#This Row],[Response]])=TRUE,1,0)=2,Table442818505258[[#This Row],[Response]],"")</f>
        <v>4</v>
      </c>
      <c r="I101" s="5">
        <f>IF(Table442818505258[[#This Row],[Old or New?]]="New",Table442818505258[[#This Row],[Post Total]],"")</f>
        <v>4</v>
      </c>
      <c r="J101" s="5" t="str">
        <f>IF(Table442818505258[[#This Row],[Old or New?]]="Old",Table442818505258[[#This Row],[Post Total]],"")</f>
        <v/>
      </c>
      <c r="K101" s="5" t="b">
        <f>ISNUMBER(Table442818505258[[#This Row],[New]])</f>
        <v>1</v>
      </c>
      <c r="L101" s="5" t="b">
        <f>ISNUMBER(Table442818505258[[#This Row],[Old]])</f>
        <v>0</v>
      </c>
    </row>
    <row r="102" spans="1:12">
      <c r="A102" s="2" t="s">
        <v>24</v>
      </c>
      <c r="B102" s="2" t="s">
        <v>26</v>
      </c>
      <c r="C102" s="1">
        <v>2</v>
      </c>
      <c r="D102" s="1" t="s">
        <v>16</v>
      </c>
      <c r="E102" s="1">
        <v>5</v>
      </c>
      <c r="F102" s="1">
        <v>2</v>
      </c>
      <c r="G102" s="5">
        <f>IF(IF(Table442818505258[[#This Row],[Pre or Post]]="Post",1,0)+IF(ISNUMBER(Table442818505258[[#This Row],[Response]])=TRUE,1,0)=2,1,"")</f>
        <v>1</v>
      </c>
      <c r="H102" s="5">
        <f>IF(IF(Table442818505258[[#This Row],[Pre or Post]]="Post",1,0)+IF(ISNUMBER(Table442818505258[[#This Row],[Response]])=TRUE,1,0)=2,Table442818505258[[#This Row],[Response]],"")</f>
        <v>2</v>
      </c>
      <c r="I102" s="5">
        <f>IF(Table442818505258[[#This Row],[Old or New?]]="New",Table442818505258[[#This Row],[Post Total]],"")</f>
        <v>2</v>
      </c>
      <c r="J102" s="5" t="str">
        <f>IF(Table442818505258[[#This Row],[Old or New?]]="Old",Table442818505258[[#This Row],[Post Total]],"")</f>
        <v/>
      </c>
      <c r="K102" s="5" t="b">
        <f>ISNUMBER(Table442818505258[[#This Row],[New]])</f>
        <v>1</v>
      </c>
      <c r="L102" s="5" t="b">
        <f>ISNUMBER(Table442818505258[[#This Row],[Old]])</f>
        <v>0</v>
      </c>
    </row>
    <row r="103" spans="1:12">
      <c r="A103" s="2" t="s">
        <v>24</v>
      </c>
      <c r="B103" s="2" t="s">
        <v>26</v>
      </c>
      <c r="C103" s="1">
        <v>3</v>
      </c>
      <c r="D103" s="1" t="s">
        <v>16</v>
      </c>
      <c r="E103" s="1">
        <v>5</v>
      </c>
      <c r="F103" s="1">
        <v>2</v>
      </c>
      <c r="G103" s="5">
        <f>IF(IF(Table442818505258[[#This Row],[Pre or Post]]="Post",1,0)+IF(ISNUMBER(Table442818505258[[#This Row],[Response]])=TRUE,1,0)=2,1,"")</f>
        <v>1</v>
      </c>
      <c r="H103" s="5">
        <f>IF(IF(Table442818505258[[#This Row],[Pre or Post]]="Post",1,0)+IF(ISNUMBER(Table442818505258[[#This Row],[Response]])=TRUE,1,0)=2,Table442818505258[[#This Row],[Response]],"")</f>
        <v>2</v>
      </c>
      <c r="I103" s="5">
        <f>IF(Table442818505258[[#This Row],[Old or New?]]="New",Table442818505258[[#This Row],[Post Total]],"")</f>
        <v>2</v>
      </c>
      <c r="J103" s="5" t="str">
        <f>IF(Table442818505258[[#This Row],[Old or New?]]="Old",Table442818505258[[#This Row],[Post Total]],"")</f>
        <v/>
      </c>
      <c r="K103" s="5" t="b">
        <f>ISNUMBER(Table442818505258[[#This Row],[New]])</f>
        <v>1</v>
      </c>
      <c r="L103" s="5" t="b">
        <f>ISNUMBER(Table442818505258[[#This Row],[Old]])</f>
        <v>0</v>
      </c>
    </row>
    <row r="104" spans="1:12">
      <c r="A104" s="2" t="s">
        <v>24</v>
      </c>
      <c r="B104" s="2" t="s">
        <v>26</v>
      </c>
      <c r="C104" s="1">
        <v>4</v>
      </c>
      <c r="D104" s="1" t="s">
        <v>16</v>
      </c>
      <c r="E104" s="1">
        <v>5</v>
      </c>
      <c r="F104" s="1">
        <v>4</v>
      </c>
      <c r="G104" s="5">
        <f>IF(IF(Table442818505258[[#This Row],[Pre or Post]]="Post",1,0)+IF(ISNUMBER(Table442818505258[[#This Row],[Response]])=TRUE,1,0)=2,1,"")</f>
        <v>1</v>
      </c>
      <c r="H104" s="5">
        <f>IF(IF(Table442818505258[[#This Row],[Pre or Post]]="Post",1,0)+IF(ISNUMBER(Table442818505258[[#This Row],[Response]])=TRUE,1,0)=2,Table442818505258[[#This Row],[Response]],"")</f>
        <v>4</v>
      </c>
      <c r="I104" s="5">
        <f>IF(Table442818505258[[#This Row],[Old or New?]]="New",Table442818505258[[#This Row],[Post Total]],"")</f>
        <v>4</v>
      </c>
      <c r="J104" s="5" t="str">
        <f>IF(Table442818505258[[#This Row],[Old or New?]]="Old",Table442818505258[[#This Row],[Post Total]],"")</f>
        <v/>
      </c>
      <c r="K104" s="5" t="b">
        <f>ISNUMBER(Table442818505258[[#This Row],[New]])</f>
        <v>1</v>
      </c>
      <c r="L104" s="5" t="b">
        <f>ISNUMBER(Table442818505258[[#This Row],[Old]])</f>
        <v>0</v>
      </c>
    </row>
    <row r="105" spans="1:12">
      <c r="A105" s="2" t="s">
        <v>24</v>
      </c>
      <c r="B105" s="2" t="s">
        <v>26</v>
      </c>
      <c r="C105" s="1">
        <v>5</v>
      </c>
      <c r="D105" s="1" t="s">
        <v>16</v>
      </c>
      <c r="E105" s="1">
        <v>5</v>
      </c>
      <c r="F105" s="1">
        <v>4</v>
      </c>
      <c r="G105" s="5">
        <f>IF(IF(Table442818505258[[#This Row],[Pre or Post]]="Post",1,0)+IF(ISNUMBER(Table442818505258[[#This Row],[Response]])=TRUE,1,0)=2,1,"")</f>
        <v>1</v>
      </c>
      <c r="H105" s="5">
        <f>IF(IF(Table442818505258[[#This Row],[Pre or Post]]="Post",1,0)+IF(ISNUMBER(Table442818505258[[#This Row],[Response]])=TRUE,1,0)=2,Table442818505258[[#This Row],[Response]],"")</f>
        <v>4</v>
      </c>
      <c r="I105" s="5">
        <f>IF(Table442818505258[[#This Row],[Old or New?]]="New",Table442818505258[[#This Row],[Post Total]],"")</f>
        <v>4</v>
      </c>
      <c r="J105" s="5" t="str">
        <f>IF(Table442818505258[[#This Row],[Old or New?]]="Old",Table442818505258[[#This Row],[Post Total]],"")</f>
        <v/>
      </c>
      <c r="K105" s="5" t="b">
        <f>ISNUMBER(Table442818505258[[#This Row],[New]])</f>
        <v>1</v>
      </c>
      <c r="L105" s="5" t="b">
        <f>ISNUMBER(Table442818505258[[#This Row],[Old]])</f>
        <v>0</v>
      </c>
    </row>
    <row r="106" spans="1:12">
      <c r="A106" s="2" t="s">
        <v>24</v>
      </c>
      <c r="B106" s="2" t="s">
        <v>26</v>
      </c>
      <c r="C106" s="1">
        <v>6</v>
      </c>
      <c r="D106" s="1" t="s">
        <v>16</v>
      </c>
      <c r="E106" s="1">
        <v>5</v>
      </c>
      <c r="F106" s="1">
        <v>4</v>
      </c>
      <c r="G106" s="5">
        <f>IF(IF(Table442818505258[[#This Row],[Pre or Post]]="Post",1,0)+IF(ISNUMBER(Table442818505258[[#This Row],[Response]])=TRUE,1,0)=2,1,"")</f>
        <v>1</v>
      </c>
      <c r="H106" s="5">
        <f>IF(IF(Table442818505258[[#This Row],[Pre or Post]]="Post",1,0)+IF(ISNUMBER(Table442818505258[[#This Row],[Response]])=TRUE,1,0)=2,Table442818505258[[#This Row],[Response]],"")</f>
        <v>4</v>
      </c>
      <c r="I106" s="5">
        <f>IF(Table442818505258[[#This Row],[Old or New?]]="New",Table442818505258[[#This Row],[Post Total]],"")</f>
        <v>4</v>
      </c>
      <c r="J106" s="5" t="str">
        <f>IF(Table442818505258[[#This Row],[Old or New?]]="Old",Table442818505258[[#This Row],[Post Total]],"")</f>
        <v/>
      </c>
      <c r="K106" s="5" t="b">
        <f>ISNUMBER(Table442818505258[[#This Row],[New]])</f>
        <v>1</v>
      </c>
      <c r="L106" s="5" t="b">
        <f>ISNUMBER(Table442818505258[[#This Row],[Old]])</f>
        <v>0</v>
      </c>
    </row>
    <row r="107" spans="1:12">
      <c r="A107" s="2" t="s">
        <v>24</v>
      </c>
      <c r="B107" s="2" t="s">
        <v>26</v>
      </c>
      <c r="C107" s="1">
        <v>7</v>
      </c>
      <c r="D107" s="1" t="s">
        <v>16</v>
      </c>
      <c r="E107" s="1">
        <v>5</v>
      </c>
      <c r="F107" s="1">
        <v>5</v>
      </c>
      <c r="G107" s="5">
        <f>IF(IF(Table442818505258[[#This Row],[Pre or Post]]="Post",1,0)+IF(ISNUMBER(Table442818505258[[#This Row],[Response]])=TRUE,1,0)=2,1,"")</f>
        <v>1</v>
      </c>
      <c r="H107" s="5">
        <f>IF(IF(Table442818505258[[#This Row],[Pre or Post]]="Post",1,0)+IF(ISNUMBER(Table442818505258[[#This Row],[Response]])=TRUE,1,0)=2,Table442818505258[[#This Row],[Response]],"")</f>
        <v>5</v>
      </c>
      <c r="I107" s="5">
        <f>IF(Table442818505258[[#This Row],[Old or New?]]="New",Table442818505258[[#This Row],[Post Total]],"")</f>
        <v>5</v>
      </c>
      <c r="J107" s="5" t="str">
        <f>IF(Table442818505258[[#This Row],[Old or New?]]="Old",Table442818505258[[#This Row],[Post Total]],"")</f>
        <v/>
      </c>
      <c r="K107" s="5" t="b">
        <f>ISNUMBER(Table442818505258[[#This Row],[New]])</f>
        <v>1</v>
      </c>
      <c r="L107" s="5" t="b">
        <f>ISNUMBER(Table442818505258[[#This Row],[Old]])</f>
        <v>0</v>
      </c>
    </row>
    <row r="108" spans="1:12">
      <c r="A108" s="2" t="s">
        <v>24</v>
      </c>
      <c r="B108" s="2" t="s">
        <v>26</v>
      </c>
      <c r="C108" s="1">
        <v>8</v>
      </c>
      <c r="D108" s="1" t="s">
        <v>16</v>
      </c>
      <c r="E108" s="1">
        <v>5</v>
      </c>
      <c r="F108" s="1">
        <v>5</v>
      </c>
      <c r="G108" s="5">
        <f>IF(IF(Table442818505258[[#This Row],[Pre or Post]]="Post",1,0)+IF(ISNUMBER(Table442818505258[[#This Row],[Response]])=TRUE,1,0)=2,1,"")</f>
        <v>1</v>
      </c>
      <c r="H108" s="5">
        <f>IF(IF(Table442818505258[[#This Row],[Pre or Post]]="Post",1,0)+IF(ISNUMBER(Table442818505258[[#This Row],[Response]])=TRUE,1,0)=2,Table442818505258[[#This Row],[Response]],"")</f>
        <v>5</v>
      </c>
      <c r="I108" s="5">
        <f>IF(Table442818505258[[#This Row],[Old or New?]]="New",Table442818505258[[#This Row],[Post Total]],"")</f>
        <v>5</v>
      </c>
      <c r="J108" s="5" t="str">
        <f>IF(Table442818505258[[#This Row],[Old or New?]]="Old",Table442818505258[[#This Row],[Post Total]],"")</f>
        <v/>
      </c>
      <c r="K108" s="5" t="b">
        <f>ISNUMBER(Table442818505258[[#This Row],[New]])</f>
        <v>1</v>
      </c>
      <c r="L108" s="5" t="b">
        <f>ISNUMBER(Table442818505258[[#This Row],[Old]])</f>
        <v>0</v>
      </c>
    </row>
    <row r="109" spans="1:12" s="16" customFormat="1">
      <c r="A109" s="2" t="s">
        <v>24</v>
      </c>
      <c r="B109" s="2" t="s">
        <v>26</v>
      </c>
      <c r="C109" s="1">
        <v>9</v>
      </c>
      <c r="D109" s="1" t="s">
        <v>16</v>
      </c>
      <c r="E109" s="1">
        <v>5</v>
      </c>
      <c r="F109" s="1">
        <v>4</v>
      </c>
      <c r="G109" s="5">
        <f>IF(IF(Table442818505258[[#This Row],[Pre or Post]]="Post",1,0)+IF(ISNUMBER(Table442818505258[[#This Row],[Response]])=TRUE,1,0)=2,1,"")</f>
        <v>1</v>
      </c>
      <c r="H109" s="5">
        <f>IF(IF(Table442818505258[[#This Row],[Pre or Post]]="Post",1,0)+IF(ISNUMBER(Table442818505258[[#This Row],[Response]])=TRUE,1,0)=2,Table442818505258[[#This Row],[Response]],"")</f>
        <v>4</v>
      </c>
      <c r="I109" s="5">
        <f>IF(Table442818505258[[#This Row],[Old or New?]]="New",Table442818505258[[#This Row],[Post Total]],"")</f>
        <v>4</v>
      </c>
      <c r="J109" s="5" t="str">
        <f>IF(Table442818505258[[#This Row],[Old or New?]]="Old",Table442818505258[[#This Row],[Post Total]],"")</f>
        <v/>
      </c>
      <c r="K109" s="5" t="b">
        <f>ISNUMBER(Table442818505258[[#This Row],[New]])</f>
        <v>1</v>
      </c>
      <c r="L109" s="5" t="b">
        <f>ISNUMBER(Table442818505258[[#This Row],[Old]])</f>
        <v>0</v>
      </c>
    </row>
    <row r="110" spans="1:12">
      <c r="A110" s="2" t="s">
        <v>24</v>
      </c>
      <c r="B110" s="2" t="s">
        <v>26</v>
      </c>
      <c r="C110" s="1">
        <v>10</v>
      </c>
      <c r="D110" s="1" t="s">
        <v>16</v>
      </c>
      <c r="E110" s="1">
        <v>5</v>
      </c>
      <c r="F110" s="1">
        <v>5</v>
      </c>
      <c r="G110" s="5">
        <f>IF(IF(Table442818505258[[#This Row],[Pre or Post]]="Post",1,0)+IF(ISNUMBER(Table442818505258[[#This Row],[Response]])=TRUE,1,0)=2,1,"")</f>
        <v>1</v>
      </c>
      <c r="H110" s="5">
        <f>IF(IF(Table442818505258[[#This Row],[Pre or Post]]="Post",1,0)+IF(ISNUMBER(Table442818505258[[#This Row],[Response]])=TRUE,1,0)=2,Table442818505258[[#This Row],[Response]],"")</f>
        <v>5</v>
      </c>
      <c r="I110" s="5">
        <f>IF(Table442818505258[[#This Row],[Old or New?]]="New",Table442818505258[[#This Row],[Post Total]],"")</f>
        <v>5</v>
      </c>
      <c r="J110" s="5" t="str">
        <f>IF(Table442818505258[[#This Row],[Old or New?]]="Old",Table442818505258[[#This Row],[Post Total]],"")</f>
        <v/>
      </c>
      <c r="K110" s="5" t="b">
        <f>ISNUMBER(Table442818505258[[#This Row],[New]])</f>
        <v>1</v>
      </c>
      <c r="L110" s="5" t="b">
        <f>ISNUMBER(Table442818505258[[#This Row],[Old]])</f>
        <v>0</v>
      </c>
    </row>
    <row r="111" spans="1:12">
      <c r="A111" s="2" t="s">
        <v>24</v>
      </c>
      <c r="B111" s="2" t="s">
        <v>26</v>
      </c>
      <c r="C111" s="1">
        <v>11</v>
      </c>
      <c r="D111" s="1" t="s">
        <v>16</v>
      </c>
      <c r="E111" s="1">
        <v>5</v>
      </c>
      <c r="F111" s="1">
        <v>4</v>
      </c>
      <c r="G111" s="5">
        <f>IF(IF(Table442818505258[[#This Row],[Pre or Post]]="Post",1,0)+IF(ISNUMBER(Table442818505258[[#This Row],[Response]])=TRUE,1,0)=2,1,"")</f>
        <v>1</v>
      </c>
      <c r="H111" s="5">
        <f>IF(IF(Table442818505258[[#This Row],[Pre or Post]]="Post",1,0)+IF(ISNUMBER(Table442818505258[[#This Row],[Response]])=TRUE,1,0)=2,Table442818505258[[#This Row],[Response]],"")</f>
        <v>4</v>
      </c>
      <c r="I111" s="5">
        <f>IF(Table442818505258[[#This Row],[Old or New?]]="New",Table442818505258[[#This Row],[Post Total]],"")</f>
        <v>4</v>
      </c>
      <c r="J111" s="5" t="str">
        <f>IF(Table442818505258[[#This Row],[Old or New?]]="Old",Table442818505258[[#This Row],[Post Total]],"")</f>
        <v/>
      </c>
      <c r="K111" s="5" t="b">
        <f>ISNUMBER(Table442818505258[[#This Row],[New]])</f>
        <v>1</v>
      </c>
      <c r="L111" s="5" t="b">
        <f>ISNUMBER(Table442818505258[[#This Row],[Old]])</f>
        <v>0</v>
      </c>
    </row>
    <row r="112" spans="1:12">
      <c r="A112" s="2" t="s">
        <v>24</v>
      </c>
      <c r="B112" s="2" t="s">
        <v>26</v>
      </c>
      <c r="C112" s="1">
        <v>12</v>
      </c>
      <c r="D112" s="1" t="s">
        <v>16</v>
      </c>
      <c r="E112" s="1">
        <v>5</v>
      </c>
      <c r="F112" s="1">
        <v>3</v>
      </c>
      <c r="G112" s="5">
        <f>IF(IF(Table442818505258[[#This Row],[Pre or Post]]="Post",1,0)+IF(ISNUMBER(Table442818505258[[#This Row],[Response]])=TRUE,1,0)=2,1,"")</f>
        <v>1</v>
      </c>
      <c r="H112" s="5">
        <f>IF(IF(Table442818505258[[#This Row],[Pre or Post]]="Post",1,0)+IF(ISNUMBER(Table442818505258[[#This Row],[Response]])=TRUE,1,0)=2,Table442818505258[[#This Row],[Response]],"")</f>
        <v>3</v>
      </c>
      <c r="I112" s="5">
        <f>IF(Table442818505258[[#This Row],[Old or New?]]="New",Table442818505258[[#This Row],[Post Total]],"")</f>
        <v>3</v>
      </c>
      <c r="J112" s="5" t="str">
        <f>IF(Table442818505258[[#This Row],[Old or New?]]="Old",Table442818505258[[#This Row],[Post Total]],"")</f>
        <v/>
      </c>
      <c r="K112" s="5" t="b">
        <f>ISNUMBER(Table442818505258[[#This Row],[New]])</f>
        <v>1</v>
      </c>
      <c r="L112" s="5" t="b">
        <f>ISNUMBER(Table442818505258[[#This Row],[Old]])</f>
        <v>0</v>
      </c>
    </row>
    <row r="113" spans="1:12">
      <c r="A113" s="2" t="s">
        <v>24</v>
      </c>
      <c r="B113" s="2" t="s">
        <v>26</v>
      </c>
      <c r="C113" s="1">
        <v>13</v>
      </c>
      <c r="D113" s="1" t="s">
        <v>16</v>
      </c>
      <c r="E113" s="1">
        <v>5</v>
      </c>
      <c r="F113" s="1">
        <v>5</v>
      </c>
      <c r="G113" s="5">
        <f>IF(IF(Table442818505258[[#This Row],[Pre or Post]]="Post",1,0)+IF(ISNUMBER(Table442818505258[[#This Row],[Response]])=TRUE,1,0)=2,1,"")</f>
        <v>1</v>
      </c>
      <c r="H113" s="5">
        <f>IF(IF(Table442818505258[[#This Row],[Pre or Post]]="Post",1,0)+IF(ISNUMBER(Table442818505258[[#This Row],[Response]])=TRUE,1,0)=2,Table442818505258[[#This Row],[Response]],"")</f>
        <v>5</v>
      </c>
      <c r="I113" s="5">
        <f>IF(Table442818505258[[#This Row],[Old or New?]]="New",Table442818505258[[#This Row],[Post Total]],"")</f>
        <v>5</v>
      </c>
      <c r="J113" s="5" t="str">
        <f>IF(Table442818505258[[#This Row],[Old or New?]]="Old",Table442818505258[[#This Row],[Post Total]],"")</f>
        <v/>
      </c>
      <c r="K113" s="5" t="b">
        <f>ISNUMBER(Table442818505258[[#This Row],[New]])</f>
        <v>1</v>
      </c>
      <c r="L113" s="5" t="b">
        <f>ISNUMBER(Table442818505258[[#This Row],[Old]])</f>
        <v>0</v>
      </c>
    </row>
    <row r="114" spans="1:12">
      <c r="A114" s="2" t="s">
        <v>24</v>
      </c>
      <c r="B114" s="2" t="s">
        <v>26</v>
      </c>
      <c r="C114" s="1">
        <v>14</v>
      </c>
      <c r="D114" s="1" t="s">
        <v>16</v>
      </c>
      <c r="E114" s="1">
        <v>5</v>
      </c>
      <c r="F114" s="1">
        <v>4</v>
      </c>
      <c r="G114" s="5">
        <f>IF(IF(Table442818505258[[#This Row],[Pre or Post]]="Post",1,0)+IF(ISNUMBER(Table442818505258[[#This Row],[Response]])=TRUE,1,0)=2,1,"")</f>
        <v>1</v>
      </c>
      <c r="H114" s="5">
        <f>IF(IF(Table442818505258[[#This Row],[Pre or Post]]="Post",1,0)+IF(ISNUMBER(Table442818505258[[#This Row],[Response]])=TRUE,1,0)=2,Table442818505258[[#This Row],[Response]],"")</f>
        <v>4</v>
      </c>
      <c r="I114" s="5">
        <f>IF(Table442818505258[[#This Row],[Old or New?]]="New",Table442818505258[[#This Row],[Post Total]],"")</f>
        <v>4</v>
      </c>
      <c r="J114" s="5" t="str">
        <f>IF(Table442818505258[[#This Row],[Old or New?]]="Old",Table442818505258[[#This Row],[Post Total]],"")</f>
        <v/>
      </c>
      <c r="K114" s="5" t="b">
        <f>ISNUMBER(Table442818505258[[#This Row],[New]])</f>
        <v>1</v>
      </c>
      <c r="L114" s="5" t="b">
        <f>ISNUMBER(Table442818505258[[#This Row],[Old]])</f>
        <v>0</v>
      </c>
    </row>
    <row r="115" spans="1:12">
      <c r="A115" s="2" t="s">
        <v>24</v>
      </c>
      <c r="B115" s="2" t="s">
        <v>26</v>
      </c>
      <c r="C115" s="1">
        <v>15</v>
      </c>
      <c r="D115" s="1" t="s">
        <v>16</v>
      </c>
      <c r="E115" s="1">
        <v>5</v>
      </c>
      <c r="F115" s="1">
        <v>3</v>
      </c>
      <c r="G115" s="5">
        <f>IF(IF(Table442818505258[[#This Row],[Pre or Post]]="Post",1,0)+IF(ISNUMBER(Table442818505258[[#This Row],[Response]])=TRUE,1,0)=2,1,"")</f>
        <v>1</v>
      </c>
      <c r="H115" s="5">
        <f>IF(IF(Table442818505258[[#This Row],[Pre or Post]]="Post",1,0)+IF(ISNUMBER(Table442818505258[[#This Row],[Response]])=TRUE,1,0)=2,Table442818505258[[#This Row],[Response]],"")</f>
        <v>3</v>
      </c>
      <c r="I115" s="5">
        <f>IF(Table442818505258[[#This Row],[Old or New?]]="New",Table442818505258[[#This Row],[Post Total]],"")</f>
        <v>3</v>
      </c>
      <c r="J115" s="5" t="str">
        <f>IF(Table442818505258[[#This Row],[Old or New?]]="Old",Table442818505258[[#This Row],[Post Total]],"")</f>
        <v/>
      </c>
      <c r="K115" s="5" t="b">
        <f>ISNUMBER(Table442818505258[[#This Row],[New]])</f>
        <v>1</v>
      </c>
      <c r="L115" s="5" t="b">
        <f>ISNUMBER(Table442818505258[[#This Row],[Old]])</f>
        <v>0</v>
      </c>
    </row>
    <row r="116" spans="1:12">
      <c r="A116" s="2" t="s">
        <v>24</v>
      </c>
      <c r="B116" s="2" t="s">
        <v>28</v>
      </c>
      <c r="C116" s="1">
        <v>1</v>
      </c>
      <c r="D116" s="1" t="s">
        <v>16</v>
      </c>
      <c r="E116" s="1">
        <v>5</v>
      </c>
      <c r="F116" s="2">
        <v>3</v>
      </c>
      <c r="G116" s="5">
        <f>IF(IF(Table442818505258[[#This Row],[Pre or Post]]="Post",1,0)+IF(ISNUMBER(Table442818505258[[#This Row],[Response]])=TRUE,1,0)=2,1,"")</f>
        <v>1</v>
      </c>
      <c r="H116" s="5">
        <f>IF(IF(Table442818505258[[#This Row],[Pre or Post]]="Post",1,0)+IF(ISNUMBER(Table442818505258[[#This Row],[Response]])=TRUE,1,0)=2,Table442818505258[[#This Row],[Response]],"")</f>
        <v>3</v>
      </c>
      <c r="I116" s="5">
        <f>IF(Table442818505258[[#This Row],[Old or New?]]="New",Table442818505258[[#This Row],[Post Total]],"")</f>
        <v>3</v>
      </c>
      <c r="J116" s="5" t="str">
        <f>IF(Table442818505258[[#This Row],[Old or New?]]="Old",Table442818505258[[#This Row],[Post Total]],"")</f>
        <v/>
      </c>
      <c r="K116" s="5" t="b">
        <f>ISNUMBER(Table442818505258[[#This Row],[New]])</f>
        <v>1</v>
      </c>
      <c r="L116" s="5" t="b">
        <f>ISNUMBER(Table442818505258[[#This Row],[Old]])</f>
        <v>0</v>
      </c>
    </row>
    <row r="117" spans="1:12">
      <c r="A117" s="2" t="s">
        <v>24</v>
      </c>
      <c r="B117" s="2" t="s">
        <v>28</v>
      </c>
      <c r="C117" s="1">
        <v>2</v>
      </c>
      <c r="D117" s="1" t="s">
        <v>16</v>
      </c>
      <c r="E117" s="1">
        <v>5</v>
      </c>
      <c r="F117" s="2">
        <v>4</v>
      </c>
      <c r="G117" s="5">
        <f>IF(IF(Table442818505258[[#This Row],[Pre or Post]]="Post",1,0)+IF(ISNUMBER(Table442818505258[[#This Row],[Response]])=TRUE,1,0)=2,1,"")</f>
        <v>1</v>
      </c>
      <c r="H117" s="5">
        <f>IF(IF(Table442818505258[[#This Row],[Pre or Post]]="Post",1,0)+IF(ISNUMBER(Table442818505258[[#This Row],[Response]])=TRUE,1,0)=2,Table442818505258[[#This Row],[Response]],"")</f>
        <v>4</v>
      </c>
      <c r="I117" s="5">
        <f>IF(Table442818505258[[#This Row],[Old or New?]]="New",Table442818505258[[#This Row],[Post Total]],"")</f>
        <v>4</v>
      </c>
      <c r="J117" s="5" t="str">
        <f>IF(Table442818505258[[#This Row],[Old or New?]]="Old",Table442818505258[[#This Row],[Post Total]],"")</f>
        <v/>
      </c>
      <c r="K117" s="5" t="b">
        <f>ISNUMBER(Table442818505258[[#This Row],[New]])</f>
        <v>1</v>
      </c>
      <c r="L117" s="5" t="b">
        <f>ISNUMBER(Table442818505258[[#This Row],[Old]])</f>
        <v>0</v>
      </c>
    </row>
    <row r="118" spans="1:12">
      <c r="A118" s="2" t="s">
        <v>24</v>
      </c>
      <c r="B118" s="2" t="s">
        <v>28</v>
      </c>
      <c r="C118" s="1">
        <v>3</v>
      </c>
      <c r="D118" s="1" t="s">
        <v>16</v>
      </c>
      <c r="E118" s="1">
        <v>5</v>
      </c>
      <c r="F118" s="2">
        <v>4</v>
      </c>
      <c r="G118" s="5">
        <f>IF(IF(Table442818505258[[#This Row],[Pre or Post]]="Post",1,0)+IF(ISNUMBER(Table442818505258[[#This Row],[Response]])=TRUE,1,0)=2,1,"")</f>
        <v>1</v>
      </c>
      <c r="H118" s="5">
        <f>IF(IF(Table442818505258[[#This Row],[Pre or Post]]="Post",1,0)+IF(ISNUMBER(Table442818505258[[#This Row],[Response]])=TRUE,1,0)=2,Table442818505258[[#This Row],[Response]],"")</f>
        <v>4</v>
      </c>
      <c r="I118" s="5">
        <f>IF(Table442818505258[[#This Row],[Old or New?]]="New",Table442818505258[[#This Row],[Post Total]],"")</f>
        <v>4</v>
      </c>
      <c r="J118" s="5" t="str">
        <f>IF(Table442818505258[[#This Row],[Old or New?]]="Old",Table442818505258[[#This Row],[Post Total]],"")</f>
        <v/>
      </c>
      <c r="K118" s="5" t="b">
        <f>ISNUMBER(Table442818505258[[#This Row],[New]])</f>
        <v>1</v>
      </c>
      <c r="L118" s="5" t="b">
        <f>ISNUMBER(Table442818505258[[#This Row],[Old]])</f>
        <v>0</v>
      </c>
    </row>
    <row r="119" spans="1:12">
      <c r="A119" s="2" t="s">
        <v>24</v>
      </c>
      <c r="B119" s="2" t="s">
        <v>28</v>
      </c>
      <c r="C119" s="1">
        <v>4</v>
      </c>
      <c r="D119" s="1" t="s">
        <v>16</v>
      </c>
      <c r="E119" s="1">
        <v>5</v>
      </c>
      <c r="F119" s="2">
        <v>4</v>
      </c>
      <c r="G119" s="5">
        <f>IF(IF(Table442818505258[[#This Row],[Pre or Post]]="Post",1,0)+IF(ISNUMBER(Table442818505258[[#This Row],[Response]])=TRUE,1,0)=2,1,"")</f>
        <v>1</v>
      </c>
      <c r="H119" s="5">
        <f>IF(IF(Table442818505258[[#This Row],[Pre or Post]]="Post",1,0)+IF(ISNUMBER(Table442818505258[[#This Row],[Response]])=TRUE,1,0)=2,Table442818505258[[#This Row],[Response]],"")</f>
        <v>4</v>
      </c>
      <c r="I119" s="5">
        <f>IF(Table442818505258[[#This Row],[Old or New?]]="New",Table442818505258[[#This Row],[Post Total]],"")</f>
        <v>4</v>
      </c>
      <c r="J119" s="5" t="str">
        <f>IF(Table442818505258[[#This Row],[Old or New?]]="Old",Table442818505258[[#This Row],[Post Total]],"")</f>
        <v/>
      </c>
      <c r="K119" s="5" t="b">
        <f>ISNUMBER(Table442818505258[[#This Row],[New]])</f>
        <v>1</v>
      </c>
      <c r="L119" s="5" t="b">
        <f>ISNUMBER(Table442818505258[[#This Row],[Old]])</f>
        <v>0</v>
      </c>
    </row>
    <row r="120" spans="1:12">
      <c r="A120" s="2" t="s">
        <v>24</v>
      </c>
      <c r="B120" s="2" t="s">
        <v>28</v>
      </c>
      <c r="C120" s="1">
        <v>5</v>
      </c>
      <c r="D120" s="1" t="s">
        <v>16</v>
      </c>
      <c r="E120" s="1">
        <v>5</v>
      </c>
      <c r="F120" s="2">
        <v>4</v>
      </c>
      <c r="G120" s="5">
        <f>IF(IF(Table442818505258[[#This Row],[Pre or Post]]="Post",1,0)+IF(ISNUMBER(Table442818505258[[#This Row],[Response]])=TRUE,1,0)=2,1,"")</f>
        <v>1</v>
      </c>
      <c r="H120" s="5">
        <f>IF(IF(Table442818505258[[#This Row],[Pre or Post]]="Post",1,0)+IF(ISNUMBER(Table442818505258[[#This Row],[Response]])=TRUE,1,0)=2,Table442818505258[[#This Row],[Response]],"")</f>
        <v>4</v>
      </c>
      <c r="I120" s="5">
        <f>IF(Table442818505258[[#This Row],[Old or New?]]="New",Table442818505258[[#This Row],[Post Total]],"")</f>
        <v>4</v>
      </c>
      <c r="J120" s="5" t="str">
        <f>IF(Table442818505258[[#This Row],[Old or New?]]="Old",Table442818505258[[#This Row],[Post Total]],"")</f>
        <v/>
      </c>
      <c r="K120" s="5" t="b">
        <f>ISNUMBER(Table442818505258[[#This Row],[New]])</f>
        <v>1</v>
      </c>
      <c r="L120" s="5" t="b">
        <f>ISNUMBER(Table442818505258[[#This Row],[Old]])</f>
        <v>0</v>
      </c>
    </row>
    <row r="121" spans="1:12">
      <c r="A121" s="2" t="s">
        <v>24</v>
      </c>
      <c r="B121" s="2" t="s">
        <v>28</v>
      </c>
      <c r="C121" s="1">
        <v>6</v>
      </c>
      <c r="D121" s="1" t="s">
        <v>16</v>
      </c>
      <c r="E121" s="1">
        <v>5</v>
      </c>
      <c r="F121" s="2">
        <v>5</v>
      </c>
      <c r="G121" s="5">
        <f>IF(IF(Table442818505258[[#This Row],[Pre or Post]]="Post",1,0)+IF(ISNUMBER(Table442818505258[[#This Row],[Response]])=TRUE,1,0)=2,1,"")</f>
        <v>1</v>
      </c>
      <c r="H121" s="5">
        <f>IF(IF(Table442818505258[[#This Row],[Pre or Post]]="Post",1,0)+IF(ISNUMBER(Table442818505258[[#This Row],[Response]])=TRUE,1,0)=2,Table442818505258[[#This Row],[Response]],"")</f>
        <v>5</v>
      </c>
      <c r="I121" s="5">
        <f>IF(Table442818505258[[#This Row],[Old or New?]]="New",Table442818505258[[#This Row],[Post Total]],"")</f>
        <v>5</v>
      </c>
      <c r="J121" s="5" t="str">
        <f>IF(Table442818505258[[#This Row],[Old or New?]]="Old",Table442818505258[[#This Row],[Post Total]],"")</f>
        <v/>
      </c>
      <c r="K121" s="5" t="b">
        <f>ISNUMBER(Table442818505258[[#This Row],[New]])</f>
        <v>1</v>
      </c>
      <c r="L121" s="5" t="b">
        <f>ISNUMBER(Table442818505258[[#This Row],[Old]])</f>
        <v>0</v>
      </c>
    </row>
    <row r="122" spans="1:12">
      <c r="A122" s="2" t="s">
        <v>24</v>
      </c>
      <c r="B122" s="2" t="s">
        <v>28</v>
      </c>
      <c r="C122" s="1">
        <v>7</v>
      </c>
      <c r="D122" s="1" t="s">
        <v>16</v>
      </c>
      <c r="E122" s="1">
        <v>5</v>
      </c>
      <c r="F122" s="2">
        <v>3</v>
      </c>
      <c r="G122" s="5">
        <f>IF(IF(Table442818505258[[#This Row],[Pre or Post]]="Post",1,0)+IF(ISNUMBER(Table442818505258[[#This Row],[Response]])=TRUE,1,0)=2,1,"")</f>
        <v>1</v>
      </c>
      <c r="H122" s="5">
        <f>IF(IF(Table442818505258[[#This Row],[Pre or Post]]="Post",1,0)+IF(ISNUMBER(Table442818505258[[#This Row],[Response]])=TRUE,1,0)=2,Table442818505258[[#This Row],[Response]],"")</f>
        <v>3</v>
      </c>
      <c r="I122" s="5">
        <f>IF(Table442818505258[[#This Row],[Old or New?]]="New",Table442818505258[[#This Row],[Post Total]],"")</f>
        <v>3</v>
      </c>
      <c r="J122" s="5" t="str">
        <f>IF(Table442818505258[[#This Row],[Old or New?]]="Old",Table442818505258[[#This Row],[Post Total]],"")</f>
        <v/>
      </c>
      <c r="K122" s="5" t="b">
        <f>ISNUMBER(Table442818505258[[#This Row],[New]])</f>
        <v>1</v>
      </c>
      <c r="L122" s="5" t="b">
        <f>ISNUMBER(Table442818505258[[#This Row],[Old]])</f>
        <v>0</v>
      </c>
    </row>
    <row r="123" spans="1:12">
      <c r="A123" s="2" t="s">
        <v>24</v>
      </c>
      <c r="B123" s="2" t="s">
        <v>28</v>
      </c>
      <c r="C123" s="1">
        <v>8</v>
      </c>
      <c r="D123" s="1" t="s">
        <v>16</v>
      </c>
      <c r="E123" s="1">
        <v>5</v>
      </c>
      <c r="F123" s="1">
        <v>4</v>
      </c>
      <c r="G123" s="5">
        <f>IF(IF(Table442818505258[[#This Row],[Pre or Post]]="Post",1,0)+IF(ISNUMBER(Table442818505258[[#This Row],[Response]])=TRUE,1,0)=2,1,"")</f>
        <v>1</v>
      </c>
      <c r="H123" s="5">
        <f>IF(IF(Table442818505258[[#This Row],[Pre or Post]]="Post",1,0)+IF(ISNUMBER(Table442818505258[[#This Row],[Response]])=TRUE,1,0)=2,Table442818505258[[#This Row],[Response]],"")</f>
        <v>4</v>
      </c>
      <c r="I123" s="5">
        <f>IF(Table442818505258[[#This Row],[Old or New?]]="New",Table442818505258[[#This Row],[Post Total]],"")</f>
        <v>4</v>
      </c>
      <c r="J123" s="5" t="str">
        <f>IF(Table442818505258[[#This Row],[Old or New?]]="Old",Table442818505258[[#This Row],[Post Total]],"")</f>
        <v/>
      </c>
      <c r="K123" s="5" t="b">
        <f>ISNUMBER(Table442818505258[[#This Row],[New]])</f>
        <v>1</v>
      </c>
      <c r="L123" s="5" t="b">
        <f>ISNUMBER(Table442818505258[[#This Row],[Old]])</f>
        <v>0</v>
      </c>
    </row>
    <row r="124" spans="1:12">
      <c r="A124" s="2" t="s">
        <v>24</v>
      </c>
      <c r="B124" s="2" t="s">
        <v>28</v>
      </c>
      <c r="C124" s="1">
        <v>9</v>
      </c>
      <c r="D124" s="1" t="s">
        <v>16</v>
      </c>
      <c r="E124" s="1">
        <v>5</v>
      </c>
      <c r="F124" s="1">
        <v>3</v>
      </c>
      <c r="G124" s="5">
        <f>IF(IF(Table442818505258[[#This Row],[Pre or Post]]="Post",1,0)+IF(ISNUMBER(Table442818505258[[#This Row],[Response]])=TRUE,1,0)=2,1,"")</f>
        <v>1</v>
      </c>
      <c r="H124" s="5">
        <f>IF(IF(Table442818505258[[#This Row],[Pre or Post]]="Post",1,0)+IF(ISNUMBER(Table442818505258[[#This Row],[Response]])=TRUE,1,0)=2,Table442818505258[[#This Row],[Response]],"")</f>
        <v>3</v>
      </c>
      <c r="I124" s="5">
        <f>IF(Table442818505258[[#This Row],[Old or New?]]="New",Table442818505258[[#This Row],[Post Total]],"")</f>
        <v>3</v>
      </c>
      <c r="J124" s="5" t="str">
        <f>IF(Table442818505258[[#This Row],[Old or New?]]="Old",Table442818505258[[#This Row],[Post Total]],"")</f>
        <v/>
      </c>
      <c r="K124" s="5" t="b">
        <f>ISNUMBER(Table442818505258[[#This Row],[New]])</f>
        <v>1</v>
      </c>
      <c r="L124" s="5" t="b">
        <f>ISNUMBER(Table442818505258[[#This Row],[Old]])</f>
        <v>0</v>
      </c>
    </row>
    <row r="125" spans="1:12">
      <c r="A125" s="2" t="s">
        <v>24</v>
      </c>
      <c r="B125" s="2" t="s">
        <v>28</v>
      </c>
      <c r="C125" s="1">
        <v>10</v>
      </c>
      <c r="D125" s="1" t="s">
        <v>16</v>
      </c>
      <c r="E125" s="1">
        <v>5</v>
      </c>
      <c r="F125" s="1">
        <v>4</v>
      </c>
      <c r="G125" s="5">
        <f>IF(IF(Table442818505258[[#This Row],[Pre or Post]]="Post",1,0)+IF(ISNUMBER(Table442818505258[[#This Row],[Response]])=TRUE,1,0)=2,1,"")</f>
        <v>1</v>
      </c>
      <c r="H125" s="5">
        <f>IF(IF(Table442818505258[[#This Row],[Pre or Post]]="Post",1,0)+IF(ISNUMBER(Table442818505258[[#This Row],[Response]])=TRUE,1,0)=2,Table442818505258[[#This Row],[Response]],"")</f>
        <v>4</v>
      </c>
      <c r="I125" s="5">
        <f>IF(Table442818505258[[#This Row],[Old or New?]]="New",Table442818505258[[#This Row],[Post Total]],"")</f>
        <v>4</v>
      </c>
      <c r="J125" s="5" t="str">
        <f>IF(Table442818505258[[#This Row],[Old or New?]]="Old",Table442818505258[[#This Row],[Post Total]],"")</f>
        <v/>
      </c>
      <c r="K125" s="5" t="b">
        <f>ISNUMBER(Table442818505258[[#This Row],[New]])</f>
        <v>1</v>
      </c>
      <c r="L125" s="5" t="b">
        <f>ISNUMBER(Table442818505258[[#This Row],[Old]])</f>
        <v>0</v>
      </c>
    </row>
    <row r="126" spans="1:12">
      <c r="A126" s="2" t="s">
        <v>24</v>
      </c>
      <c r="B126" s="2" t="s">
        <v>28</v>
      </c>
      <c r="C126" s="1">
        <v>11</v>
      </c>
      <c r="D126" s="1" t="s">
        <v>16</v>
      </c>
      <c r="E126" s="1">
        <v>5</v>
      </c>
      <c r="F126" s="1">
        <v>4</v>
      </c>
      <c r="G126" s="5">
        <f>IF(IF(Table442818505258[[#This Row],[Pre or Post]]="Post",1,0)+IF(ISNUMBER(Table442818505258[[#This Row],[Response]])=TRUE,1,0)=2,1,"")</f>
        <v>1</v>
      </c>
      <c r="H126" s="5">
        <f>IF(IF(Table442818505258[[#This Row],[Pre or Post]]="Post",1,0)+IF(ISNUMBER(Table442818505258[[#This Row],[Response]])=TRUE,1,0)=2,Table442818505258[[#This Row],[Response]],"")</f>
        <v>4</v>
      </c>
      <c r="I126" s="5">
        <f>IF(Table442818505258[[#This Row],[Old or New?]]="New",Table442818505258[[#This Row],[Post Total]],"")</f>
        <v>4</v>
      </c>
      <c r="J126" s="5" t="str">
        <f>IF(Table442818505258[[#This Row],[Old or New?]]="Old",Table442818505258[[#This Row],[Post Total]],"")</f>
        <v/>
      </c>
      <c r="K126" s="5" t="b">
        <f>ISNUMBER(Table442818505258[[#This Row],[New]])</f>
        <v>1</v>
      </c>
      <c r="L126" s="5" t="b">
        <f>ISNUMBER(Table442818505258[[#This Row],[Old]])</f>
        <v>0</v>
      </c>
    </row>
    <row r="127" spans="1:12">
      <c r="A127" s="2" t="s">
        <v>24</v>
      </c>
      <c r="B127" s="2" t="s">
        <v>28</v>
      </c>
      <c r="C127" s="1">
        <v>12</v>
      </c>
      <c r="D127" s="1" t="s">
        <v>16</v>
      </c>
      <c r="E127" s="1">
        <v>5</v>
      </c>
      <c r="F127" s="1">
        <v>3</v>
      </c>
      <c r="G127" s="5">
        <f>IF(IF(Table442818505258[[#This Row],[Pre or Post]]="Post",1,0)+IF(ISNUMBER(Table442818505258[[#This Row],[Response]])=TRUE,1,0)=2,1,"")</f>
        <v>1</v>
      </c>
      <c r="H127" s="5">
        <f>IF(IF(Table442818505258[[#This Row],[Pre or Post]]="Post",1,0)+IF(ISNUMBER(Table442818505258[[#This Row],[Response]])=TRUE,1,0)=2,Table442818505258[[#This Row],[Response]],"")</f>
        <v>3</v>
      </c>
      <c r="I127" s="5">
        <f>IF(Table442818505258[[#This Row],[Old or New?]]="New",Table442818505258[[#This Row],[Post Total]],"")</f>
        <v>3</v>
      </c>
      <c r="J127" s="5" t="str">
        <f>IF(Table442818505258[[#This Row],[Old or New?]]="Old",Table442818505258[[#This Row],[Post Total]],"")</f>
        <v/>
      </c>
      <c r="K127" s="5" t="b">
        <f>ISNUMBER(Table442818505258[[#This Row],[New]])</f>
        <v>1</v>
      </c>
      <c r="L127" s="5" t="b">
        <f>ISNUMBER(Table442818505258[[#This Row],[Old]])</f>
        <v>0</v>
      </c>
    </row>
    <row r="128" spans="1:12">
      <c r="A128" s="2" t="s">
        <v>24</v>
      </c>
      <c r="B128" s="2" t="s">
        <v>28</v>
      </c>
      <c r="C128" s="1">
        <v>13</v>
      </c>
      <c r="D128" s="1" t="s">
        <v>16</v>
      </c>
      <c r="E128" s="1">
        <v>5</v>
      </c>
      <c r="F128" s="1">
        <v>4</v>
      </c>
      <c r="G128" s="5">
        <f>IF(IF(Table442818505258[[#This Row],[Pre or Post]]="Post",1,0)+IF(ISNUMBER(Table442818505258[[#This Row],[Response]])=TRUE,1,0)=2,1,"")</f>
        <v>1</v>
      </c>
      <c r="H128" s="5">
        <f>IF(IF(Table442818505258[[#This Row],[Pre or Post]]="Post",1,0)+IF(ISNUMBER(Table442818505258[[#This Row],[Response]])=TRUE,1,0)=2,Table442818505258[[#This Row],[Response]],"")</f>
        <v>4</v>
      </c>
      <c r="I128" s="5">
        <f>IF(Table442818505258[[#This Row],[Old or New?]]="New",Table442818505258[[#This Row],[Post Total]],"")</f>
        <v>4</v>
      </c>
      <c r="J128" s="5" t="str">
        <f>IF(Table442818505258[[#This Row],[Old or New?]]="Old",Table442818505258[[#This Row],[Post Total]],"")</f>
        <v/>
      </c>
      <c r="K128" s="5" t="b">
        <f>ISNUMBER(Table442818505258[[#This Row],[New]])</f>
        <v>1</v>
      </c>
      <c r="L128" s="5" t="b">
        <f>ISNUMBER(Table442818505258[[#This Row],[Old]])</f>
        <v>0</v>
      </c>
    </row>
    <row r="129" spans="1:12">
      <c r="A129" s="2" t="s">
        <v>24</v>
      </c>
      <c r="B129" s="2" t="s">
        <v>30</v>
      </c>
      <c r="C129" s="1">
        <v>1</v>
      </c>
      <c r="D129" s="2" t="s">
        <v>16</v>
      </c>
      <c r="E129" s="1">
        <v>5</v>
      </c>
      <c r="F129" s="1">
        <v>4</v>
      </c>
      <c r="G129" s="5">
        <f>IF(IF(Table442818505258[[#This Row],[Pre or Post]]="Post",1,0)+IF(ISNUMBER(Table442818505258[[#This Row],[Response]])=TRUE,1,0)=2,1,"")</f>
        <v>1</v>
      </c>
      <c r="H129" s="5">
        <f>IF(IF(Table442818505258[[#This Row],[Pre or Post]]="Post",1,0)+IF(ISNUMBER(Table442818505258[[#This Row],[Response]])=TRUE,1,0)=2,Table442818505258[[#This Row],[Response]],"")</f>
        <v>4</v>
      </c>
      <c r="I129" s="5">
        <f>IF(Table442818505258[[#This Row],[Old or New?]]="New",Table442818505258[[#This Row],[Post Total]],"")</f>
        <v>4</v>
      </c>
      <c r="J129" s="5" t="str">
        <f>IF(Table442818505258[[#This Row],[Old or New?]]="Old",Table442818505258[[#This Row],[Post Total]],"")</f>
        <v/>
      </c>
      <c r="K129" s="5" t="b">
        <f>ISNUMBER(Table442818505258[[#This Row],[New]])</f>
        <v>1</v>
      </c>
      <c r="L129" s="5" t="b">
        <f>ISNUMBER(Table442818505258[[#This Row],[Old]])</f>
        <v>0</v>
      </c>
    </row>
    <row r="130" spans="1:12">
      <c r="A130" s="2" t="s">
        <v>24</v>
      </c>
      <c r="B130" s="2" t="s">
        <v>30</v>
      </c>
      <c r="C130" s="1">
        <v>2</v>
      </c>
      <c r="D130" s="2" t="s">
        <v>16</v>
      </c>
      <c r="E130" s="1">
        <v>5</v>
      </c>
      <c r="F130" s="1">
        <v>5</v>
      </c>
      <c r="G130" s="5">
        <f>IF(IF(Table442818505258[[#This Row],[Pre or Post]]="Post",1,0)+IF(ISNUMBER(Table442818505258[[#This Row],[Response]])=TRUE,1,0)=2,1,"")</f>
        <v>1</v>
      </c>
      <c r="H130" s="5">
        <f>IF(IF(Table442818505258[[#This Row],[Pre or Post]]="Post",1,0)+IF(ISNUMBER(Table442818505258[[#This Row],[Response]])=TRUE,1,0)=2,Table442818505258[[#This Row],[Response]],"")</f>
        <v>5</v>
      </c>
      <c r="I130" s="5">
        <f>IF(Table442818505258[[#This Row],[Old or New?]]="New",Table442818505258[[#This Row],[Post Total]],"")</f>
        <v>5</v>
      </c>
      <c r="J130" s="5" t="str">
        <f>IF(Table442818505258[[#This Row],[Old or New?]]="Old",Table442818505258[[#This Row],[Post Total]],"")</f>
        <v/>
      </c>
      <c r="K130" s="5" t="b">
        <f>ISNUMBER(Table442818505258[[#This Row],[New]])</f>
        <v>1</v>
      </c>
      <c r="L130" s="5" t="b">
        <f>ISNUMBER(Table442818505258[[#This Row],[Old]])</f>
        <v>0</v>
      </c>
    </row>
    <row r="131" spans="1:12">
      <c r="A131" s="2" t="s">
        <v>24</v>
      </c>
      <c r="B131" s="2" t="s">
        <v>30</v>
      </c>
      <c r="C131" s="1">
        <v>3</v>
      </c>
      <c r="D131" s="2" t="s">
        <v>16</v>
      </c>
      <c r="E131" s="1">
        <v>5</v>
      </c>
      <c r="F131" s="1">
        <v>4</v>
      </c>
      <c r="G131" s="5">
        <f>IF(IF(Table442818505258[[#This Row],[Pre or Post]]="Post",1,0)+IF(ISNUMBER(Table442818505258[[#This Row],[Response]])=TRUE,1,0)=2,1,"")</f>
        <v>1</v>
      </c>
      <c r="H131" s="5">
        <f>IF(IF(Table442818505258[[#This Row],[Pre or Post]]="Post",1,0)+IF(ISNUMBER(Table442818505258[[#This Row],[Response]])=TRUE,1,0)=2,Table442818505258[[#This Row],[Response]],"")</f>
        <v>4</v>
      </c>
      <c r="I131" s="5">
        <f>IF(Table442818505258[[#This Row],[Old or New?]]="New",Table442818505258[[#This Row],[Post Total]],"")</f>
        <v>4</v>
      </c>
      <c r="J131" s="5" t="str">
        <f>IF(Table442818505258[[#This Row],[Old or New?]]="Old",Table442818505258[[#This Row],[Post Total]],"")</f>
        <v/>
      </c>
      <c r="K131" s="5" t="b">
        <f>ISNUMBER(Table442818505258[[#This Row],[New]])</f>
        <v>1</v>
      </c>
      <c r="L131" s="5" t="b">
        <f>ISNUMBER(Table442818505258[[#This Row],[Old]])</f>
        <v>0</v>
      </c>
    </row>
    <row r="132" spans="1:12">
      <c r="A132" s="2" t="s">
        <v>24</v>
      </c>
      <c r="B132" s="2" t="s">
        <v>30</v>
      </c>
      <c r="C132" s="1">
        <v>4</v>
      </c>
      <c r="D132" s="2" t="s">
        <v>16</v>
      </c>
      <c r="E132" s="1">
        <v>5</v>
      </c>
      <c r="F132" s="1">
        <v>4</v>
      </c>
      <c r="G132" s="5">
        <f>IF(IF(Table442818505258[[#This Row],[Pre or Post]]="Post",1,0)+IF(ISNUMBER(Table442818505258[[#This Row],[Response]])=TRUE,1,0)=2,1,"")</f>
        <v>1</v>
      </c>
      <c r="H132" s="5">
        <f>IF(IF(Table442818505258[[#This Row],[Pre or Post]]="Post",1,0)+IF(ISNUMBER(Table442818505258[[#This Row],[Response]])=TRUE,1,0)=2,Table442818505258[[#This Row],[Response]],"")</f>
        <v>4</v>
      </c>
      <c r="I132" s="5">
        <f>IF(Table442818505258[[#This Row],[Old or New?]]="New",Table442818505258[[#This Row],[Post Total]],"")</f>
        <v>4</v>
      </c>
      <c r="J132" s="5" t="str">
        <f>IF(Table442818505258[[#This Row],[Old or New?]]="Old",Table442818505258[[#This Row],[Post Total]],"")</f>
        <v/>
      </c>
      <c r="K132" s="5" t="b">
        <f>ISNUMBER(Table442818505258[[#This Row],[New]])</f>
        <v>1</v>
      </c>
      <c r="L132" s="5" t="b">
        <f>ISNUMBER(Table442818505258[[#This Row],[Old]])</f>
        <v>0</v>
      </c>
    </row>
    <row r="133" spans="1:12">
      <c r="A133" s="2" t="s">
        <v>24</v>
      </c>
      <c r="B133" s="2" t="s">
        <v>30</v>
      </c>
      <c r="C133" s="1">
        <v>5</v>
      </c>
      <c r="D133" s="2" t="s">
        <v>16</v>
      </c>
      <c r="E133" s="1">
        <v>5</v>
      </c>
      <c r="F133" s="1">
        <v>4</v>
      </c>
      <c r="G133" s="5">
        <f>IF(IF(Table442818505258[[#This Row],[Pre or Post]]="Post",1,0)+IF(ISNUMBER(Table442818505258[[#This Row],[Response]])=TRUE,1,0)=2,1,"")</f>
        <v>1</v>
      </c>
      <c r="H133" s="5">
        <f>IF(IF(Table442818505258[[#This Row],[Pre or Post]]="Post",1,0)+IF(ISNUMBER(Table442818505258[[#This Row],[Response]])=TRUE,1,0)=2,Table442818505258[[#This Row],[Response]],"")</f>
        <v>4</v>
      </c>
      <c r="I133" s="5">
        <f>IF(Table442818505258[[#This Row],[Old or New?]]="New",Table442818505258[[#This Row],[Post Total]],"")</f>
        <v>4</v>
      </c>
      <c r="J133" s="5" t="str">
        <f>IF(Table442818505258[[#This Row],[Old or New?]]="Old",Table442818505258[[#This Row],[Post Total]],"")</f>
        <v/>
      </c>
      <c r="K133" s="5" t="b">
        <f>ISNUMBER(Table442818505258[[#This Row],[New]])</f>
        <v>1</v>
      </c>
      <c r="L133" s="5" t="b">
        <f>ISNUMBER(Table442818505258[[#This Row],[Old]])</f>
        <v>0</v>
      </c>
    </row>
    <row r="134" spans="1:12">
      <c r="A134" s="2" t="s">
        <v>24</v>
      </c>
      <c r="B134" s="2" t="s">
        <v>30</v>
      </c>
      <c r="C134" s="1">
        <v>6</v>
      </c>
      <c r="D134" s="2" t="s">
        <v>16</v>
      </c>
      <c r="E134" s="1">
        <v>5</v>
      </c>
      <c r="F134" s="1">
        <v>5</v>
      </c>
      <c r="G134" s="5">
        <f>IF(IF(Table442818505258[[#This Row],[Pre or Post]]="Post",1,0)+IF(ISNUMBER(Table442818505258[[#This Row],[Response]])=TRUE,1,0)=2,1,"")</f>
        <v>1</v>
      </c>
      <c r="H134" s="5">
        <f>IF(IF(Table442818505258[[#This Row],[Pre or Post]]="Post",1,0)+IF(ISNUMBER(Table442818505258[[#This Row],[Response]])=TRUE,1,0)=2,Table442818505258[[#This Row],[Response]],"")</f>
        <v>5</v>
      </c>
      <c r="I134" s="5">
        <f>IF(Table442818505258[[#This Row],[Old or New?]]="New",Table442818505258[[#This Row],[Post Total]],"")</f>
        <v>5</v>
      </c>
      <c r="J134" s="5" t="str">
        <f>IF(Table442818505258[[#This Row],[Old or New?]]="Old",Table442818505258[[#This Row],[Post Total]],"")</f>
        <v/>
      </c>
      <c r="K134" s="5" t="b">
        <f>ISNUMBER(Table442818505258[[#This Row],[New]])</f>
        <v>1</v>
      </c>
      <c r="L134" s="5" t="b">
        <f>ISNUMBER(Table442818505258[[#This Row],[Old]])</f>
        <v>0</v>
      </c>
    </row>
    <row r="135" spans="1:12">
      <c r="A135" s="2" t="s">
        <v>24</v>
      </c>
      <c r="B135" s="2" t="s">
        <v>30</v>
      </c>
      <c r="C135" s="1">
        <v>7</v>
      </c>
      <c r="D135" s="2" t="s">
        <v>16</v>
      </c>
      <c r="E135" s="1">
        <v>5</v>
      </c>
      <c r="F135" s="1">
        <v>5</v>
      </c>
      <c r="G135" s="5">
        <f>IF(IF(Table442818505258[[#This Row],[Pre or Post]]="Post",1,0)+IF(ISNUMBER(Table442818505258[[#This Row],[Response]])=TRUE,1,0)=2,1,"")</f>
        <v>1</v>
      </c>
      <c r="H135" s="5">
        <f>IF(IF(Table442818505258[[#This Row],[Pre or Post]]="Post",1,0)+IF(ISNUMBER(Table442818505258[[#This Row],[Response]])=TRUE,1,0)=2,Table442818505258[[#This Row],[Response]],"")</f>
        <v>5</v>
      </c>
      <c r="I135" s="5">
        <f>IF(Table442818505258[[#This Row],[Old or New?]]="New",Table442818505258[[#This Row],[Post Total]],"")</f>
        <v>5</v>
      </c>
      <c r="J135" s="5" t="str">
        <f>IF(Table442818505258[[#This Row],[Old or New?]]="Old",Table442818505258[[#This Row],[Post Total]],"")</f>
        <v/>
      </c>
      <c r="K135" s="5" t="b">
        <f>ISNUMBER(Table442818505258[[#This Row],[New]])</f>
        <v>1</v>
      </c>
      <c r="L135" s="5" t="b">
        <f>ISNUMBER(Table442818505258[[#This Row],[Old]])</f>
        <v>0</v>
      </c>
    </row>
    <row r="136" spans="1:12">
      <c r="A136" s="2" t="s">
        <v>24</v>
      </c>
      <c r="B136" s="2" t="s">
        <v>30</v>
      </c>
      <c r="C136" s="1">
        <v>8</v>
      </c>
      <c r="D136" s="2" t="s">
        <v>16</v>
      </c>
      <c r="E136" s="1">
        <v>5</v>
      </c>
      <c r="F136" s="1">
        <v>5</v>
      </c>
      <c r="G136" s="5">
        <f>IF(IF(Table442818505258[[#This Row],[Pre or Post]]="Post",1,0)+IF(ISNUMBER(Table442818505258[[#This Row],[Response]])=TRUE,1,0)=2,1,"")</f>
        <v>1</v>
      </c>
      <c r="H136" s="5">
        <f>IF(IF(Table442818505258[[#This Row],[Pre or Post]]="Post",1,0)+IF(ISNUMBER(Table442818505258[[#This Row],[Response]])=TRUE,1,0)=2,Table442818505258[[#This Row],[Response]],"")</f>
        <v>5</v>
      </c>
      <c r="I136" s="5">
        <f>IF(Table442818505258[[#This Row],[Old or New?]]="New",Table442818505258[[#This Row],[Post Total]],"")</f>
        <v>5</v>
      </c>
      <c r="J136" s="5" t="str">
        <f>IF(Table442818505258[[#This Row],[Old or New?]]="Old",Table442818505258[[#This Row],[Post Total]],"")</f>
        <v/>
      </c>
      <c r="K136" s="5" t="b">
        <f>ISNUMBER(Table442818505258[[#This Row],[New]])</f>
        <v>1</v>
      </c>
      <c r="L136" s="5" t="b">
        <f>ISNUMBER(Table442818505258[[#This Row],[Old]])</f>
        <v>0</v>
      </c>
    </row>
    <row r="137" spans="1:12">
      <c r="A137" s="2" t="s">
        <v>24</v>
      </c>
      <c r="B137" s="2" t="s">
        <v>30</v>
      </c>
      <c r="C137" s="1">
        <v>9</v>
      </c>
      <c r="D137" s="2" t="s">
        <v>16</v>
      </c>
      <c r="E137" s="1">
        <v>5</v>
      </c>
      <c r="F137" s="1">
        <v>3</v>
      </c>
      <c r="G137" s="5">
        <f>IF(IF(Table442818505258[[#This Row],[Pre or Post]]="Post",1,0)+IF(ISNUMBER(Table442818505258[[#This Row],[Response]])=TRUE,1,0)=2,1,"")</f>
        <v>1</v>
      </c>
      <c r="H137" s="5">
        <f>IF(IF(Table442818505258[[#This Row],[Pre or Post]]="Post",1,0)+IF(ISNUMBER(Table442818505258[[#This Row],[Response]])=TRUE,1,0)=2,Table442818505258[[#This Row],[Response]],"")</f>
        <v>3</v>
      </c>
      <c r="I137" s="5">
        <f>IF(Table442818505258[[#This Row],[Old or New?]]="New",Table442818505258[[#This Row],[Post Total]],"")</f>
        <v>3</v>
      </c>
      <c r="J137" s="5" t="str">
        <f>IF(Table442818505258[[#This Row],[Old or New?]]="Old",Table442818505258[[#This Row],[Post Total]],"")</f>
        <v/>
      </c>
      <c r="K137" s="5" t="b">
        <f>ISNUMBER(Table442818505258[[#This Row],[New]])</f>
        <v>1</v>
      </c>
      <c r="L137" s="5" t="b">
        <f>ISNUMBER(Table442818505258[[#This Row],[Old]])</f>
        <v>0</v>
      </c>
    </row>
    <row r="138" spans="1:12">
      <c r="A138" s="2" t="s">
        <v>24</v>
      </c>
      <c r="B138" s="2" t="s">
        <v>30</v>
      </c>
      <c r="C138" s="1">
        <v>10</v>
      </c>
      <c r="D138" s="2" t="s">
        <v>16</v>
      </c>
      <c r="E138" s="1">
        <v>5</v>
      </c>
      <c r="F138" s="1">
        <v>4</v>
      </c>
      <c r="G138" s="5">
        <f>IF(IF(Table442818505258[[#This Row],[Pre or Post]]="Post",1,0)+IF(ISNUMBER(Table442818505258[[#This Row],[Response]])=TRUE,1,0)=2,1,"")</f>
        <v>1</v>
      </c>
      <c r="H138" s="5">
        <f>IF(IF(Table442818505258[[#This Row],[Pre or Post]]="Post",1,0)+IF(ISNUMBER(Table442818505258[[#This Row],[Response]])=TRUE,1,0)=2,Table442818505258[[#This Row],[Response]],"")</f>
        <v>4</v>
      </c>
      <c r="I138" s="5">
        <f>IF(Table442818505258[[#This Row],[Old or New?]]="New",Table442818505258[[#This Row],[Post Total]],"")</f>
        <v>4</v>
      </c>
      <c r="J138" s="5" t="str">
        <f>IF(Table442818505258[[#This Row],[Old or New?]]="Old",Table442818505258[[#This Row],[Post Total]],"")</f>
        <v/>
      </c>
      <c r="K138" s="5" t="b">
        <f>ISNUMBER(Table442818505258[[#This Row],[New]])</f>
        <v>1</v>
      </c>
      <c r="L138" s="5" t="b">
        <f>ISNUMBER(Table442818505258[[#This Row],[Old]])</f>
        <v>0</v>
      </c>
    </row>
    <row r="139" spans="1:12">
      <c r="A139" s="2" t="s">
        <v>24</v>
      </c>
      <c r="B139" s="2" t="s">
        <v>30</v>
      </c>
      <c r="C139" s="1">
        <v>11</v>
      </c>
      <c r="D139" s="2" t="s">
        <v>16</v>
      </c>
      <c r="E139" s="1">
        <v>5</v>
      </c>
      <c r="F139" s="1">
        <v>5</v>
      </c>
      <c r="G139" s="5">
        <f>IF(IF(Table442818505258[[#This Row],[Pre or Post]]="Post",1,0)+IF(ISNUMBER(Table442818505258[[#This Row],[Response]])=TRUE,1,0)=2,1,"")</f>
        <v>1</v>
      </c>
      <c r="H139" s="5">
        <f>IF(IF(Table442818505258[[#This Row],[Pre or Post]]="Post",1,0)+IF(ISNUMBER(Table442818505258[[#This Row],[Response]])=TRUE,1,0)=2,Table442818505258[[#This Row],[Response]],"")</f>
        <v>5</v>
      </c>
      <c r="I139" s="5">
        <f>IF(Table442818505258[[#This Row],[Old or New?]]="New",Table442818505258[[#This Row],[Post Total]],"")</f>
        <v>5</v>
      </c>
      <c r="J139" s="5" t="str">
        <f>IF(Table442818505258[[#This Row],[Old or New?]]="Old",Table442818505258[[#This Row],[Post Total]],"")</f>
        <v/>
      </c>
      <c r="K139" s="5" t="b">
        <f>ISNUMBER(Table442818505258[[#This Row],[New]])</f>
        <v>1</v>
      </c>
      <c r="L139" s="5" t="b">
        <f>ISNUMBER(Table442818505258[[#This Row],[Old]])</f>
        <v>0</v>
      </c>
    </row>
    <row r="140" spans="1:12">
      <c r="A140" s="2" t="s">
        <v>24</v>
      </c>
      <c r="B140" s="2" t="s">
        <v>30</v>
      </c>
      <c r="C140" s="1">
        <v>12</v>
      </c>
      <c r="D140" s="2" t="s">
        <v>16</v>
      </c>
      <c r="E140" s="1">
        <v>5</v>
      </c>
      <c r="F140" s="1">
        <v>5</v>
      </c>
      <c r="G140" s="5">
        <f>IF(IF(Table442818505258[[#This Row],[Pre or Post]]="Post",1,0)+IF(ISNUMBER(Table442818505258[[#This Row],[Response]])=TRUE,1,0)=2,1,"")</f>
        <v>1</v>
      </c>
      <c r="H140" s="5">
        <f>IF(IF(Table442818505258[[#This Row],[Pre or Post]]="Post",1,0)+IF(ISNUMBER(Table442818505258[[#This Row],[Response]])=TRUE,1,0)=2,Table442818505258[[#This Row],[Response]],"")</f>
        <v>5</v>
      </c>
      <c r="I140" s="5">
        <f>IF(Table442818505258[[#This Row],[Old or New?]]="New",Table442818505258[[#This Row],[Post Total]],"")</f>
        <v>5</v>
      </c>
      <c r="J140" s="5" t="str">
        <f>IF(Table442818505258[[#This Row],[Old or New?]]="Old",Table442818505258[[#This Row],[Post Total]],"")</f>
        <v/>
      </c>
      <c r="K140" s="5" t="b">
        <f>ISNUMBER(Table442818505258[[#This Row],[New]])</f>
        <v>1</v>
      </c>
      <c r="L140" s="5" t="b">
        <f>ISNUMBER(Table442818505258[[#This Row],[Old]])</f>
        <v>0</v>
      </c>
    </row>
    <row r="141" spans="1:12">
      <c r="A141" s="2" t="s">
        <v>24</v>
      </c>
      <c r="B141" s="2" t="s">
        <v>30</v>
      </c>
      <c r="C141" s="1">
        <v>13</v>
      </c>
      <c r="D141" s="2" t="s">
        <v>16</v>
      </c>
      <c r="E141" s="1">
        <v>5</v>
      </c>
      <c r="F141" s="1">
        <v>4</v>
      </c>
      <c r="G141" s="5">
        <f>IF(IF(Table442818505258[[#This Row],[Pre or Post]]="Post",1,0)+IF(ISNUMBER(Table442818505258[[#This Row],[Response]])=TRUE,1,0)=2,1,"")</f>
        <v>1</v>
      </c>
      <c r="H141" s="5">
        <f>IF(IF(Table442818505258[[#This Row],[Pre or Post]]="Post",1,0)+IF(ISNUMBER(Table442818505258[[#This Row],[Response]])=TRUE,1,0)=2,Table442818505258[[#This Row],[Response]],"")</f>
        <v>4</v>
      </c>
      <c r="I141" s="5">
        <f>IF(Table442818505258[[#This Row],[Old or New?]]="New",Table442818505258[[#This Row],[Post Total]],"")</f>
        <v>4</v>
      </c>
      <c r="J141" s="5" t="str">
        <f>IF(Table442818505258[[#This Row],[Old or New?]]="Old",Table442818505258[[#This Row],[Post Total]],"")</f>
        <v/>
      </c>
      <c r="K141" s="5" t="b">
        <f>ISNUMBER(Table442818505258[[#This Row],[New]])</f>
        <v>1</v>
      </c>
      <c r="L141" s="5" t="b">
        <f>ISNUMBER(Table442818505258[[#This Row],[Old]])</f>
        <v>0</v>
      </c>
    </row>
    <row r="142" spans="1:12">
      <c r="A142" s="2" t="s">
        <v>24</v>
      </c>
      <c r="B142" s="2" t="s">
        <v>30</v>
      </c>
      <c r="C142" s="1">
        <v>14</v>
      </c>
      <c r="D142" s="2" t="s">
        <v>16</v>
      </c>
      <c r="E142" s="1">
        <v>5</v>
      </c>
      <c r="F142" s="1">
        <v>4</v>
      </c>
      <c r="G142" s="5">
        <f>IF(IF(Table442818505258[[#This Row],[Pre or Post]]="Post",1,0)+IF(ISNUMBER(Table442818505258[[#This Row],[Response]])=TRUE,1,0)=2,1,"")</f>
        <v>1</v>
      </c>
      <c r="H142" s="5">
        <f>IF(IF(Table442818505258[[#This Row],[Pre or Post]]="Post",1,0)+IF(ISNUMBER(Table442818505258[[#This Row],[Response]])=TRUE,1,0)=2,Table442818505258[[#This Row],[Response]],"")</f>
        <v>4</v>
      </c>
      <c r="I142" s="5">
        <f>IF(Table442818505258[[#This Row],[Old or New?]]="New",Table442818505258[[#This Row],[Post Total]],"")</f>
        <v>4</v>
      </c>
      <c r="J142" s="5" t="str">
        <f>IF(Table442818505258[[#This Row],[Old or New?]]="Old",Table442818505258[[#This Row],[Post Total]],"")</f>
        <v/>
      </c>
      <c r="K142" s="5" t="b">
        <f>ISNUMBER(Table442818505258[[#This Row],[New]])</f>
        <v>1</v>
      </c>
      <c r="L142" s="5" t="b">
        <f>ISNUMBER(Table442818505258[[#This Row],[Old]])</f>
        <v>0</v>
      </c>
    </row>
    <row r="143" spans="1:12">
      <c r="A143" s="2" t="s">
        <v>24</v>
      </c>
      <c r="B143" s="2" t="s">
        <v>30</v>
      </c>
      <c r="C143" s="1">
        <v>15</v>
      </c>
      <c r="D143" s="2" t="s">
        <v>16</v>
      </c>
      <c r="E143" s="1">
        <v>5</v>
      </c>
      <c r="F143" s="1">
        <v>4</v>
      </c>
      <c r="G143" s="5">
        <f>IF(IF(Table442818505258[[#This Row],[Pre or Post]]="Post",1,0)+IF(ISNUMBER(Table442818505258[[#This Row],[Response]])=TRUE,1,0)=2,1,"")</f>
        <v>1</v>
      </c>
      <c r="H143" s="5">
        <f>IF(IF(Table442818505258[[#This Row],[Pre or Post]]="Post",1,0)+IF(ISNUMBER(Table442818505258[[#This Row],[Response]])=TRUE,1,0)=2,Table442818505258[[#This Row],[Response]],"")</f>
        <v>4</v>
      </c>
      <c r="I143" s="5">
        <f>IF(Table442818505258[[#This Row],[Old or New?]]="New",Table442818505258[[#This Row],[Post Total]],"")</f>
        <v>4</v>
      </c>
      <c r="J143" s="5" t="str">
        <f>IF(Table442818505258[[#This Row],[Old or New?]]="Old",Table442818505258[[#This Row],[Post Total]],"")</f>
        <v/>
      </c>
      <c r="K143" s="5" t="b">
        <f>ISNUMBER(Table442818505258[[#This Row],[New]])</f>
        <v>1</v>
      </c>
      <c r="L143" s="5" t="b">
        <f>ISNUMBER(Table442818505258[[#This Row],[Old]])</f>
        <v>0</v>
      </c>
    </row>
    <row r="144" spans="1:12">
      <c r="A144" s="2" t="s">
        <v>24</v>
      </c>
      <c r="B144" s="2" t="s">
        <v>30</v>
      </c>
      <c r="C144" s="1">
        <v>16</v>
      </c>
      <c r="D144" s="2" t="s">
        <v>16</v>
      </c>
      <c r="E144" s="1">
        <v>5</v>
      </c>
      <c r="F144" s="1">
        <v>5</v>
      </c>
      <c r="G144" s="5">
        <f>IF(IF(Table442818505258[[#This Row],[Pre or Post]]="Post",1,0)+IF(ISNUMBER(Table442818505258[[#This Row],[Response]])=TRUE,1,0)=2,1,"")</f>
        <v>1</v>
      </c>
      <c r="H144" s="5">
        <f>IF(IF(Table442818505258[[#This Row],[Pre or Post]]="Post",1,0)+IF(ISNUMBER(Table442818505258[[#This Row],[Response]])=TRUE,1,0)=2,Table442818505258[[#This Row],[Response]],"")</f>
        <v>5</v>
      </c>
      <c r="I144" s="5">
        <f>IF(Table442818505258[[#This Row],[Old or New?]]="New",Table442818505258[[#This Row],[Post Total]],"")</f>
        <v>5</v>
      </c>
      <c r="J144" s="5" t="str">
        <f>IF(Table442818505258[[#This Row],[Old or New?]]="Old",Table442818505258[[#This Row],[Post Total]],"")</f>
        <v/>
      </c>
      <c r="K144" s="5" t="b">
        <f>ISNUMBER(Table442818505258[[#This Row],[New]])</f>
        <v>1</v>
      </c>
      <c r="L144" s="5" t="b">
        <f>ISNUMBER(Table442818505258[[#This Row],[Old]])</f>
        <v>0</v>
      </c>
    </row>
    <row r="145" spans="1:12">
      <c r="A145" s="2" t="s">
        <v>24</v>
      </c>
      <c r="B145" s="2" t="s">
        <v>30</v>
      </c>
      <c r="C145" s="1">
        <v>17</v>
      </c>
      <c r="D145" s="2" t="s">
        <v>16</v>
      </c>
      <c r="E145" s="1">
        <v>5</v>
      </c>
      <c r="F145" s="1">
        <v>4</v>
      </c>
      <c r="G145" s="5">
        <f>IF(IF(Table442818505258[[#This Row],[Pre or Post]]="Post",1,0)+IF(ISNUMBER(Table442818505258[[#This Row],[Response]])=TRUE,1,0)=2,1,"")</f>
        <v>1</v>
      </c>
      <c r="H145" s="5">
        <f>IF(IF(Table442818505258[[#This Row],[Pre or Post]]="Post",1,0)+IF(ISNUMBER(Table442818505258[[#This Row],[Response]])=TRUE,1,0)=2,Table442818505258[[#This Row],[Response]],"")</f>
        <v>4</v>
      </c>
      <c r="I145" s="5">
        <f>IF(Table442818505258[[#This Row],[Old or New?]]="New",Table442818505258[[#This Row],[Post Total]],"")</f>
        <v>4</v>
      </c>
      <c r="J145" s="5" t="str">
        <f>IF(Table442818505258[[#This Row],[Old or New?]]="Old",Table442818505258[[#This Row],[Post Total]],"")</f>
        <v/>
      </c>
      <c r="K145" s="5" t="b">
        <f>ISNUMBER(Table442818505258[[#This Row],[New]])</f>
        <v>1</v>
      </c>
      <c r="L145" s="5" t="b">
        <f>ISNUMBER(Table442818505258[[#This Row],[Old]])</f>
        <v>0</v>
      </c>
    </row>
    <row r="146" spans="1:12">
      <c r="A146" s="2" t="s">
        <v>24</v>
      </c>
      <c r="B146" s="2" t="s">
        <v>30</v>
      </c>
      <c r="C146" s="1">
        <v>18</v>
      </c>
      <c r="D146" s="2" t="s">
        <v>16</v>
      </c>
      <c r="E146" s="1">
        <v>5</v>
      </c>
      <c r="F146" s="1">
        <v>4</v>
      </c>
      <c r="G146" s="5">
        <f>IF(IF(Table442818505258[[#This Row],[Pre or Post]]="Post",1,0)+IF(ISNUMBER(Table442818505258[[#This Row],[Response]])=TRUE,1,0)=2,1,"")</f>
        <v>1</v>
      </c>
      <c r="H146" s="5">
        <f>IF(IF(Table442818505258[[#This Row],[Pre or Post]]="Post",1,0)+IF(ISNUMBER(Table442818505258[[#This Row],[Response]])=TRUE,1,0)=2,Table442818505258[[#This Row],[Response]],"")</f>
        <v>4</v>
      </c>
      <c r="I146" s="5">
        <f>IF(Table442818505258[[#This Row],[Old or New?]]="New",Table442818505258[[#This Row],[Post Total]],"")</f>
        <v>4</v>
      </c>
      <c r="J146" s="5" t="str">
        <f>IF(Table442818505258[[#This Row],[Old or New?]]="Old",Table442818505258[[#This Row],[Post Total]],"")</f>
        <v/>
      </c>
      <c r="K146" s="5" t="b">
        <f>ISNUMBER(Table442818505258[[#This Row],[New]])</f>
        <v>1</v>
      </c>
      <c r="L146" s="5" t="b">
        <f>ISNUMBER(Table442818505258[[#This Row],[Old]])</f>
        <v>0</v>
      </c>
    </row>
    <row r="147" spans="1:12">
      <c r="A147" s="2" t="s">
        <v>24</v>
      </c>
      <c r="B147" s="2" t="s">
        <v>30</v>
      </c>
      <c r="C147" s="2">
        <v>19</v>
      </c>
      <c r="D147" s="2" t="s">
        <v>16</v>
      </c>
      <c r="E147" s="1">
        <v>5</v>
      </c>
      <c r="F147" s="1">
        <v>3</v>
      </c>
      <c r="G147" s="5">
        <f>IF(IF(Table442818505258[[#This Row],[Pre or Post]]="Post",1,0)+IF(ISNUMBER(Table442818505258[[#This Row],[Response]])=TRUE,1,0)=2,1,"")</f>
        <v>1</v>
      </c>
      <c r="H147" s="5">
        <f>IF(IF(Table442818505258[[#This Row],[Pre or Post]]="Post",1,0)+IF(ISNUMBER(Table442818505258[[#This Row],[Response]])=TRUE,1,0)=2,Table442818505258[[#This Row],[Response]],"")</f>
        <v>3</v>
      </c>
      <c r="I147" s="5">
        <f>IF(Table442818505258[[#This Row],[Old or New?]]="New",Table442818505258[[#This Row],[Post Total]],"")</f>
        <v>3</v>
      </c>
      <c r="J147" s="5" t="str">
        <f>IF(Table442818505258[[#This Row],[Old or New?]]="Old",Table442818505258[[#This Row],[Post Total]],"")</f>
        <v/>
      </c>
      <c r="K147" s="5" t="b">
        <f>ISNUMBER(Table442818505258[[#This Row],[New]])</f>
        <v>1</v>
      </c>
      <c r="L147" s="5" t="b">
        <f>ISNUMBER(Table442818505258[[#This Row],[Old]])</f>
        <v>0</v>
      </c>
    </row>
    <row r="148" spans="1:12">
      <c r="A148" s="2" t="s">
        <v>24</v>
      </c>
      <c r="B148" s="2" t="s">
        <v>31</v>
      </c>
      <c r="C148" s="1">
        <v>1</v>
      </c>
      <c r="D148" s="2" t="s">
        <v>16</v>
      </c>
      <c r="E148" s="1">
        <v>5</v>
      </c>
      <c r="F148" s="1">
        <v>4</v>
      </c>
      <c r="G148" s="5">
        <f>IF(IF(Table442818505258[[#This Row],[Pre or Post]]="Post",1,0)+IF(ISNUMBER(Table442818505258[[#This Row],[Response]])=TRUE,1,0)=2,1,"")</f>
        <v>1</v>
      </c>
      <c r="H148" s="5">
        <f>IF(IF(Table442818505258[[#This Row],[Pre or Post]]="Post",1,0)+IF(ISNUMBER(Table442818505258[[#This Row],[Response]])=TRUE,1,0)=2,Table442818505258[[#This Row],[Response]],"")</f>
        <v>4</v>
      </c>
      <c r="I148" s="5">
        <f>IF(Table442818505258[[#This Row],[Old or New?]]="New",Table442818505258[[#This Row],[Post Total]],"")</f>
        <v>4</v>
      </c>
      <c r="J148" s="5" t="str">
        <f>IF(Table442818505258[[#This Row],[Old or New?]]="Old",Table442818505258[[#This Row],[Post Total]],"")</f>
        <v/>
      </c>
      <c r="K148" s="5" t="b">
        <f>ISNUMBER(Table442818505258[[#This Row],[New]])</f>
        <v>1</v>
      </c>
      <c r="L148" s="5" t="b">
        <f>ISNUMBER(Table442818505258[[#This Row],[Old]])</f>
        <v>0</v>
      </c>
    </row>
    <row r="149" spans="1:12">
      <c r="A149" s="2" t="s">
        <v>24</v>
      </c>
      <c r="B149" s="2" t="s">
        <v>31</v>
      </c>
      <c r="C149" s="1">
        <v>2</v>
      </c>
      <c r="D149" s="2" t="s">
        <v>16</v>
      </c>
      <c r="E149" s="1">
        <v>5</v>
      </c>
      <c r="F149" s="1">
        <v>2</v>
      </c>
      <c r="G149" s="5">
        <f>IF(IF(Table442818505258[[#This Row],[Pre or Post]]="Post",1,0)+IF(ISNUMBER(Table442818505258[[#This Row],[Response]])=TRUE,1,0)=2,1,"")</f>
        <v>1</v>
      </c>
      <c r="H149" s="5">
        <f>IF(IF(Table442818505258[[#This Row],[Pre or Post]]="Post",1,0)+IF(ISNUMBER(Table442818505258[[#This Row],[Response]])=TRUE,1,0)=2,Table442818505258[[#This Row],[Response]],"")</f>
        <v>2</v>
      </c>
      <c r="I149" s="5">
        <f>IF(Table442818505258[[#This Row],[Old or New?]]="New",Table442818505258[[#This Row],[Post Total]],"")</f>
        <v>2</v>
      </c>
      <c r="J149" s="5" t="str">
        <f>IF(Table442818505258[[#This Row],[Old or New?]]="Old",Table442818505258[[#This Row],[Post Total]],"")</f>
        <v/>
      </c>
      <c r="K149" s="5" t="b">
        <f>ISNUMBER(Table442818505258[[#This Row],[New]])</f>
        <v>1</v>
      </c>
      <c r="L149" s="5" t="b">
        <f>ISNUMBER(Table442818505258[[#This Row],[Old]])</f>
        <v>0</v>
      </c>
    </row>
    <row r="150" spans="1:12">
      <c r="A150" s="2" t="s">
        <v>24</v>
      </c>
      <c r="B150" s="2" t="s">
        <v>31</v>
      </c>
      <c r="C150" s="1">
        <v>3</v>
      </c>
      <c r="D150" s="2" t="s">
        <v>16</v>
      </c>
      <c r="E150" s="1">
        <v>5</v>
      </c>
      <c r="F150" s="1">
        <v>4</v>
      </c>
      <c r="G150" s="5">
        <f>IF(IF(Table442818505258[[#This Row],[Pre or Post]]="Post",1,0)+IF(ISNUMBER(Table442818505258[[#This Row],[Response]])=TRUE,1,0)=2,1,"")</f>
        <v>1</v>
      </c>
      <c r="H150" s="5">
        <f>IF(IF(Table442818505258[[#This Row],[Pre or Post]]="Post",1,0)+IF(ISNUMBER(Table442818505258[[#This Row],[Response]])=TRUE,1,0)=2,Table442818505258[[#This Row],[Response]],"")</f>
        <v>4</v>
      </c>
      <c r="I150" s="5">
        <f>IF(Table442818505258[[#This Row],[Old or New?]]="New",Table442818505258[[#This Row],[Post Total]],"")</f>
        <v>4</v>
      </c>
      <c r="J150" s="5" t="str">
        <f>IF(Table442818505258[[#This Row],[Old or New?]]="Old",Table442818505258[[#This Row],[Post Total]],"")</f>
        <v/>
      </c>
      <c r="K150" s="5" t="b">
        <f>ISNUMBER(Table442818505258[[#This Row],[New]])</f>
        <v>1</v>
      </c>
      <c r="L150" s="5" t="b">
        <f>ISNUMBER(Table442818505258[[#This Row],[Old]])</f>
        <v>0</v>
      </c>
    </row>
    <row r="151" spans="1:12">
      <c r="A151" s="2" t="s">
        <v>24</v>
      </c>
      <c r="B151" s="2" t="s">
        <v>31</v>
      </c>
      <c r="C151" s="1">
        <v>4</v>
      </c>
      <c r="D151" s="2" t="s">
        <v>16</v>
      </c>
      <c r="E151" s="1">
        <v>5</v>
      </c>
      <c r="F151" s="1">
        <v>4</v>
      </c>
      <c r="G151" s="5">
        <f>IF(IF(Table442818505258[[#This Row],[Pre or Post]]="Post",1,0)+IF(ISNUMBER(Table442818505258[[#This Row],[Response]])=TRUE,1,0)=2,1,"")</f>
        <v>1</v>
      </c>
      <c r="H151" s="5">
        <f>IF(IF(Table442818505258[[#This Row],[Pre or Post]]="Post",1,0)+IF(ISNUMBER(Table442818505258[[#This Row],[Response]])=TRUE,1,0)=2,Table442818505258[[#This Row],[Response]],"")</f>
        <v>4</v>
      </c>
      <c r="I151" s="5">
        <f>IF(Table442818505258[[#This Row],[Old or New?]]="New",Table442818505258[[#This Row],[Post Total]],"")</f>
        <v>4</v>
      </c>
      <c r="J151" s="5" t="str">
        <f>IF(Table442818505258[[#This Row],[Old or New?]]="Old",Table442818505258[[#This Row],[Post Total]],"")</f>
        <v/>
      </c>
      <c r="K151" s="5" t="b">
        <f>ISNUMBER(Table442818505258[[#This Row],[New]])</f>
        <v>1</v>
      </c>
      <c r="L151" s="5" t="b">
        <f>ISNUMBER(Table442818505258[[#This Row],[Old]])</f>
        <v>0</v>
      </c>
    </row>
    <row r="152" spans="1:12">
      <c r="A152" s="2" t="s">
        <v>24</v>
      </c>
      <c r="B152" s="2" t="s">
        <v>31</v>
      </c>
      <c r="C152" s="1">
        <v>5</v>
      </c>
      <c r="D152" s="2" t="s">
        <v>16</v>
      </c>
      <c r="E152" s="1">
        <v>5</v>
      </c>
      <c r="F152" s="1">
        <v>4</v>
      </c>
      <c r="G152" s="5">
        <f>IF(IF(Table442818505258[[#This Row],[Pre or Post]]="Post",1,0)+IF(ISNUMBER(Table442818505258[[#This Row],[Response]])=TRUE,1,0)=2,1,"")</f>
        <v>1</v>
      </c>
      <c r="H152" s="5">
        <f>IF(IF(Table442818505258[[#This Row],[Pre or Post]]="Post",1,0)+IF(ISNUMBER(Table442818505258[[#This Row],[Response]])=TRUE,1,0)=2,Table442818505258[[#This Row],[Response]],"")</f>
        <v>4</v>
      </c>
      <c r="I152" s="5">
        <f>IF(Table442818505258[[#This Row],[Old or New?]]="New",Table442818505258[[#This Row],[Post Total]],"")</f>
        <v>4</v>
      </c>
      <c r="J152" s="5" t="str">
        <f>IF(Table442818505258[[#This Row],[Old or New?]]="Old",Table442818505258[[#This Row],[Post Total]],"")</f>
        <v/>
      </c>
      <c r="K152" s="5" t="b">
        <f>ISNUMBER(Table442818505258[[#This Row],[New]])</f>
        <v>1</v>
      </c>
      <c r="L152" s="5" t="b">
        <f>ISNUMBER(Table442818505258[[#This Row],[Old]])</f>
        <v>0</v>
      </c>
    </row>
    <row r="153" spans="1:12">
      <c r="A153" s="2" t="s">
        <v>24</v>
      </c>
      <c r="B153" s="2" t="s">
        <v>31</v>
      </c>
      <c r="C153" s="1">
        <v>6</v>
      </c>
      <c r="D153" s="2" t="s">
        <v>16</v>
      </c>
      <c r="E153" s="1">
        <v>5</v>
      </c>
      <c r="F153" s="1">
        <v>3</v>
      </c>
      <c r="G153" s="5">
        <f>IF(IF(Table442818505258[[#This Row],[Pre or Post]]="Post",1,0)+IF(ISNUMBER(Table442818505258[[#This Row],[Response]])=TRUE,1,0)=2,1,"")</f>
        <v>1</v>
      </c>
      <c r="H153" s="5">
        <f>IF(IF(Table442818505258[[#This Row],[Pre or Post]]="Post",1,0)+IF(ISNUMBER(Table442818505258[[#This Row],[Response]])=TRUE,1,0)=2,Table442818505258[[#This Row],[Response]],"")</f>
        <v>3</v>
      </c>
      <c r="I153" s="5">
        <f>IF(Table442818505258[[#This Row],[Old or New?]]="New",Table442818505258[[#This Row],[Post Total]],"")</f>
        <v>3</v>
      </c>
      <c r="J153" s="5" t="str">
        <f>IF(Table442818505258[[#This Row],[Old or New?]]="Old",Table442818505258[[#This Row],[Post Total]],"")</f>
        <v/>
      </c>
      <c r="K153" s="5" t="b">
        <f>ISNUMBER(Table442818505258[[#This Row],[New]])</f>
        <v>1</v>
      </c>
      <c r="L153" s="5" t="b">
        <f>ISNUMBER(Table442818505258[[#This Row],[Old]])</f>
        <v>0</v>
      </c>
    </row>
    <row r="154" spans="1:12">
      <c r="A154" s="2" t="s">
        <v>24</v>
      </c>
      <c r="B154" s="2" t="s">
        <v>31</v>
      </c>
      <c r="C154" s="1">
        <v>7</v>
      </c>
      <c r="D154" s="2" t="s">
        <v>16</v>
      </c>
      <c r="E154" s="1">
        <v>5</v>
      </c>
      <c r="F154" s="1">
        <v>5</v>
      </c>
      <c r="G154" s="5">
        <f>IF(IF(Table442818505258[[#This Row],[Pre or Post]]="Post",1,0)+IF(ISNUMBER(Table442818505258[[#This Row],[Response]])=TRUE,1,0)=2,1,"")</f>
        <v>1</v>
      </c>
      <c r="H154" s="5">
        <f>IF(IF(Table442818505258[[#This Row],[Pre or Post]]="Post",1,0)+IF(ISNUMBER(Table442818505258[[#This Row],[Response]])=TRUE,1,0)=2,Table442818505258[[#This Row],[Response]],"")</f>
        <v>5</v>
      </c>
      <c r="I154" s="5">
        <f>IF(Table442818505258[[#This Row],[Old or New?]]="New",Table442818505258[[#This Row],[Post Total]],"")</f>
        <v>5</v>
      </c>
      <c r="J154" s="5" t="str">
        <f>IF(Table442818505258[[#This Row],[Old or New?]]="Old",Table442818505258[[#This Row],[Post Total]],"")</f>
        <v/>
      </c>
      <c r="K154" s="5" t="b">
        <f>ISNUMBER(Table442818505258[[#This Row],[New]])</f>
        <v>1</v>
      </c>
      <c r="L154" s="5" t="b">
        <f>ISNUMBER(Table442818505258[[#This Row],[Old]])</f>
        <v>0</v>
      </c>
    </row>
    <row r="155" spans="1:12">
      <c r="A155" s="2" t="s">
        <v>24</v>
      </c>
      <c r="B155" s="2" t="s">
        <v>31</v>
      </c>
      <c r="C155" s="1">
        <v>8</v>
      </c>
      <c r="D155" s="2" t="s">
        <v>16</v>
      </c>
      <c r="E155" s="1">
        <v>5</v>
      </c>
      <c r="F155" s="1">
        <v>5</v>
      </c>
      <c r="G155" s="5">
        <f>IF(IF(Table442818505258[[#This Row],[Pre or Post]]="Post",1,0)+IF(ISNUMBER(Table442818505258[[#This Row],[Response]])=TRUE,1,0)=2,1,"")</f>
        <v>1</v>
      </c>
      <c r="H155" s="5">
        <f>IF(IF(Table442818505258[[#This Row],[Pre or Post]]="Post",1,0)+IF(ISNUMBER(Table442818505258[[#This Row],[Response]])=TRUE,1,0)=2,Table442818505258[[#This Row],[Response]],"")</f>
        <v>5</v>
      </c>
      <c r="I155" s="5">
        <f>IF(Table442818505258[[#This Row],[Old or New?]]="New",Table442818505258[[#This Row],[Post Total]],"")</f>
        <v>5</v>
      </c>
      <c r="J155" s="5" t="str">
        <f>IF(Table442818505258[[#This Row],[Old or New?]]="Old",Table442818505258[[#This Row],[Post Total]],"")</f>
        <v/>
      </c>
      <c r="K155" s="5" t="b">
        <f>ISNUMBER(Table442818505258[[#This Row],[New]])</f>
        <v>1</v>
      </c>
      <c r="L155" s="5" t="b">
        <f>ISNUMBER(Table442818505258[[#This Row],[Old]])</f>
        <v>0</v>
      </c>
    </row>
    <row r="156" spans="1:12">
      <c r="A156" s="2" t="s">
        <v>24</v>
      </c>
      <c r="B156" s="2" t="s">
        <v>31</v>
      </c>
      <c r="C156" s="1">
        <v>9</v>
      </c>
      <c r="D156" s="2" t="s">
        <v>16</v>
      </c>
      <c r="E156" s="1">
        <v>5</v>
      </c>
      <c r="F156" s="1">
        <v>5</v>
      </c>
      <c r="G156" s="5">
        <f>IF(IF(Table442818505258[[#This Row],[Pre or Post]]="Post",1,0)+IF(ISNUMBER(Table442818505258[[#This Row],[Response]])=TRUE,1,0)=2,1,"")</f>
        <v>1</v>
      </c>
      <c r="H156" s="5">
        <f>IF(IF(Table442818505258[[#This Row],[Pre or Post]]="Post",1,0)+IF(ISNUMBER(Table442818505258[[#This Row],[Response]])=TRUE,1,0)=2,Table442818505258[[#This Row],[Response]],"")</f>
        <v>5</v>
      </c>
      <c r="I156" s="5">
        <f>IF(Table442818505258[[#This Row],[Old or New?]]="New",Table442818505258[[#This Row],[Post Total]],"")</f>
        <v>5</v>
      </c>
      <c r="J156" s="5" t="str">
        <f>IF(Table442818505258[[#This Row],[Old or New?]]="Old",Table442818505258[[#This Row],[Post Total]],"")</f>
        <v/>
      </c>
      <c r="K156" s="5" t="b">
        <f>ISNUMBER(Table442818505258[[#This Row],[New]])</f>
        <v>1</v>
      </c>
      <c r="L156" s="5" t="b">
        <f>ISNUMBER(Table442818505258[[#This Row],[Old]])</f>
        <v>0</v>
      </c>
    </row>
    <row r="157" spans="1:12">
      <c r="A157" s="2" t="s">
        <v>24</v>
      </c>
      <c r="B157" s="2" t="s">
        <v>31</v>
      </c>
      <c r="C157" s="1">
        <v>10</v>
      </c>
      <c r="D157" s="2" t="s">
        <v>16</v>
      </c>
      <c r="E157" s="1">
        <v>5</v>
      </c>
      <c r="F157" s="1">
        <v>5</v>
      </c>
      <c r="G157" s="5">
        <f>IF(IF(Table442818505258[[#This Row],[Pre or Post]]="Post",1,0)+IF(ISNUMBER(Table442818505258[[#This Row],[Response]])=TRUE,1,0)=2,1,"")</f>
        <v>1</v>
      </c>
      <c r="H157" s="5">
        <f>IF(IF(Table442818505258[[#This Row],[Pre or Post]]="Post",1,0)+IF(ISNUMBER(Table442818505258[[#This Row],[Response]])=TRUE,1,0)=2,Table442818505258[[#This Row],[Response]],"")</f>
        <v>5</v>
      </c>
      <c r="I157" s="5">
        <f>IF(Table442818505258[[#This Row],[Old or New?]]="New",Table442818505258[[#This Row],[Post Total]],"")</f>
        <v>5</v>
      </c>
      <c r="J157" s="5" t="str">
        <f>IF(Table442818505258[[#This Row],[Old or New?]]="Old",Table442818505258[[#This Row],[Post Total]],"")</f>
        <v/>
      </c>
      <c r="K157" s="5" t="b">
        <f>ISNUMBER(Table442818505258[[#This Row],[New]])</f>
        <v>1</v>
      </c>
      <c r="L157" s="5" t="b">
        <f>ISNUMBER(Table442818505258[[#This Row],[Old]])</f>
        <v>0</v>
      </c>
    </row>
    <row r="158" spans="1:12">
      <c r="A158" s="2" t="s">
        <v>24</v>
      </c>
      <c r="B158" s="2" t="s">
        <v>31</v>
      </c>
      <c r="C158" s="1">
        <v>11</v>
      </c>
      <c r="D158" s="2" t="s">
        <v>16</v>
      </c>
      <c r="E158" s="1">
        <v>5</v>
      </c>
      <c r="F158" s="1">
        <v>4</v>
      </c>
      <c r="G158" s="5">
        <f>IF(IF(Table442818505258[[#This Row],[Pre or Post]]="Post",1,0)+IF(ISNUMBER(Table442818505258[[#This Row],[Response]])=TRUE,1,0)=2,1,"")</f>
        <v>1</v>
      </c>
      <c r="H158" s="5">
        <f>IF(IF(Table442818505258[[#This Row],[Pre or Post]]="Post",1,0)+IF(ISNUMBER(Table442818505258[[#This Row],[Response]])=TRUE,1,0)=2,Table442818505258[[#This Row],[Response]],"")</f>
        <v>4</v>
      </c>
      <c r="I158" s="5">
        <f>IF(Table442818505258[[#This Row],[Old or New?]]="New",Table442818505258[[#This Row],[Post Total]],"")</f>
        <v>4</v>
      </c>
      <c r="J158" s="5" t="str">
        <f>IF(Table442818505258[[#This Row],[Old or New?]]="Old",Table442818505258[[#This Row],[Post Total]],"")</f>
        <v/>
      </c>
      <c r="K158" s="5" t="b">
        <f>ISNUMBER(Table442818505258[[#This Row],[New]])</f>
        <v>1</v>
      </c>
      <c r="L158" s="5" t="b">
        <f>ISNUMBER(Table442818505258[[#This Row],[Old]])</f>
        <v>0</v>
      </c>
    </row>
    <row r="159" spans="1:12">
      <c r="A159" s="2" t="s">
        <v>24</v>
      </c>
      <c r="B159" s="2" t="s">
        <v>31</v>
      </c>
      <c r="C159" s="1">
        <v>12</v>
      </c>
      <c r="D159" s="2" t="s">
        <v>16</v>
      </c>
      <c r="E159" s="1">
        <v>5</v>
      </c>
      <c r="F159" s="1">
        <v>5</v>
      </c>
      <c r="G159" s="5">
        <f>IF(IF(Table442818505258[[#This Row],[Pre or Post]]="Post",1,0)+IF(ISNUMBER(Table442818505258[[#This Row],[Response]])=TRUE,1,0)=2,1,"")</f>
        <v>1</v>
      </c>
      <c r="H159" s="5">
        <f>IF(IF(Table442818505258[[#This Row],[Pre or Post]]="Post",1,0)+IF(ISNUMBER(Table442818505258[[#This Row],[Response]])=TRUE,1,0)=2,Table442818505258[[#This Row],[Response]],"")</f>
        <v>5</v>
      </c>
      <c r="I159" s="5">
        <f>IF(Table442818505258[[#This Row],[Old or New?]]="New",Table442818505258[[#This Row],[Post Total]],"")</f>
        <v>5</v>
      </c>
      <c r="J159" s="5" t="str">
        <f>IF(Table442818505258[[#This Row],[Old or New?]]="Old",Table442818505258[[#This Row],[Post Total]],"")</f>
        <v/>
      </c>
      <c r="K159" s="5" t="b">
        <f>ISNUMBER(Table442818505258[[#This Row],[New]])</f>
        <v>1</v>
      </c>
      <c r="L159" s="5" t="b">
        <f>ISNUMBER(Table442818505258[[#This Row],[Old]])</f>
        <v>0</v>
      </c>
    </row>
    <row r="160" spans="1:12">
      <c r="A160" s="2" t="s">
        <v>24</v>
      </c>
      <c r="B160" s="2" t="s">
        <v>31</v>
      </c>
      <c r="C160" s="1">
        <v>13</v>
      </c>
      <c r="D160" s="2" t="s">
        <v>16</v>
      </c>
      <c r="E160" s="1">
        <v>5</v>
      </c>
      <c r="F160" s="1">
        <v>3</v>
      </c>
      <c r="G160" s="5">
        <f>IF(IF(Table442818505258[[#This Row],[Pre or Post]]="Post",1,0)+IF(ISNUMBER(Table442818505258[[#This Row],[Response]])=TRUE,1,0)=2,1,"")</f>
        <v>1</v>
      </c>
      <c r="H160" s="5">
        <f>IF(IF(Table442818505258[[#This Row],[Pre or Post]]="Post",1,0)+IF(ISNUMBER(Table442818505258[[#This Row],[Response]])=TRUE,1,0)=2,Table442818505258[[#This Row],[Response]],"")</f>
        <v>3</v>
      </c>
      <c r="I160" s="5">
        <f>IF(Table442818505258[[#This Row],[Old or New?]]="New",Table442818505258[[#This Row],[Post Total]],"")</f>
        <v>3</v>
      </c>
      <c r="J160" s="5" t="str">
        <f>IF(Table442818505258[[#This Row],[Old or New?]]="Old",Table442818505258[[#This Row],[Post Total]],"")</f>
        <v/>
      </c>
      <c r="K160" s="5" t="b">
        <f>ISNUMBER(Table442818505258[[#This Row],[New]])</f>
        <v>1</v>
      </c>
      <c r="L160" s="5" t="b">
        <f>ISNUMBER(Table442818505258[[#This Row],[Old]])</f>
        <v>0</v>
      </c>
    </row>
    <row r="161" spans="1:14">
      <c r="A161" s="2" t="s">
        <v>24</v>
      </c>
      <c r="B161" s="2" t="s">
        <v>31</v>
      </c>
      <c r="C161" s="1">
        <v>14</v>
      </c>
      <c r="D161" s="2" t="s">
        <v>16</v>
      </c>
      <c r="E161" s="1">
        <v>5</v>
      </c>
      <c r="F161" s="1">
        <v>5</v>
      </c>
      <c r="G161" s="5">
        <f>IF(IF(Table442818505258[[#This Row],[Pre or Post]]="Post",1,0)+IF(ISNUMBER(Table442818505258[[#This Row],[Response]])=TRUE,1,0)=2,1,"")</f>
        <v>1</v>
      </c>
      <c r="H161" s="5">
        <f>IF(IF(Table442818505258[[#This Row],[Pre or Post]]="Post",1,0)+IF(ISNUMBER(Table442818505258[[#This Row],[Response]])=TRUE,1,0)=2,Table442818505258[[#This Row],[Response]],"")</f>
        <v>5</v>
      </c>
      <c r="I161" s="5">
        <f>IF(Table442818505258[[#This Row],[Old or New?]]="New",Table442818505258[[#This Row],[Post Total]],"")</f>
        <v>5</v>
      </c>
      <c r="J161" s="5" t="str">
        <f>IF(Table442818505258[[#This Row],[Old or New?]]="Old",Table442818505258[[#This Row],[Post Total]],"")</f>
        <v/>
      </c>
      <c r="K161" s="5" t="b">
        <f>ISNUMBER(Table442818505258[[#This Row],[New]])</f>
        <v>1</v>
      </c>
      <c r="L161" s="5" t="b">
        <f>ISNUMBER(Table442818505258[[#This Row],[Old]])</f>
        <v>0</v>
      </c>
    </row>
    <row r="162" spans="1:14">
      <c r="A162" s="2" t="s">
        <v>24</v>
      </c>
      <c r="B162" s="2" t="s">
        <v>31</v>
      </c>
      <c r="C162" s="1">
        <v>15</v>
      </c>
      <c r="D162" s="2" t="s">
        <v>16</v>
      </c>
      <c r="E162" s="1">
        <v>5</v>
      </c>
      <c r="F162" s="1">
        <v>5</v>
      </c>
      <c r="G162" s="5">
        <f>IF(IF(Table442818505258[[#This Row],[Pre or Post]]="Post",1,0)+IF(ISNUMBER(Table442818505258[[#This Row],[Response]])=TRUE,1,0)=2,1,"")</f>
        <v>1</v>
      </c>
      <c r="H162" s="5">
        <f>IF(IF(Table442818505258[[#This Row],[Pre or Post]]="Post",1,0)+IF(ISNUMBER(Table442818505258[[#This Row],[Response]])=TRUE,1,0)=2,Table442818505258[[#This Row],[Response]],"")</f>
        <v>5</v>
      </c>
      <c r="I162" s="5">
        <f>IF(Table442818505258[[#This Row],[Old or New?]]="New",Table442818505258[[#This Row],[Post Total]],"")</f>
        <v>5</v>
      </c>
      <c r="J162" s="5" t="str">
        <f>IF(Table442818505258[[#This Row],[Old or New?]]="Old",Table442818505258[[#This Row],[Post Total]],"")</f>
        <v/>
      </c>
      <c r="K162" s="5" t="b">
        <f>ISNUMBER(Table442818505258[[#This Row],[New]])</f>
        <v>1</v>
      </c>
      <c r="L162" s="5" t="b">
        <f>ISNUMBER(Table442818505258[[#This Row],[Old]])</f>
        <v>0</v>
      </c>
    </row>
    <row r="163" spans="1:14">
      <c r="A163" s="2"/>
      <c r="B163" s="2"/>
      <c r="C163" s="2"/>
      <c r="D163" s="2"/>
      <c r="E163" s="2"/>
      <c r="F163" s="2">
        <f>SUM([Response])</f>
        <v>633</v>
      </c>
      <c r="G163" s="6">
        <f>SUM([Answered?])</f>
        <v>158</v>
      </c>
      <c r="H163" s="2">
        <f>SUM([Post Total])</f>
        <v>633</v>
      </c>
      <c r="I163" s="2">
        <f>SUM([New])</f>
        <v>379</v>
      </c>
      <c r="J163" s="2">
        <f>SUM([Old])</f>
        <v>254</v>
      </c>
      <c r="K163" s="2">
        <f>COUNTIF([Count New],"TRUE")</f>
        <v>96</v>
      </c>
      <c r="L163" s="2">
        <f>COUNTIF([Count Old],"TRUE")</f>
        <v>62</v>
      </c>
    </row>
    <row r="164" spans="1:14" ht="30">
      <c r="A164" s="16" t="s">
        <v>4</v>
      </c>
      <c r="B164" s="16" t="s">
        <v>36</v>
      </c>
      <c r="C164" s="16" t="s">
        <v>37</v>
      </c>
      <c r="D164" s="16" t="s">
        <v>68</v>
      </c>
      <c r="E164" s="16" t="s">
        <v>69</v>
      </c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>
      <c r="A165" s="1" t="s">
        <v>16</v>
      </c>
      <c r="B165" s="1">
        <f>COUNTIF(Table442818505258[Pre or Post],"Post")</f>
        <v>161</v>
      </c>
      <c r="C165" s="1">
        <f>Table442818505258[[#Totals],[Answered?]]</f>
        <v>158</v>
      </c>
      <c r="D165" s="1">
        <f>Table442818505258[[#Totals],[Post Total]]/Table5122919515659[[#This Row],[Total Answers]]</f>
        <v>4.0063291139240507</v>
      </c>
      <c r="E165" s="1">
        <f>STDEV(Table442818505258[Post Total])</f>
        <v>0.8850983999637092</v>
      </c>
    </row>
    <row r="167" spans="1:14" ht="30">
      <c r="A167" s="16" t="s">
        <v>135</v>
      </c>
      <c r="B167" s="16" t="s">
        <v>36</v>
      </c>
      <c r="C167" s="16" t="s">
        <v>37</v>
      </c>
      <c r="D167" s="16" t="s">
        <v>68</v>
      </c>
      <c r="E167" s="16" t="s">
        <v>69</v>
      </c>
    </row>
    <row r="168" spans="1:14">
      <c r="A168" s="1" t="s">
        <v>24</v>
      </c>
      <c r="B168" s="1">
        <f>COUNTIF(Table442818505258[Old or New?],"New")</f>
        <v>96</v>
      </c>
      <c r="C168" s="1">
        <f>Table442818505258[[#Totals],[Count New]]</f>
        <v>96</v>
      </c>
      <c r="D168" s="1">
        <f>Table442818505258[[#Totals],[New]]/[Total Answers]</f>
        <v>3.9479166666666665</v>
      </c>
      <c r="E168" s="1">
        <f>STDEV(Table442818505258[New])</f>
        <v>0.88697940006538489</v>
      </c>
    </row>
    <row r="169" spans="1:14">
      <c r="A169" s="2" t="s">
        <v>12</v>
      </c>
      <c r="B169" s="2">
        <f>COUNTIF(Table442818505258[Old or New?],"Old")</f>
        <v>65</v>
      </c>
      <c r="C169" s="2">
        <f>Table442818505258[[#Totals],[Count Old]]</f>
        <v>62</v>
      </c>
      <c r="D169" s="2">
        <f>Table442818505258[[#Totals],[Old]]/Table512291951535760[[#This Row],[Total Answers]]</f>
        <v>4.096774193548387</v>
      </c>
      <c r="E169" s="2">
        <f>STDEV(Table442818505258[Old])</f>
        <v>0.8816838848281926</v>
      </c>
    </row>
    <row r="171" spans="1:14">
      <c r="A171" s="1" t="s">
        <v>138</v>
      </c>
    </row>
    <row r="172" spans="1:14">
      <c r="A172" s="1" t="s">
        <v>158</v>
      </c>
    </row>
  </sheetData>
  <conditionalFormatting sqref="F2:F162">
    <cfRule type="cellIs" dxfId="505" priority="1" operator="equal">
      <formula>"No"</formula>
    </cfRule>
    <cfRule type="cellIs" dxfId="504" priority="2" operator="equal">
      <formula>"Yes"</formula>
    </cfRule>
  </conditionalFormatting>
  <pageMargins left="0.7" right="0.7" top="0.75" bottom="0.75" header="0.3" footer="0.3"/>
  <tableParts count="3">
    <tablePart r:id="rId1"/>
    <tablePart r:id="rId2"/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89999084444715716"/>
  </sheetPr>
  <dimension ref="A1:D6"/>
  <sheetViews>
    <sheetView workbookViewId="0">
      <selection activeCell="B9" sqref="B9"/>
    </sheetView>
  </sheetViews>
  <sheetFormatPr defaultRowHeight="15"/>
  <cols>
    <col min="1" max="1" width="11" customWidth="1"/>
    <col min="2" max="2" width="21.28515625" customWidth="1"/>
    <col min="3" max="3" width="23.42578125" customWidth="1"/>
  </cols>
  <sheetData>
    <row r="1" spans="1:4">
      <c r="A1" t="s">
        <v>220</v>
      </c>
      <c r="B1" t="s">
        <v>162</v>
      </c>
      <c r="C1" t="s">
        <v>163</v>
      </c>
      <c r="D1" t="s">
        <v>165</v>
      </c>
    </row>
    <row r="2" spans="1:4">
      <c r="A2" t="s">
        <v>12</v>
      </c>
      <c r="B2">
        <v>15</v>
      </c>
      <c r="C2">
        <v>25</v>
      </c>
      <c r="D2" s="18">
        <f>SUM(Table60[[#This Row],['# Males Pre and Post]:['# Females Pre and Post]])</f>
        <v>40</v>
      </c>
    </row>
    <row r="3" spans="1:4">
      <c r="A3" t="s">
        <v>24</v>
      </c>
      <c r="B3">
        <v>39</v>
      </c>
      <c r="C3">
        <v>19</v>
      </c>
      <c r="D3" s="18">
        <f>SUM(Table60[[#This Row],['# Males Pre and Post]:['# Females Pre and Post]])</f>
        <v>58</v>
      </c>
    </row>
    <row r="5" spans="1:4">
      <c r="A5" t="s">
        <v>166</v>
      </c>
    </row>
    <row r="6" spans="1:4">
      <c r="A6" t="s">
        <v>167</v>
      </c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</sheetPr>
  <dimension ref="A1:T170"/>
  <sheetViews>
    <sheetView workbookViewId="0">
      <pane ySplit="1" topLeftCell="A127" activePane="bottomLeft" state="frozen"/>
      <selection activeCell="C168" sqref="C168"/>
      <selection pane="bottomLeft" activeCell="H162" sqref="A1:XFD1048576"/>
    </sheetView>
  </sheetViews>
  <sheetFormatPr defaultColWidth="16.7109375" defaultRowHeight="15"/>
  <cols>
    <col min="1" max="16384" width="16.7109375" style="1"/>
  </cols>
  <sheetData>
    <row r="1" spans="1:20">
      <c r="A1" s="1" t="s">
        <v>11</v>
      </c>
      <c r="B1" s="1" t="s">
        <v>0</v>
      </c>
      <c r="C1" s="1" t="s">
        <v>1</v>
      </c>
      <c r="D1" s="1" t="s">
        <v>4</v>
      </c>
      <c r="E1" s="1" t="s">
        <v>170</v>
      </c>
      <c r="F1" s="1" t="s">
        <v>2</v>
      </c>
      <c r="G1" s="1" t="s">
        <v>3</v>
      </c>
      <c r="H1" s="1" t="s">
        <v>20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88</v>
      </c>
      <c r="N1" s="1" t="s">
        <v>89</v>
      </c>
      <c r="O1" s="1" t="s">
        <v>72</v>
      </c>
      <c r="P1" s="1" t="s">
        <v>83</v>
      </c>
      <c r="Q1" s="19" t="s">
        <v>168</v>
      </c>
      <c r="R1" s="19" t="s">
        <v>169</v>
      </c>
      <c r="S1" s="19" t="s">
        <v>173</v>
      </c>
      <c r="T1" s="19" t="s">
        <v>174</v>
      </c>
    </row>
    <row r="2" spans="1:20">
      <c r="A2" s="2" t="s">
        <v>24</v>
      </c>
      <c r="B2" s="2" t="s">
        <v>30</v>
      </c>
      <c r="C2" s="1">
        <v>1</v>
      </c>
      <c r="D2" s="2" t="s">
        <v>16</v>
      </c>
      <c r="E2" s="6" t="s">
        <v>171</v>
      </c>
      <c r="F2" s="1">
        <v>2</v>
      </c>
      <c r="G2" s="2">
        <v>4</v>
      </c>
      <c r="H2" s="2"/>
      <c r="I2" s="6" t="str">
        <f>IF(IF(Table442466[[#This Row],[Pre or Post]]="Pre",1,0)+IF(ISNUMBER(Table442466[[#This Row],[Response]])=TRUE,1,0)=2,1,"")</f>
        <v/>
      </c>
      <c r="J2" s="6">
        <f>IF(IF(Table442466[[#This Row],[Pre or Post]]="Post",1,0)+IF(ISNUMBER(Table442466[[#This Row],[Response]])=TRUE,1,0)=2,1,"")</f>
        <v>1</v>
      </c>
      <c r="K2" s="6" t="str">
        <f>IF(IF(Table442466[[#This Row],[Pre or Post]]="Pre",1,0)+IF(ISNUMBER(Table442466[[#This Row],[Response]])=TRUE,1,0)=2,Table442466[[#This Row],[Response]],"")</f>
        <v/>
      </c>
      <c r="L2" s="6">
        <f>IF(IF(Table442466[[#This Row],[Pre or Post]]="Post",1,0)+IF(ISNUMBER(Table442466[[#This Row],[Response]])=TRUE,1,0)=2,Table442466[[#This Row],[Response]],"")</f>
        <v>4</v>
      </c>
      <c r="M2" s="6" t="str">
        <f>IF(IF(ISNUMBER(K2),1,0)+IF(ISNUMBER(L3),1,0)=2,IF(IF(C3=C2,1,0)+IF(B3=B2,1,0)+IF(D3="Post",1,0)+IF(D2="Pre",1,0)=4,Table442466[[#This Row],[Pre Total]],""),"")</f>
        <v/>
      </c>
      <c r="N2" s="6" t="str">
        <f>IF(IF(ISNUMBER(K1),1,0)+IF(ISNUMBER(Table442466[[#This Row],[Post Total]]),1,0)=2,IF(IF(Table442466[[#This Row],[Student Number]]=C1,1,0)+IF(Table442466[[#This Row],[Session]]=B1,1,0)+IF(Table442466[[#This Row],[Pre or Post]]="Post",1,0)+IF(D1="Pre",1,0)=4,Table442466[[#This Row],[Post Total]],""),"")</f>
        <v/>
      </c>
      <c r="O2" s="6" t="str">
        <f>IF(IF(ISNUMBER(K1),1,0)+IF(ISNUMBER(Table442466[[#This Row],[Post Total]]),1,0)=2,IF(IF(Table442466[[#This Row],[Student Number]]=C1,1,0)+IF(Table442466[[#This Row],[Session]]=B1,1,0)+IF(Table442466[[#This Row],[Pre or Post]]="Post",1,0)+IF(D1="Pre",1,0)=4,Table442466[[#This Row],[Post Total]]-K1,""),"")</f>
        <v/>
      </c>
      <c r="P2" s="6" t="b">
        <f>ISNUMBER(Table442466[[#This Row],[Change]])</f>
        <v>0</v>
      </c>
      <c r="Q2" s="5" t="str">
        <f>IF(E1="Male",Table442466[[#This Row],[Change]],"")</f>
        <v/>
      </c>
      <c r="R2" s="5" t="str">
        <f>IF(E1="Female",Table442466[[#This Row],[Change]],"")</f>
        <v/>
      </c>
      <c r="S2" s="5" t="b">
        <f>ISNUMBER(Table442466[[#This Row],[If Male]])</f>
        <v>0</v>
      </c>
      <c r="T2" s="5" t="b">
        <f>ISNUMBER(Table442466[[#This Row],[If Female]])</f>
        <v>0</v>
      </c>
    </row>
    <row r="3" spans="1:20">
      <c r="A3" s="2" t="s">
        <v>24</v>
      </c>
      <c r="B3" s="2" t="s">
        <v>30</v>
      </c>
      <c r="C3" s="1">
        <v>2</v>
      </c>
      <c r="D3" s="2" t="s">
        <v>16</v>
      </c>
      <c r="E3" s="6" t="s">
        <v>171</v>
      </c>
      <c r="F3" s="1">
        <v>2</v>
      </c>
      <c r="G3" s="1">
        <v>4</v>
      </c>
      <c r="H3" s="2"/>
      <c r="I3" s="6" t="str">
        <f>IF(IF(Table442466[[#This Row],[Pre or Post]]="Pre",1,0)+IF(ISNUMBER(Table442466[[#This Row],[Response]])=TRUE,1,0)=2,1,"")</f>
        <v/>
      </c>
      <c r="J3" s="6">
        <f>IF(IF(Table442466[[#This Row],[Pre or Post]]="Post",1,0)+IF(ISNUMBER(Table442466[[#This Row],[Response]])=TRUE,1,0)=2,1,"")</f>
        <v>1</v>
      </c>
      <c r="K3" s="6" t="str">
        <f>IF(IF(Table442466[[#This Row],[Pre or Post]]="Pre",1,0)+IF(ISNUMBER(Table442466[[#This Row],[Response]])=TRUE,1,0)=2,Table442466[[#This Row],[Response]],"")</f>
        <v/>
      </c>
      <c r="L3" s="6">
        <f>IF(IF(Table442466[[#This Row],[Pre or Post]]="Post",1,0)+IF(ISNUMBER(Table442466[[#This Row],[Response]])=TRUE,1,0)=2,Table442466[[#This Row],[Response]],"")</f>
        <v>4</v>
      </c>
      <c r="M3" s="6" t="str">
        <f>IF(IF(ISNUMBER(K3),1,0)+IF(ISNUMBER(L4),1,0)=2,IF(IF(C4=C3,1,0)+IF(B4=B3,1,0)+IF(D4="Post",1,0)+IF(D3="Pre",1,0)=4,Table442466[[#This Row],[Pre Total]],""),"")</f>
        <v/>
      </c>
      <c r="N3" s="6" t="str">
        <f>IF(IF(ISNUMBER(K2),1,0)+IF(ISNUMBER(Table442466[[#This Row],[Post Total]]),1,0)=2,IF(IF(Table442466[[#This Row],[Student Number]]=C2,1,0)+IF(Table442466[[#This Row],[Session]]=B2,1,0)+IF(Table442466[[#This Row],[Pre or Post]]="Post",1,0)+IF(D2="Pre",1,0)=4,Table442466[[#This Row],[Post Total]],""),"")</f>
        <v/>
      </c>
      <c r="O3" s="6" t="str">
        <f>IF(IF(ISNUMBER(K2),1,0)+IF(ISNUMBER(Table442466[[#This Row],[Post Total]]),1,0)=2,IF(IF(Table442466[[#This Row],[Student Number]]=C2,1,0)+IF(Table442466[[#This Row],[Session]]=B2,1,0)+IF(Table442466[[#This Row],[Pre or Post]]="Post",1,0)+IF(D2="Pre",1,0)=4,Table442466[[#This Row],[Post Total]]-K2,""),"")</f>
        <v/>
      </c>
      <c r="P3" s="6" t="b">
        <f>ISNUMBER(Table442466[[#This Row],[Change]])</f>
        <v>0</v>
      </c>
      <c r="Q3" s="5" t="str">
        <f>IF(E2="Male",Table442466[[#This Row],[Change]],"")</f>
        <v/>
      </c>
      <c r="R3" s="5" t="str">
        <f>IF(E2="Female",Table442466[[#This Row],[Change]],"")</f>
        <v/>
      </c>
      <c r="S3" s="5" t="b">
        <f>ISNUMBER(Table442466[[#This Row],[If Male]])</f>
        <v>0</v>
      </c>
      <c r="T3" s="5" t="b">
        <f>ISNUMBER(Table442466[[#This Row],[If Female]])</f>
        <v>0</v>
      </c>
    </row>
    <row r="4" spans="1:20">
      <c r="A4" s="2" t="s">
        <v>24</v>
      </c>
      <c r="B4" s="2" t="s">
        <v>30</v>
      </c>
      <c r="C4" s="1">
        <v>3</v>
      </c>
      <c r="D4" s="2" t="s">
        <v>16</v>
      </c>
      <c r="E4" s="6" t="s">
        <v>171</v>
      </c>
      <c r="F4" s="1">
        <v>2</v>
      </c>
      <c r="G4" s="1">
        <v>2</v>
      </c>
      <c r="H4" s="2"/>
      <c r="I4" s="6" t="str">
        <f>IF(IF(Table442466[[#This Row],[Pre or Post]]="Pre",1,0)+IF(ISNUMBER(Table442466[[#This Row],[Response]])=TRUE,1,0)=2,1,"")</f>
        <v/>
      </c>
      <c r="J4" s="6">
        <f>IF(IF(Table442466[[#This Row],[Pre or Post]]="Post",1,0)+IF(ISNUMBER(Table442466[[#This Row],[Response]])=TRUE,1,0)=2,1,"")</f>
        <v>1</v>
      </c>
      <c r="K4" s="6" t="str">
        <f>IF(IF(Table442466[[#This Row],[Pre or Post]]="Pre",1,0)+IF(ISNUMBER(Table442466[[#This Row],[Response]])=TRUE,1,0)=2,Table442466[[#This Row],[Response]],"")</f>
        <v/>
      </c>
      <c r="L4" s="6">
        <f>IF(IF(Table442466[[#This Row],[Pre or Post]]="Post",1,0)+IF(ISNUMBER(Table442466[[#This Row],[Response]])=TRUE,1,0)=2,Table442466[[#This Row],[Response]],"")</f>
        <v>2</v>
      </c>
      <c r="M4" s="6" t="str">
        <f>IF(IF(ISNUMBER(K4),1,0)+IF(ISNUMBER(L5),1,0)=2,IF(IF(C5=C4,1,0)+IF(B5=B4,1,0)+IF(D5="Post",1,0)+IF(D4="Pre",1,0)=4,Table442466[[#This Row],[Pre Total]],""),"")</f>
        <v/>
      </c>
      <c r="N4" s="6" t="str">
        <f>IF(IF(ISNUMBER(K3),1,0)+IF(ISNUMBER(Table442466[[#This Row],[Post Total]]),1,0)=2,IF(IF(Table442466[[#This Row],[Student Number]]=C3,1,0)+IF(Table442466[[#This Row],[Session]]=B3,1,0)+IF(Table442466[[#This Row],[Pre or Post]]="Post",1,0)+IF(D3="Pre",1,0)=4,Table442466[[#This Row],[Post Total]],""),"")</f>
        <v/>
      </c>
      <c r="O4" s="6" t="str">
        <f>IF(IF(ISNUMBER(K3),1,0)+IF(ISNUMBER(Table442466[[#This Row],[Post Total]]),1,0)=2,IF(IF(Table442466[[#This Row],[Student Number]]=C3,1,0)+IF(Table442466[[#This Row],[Session]]=B3,1,0)+IF(Table442466[[#This Row],[Pre or Post]]="Post",1,0)+IF(D3="Pre",1,0)=4,Table442466[[#This Row],[Post Total]]-K3,""),"")</f>
        <v/>
      </c>
      <c r="P4" s="6" t="b">
        <f>ISNUMBER(Table442466[[#This Row],[Change]])</f>
        <v>0</v>
      </c>
      <c r="Q4" s="5" t="str">
        <f>IF(E3="Male",Table442466[[#This Row],[Change]],"")</f>
        <v/>
      </c>
      <c r="R4" s="5" t="str">
        <f>IF(E3="Female",Table442466[[#This Row],[Change]],"")</f>
        <v/>
      </c>
      <c r="S4" s="5" t="b">
        <f>ISNUMBER(Table442466[[#This Row],[If Male]])</f>
        <v>0</v>
      </c>
      <c r="T4" s="5" t="b">
        <f>ISNUMBER(Table442466[[#This Row],[If Female]])</f>
        <v>0</v>
      </c>
    </row>
    <row r="5" spans="1:20">
      <c r="A5" s="2" t="s">
        <v>24</v>
      </c>
      <c r="B5" s="2" t="s">
        <v>30</v>
      </c>
      <c r="C5" s="1">
        <v>4</v>
      </c>
      <c r="D5" s="2" t="s">
        <v>16</v>
      </c>
      <c r="E5" s="6" t="s">
        <v>171</v>
      </c>
      <c r="F5" s="1">
        <v>2</v>
      </c>
      <c r="G5" s="1">
        <v>4</v>
      </c>
      <c r="H5" s="2"/>
      <c r="I5" s="6" t="str">
        <f>IF(IF(Table442466[[#This Row],[Pre or Post]]="Pre",1,0)+IF(ISNUMBER(Table442466[[#This Row],[Response]])=TRUE,1,0)=2,1,"")</f>
        <v/>
      </c>
      <c r="J5" s="6">
        <f>IF(IF(Table442466[[#This Row],[Pre or Post]]="Post",1,0)+IF(ISNUMBER(Table442466[[#This Row],[Response]])=TRUE,1,0)=2,1,"")</f>
        <v>1</v>
      </c>
      <c r="K5" s="6" t="str">
        <f>IF(IF(Table442466[[#This Row],[Pre or Post]]="Pre",1,0)+IF(ISNUMBER(Table442466[[#This Row],[Response]])=TRUE,1,0)=2,Table442466[[#This Row],[Response]],"")</f>
        <v/>
      </c>
      <c r="L5" s="6">
        <f>IF(IF(Table442466[[#This Row],[Pre or Post]]="Post",1,0)+IF(ISNUMBER(Table442466[[#This Row],[Response]])=TRUE,1,0)=2,Table442466[[#This Row],[Response]],"")</f>
        <v>4</v>
      </c>
      <c r="M5" s="6" t="str">
        <f>IF(IF(ISNUMBER(K5),1,0)+IF(ISNUMBER(L6),1,0)=2,IF(IF(C6=C5,1,0)+IF(B6=B5,1,0)+IF(D6="Post",1,0)+IF(D5="Pre",1,0)=4,Table442466[[#This Row],[Pre Total]],""),"")</f>
        <v/>
      </c>
      <c r="N5" s="6" t="str">
        <f>IF(IF(ISNUMBER(K4),1,0)+IF(ISNUMBER(Table442466[[#This Row],[Post Total]]),1,0)=2,IF(IF(Table442466[[#This Row],[Student Number]]=C4,1,0)+IF(Table442466[[#This Row],[Session]]=B4,1,0)+IF(Table442466[[#This Row],[Pre or Post]]="Post",1,0)+IF(D4="Pre",1,0)=4,Table442466[[#This Row],[Post Total]],""),"")</f>
        <v/>
      </c>
      <c r="O5" s="6" t="str">
        <f>IF(IF(ISNUMBER(K4),1,0)+IF(ISNUMBER(Table442466[[#This Row],[Post Total]]),1,0)=2,IF(IF(Table442466[[#This Row],[Student Number]]=C4,1,0)+IF(Table442466[[#This Row],[Session]]=B4,1,0)+IF(Table442466[[#This Row],[Pre or Post]]="Post",1,0)+IF(D4="Pre",1,0)=4,Table442466[[#This Row],[Post Total]]-K4,""),"")</f>
        <v/>
      </c>
      <c r="P5" s="6" t="b">
        <f>ISNUMBER(Table442466[[#This Row],[Change]])</f>
        <v>0</v>
      </c>
      <c r="Q5" s="5" t="str">
        <f>IF(E4="Male",Table442466[[#This Row],[Change]],"")</f>
        <v/>
      </c>
      <c r="R5" s="5" t="str">
        <f>IF(E4="Female",Table442466[[#This Row],[Change]],"")</f>
        <v/>
      </c>
      <c r="S5" s="5" t="b">
        <f>ISNUMBER(Table442466[[#This Row],[If Male]])</f>
        <v>0</v>
      </c>
      <c r="T5" s="5" t="b">
        <f>ISNUMBER(Table442466[[#This Row],[If Female]])</f>
        <v>0</v>
      </c>
    </row>
    <row r="6" spans="1:20">
      <c r="A6" s="2" t="s">
        <v>24</v>
      </c>
      <c r="B6" s="2" t="s">
        <v>30</v>
      </c>
      <c r="C6" s="1">
        <v>5</v>
      </c>
      <c r="D6" s="2" t="s">
        <v>16</v>
      </c>
      <c r="E6" s="6" t="s">
        <v>171</v>
      </c>
      <c r="F6" s="1">
        <v>2</v>
      </c>
      <c r="G6" s="1">
        <v>2</v>
      </c>
      <c r="H6" s="2"/>
      <c r="I6" s="5" t="str">
        <f>IF(IF(Table442466[[#This Row],[Pre or Post]]="Pre",1,0)+IF(ISNUMBER(Table442466[[#This Row],[Response]])=TRUE,1,0)=2,1,"")</f>
        <v/>
      </c>
      <c r="J6" s="5">
        <f>IF(IF(Table442466[[#This Row],[Pre or Post]]="Post",1,0)+IF(ISNUMBER(Table442466[[#This Row],[Response]])=TRUE,1,0)=2,1,"")</f>
        <v>1</v>
      </c>
      <c r="K6" s="6" t="str">
        <f>IF(IF(Table442466[[#This Row],[Pre or Post]]="Pre",1,0)+IF(ISNUMBER(Table442466[[#This Row],[Response]])=TRUE,1,0)=2,Table442466[[#This Row],[Response]],"")</f>
        <v/>
      </c>
      <c r="L6" s="6">
        <f>IF(IF(Table442466[[#This Row],[Pre or Post]]="Post",1,0)+IF(ISNUMBER(Table442466[[#This Row],[Response]])=TRUE,1,0)=2,Table442466[[#This Row],[Response]],"")</f>
        <v>2</v>
      </c>
      <c r="M6" s="5" t="str">
        <f>IF(IF(ISNUMBER(K6),1,0)+IF(ISNUMBER(L7),1,0)=2,IF(IF(C7=C6,1,0)+IF(B7=B6,1,0)+IF(D7="Post",1,0)+IF(D6="Pre",1,0)=4,Table442466[[#This Row],[Pre Total]],""),"")</f>
        <v/>
      </c>
      <c r="N6" s="5" t="str">
        <f>IF(IF(ISNUMBER(K5),1,0)+IF(ISNUMBER(Table442466[[#This Row],[Post Total]]),1,0)=2,IF(IF(Table442466[[#This Row],[Student Number]]=C5,1,0)+IF(Table442466[[#This Row],[Session]]=B5,1,0)+IF(Table442466[[#This Row],[Pre or Post]]="Post",1,0)+IF(D5="Pre",1,0)=4,Table442466[[#This Row],[Post Total]],""),"")</f>
        <v/>
      </c>
      <c r="O6" s="5" t="str">
        <f>IF(IF(ISNUMBER(K5),1,0)+IF(ISNUMBER(Table442466[[#This Row],[Post Total]]),1,0)=2,IF(IF(Table442466[[#This Row],[Student Number]]=C5,1,0)+IF(Table442466[[#This Row],[Session]]=B5,1,0)+IF(Table442466[[#This Row],[Pre or Post]]="Post",1,0)+IF(D5="Pre",1,0)=4,Table442466[[#This Row],[Post Total]]-K5,""),"")</f>
        <v/>
      </c>
      <c r="P6" s="5" t="b">
        <f>ISNUMBER(Table442466[[#This Row],[Change]])</f>
        <v>0</v>
      </c>
      <c r="Q6" s="5" t="str">
        <f>IF(E5="Male",Table442466[[#This Row],[Change]],"")</f>
        <v/>
      </c>
      <c r="R6" s="5" t="str">
        <f>IF(E5="Female",Table442466[[#This Row],[Change]],"")</f>
        <v/>
      </c>
      <c r="S6" s="5" t="b">
        <f>ISNUMBER(Table442466[[#This Row],[If Male]])</f>
        <v>0</v>
      </c>
      <c r="T6" s="5" t="b">
        <f>ISNUMBER(Table442466[[#This Row],[If Female]])</f>
        <v>0</v>
      </c>
    </row>
    <row r="7" spans="1:20">
      <c r="A7" s="2" t="s">
        <v>24</v>
      </c>
      <c r="B7" s="2" t="s">
        <v>30</v>
      </c>
      <c r="C7" s="1">
        <v>6</v>
      </c>
      <c r="D7" s="2" t="s">
        <v>16</v>
      </c>
      <c r="E7" s="6" t="s">
        <v>171</v>
      </c>
      <c r="F7" s="1">
        <v>2</v>
      </c>
      <c r="G7" s="1">
        <v>4</v>
      </c>
      <c r="H7" s="2"/>
      <c r="I7" s="5" t="str">
        <f>IF(IF(Table442466[[#This Row],[Pre or Post]]="Pre",1,0)+IF(ISNUMBER(Table442466[[#This Row],[Response]])=TRUE,1,0)=2,1,"")</f>
        <v/>
      </c>
      <c r="J7" s="5">
        <f>IF(IF(Table442466[[#This Row],[Pre or Post]]="Post",1,0)+IF(ISNUMBER(Table442466[[#This Row],[Response]])=TRUE,1,0)=2,1,"")</f>
        <v>1</v>
      </c>
      <c r="K7" s="6" t="str">
        <f>IF(IF(Table442466[[#This Row],[Pre or Post]]="Pre",1,0)+IF(ISNUMBER(Table442466[[#This Row],[Response]])=TRUE,1,0)=2,Table442466[[#This Row],[Response]],"")</f>
        <v/>
      </c>
      <c r="L7" s="6">
        <f>IF(IF(Table442466[[#This Row],[Pre or Post]]="Post",1,0)+IF(ISNUMBER(Table442466[[#This Row],[Response]])=TRUE,1,0)=2,Table442466[[#This Row],[Response]],"")</f>
        <v>4</v>
      </c>
      <c r="M7" s="5" t="str">
        <f>IF(IF(ISNUMBER(K7),1,0)+IF(ISNUMBER(L8),1,0)=2,IF(IF(C8=C7,1,0)+IF(B8=B7,1,0)+IF(D8="Post",1,0)+IF(D7="Pre",1,0)=4,Table442466[[#This Row],[Pre Total]],""),"")</f>
        <v/>
      </c>
      <c r="N7" s="5" t="str">
        <f>IF(IF(ISNUMBER(K6),1,0)+IF(ISNUMBER(Table442466[[#This Row],[Post Total]]),1,0)=2,IF(IF(Table442466[[#This Row],[Student Number]]=C6,1,0)+IF(Table442466[[#This Row],[Session]]=B6,1,0)+IF(Table442466[[#This Row],[Pre or Post]]="Post",1,0)+IF(D6="Pre",1,0)=4,Table442466[[#This Row],[Post Total]],""),"")</f>
        <v/>
      </c>
      <c r="O7" s="5" t="str">
        <f>IF(IF(ISNUMBER(K6),1,0)+IF(ISNUMBER(Table442466[[#This Row],[Post Total]]),1,0)=2,IF(IF(Table442466[[#This Row],[Student Number]]=C6,1,0)+IF(Table442466[[#This Row],[Session]]=B6,1,0)+IF(Table442466[[#This Row],[Pre or Post]]="Post",1,0)+IF(D6="Pre",1,0)=4,Table442466[[#This Row],[Post Total]]-K6,""),"")</f>
        <v/>
      </c>
      <c r="P7" s="5" t="b">
        <f>ISNUMBER(Table442466[[#This Row],[Change]])</f>
        <v>0</v>
      </c>
      <c r="Q7" s="5" t="str">
        <f>IF(E6="Male",Table442466[[#This Row],[Change]],"")</f>
        <v/>
      </c>
      <c r="R7" s="5" t="str">
        <f>IF(E6="Female",Table442466[[#This Row],[Change]],"")</f>
        <v/>
      </c>
      <c r="S7" s="5" t="b">
        <f>ISNUMBER(Table442466[[#This Row],[If Male]])</f>
        <v>0</v>
      </c>
      <c r="T7" s="5" t="b">
        <f>ISNUMBER(Table442466[[#This Row],[If Female]])</f>
        <v>0</v>
      </c>
    </row>
    <row r="8" spans="1:20">
      <c r="A8" s="2" t="s">
        <v>24</v>
      </c>
      <c r="B8" s="2" t="s">
        <v>30</v>
      </c>
      <c r="C8" s="1">
        <v>7</v>
      </c>
      <c r="D8" s="2" t="s">
        <v>16</v>
      </c>
      <c r="E8" s="6" t="s">
        <v>171</v>
      </c>
      <c r="F8" s="1">
        <v>2</v>
      </c>
      <c r="G8" s="1">
        <v>4</v>
      </c>
      <c r="H8" s="2"/>
      <c r="I8" s="5" t="str">
        <f>IF(IF(Table442466[[#This Row],[Pre or Post]]="Pre",1,0)+IF(ISNUMBER(Table442466[[#This Row],[Response]])=TRUE,1,0)=2,1,"")</f>
        <v/>
      </c>
      <c r="J8" s="5">
        <f>IF(IF(Table442466[[#This Row],[Pre or Post]]="Post",1,0)+IF(ISNUMBER(Table442466[[#This Row],[Response]])=TRUE,1,0)=2,1,"")</f>
        <v>1</v>
      </c>
      <c r="K8" s="6" t="str">
        <f>IF(IF(Table442466[[#This Row],[Pre or Post]]="Pre",1,0)+IF(ISNUMBER(Table442466[[#This Row],[Response]])=TRUE,1,0)=2,Table442466[[#This Row],[Response]],"")</f>
        <v/>
      </c>
      <c r="L8" s="6">
        <f>IF(IF(Table442466[[#This Row],[Pre or Post]]="Post",1,0)+IF(ISNUMBER(Table442466[[#This Row],[Response]])=TRUE,1,0)=2,Table442466[[#This Row],[Response]],"")</f>
        <v>4</v>
      </c>
      <c r="M8" s="5" t="str">
        <f>IF(IF(ISNUMBER(K8),1,0)+IF(ISNUMBER(L9),1,0)=2,IF(IF(C9=C8,1,0)+IF(B9=B8,1,0)+IF(D9="Post",1,0)+IF(D8="Pre",1,0)=4,Table442466[[#This Row],[Pre Total]],""),"")</f>
        <v/>
      </c>
      <c r="N8" s="5" t="str">
        <f>IF(IF(ISNUMBER(K7),1,0)+IF(ISNUMBER(Table442466[[#This Row],[Post Total]]),1,0)=2,IF(IF(Table442466[[#This Row],[Student Number]]=C7,1,0)+IF(Table442466[[#This Row],[Session]]=B7,1,0)+IF(Table442466[[#This Row],[Pre or Post]]="Post",1,0)+IF(D7="Pre",1,0)=4,Table442466[[#This Row],[Post Total]],""),"")</f>
        <v/>
      </c>
      <c r="O8" s="5" t="str">
        <f>IF(IF(ISNUMBER(K7),1,0)+IF(ISNUMBER(Table442466[[#This Row],[Post Total]]),1,0)=2,IF(IF(Table442466[[#This Row],[Student Number]]=C7,1,0)+IF(Table442466[[#This Row],[Session]]=B7,1,0)+IF(Table442466[[#This Row],[Pre or Post]]="Post",1,0)+IF(D7="Pre",1,0)=4,Table442466[[#This Row],[Post Total]]-K7,""),"")</f>
        <v/>
      </c>
      <c r="P8" s="5" t="b">
        <f>ISNUMBER(Table442466[[#This Row],[Change]])</f>
        <v>0</v>
      </c>
      <c r="Q8" s="5" t="str">
        <f>IF(E7="Male",Table442466[[#This Row],[Change]],"")</f>
        <v/>
      </c>
      <c r="R8" s="5" t="str">
        <f>IF(E7="Female",Table442466[[#This Row],[Change]],"")</f>
        <v/>
      </c>
      <c r="S8" s="5" t="b">
        <f>ISNUMBER(Table442466[[#This Row],[If Male]])</f>
        <v>0</v>
      </c>
      <c r="T8" s="5" t="b">
        <f>ISNUMBER(Table442466[[#This Row],[If Female]])</f>
        <v>0</v>
      </c>
    </row>
    <row r="9" spans="1:20">
      <c r="A9" s="2" t="s">
        <v>24</v>
      </c>
      <c r="B9" s="2" t="s">
        <v>30</v>
      </c>
      <c r="C9" s="1">
        <v>8</v>
      </c>
      <c r="D9" s="2" t="s">
        <v>16</v>
      </c>
      <c r="E9" s="6" t="s">
        <v>171</v>
      </c>
      <c r="F9" s="1">
        <v>2</v>
      </c>
      <c r="G9" s="1">
        <v>3</v>
      </c>
      <c r="H9" s="2"/>
      <c r="I9" s="5" t="str">
        <f>IF(IF(Table442466[[#This Row],[Pre or Post]]="Pre",1,0)+IF(ISNUMBER(Table442466[[#This Row],[Response]])=TRUE,1,0)=2,1,"")</f>
        <v/>
      </c>
      <c r="J9" s="5">
        <f>IF(IF(Table442466[[#This Row],[Pre or Post]]="Post",1,0)+IF(ISNUMBER(Table442466[[#This Row],[Response]])=TRUE,1,0)=2,1,"")</f>
        <v>1</v>
      </c>
      <c r="K9" s="6" t="str">
        <f>IF(IF(Table442466[[#This Row],[Pre or Post]]="Pre",1,0)+IF(ISNUMBER(Table442466[[#This Row],[Response]])=TRUE,1,0)=2,Table442466[[#This Row],[Response]],"")</f>
        <v/>
      </c>
      <c r="L9" s="6">
        <f>IF(IF(Table442466[[#This Row],[Pre or Post]]="Post",1,0)+IF(ISNUMBER(Table442466[[#This Row],[Response]])=TRUE,1,0)=2,Table442466[[#This Row],[Response]],"")</f>
        <v>3</v>
      </c>
      <c r="M9" s="5" t="str">
        <f>IF(IF(ISNUMBER(K9),1,0)+IF(ISNUMBER(L10),1,0)=2,IF(IF(C10=C9,1,0)+IF(B10=B9,1,0)+IF(D10="Post",1,0)+IF(D9="Pre",1,0)=4,Table442466[[#This Row],[Pre Total]],""),"")</f>
        <v/>
      </c>
      <c r="N9" s="5" t="str">
        <f>IF(IF(ISNUMBER(K8),1,0)+IF(ISNUMBER(Table442466[[#This Row],[Post Total]]),1,0)=2,IF(IF(Table442466[[#This Row],[Student Number]]=C8,1,0)+IF(Table442466[[#This Row],[Session]]=B8,1,0)+IF(Table442466[[#This Row],[Pre or Post]]="Post",1,0)+IF(D8="Pre",1,0)=4,Table442466[[#This Row],[Post Total]],""),"")</f>
        <v/>
      </c>
      <c r="O9" s="5" t="str">
        <f>IF(IF(ISNUMBER(K8),1,0)+IF(ISNUMBER(Table442466[[#This Row],[Post Total]]),1,0)=2,IF(IF(Table442466[[#This Row],[Student Number]]=C8,1,0)+IF(Table442466[[#This Row],[Session]]=B8,1,0)+IF(Table442466[[#This Row],[Pre or Post]]="Post",1,0)+IF(D8="Pre",1,0)=4,Table442466[[#This Row],[Post Total]]-K8,""),"")</f>
        <v/>
      </c>
      <c r="P9" s="5" t="b">
        <f>ISNUMBER(Table442466[[#This Row],[Change]])</f>
        <v>0</v>
      </c>
      <c r="Q9" s="5" t="str">
        <f>IF(E8="Male",Table442466[[#This Row],[Change]],"")</f>
        <v/>
      </c>
      <c r="R9" s="5" t="str">
        <f>IF(E8="Female",Table442466[[#This Row],[Change]],"")</f>
        <v/>
      </c>
      <c r="S9" s="5" t="b">
        <f>ISNUMBER(Table442466[[#This Row],[If Male]])</f>
        <v>0</v>
      </c>
      <c r="T9" s="5" t="b">
        <f>ISNUMBER(Table442466[[#This Row],[If Female]])</f>
        <v>0</v>
      </c>
    </row>
    <row r="10" spans="1:20">
      <c r="A10" s="2" t="s">
        <v>24</v>
      </c>
      <c r="B10" s="2" t="s">
        <v>30</v>
      </c>
      <c r="C10" s="1">
        <v>9</v>
      </c>
      <c r="D10" s="2" t="s">
        <v>16</v>
      </c>
      <c r="E10" s="6" t="s">
        <v>171</v>
      </c>
      <c r="F10" s="1">
        <v>2</v>
      </c>
      <c r="G10" s="1">
        <v>4</v>
      </c>
      <c r="H10" s="2"/>
      <c r="I10" s="5" t="str">
        <f>IF(IF(Table442466[[#This Row],[Pre or Post]]="Pre",1,0)+IF(ISNUMBER(Table442466[[#This Row],[Response]])=TRUE,1,0)=2,1,"")</f>
        <v/>
      </c>
      <c r="J10" s="5">
        <f>IF(IF(Table442466[[#This Row],[Pre or Post]]="Post",1,0)+IF(ISNUMBER(Table442466[[#This Row],[Response]])=TRUE,1,0)=2,1,"")</f>
        <v>1</v>
      </c>
      <c r="K10" s="6" t="str">
        <f>IF(IF(Table442466[[#This Row],[Pre or Post]]="Pre",1,0)+IF(ISNUMBER(Table442466[[#This Row],[Response]])=TRUE,1,0)=2,Table442466[[#This Row],[Response]],"")</f>
        <v/>
      </c>
      <c r="L10" s="6">
        <f>IF(IF(Table442466[[#This Row],[Pre or Post]]="Post",1,0)+IF(ISNUMBER(Table442466[[#This Row],[Response]])=TRUE,1,0)=2,Table442466[[#This Row],[Response]],"")</f>
        <v>4</v>
      </c>
      <c r="M10" s="5" t="str">
        <f>IF(IF(ISNUMBER(K10),1,0)+IF(ISNUMBER(L11),1,0)=2,IF(IF(C11=C10,1,0)+IF(B11=B10,1,0)+IF(D11="Post",1,0)+IF(D10="Pre",1,0)=4,Table442466[[#This Row],[Pre Total]],""),"")</f>
        <v/>
      </c>
      <c r="N10" s="5" t="str">
        <f>IF(IF(ISNUMBER(K9),1,0)+IF(ISNUMBER(Table442466[[#This Row],[Post Total]]),1,0)=2,IF(IF(Table442466[[#This Row],[Student Number]]=C9,1,0)+IF(Table442466[[#This Row],[Session]]=B9,1,0)+IF(Table442466[[#This Row],[Pre or Post]]="Post",1,0)+IF(D9="Pre",1,0)=4,Table442466[[#This Row],[Post Total]],""),"")</f>
        <v/>
      </c>
      <c r="O10" s="5" t="str">
        <f>IF(IF(ISNUMBER(K9),1,0)+IF(ISNUMBER(Table442466[[#This Row],[Post Total]]),1,0)=2,IF(IF(Table442466[[#This Row],[Student Number]]=C9,1,0)+IF(Table442466[[#This Row],[Session]]=B9,1,0)+IF(Table442466[[#This Row],[Pre or Post]]="Post",1,0)+IF(D9="Pre",1,0)=4,Table442466[[#This Row],[Post Total]]-K9,""),"")</f>
        <v/>
      </c>
      <c r="P10" s="5" t="b">
        <f>ISNUMBER(Table442466[[#This Row],[Change]])</f>
        <v>0</v>
      </c>
      <c r="Q10" s="5" t="str">
        <f>IF(E9="Male",Table442466[[#This Row],[Change]],"")</f>
        <v/>
      </c>
      <c r="R10" s="5" t="str">
        <f>IF(E9="Female",Table442466[[#This Row],[Change]],"")</f>
        <v/>
      </c>
      <c r="S10" s="5" t="b">
        <f>ISNUMBER(Table442466[[#This Row],[If Male]])</f>
        <v>0</v>
      </c>
      <c r="T10" s="5" t="b">
        <f>ISNUMBER(Table442466[[#This Row],[If Female]])</f>
        <v>0</v>
      </c>
    </row>
    <row r="11" spans="1:20">
      <c r="A11" s="2" t="s">
        <v>24</v>
      </c>
      <c r="B11" s="2" t="s">
        <v>30</v>
      </c>
      <c r="C11" s="1">
        <v>10</v>
      </c>
      <c r="D11" s="2" t="s">
        <v>16</v>
      </c>
      <c r="E11" s="6" t="s">
        <v>171</v>
      </c>
      <c r="F11" s="1">
        <v>2</v>
      </c>
      <c r="G11" s="1">
        <v>3</v>
      </c>
      <c r="H11" s="2"/>
      <c r="I11" s="5" t="str">
        <f>IF(IF(Table442466[[#This Row],[Pre or Post]]="Pre",1,0)+IF(ISNUMBER(Table442466[[#This Row],[Response]])=TRUE,1,0)=2,1,"")</f>
        <v/>
      </c>
      <c r="J11" s="5">
        <f>IF(IF(Table442466[[#This Row],[Pre or Post]]="Post",1,0)+IF(ISNUMBER(Table442466[[#This Row],[Response]])=TRUE,1,0)=2,1,"")</f>
        <v>1</v>
      </c>
      <c r="K11" s="6" t="str">
        <f>IF(IF(Table442466[[#This Row],[Pre or Post]]="Pre",1,0)+IF(ISNUMBER(Table442466[[#This Row],[Response]])=TRUE,1,0)=2,Table442466[[#This Row],[Response]],"")</f>
        <v/>
      </c>
      <c r="L11" s="6">
        <f>IF(IF(Table442466[[#This Row],[Pre or Post]]="Post",1,0)+IF(ISNUMBER(Table442466[[#This Row],[Response]])=TRUE,1,0)=2,Table442466[[#This Row],[Response]],"")</f>
        <v>3</v>
      </c>
      <c r="M11" s="5" t="str">
        <f>IF(IF(ISNUMBER(K11),1,0)+IF(ISNUMBER(L12),1,0)=2,IF(IF(C12=C11,1,0)+IF(B12=B11,1,0)+IF(D12="Post",1,0)+IF(D11="Pre",1,0)=4,Table442466[[#This Row],[Pre Total]],""),"")</f>
        <v/>
      </c>
      <c r="N11" s="5" t="str">
        <f>IF(IF(ISNUMBER(K10),1,0)+IF(ISNUMBER(Table442466[[#This Row],[Post Total]]),1,0)=2,IF(IF(Table442466[[#This Row],[Student Number]]=C10,1,0)+IF(Table442466[[#This Row],[Session]]=B10,1,0)+IF(Table442466[[#This Row],[Pre or Post]]="Post",1,0)+IF(D10="Pre",1,0)=4,Table442466[[#This Row],[Post Total]],""),"")</f>
        <v/>
      </c>
      <c r="O11" s="5" t="str">
        <f>IF(IF(ISNUMBER(K10),1,0)+IF(ISNUMBER(Table442466[[#This Row],[Post Total]]),1,0)=2,IF(IF(Table442466[[#This Row],[Student Number]]=C10,1,0)+IF(Table442466[[#This Row],[Session]]=B10,1,0)+IF(Table442466[[#This Row],[Pre or Post]]="Post",1,0)+IF(D10="Pre",1,0)=4,Table442466[[#This Row],[Post Total]]-K10,""),"")</f>
        <v/>
      </c>
      <c r="P11" s="5" t="b">
        <f>ISNUMBER(Table442466[[#This Row],[Change]])</f>
        <v>0</v>
      </c>
      <c r="Q11" s="5" t="str">
        <f>IF(E10="Male",Table442466[[#This Row],[Change]],"")</f>
        <v/>
      </c>
      <c r="R11" s="5" t="str">
        <f>IF(E10="Female",Table442466[[#This Row],[Change]],"")</f>
        <v/>
      </c>
      <c r="S11" s="5" t="b">
        <f>ISNUMBER(Table442466[[#This Row],[If Male]])</f>
        <v>0</v>
      </c>
      <c r="T11" s="5" t="b">
        <f>ISNUMBER(Table442466[[#This Row],[If Female]])</f>
        <v>0</v>
      </c>
    </row>
    <row r="12" spans="1:20">
      <c r="A12" s="2" t="s">
        <v>24</v>
      </c>
      <c r="B12" s="2" t="s">
        <v>30</v>
      </c>
      <c r="C12" s="1">
        <v>11</v>
      </c>
      <c r="D12" s="2" t="s">
        <v>16</v>
      </c>
      <c r="E12" s="6" t="s">
        <v>171</v>
      </c>
      <c r="F12" s="1">
        <v>2</v>
      </c>
      <c r="G12" s="1">
        <v>4</v>
      </c>
      <c r="H12" s="2"/>
      <c r="I12" s="5" t="str">
        <f>IF(IF(Table442466[[#This Row],[Pre or Post]]="Pre",1,0)+IF(ISNUMBER(Table442466[[#This Row],[Response]])=TRUE,1,0)=2,1,"")</f>
        <v/>
      </c>
      <c r="J12" s="5">
        <f>IF(IF(Table442466[[#This Row],[Pre or Post]]="Post",1,0)+IF(ISNUMBER(Table442466[[#This Row],[Response]])=TRUE,1,0)=2,1,"")</f>
        <v>1</v>
      </c>
      <c r="K12" s="6" t="str">
        <f>IF(IF(Table442466[[#This Row],[Pre or Post]]="Pre",1,0)+IF(ISNUMBER(Table442466[[#This Row],[Response]])=TRUE,1,0)=2,Table442466[[#This Row],[Response]],"")</f>
        <v/>
      </c>
      <c r="L12" s="6">
        <f>IF(IF(Table442466[[#This Row],[Pre or Post]]="Post",1,0)+IF(ISNUMBER(Table442466[[#This Row],[Response]])=TRUE,1,0)=2,Table442466[[#This Row],[Response]],"")</f>
        <v>4</v>
      </c>
      <c r="M12" s="5" t="str">
        <f>IF(IF(ISNUMBER(K12),1,0)+IF(ISNUMBER(L13),1,0)=2,IF(IF(C13=C12,1,0)+IF(B13=B12,1,0)+IF(D13="Post",1,0)+IF(D12="Pre",1,0)=4,Table442466[[#This Row],[Pre Total]],""),"")</f>
        <v/>
      </c>
      <c r="N12" s="5" t="str">
        <f>IF(IF(ISNUMBER(K11),1,0)+IF(ISNUMBER(Table442466[[#This Row],[Post Total]]),1,0)=2,IF(IF(Table442466[[#This Row],[Student Number]]=C11,1,0)+IF(Table442466[[#This Row],[Session]]=B11,1,0)+IF(Table442466[[#This Row],[Pre or Post]]="Post",1,0)+IF(D11="Pre",1,0)=4,Table442466[[#This Row],[Post Total]],""),"")</f>
        <v/>
      </c>
      <c r="O12" s="5" t="str">
        <f>IF(IF(ISNUMBER(K11),1,0)+IF(ISNUMBER(Table442466[[#This Row],[Post Total]]),1,0)=2,IF(IF(Table442466[[#This Row],[Student Number]]=C11,1,0)+IF(Table442466[[#This Row],[Session]]=B11,1,0)+IF(Table442466[[#This Row],[Pre or Post]]="Post",1,0)+IF(D11="Pre",1,0)=4,Table442466[[#This Row],[Post Total]]-K11,""),"")</f>
        <v/>
      </c>
      <c r="P12" s="5" t="b">
        <f>ISNUMBER(Table442466[[#This Row],[Change]])</f>
        <v>0</v>
      </c>
      <c r="Q12" s="5" t="str">
        <f>IF(E11="Male",Table442466[[#This Row],[Change]],"")</f>
        <v/>
      </c>
      <c r="R12" s="5" t="str">
        <f>IF(E11="Female",Table442466[[#This Row],[Change]],"")</f>
        <v/>
      </c>
      <c r="S12" s="5" t="b">
        <f>ISNUMBER(Table442466[[#This Row],[If Male]])</f>
        <v>0</v>
      </c>
      <c r="T12" s="5" t="b">
        <f>ISNUMBER(Table442466[[#This Row],[If Female]])</f>
        <v>0</v>
      </c>
    </row>
    <row r="13" spans="1:20">
      <c r="A13" s="2" t="s">
        <v>24</v>
      </c>
      <c r="B13" s="2" t="s">
        <v>30</v>
      </c>
      <c r="C13" s="1">
        <v>12</v>
      </c>
      <c r="D13" s="2" t="s">
        <v>16</v>
      </c>
      <c r="E13" s="6" t="s">
        <v>171</v>
      </c>
      <c r="F13" s="1">
        <v>2</v>
      </c>
      <c r="G13" s="1">
        <v>5</v>
      </c>
      <c r="H13" s="2"/>
      <c r="I13" s="5" t="str">
        <f>IF(IF(Table442466[[#This Row],[Pre or Post]]="Pre",1,0)+IF(ISNUMBER(Table442466[[#This Row],[Response]])=TRUE,1,0)=2,1,"")</f>
        <v/>
      </c>
      <c r="J13" s="5">
        <f>IF(IF(Table442466[[#This Row],[Pre or Post]]="Post",1,0)+IF(ISNUMBER(Table442466[[#This Row],[Response]])=TRUE,1,0)=2,1,"")</f>
        <v>1</v>
      </c>
      <c r="K13" s="6" t="str">
        <f>IF(IF(Table442466[[#This Row],[Pre or Post]]="Pre",1,0)+IF(ISNUMBER(Table442466[[#This Row],[Response]])=TRUE,1,0)=2,Table442466[[#This Row],[Response]],"")</f>
        <v/>
      </c>
      <c r="L13" s="6">
        <f>IF(IF(Table442466[[#This Row],[Pre or Post]]="Post",1,0)+IF(ISNUMBER(Table442466[[#This Row],[Response]])=TRUE,1,0)=2,Table442466[[#This Row],[Response]],"")</f>
        <v>5</v>
      </c>
      <c r="M13" s="5" t="str">
        <f>IF(IF(ISNUMBER(K13),1,0)+IF(ISNUMBER(L14),1,0)=2,IF(IF(C14=C13,1,0)+IF(B14=B13,1,0)+IF(D14="Post",1,0)+IF(D13="Pre",1,0)=4,Table442466[[#This Row],[Pre Total]],""),"")</f>
        <v/>
      </c>
      <c r="N13" s="5" t="str">
        <f>IF(IF(ISNUMBER(K12),1,0)+IF(ISNUMBER(Table442466[[#This Row],[Post Total]]),1,0)=2,IF(IF(Table442466[[#This Row],[Student Number]]=C12,1,0)+IF(Table442466[[#This Row],[Session]]=B12,1,0)+IF(Table442466[[#This Row],[Pre or Post]]="Post",1,0)+IF(D12="Pre",1,0)=4,Table442466[[#This Row],[Post Total]],""),"")</f>
        <v/>
      </c>
      <c r="O13" s="5" t="str">
        <f>IF(IF(ISNUMBER(K12),1,0)+IF(ISNUMBER(Table442466[[#This Row],[Post Total]]),1,0)=2,IF(IF(Table442466[[#This Row],[Student Number]]=C12,1,0)+IF(Table442466[[#This Row],[Session]]=B12,1,0)+IF(Table442466[[#This Row],[Pre or Post]]="Post",1,0)+IF(D12="Pre",1,0)=4,Table442466[[#This Row],[Post Total]]-K12,""),"")</f>
        <v/>
      </c>
      <c r="P13" s="5" t="b">
        <f>ISNUMBER(Table442466[[#This Row],[Change]])</f>
        <v>0</v>
      </c>
      <c r="Q13" s="5" t="str">
        <f>IF(E12="Male",Table442466[[#This Row],[Change]],"")</f>
        <v/>
      </c>
      <c r="R13" s="5" t="str">
        <f>IF(E12="Female",Table442466[[#This Row],[Change]],"")</f>
        <v/>
      </c>
      <c r="S13" s="5" t="b">
        <f>ISNUMBER(Table442466[[#This Row],[If Male]])</f>
        <v>0</v>
      </c>
      <c r="T13" s="5" t="b">
        <f>ISNUMBER(Table442466[[#This Row],[If Female]])</f>
        <v>0</v>
      </c>
    </row>
    <row r="14" spans="1:20">
      <c r="A14" s="2" t="s">
        <v>24</v>
      </c>
      <c r="B14" s="2" t="s">
        <v>30</v>
      </c>
      <c r="C14" s="1">
        <v>13</v>
      </c>
      <c r="D14" s="2" t="s">
        <v>16</v>
      </c>
      <c r="E14" s="6" t="s">
        <v>171</v>
      </c>
      <c r="F14" s="1">
        <v>2</v>
      </c>
      <c r="G14" s="1">
        <v>4</v>
      </c>
      <c r="H14" s="2"/>
      <c r="I14" s="5" t="str">
        <f>IF(IF(Table442466[[#This Row],[Pre or Post]]="Pre",1,0)+IF(ISNUMBER(Table442466[[#This Row],[Response]])=TRUE,1,0)=2,1,"")</f>
        <v/>
      </c>
      <c r="J14" s="5">
        <f>IF(IF(Table442466[[#This Row],[Pre or Post]]="Post",1,0)+IF(ISNUMBER(Table442466[[#This Row],[Response]])=TRUE,1,0)=2,1,"")</f>
        <v>1</v>
      </c>
      <c r="K14" s="6" t="str">
        <f>IF(IF(Table442466[[#This Row],[Pre or Post]]="Pre",1,0)+IF(ISNUMBER(Table442466[[#This Row],[Response]])=TRUE,1,0)=2,Table442466[[#This Row],[Response]],"")</f>
        <v/>
      </c>
      <c r="L14" s="6">
        <f>IF(IF(Table442466[[#This Row],[Pre or Post]]="Post",1,0)+IF(ISNUMBER(Table442466[[#This Row],[Response]])=TRUE,1,0)=2,Table442466[[#This Row],[Response]],"")</f>
        <v>4</v>
      </c>
      <c r="M14" s="5" t="str">
        <f>IF(IF(ISNUMBER(K14),1,0)+IF(ISNUMBER(L15),1,0)=2,IF(IF(C15=C14,1,0)+IF(B15=B14,1,0)+IF(D15="Post",1,0)+IF(D14="Pre",1,0)=4,Table442466[[#This Row],[Pre Total]],""),"")</f>
        <v/>
      </c>
      <c r="N14" s="5" t="str">
        <f>IF(IF(ISNUMBER(K13),1,0)+IF(ISNUMBER(Table442466[[#This Row],[Post Total]]),1,0)=2,IF(IF(Table442466[[#This Row],[Student Number]]=C13,1,0)+IF(Table442466[[#This Row],[Session]]=B13,1,0)+IF(Table442466[[#This Row],[Pre or Post]]="Post",1,0)+IF(D13="Pre",1,0)=4,Table442466[[#This Row],[Post Total]],""),"")</f>
        <v/>
      </c>
      <c r="O14" s="5" t="str">
        <f>IF(IF(ISNUMBER(K13),1,0)+IF(ISNUMBER(Table442466[[#This Row],[Post Total]]),1,0)=2,IF(IF(Table442466[[#This Row],[Student Number]]=C13,1,0)+IF(Table442466[[#This Row],[Session]]=B13,1,0)+IF(Table442466[[#This Row],[Pre or Post]]="Post",1,0)+IF(D13="Pre",1,0)=4,Table442466[[#This Row],[Post Total]]-K13,""),"")</f>
        <v/>
      </c>
      <c r="P14" s="5" t="b">
        <f>ISNUMBER(Table442466[[#This Row],[Change]])</f>
        <v>0</v>
      </c>
      <c r="Q14" s="5" t="str">
        <f>IF(E13="Male",Table442466[[#This Row],[Change]],"")</f>
        <v/>
      </c>
      <c r="R14" s="5" t="str">
        <f>IF(E13="Female",Table442466[[#This Row],[Change]],"")</f>
        <v/>
      </c>
      <c r="S14" s="5" t="b">
        <f>ISNUMBER(Table442466[[#This Row],[If Male]])</f>
        <v>0</v>
      </c>
      <c r="T14" s="5" t="b">
        <f>ISNUMBER(Table442466[[#This Row],[If Female]])</f>
        <v>0</v>
      </c>
    </row>
    <row r="15" spans="1:20">
      <c r="A15" s="2" t="s">
        <v>24</v>
      </c>
      <c r="B15" s="2" t="s">
        <v>30</v>
      </c>
      <c r="C15" s="1">
        <v>14</v>
      </c>
      <c r="D15" s="2" t="s">
        <v>16</v>
      </c>
      <c r="E15" s="6" t="s">
        <v>171</v>
      </c>
      <c r="F15" s="1">
        <v>2</v>
      </c>
      <c r="G15" s="1">
        <v>5</v>
      </c>
      <c r="H15" s="2"/>
      <c r="I15" s="5" t="str">
        <f>IF(IF(Table442466[[#This Row],[Pre or Post]]="Pre",1,0)+IF(ISNUMBER(Table442466[[#This Row],[Response]])=TRUE,1,0)=2,1,"")</f>
        <v/>
      </c>
      <c r="J15" s="5">
        <f>IF(IF(Table442466[[#This Row],[Pre or Post]]="Post",1,0)+IF(ISNUMBER(Table442466[[#This Row],[Response]])=TRUE,1,0)=2,1,"")</f>
        <v>1</v>
      </c>
      <c r="K15" s="6" t="str">
        <f>IF(IF(Table442466[[#This Row],[Pre or Post]]="Pre",1,0)+IF(ISNUMBER(Table442466[[#This Row],[Response]])=TRUE,1,0)=2,Table442466[[#This Row],[Response]],"")</f>
        <v/>
      </c>
      <c r="L15" s="6">
        <f>IF(IF(Table442466[[#This Row],[Pre or Post]]="Post",1,0)+IF(ISNUMBER(Table442466[[#This Row],[Response]])=TRUE,1,0)=2,Table442466[[#This Row],[Response]],"")</f>
        <v>5</v>
      </c>
      <c r="M15" s="5" t="str">
        <f>IF(IF(ISNUMBER(K15),1,0)+IF(ISNUMBER(L16),1,0)=2,IF(IF(C16=C15,1,0)+IF(B16=B15,1,0)+IF(D16="Post",1,0)+IF(D15="Pre",1,0)=4,Table442466[[#This Row],[Pre Total]],""),"")</f>
        <v/>
      </c>
      <c r="N15" s="5" t="str">
        <f>IF(IF(ISNUMBER(K14),1,0)+IF(ISNUMBER(Table442466[[#This Row],[Post Total]]),1,0)=2,IF(IF(Table442466[[#This Row],[Student Number]]=C14,1,0)+IF(Table442466[[#This Row],[Session]]=B14,1,0)+IF(Table442466[[#This Row],[Pre or Post]]="Post",1,0)+IF(D14="Pre",1,0)=4,Table442466[[#This Row],[Post Total]],""),"")</f>
        <v/>
      </c>
      <c r="O15" s="5" t="str">
        <f>IF(IF(ISNUMBER(K14),1,0)+IF(ISNUMBER(Table442466[[#This Row],[Post Total]]),1,0)=2,IF(IF(Table442466[[#This Row],[Student Number]]=C14,1,0)+IF(Table442466[[#This Row],[Session]]=B14,1,0)+IF(Table442466[[#This Row],[Pre or Post]]="Post",1,0)+IF(D14="Pre",1,0)=4,Table442466[[#This Row],[Post Total]]-K14,""),"")</f>
        <v/>
      </c>
      <c r="P15" s="5" t="b">
        <f>ISNUMBER(Table442466[[#This Row],[Change]])</f>
        <v>0</v>
      </c>
      <c r="Q15" s="5" t="str">
        <f>IF(E14="Male",Table442466[[#This Row],[Change]],"")</f>
        <v/>
      </c>
      <c r="R15" s="5" t="str">
        <f>IF(E14="Female",Table442466[[#This Row],[Change]],"")</f>
        <v/>
      </c>
      <c r="S15" s="5" t="b">
        <f>ISNUMBER(Table442466[[#This Row],[If Male]])</f>
        <v>0</v>
      </c>
      <c r="T15" s="5" t="b">
        <f>ISNUMBER(Table442466[[#This Row],[If Female]])</f>
        <v>0</v>
      </c>
    </row>
    <row r="16" spans="1:20">
      <c r="A16" s="2" t="s">
        <v>24</v>
      </c>
      <c r="B16" s="2" t="s">
        <v>30</v>
      </c>
      <c r="C16" s="1">
        <v>15</v>
      </c>
      <c r="D16" s="2" t="s">
        <v>16</v>
      </c>
      <c r="E16" s="6" t="s">
        <v>171</v>
      </c>
      <c r="F16" s="1">
        <v>2</v>
      </c>
      <c r="G16" s="1">
        <v>3</v>
      </c>
      <c r="H16" s="2"/>
      <c r="I16" s="5" t="str">
        <f>IF(IF(Table442466[[#This Row],[Pre or Post]]="Pre",1,0)+IF(ISNUMBER(Table442466[[#This Row],[Response]])=TRUE,1,0)=2,1,"")</f>
        <v/>
      </c>
      <c r="J16" s="5">
        <f>IF(IF(Table442466[[#This Row],[Pre or Post]]="Post",1,0)+IF(ISNUMBER(Table442466[[#This Row],[Response]])=TRUE,1,0)=2,1,"")</f>
        <v>1</v>
      </c>
      <c r="K16" s="6" t="str">
        <f>IF(IF(Table442466[[#This Row],[Pre or Post]]="Pre",1,0)+IF(ISNUMBER(Table442466[[#This Row],[Response]])=TRUE,1,0)=2,Table442466[[#This Row],[Response]],"")</f>
        <v/>
      </c>
      <c r="L16" s="6">
        <f>IF(IF(Table442466[[#This Row],[Pre or Post]]="Post",1,0)+IF(ISNUMBER(Table442466[[#This Row],[Response]])=TRUE,1,0)=2,Table442466[[#This Row],[Response]],"")</f>
        <v>3</v>
      </c>
      <c r="M16" s="5" t="str">
        <f>IF(IF(ISNUMBER(K16),1,0)+IF(ISNUMBER(L17),1,0)=2,IF(IF(C17=C16,1,0)+IF(B17=B16,1,0)+IF(D17="Post",1,0)+IF(D16="Pre",1,0)=4,Table442466[[#This Row],[Pre Total]],""),"")</f>
        <v/>
      </c>
      <c r="N16" s="5" t="str">
        <f>IF(IF(ISNUMBER(K15),1,0)+IF(ISNUMBER(Table442466[[#This Row],[Post Total]]),1,0)=2,IF(IF(Table442466[[#This Row],[Student Number]]=C15,1,0)+IF(Table442466[[#This Row],[Session]]=B15,1,0)+IF(Table442466[[#This Row],[Pre or Post]]="Post",1,0)+IF(D15="Pre",1,0)=4,Table442466[[#This Row],[Post Total]],""),"")</f>
        <v/>
      </c>
      <c r="O16" s="5" t="str">
        <f>IF(IF(ISNUMBER(K15),1,0)+IF(ISNUMBER(Table442466[[#This Row],[Post Total]]),1,0)=2,IF(IF(Table442466[[#This Row],[Student Number]]=C15,1,0)+IF(Table442466[[#This Row],[Session]]=B15,1,0)+IF(Table442466[[#This Row],[Pre or Post]]="Post",1,0)+IF(D15="Pre",1,0)=4,Table442466[[#This Row],[Post Total]]-K15,""),"")</f>
        <v/>
      </c>
      <c r="P16" s="5" t="b">
        <f>ISNUMBER(Table442466[[#This Row],[Change]])</f>
        <v>0</v>
      </c>
      <c r="Q16" s="5" t="str">
        <f>IF(E15="Male",Table442466[[#This Row],[Change]],"")</f>
        <v/>
      </c>
      <c r="R16" s="5" t="str">
        <f>IF(E15="Female",Table442466[[#This Row],[Change]],"")</f>
        <v/>
      </c>
      <c r="S16" s="5" t="b">
        <f>ISNUMBER(Table442466[[#This Row],[If Male]])</f>
        <v>0</v>
      </c>
      <c r="T16" s="5" t="b">
        <f>ISNUMBER(Table442466[[#This Row],[If Female]])</f>
        <v>0</v>
      </c>
    </row>
    <row r="17" spans="1:20">
      <c r="A17" s="2" t="s">
        <v>24</v>
      </c>
      <c r="B17" s="2" t="s">
        <v>30</v>
      </c>
      <c r="C17" s="1">
        <v>16</v>
      </c>
      <c r="D17" s="2" t="s">
        <v>16</v>
      </c>
      <c r="E17" s="6" t="s">
        <v>171</v>
      </c>
      <c r="F17" s="1">
        <v>2</v>
      </c>
      <c r="G17" s="1">
        <v>4</v>
      </c>
      <c r="H17" s="2"/>
      <c r="I17" s="5" t="str">
        <f>IF(IF(Table442466[[#This Row],[Pre or Post]]="Pre",1,0)+IF(ISNUMBER(Table442466[[#This Row],[Response]])=TRUE,1,0)=2,1,"")</f>
        <v/>
      </c>
      <c r="J17" s="5">
        <f>IF(IF(Table442466[[#This Row],[Pre or Post]]="Post",1,0)+IF(ISNUMBER(Table442466[[#This Row],[Response]])=TRUE,1,0)=2,1,"")</f>
        <v>1</v>
      </c>
      <c r="K17" s="6" t="str">
        <f>IF(IF(Table442466[[#This Row],[Pre or Post]]="Pre",1,0)+IF(ISNUMBER(Table442466[[#This Row],[Response]])=TRUE,1,0)=2,Table442466[[#This Row],[Response]],"")</f>
        <v/>
      </c>
      <c r="L17" s="6">
        <f>IF(IF(Table442466[[#This Row],[Pre or Post]]="Post",1,0)+IF(ISNUMBER(Table442466[[#This Row],[Response]])=TRUE,1,0)=2,Table442466[[#This Row],[Response]],"")</f>
        <v>4</v>
      </c>
      <c r="M17" s="5" t="str">
        <f>IF(IF(ISNUMBER(K17),1,0)+IF(ISNUMBER(L18),1,0)=2,IF(IF(C18=C17,1,0)+IF(B18=B17,1,0)+IF(D18="Post",1,0)+IF(D17="Pre",1,0)=4,Table442466[[#This Row],[Pre Total]],""),"")</f>
        <v/>
      </c>
      <c r="N17" s="5" t="str">
        <f>IF(IF(ISNUMBER(K16),1,0)+IF(ISNUMBER(Table442466[[#This Row],[Post Total]]),1,0)=2,IF(IF(Table442466[[#This Row],[Student Number]]=C16,1,0)+IF(Table442466[[#This Row],[Session]]=B16,1,0)+IF(Table442466[[#This Row],[Pre or Post]]="Post",1,0)+IF(D16="Pre",1,0)=4,Table442466[[#This Row],[Post Total]],""),"")</f>
        <v/>
      </c>
      <c r="O17" s="5" t="str">
        <f>IF(IF(ISNUMBER(K16),1,0)+IF(ISNUMBER(Table442466[[#This Row],[Post Total]]),1,0)=2,IF(IF(Table442466[[#This Row],[Student Number]]=C16,1,0)+IF(Table442466[[#This Row],[Session]]=B16,1,0)+IF(Table442466[[#This Row],[Pre or Post]]="Post",1,0)+IF(D16="Pre",1,0)=4,Table442466[[#This Row],[Post Total]]-K16,""),"")</f>
        <v/>
      </c>
      <c r="P17" s="5" t="b">
        <f>ISNUMBER(Table442466[[#This Row],[Change]])</f>
        <v>0</v>
      </c>
      <c r="Q17" s="5" t="str">
        <f>IF(E16="Male",Table442466[[#This Row],[Change]],"")</f>
        <v/>
      </c>
      <c r="R17" s="5" t="str">
        <f>IF(E16="Female",Table442466[[#This Row],[Change]],"")</f>
        <v/>
      </c>
      <c r="S17" s="5" t="b">
        <f>ISNUMBER(Table442466[[#This Row],[If Male]])</f>
        <v>0</v>
      </c>
      <c r="T17" s="5" t="b">
        <f>ISNUMBER(Table442466[[#This Row],[If Female]])</f>
        <v>0</v>
      </c>
    </row>
    <row r="18" spans="1:20">
      <c r="A18" s="2" t="s">
        <v>24</v>
      </c>
      <c r="B18" s="2" t="s">
        <v>30</v>
      </c>
      <c r="C18" s="1">
        <v>17</v>
      </c>
      <c r="D18" s="2" t="s">
        <v>16</v>
      </c>
      <c r="E18" s="6" t="s">
        <v>171</v>
      </c>
      <c r="F18" s="1">
        <v>2</v>
      </c>
      <c r="G18" s="1">
        <v>3</v>
      </c>
      <c r="H18" s="2"/>
      <c r="I18" s="5" t="str">
        <f>IF(IF(Table442466[[#This Row],[Pre or Post]]="Pre",1,0)+IF(ISNUMBER(Table442466[[#This Row],[Response]])=TRUE,1,0)=2,1,"")</f>
        <v/>
      </c>
      <c r="J18" s="5">
        <f>IF(IF(Table442466[[#This Row],[Pre or Post]]="Post",1,0)+IF(ISNUMBER(Table442466[[#This Row],[Response]])=TRUE,1,0)=2,1,"")</f>
        <v>1</v>
      </c>
      <c r="K18" s="6" t="str">
        <f>IF(IF(Table442466[[#This Row],[Pre or Post]]="Pre",1,0)+IF(ISNUMBER(Table442466[[#This Row],[Response]])=TRUE,1,0)=2,Table442466[[#This Row],[Response]],"")</f>
        <v/>
      </c>
      <c r="L18" s="6">
        <f>IF(IF(Table442466[[#This Row],[Pre or Post]]="Post",1,0)+IF(ISNUMBER(Table442466[[#This Row],[Response]])=TRUE,1,0)=2,Table442466[[#This Row],[Response]],"")</f>
        <v>3</v>
      </c>
      <c r="M18" s="5" t="str">
        <f>IF(IF(ISNUMBER(K18),1,0)+IF(ISNUMBER(L19),1,0)=2,IF(IF(C19=C18,1,0)+IF(B19=B18,1,0)+IF(D19="Post",1,0)+IF(D18="Pre",1,0)=4,Table442466[[#This Row],[Pre Total]],""),"")</f>
        <v/>
      </c>
      <c r="N18" s="5" t="str">
        <f>IF(IF(ISNUMBER(K17),1,0)+IF(ISNUMBER(Table442466[[#This Row],[Post Total]]),1,0)=2,IF(IF(Table442466[[#This Row],[Student Number]]=C17,1,0)+IF(Table442466[[#This Row],[Session]]=B17,1,0)+IF(Table442466[[#This Row],[Pre or Post]]="Post",1,0)+IF(D17="Pre",1,0)=4,Table442466[[#This Row],[Post Total]],""),"")</f>
        <v/>
      </c>
      <c r="O18" s="5" t="str">
        <f>IF(IF(ISNUMBER(K17),1,0)+IF(ISNUMBER(Table442466[[#This Row],[Post Total]]),1,0)=2,IF(IF(Table442466[[#This Row],[Student Number]]=C17,1,0)+IF(Table442466[[#This Row],[Session]]=B17,1,0)+IF(Table442466[[#This Row],[Pre or Post]]="Post",1,0)+IF(D17="Pre",1,0)=4,Table442466[[#This Row],[Post Total]]-K17,""),"")</f>
        <v/>
      </c>
      <c r="P18" s="5" t="b">
        <f>ISNUMBER(Table442466[[#This Row],[Change]])</f>
        <v>0</v>
      </c>
      <c r="Q18" s="5" t="str">
        <f>IF(E17="Male",Table442466[[#This Row],[Change]],"")</f>
        <v/>
      </c>
      <c r="R18" s="5" t="str">
        <f>IF(E17="Female",Table442466[[#This Row],[Change]],"")</f>
        <v/>
      </c>
      <c r="S18" s="5" t="b">
        <f>ISNUMBER(Table442466[[#This Row],[If Male]])</f>
        <v>0</v>
      </c>
      <c r="T18" s="5" t="b">
        <f>ISNUMBER(Table442466[[#This Row],[If Female]])</f>
        <v>0</v>
      </c>
    </row>
    <row r="19" spans="1:20">
      <c r="A19" s="2" t="s">
        <v>24</v>
      </c>
      <c r="B19" s="2" t="s">
        <v>30</v>
      </c>
      <c r="C19" s="1">
        <v>18</v>
      </c>
      <c r="D19" s="2" t="s">
        <v>16</v>
      </c>
      <c r="E19" s="6" t="s">
        <v>171</v>
      </c>
      <c r="F19" s="1">
        <v>2</v>
      </c>
      <c r="G19" s="1">
        <v>3</v>
      </c>
      <c r="H19" s="2"/>
      <c r="I19" s="5" t="str">
        <f>IF(IF(Table442466[[#This Row],[Pre or Post]]="Pre",1,0)+IF(ISNUMBER(Table442466[[#This Row],[Response]])=TRUE,1,0)=2,1,"")</f>
        <v/>
      </c>
      <c r="J19" s="5">
        <f>IF(IF(Table442466[[#This Row],[Pre or Post]]="Post",1,0)+IF(ISNUMBER(Table442466[[#This Row],[Response]])=TRUE,1,0)=2,1,"")</f>
        <v>1</v>
      </c>
      <c r="K19" s="6" t="str">
        <f>IF(IF(Table442466[[#This Row],[Pre or Post]]="Pre",1,0)+IF(ISNUMBER(Table442466[[#This Row],[Response]])=TRUE,1,0)=2,Table442466[[#This Row],[Response]],"")</f>
        <v/>
      </c>
      <c r="L19" s="6">
        <f>IF(IF(Table442466[[#This Row],[Pre or Post]]="Post",1,0)+IF(ISNUMBER(Table442466[[#This Row],[Response]])=TRUE,1,0)=2,Table442466[[#This Row],[Response]],"")</f>
        <v>3</v>
      </c>
      <c r="M19" s="5" t="str">
        <f>IF(IF(ISNUMBER(K19),1,0)+IF(ISNUMBER(L20),1,0)=2,IF(IF(C20=C19,1,0)+IF(B20=B19,1,0)+IF(D20="Post",1,0)+IF(D19="Pre",1,0)=4,Table442466[[#This Row],[Pre Total]],""),"")</f>
        <v/>
      </c>
      <c r="N19" s="5" t="str">
        <f>IF(IF(ISNUMBER(K18),1,0)+IF(ISNUMBER(Table442466[[#This Row],[Post Total]]),1,0)=2,IF(IF(Table442466[[#This Row],[Student Number]]=C18,1,0)+IF(Table442466[[#This Row],[Session]]=B18,1,0)+IF(Table442466[[#This Row],[Pre or Post]]="Post",1,0)+IF(D18="Pre",1,0)=4,Table442466[[#This Row],[Post Total]],""),"")</f>
        <v/>
      </c>
      <c r="O19" s="5" t="str">
        <f>IF(IF(ISNUMBER(K18),1,0)+IF(ISNUMBER(Table442466[[#This Row],[Post Total]]),1,0)=2,IF(IF(Table442466[[#This Row],[Student Number]]=C18,1,0)+IF(Table442466[[#This Row],[Session]]=B18,1,0)+IF(Table442466[[#This Row],[Pre or Post]]="Post",1,0)+IF(D18="Pre",1,0)=4,Table442466[[#This Row],[Post Total]]-K18,""),"")</f>
        <v/>
      </c>
      <c r="P19" s="5" t="b">
        <f>ISNUMBER(Table442466[[#This Row],[Change]])</f>
        <v>0</v>
      </c>
      <c r="Q19" s="5" t="str">
        <f>IF(E18="Male",Table442466[[#This Row],[Change]],"")</f>
        <v/>
      </c>
      <c r="R19" s="5" t="str">
        <f>IF(E18="Female",Table442466[[#This Row],[Change]],"")</f>
        <v/>
      </c>
      <c r="S19" s="5" t="b">
        <f>ISNUMBER(Table442466[[#This Row],[If Male]])</f>
        <v>0</v>
      </c>
      <c r="T19" s="5" t="b">
        <f>ISNUMBER(Table442466[[#This Row],[If Female]])</f>
        <v>0</v>
      </c>
    </row>
    <row r="20" spans="1:20">
      <c r="A20" s="2" t="s">
        <v>24</v>
      </c>
      <c r="B20" s="2" t="s">
        <v>30</v>
      </c>
      <c r="C20" s="2">
        <v>19</v>
      </c>
      <c r="D20" s="2" t="s">
        <v>16</v>
      </c>
      <c r="E20" s="6" t="s">
        <v>171</v>
      </c>
      <c r="F20" s="1">
        <v>2</v>
      </c>
      <c r="G20" s="1">
        <v>3</v>
      </c>
      <c r="H20" s="2"/>
      <c r="I20" s="5" t="str">
        <f>IF(IF(Table442466[[#This Row],[Pre or Post]]="Pre",1,0)+IF(ISNUMBER(Table442466[[#This Row],[Response]])=TRUE,1,0)=2,1,"")</f>
        <v/>
      </c>
      <c r="J20" s="5">
        <f>IF(IF(Table442466[[#This Row],[Pre or Post]]="Post",1,0)+IF(ISNUMBER(Table442466[[#This Row],[Response]])=TRUE,1,0)=2,1,"")</f>
        <v>1</v>
      </c>
      <c r="K20" s="6" t="str">
        <f>IF(IF(Table442466[[#This Row],[Pre or Post]]="Pre",1,0)+IF(ISNUMBER(Table442466[[#This Row],[Response]])=TRUE,1,0)=2,Table442466[[#This Row],[Response]],"")</f>
        <v/>
      </c>
      <c r="L20" s="6">
        <f>IF(IF(Table442466[[#This Row],[Pre or Post]]="Post",1,0)+IF(ISNUMBER(Table442466[[#This Row],[Response]])=TRUE,1,0)=2,Table442466[[#This Row],[Response]],"")</f>
        <v>3</v>
      </c>
      <c r="M20" s="5" t="str">
        <f>IF(IF(ISNUMBER(K20),1,0)+IF(ISNUMBER(L21),1,0)=2,IF(IF(C21=C20,1,0)+IF(B21=B20,1,0)+IF(D21="Post",1,0)+IF(D20="Pre",1,0)=4,Table442466[[#This Row],[Pre Total]],""),"")</f>
        <v/>
      </c>
      <c r="N20" s="5" t="str">
        <f>IF(IF(ISNUMBER(K19),1,0)+IF(ISNUMBER(Table442466[[#This Row],[Post Total]]),1,0)=2,IF(IF(Table442466[[#This Row],[Student Number]]=C19,1,0)+IF(Table442466[[#This Row],[Session]]=B19,1,0)+IF(Table442466[[#This Row],[Pre or Post]]="Post",1,0)+IF(D19="Pre",1,0)=4,Table442466[[#This Row],[Post Total]],""),"")</f>
        <v/>
      </c>
      <c r="O20" s="5" t="str">
        <f>IF(IF(ISNUMBER(K19),1,0)+IF(ISNUMBER(Table442466[[#This Row],[Post Total]]),1,0)=2,IF(IF(Table442466[[#This Row],[Student Number]]=C19,1,0)+IF(Table442466[[#This Row],[Session]]=B19,1,0)+IF(Table442466[[#This Row],[Pre or Post]]="Post",1,0)+IF(D19="Pre",1,0)=4,Table442466[[#This Row],[Post Total]]-K19,""),"")</f>
        <v/>
      </c>
      <c r="P20" s="5" t="b">
        <f>ISNUMBER(Table442466[[#This Row],[Change]])</f>
        <v>0</v>
      </c>
      <c r="Q20" s="5" t="str">
        <f>IF(E19="Male",Table442466[[#This Row],[Change]],"")</f>
        <v/>
      </c>
      <c r="R20" s="5" t="str">
        <f>IF(E19="Female",Table442466[[#This Row],[Change]],"")</f>
        <v/>
      </c>
      <c r="S20" s="5" t="b">
        <f>ISNUMBER(Table442466[[#This Row],[If Male]])</f>
        <v>0</v>
      </c>
      <c r="T20" s="5" t="b">
        <f>ISNUMBER(Table442466[[#This Row],[If Female]])</f>
        <v>0</v>
      </c>
    </row>
    <row r="21" spans="1:20">
      <c r="A21" s="1" t="s">
        <v>24</v>
      </c>
      <c r="B21" s="1" t="s">
        <v>23</v>
      </c>
      <c r="C21" s="1">
        <v>1</v>
      </c>
      <c r="D21" s="1" t="s">
        <v>6</v>
      </c>
      <c r="E21" s="5" t="s">
        <v>7</v>
      </c>
      <c r="F21" s="1">
        <v>9</v>
      </c>
      <c r="G21" s="1">
        <v>3</v>
      </c>
      <c r="H21" s="2"/>
      <c r="I21" s="6">
        <f>IF(IF(Table442466[[#This Row],[Pre or Post]]="Pre",1,0)+IF(ISNUMBER(Table442466[[#This Row],[Response]])=TRUE,1,0)=2,1,"")</f>
        <v>1</v>
      </c>
      <c r="J21" s="6" t="str">
        <f>IF(IF(Table442466[[#This Row],[Pre or Post]]="Post",1,0)+IF(ISNUMBER(Table442466[[#This Row],[Response]])=TRUE,1,0)=2,1,"")</f>
        <v/>
      </c>
      <c r="K21" s="6">
        <f>IF(IF(Table442466[[#This Row],[Pre or Post]]="Pre",1,0)+IF(ISNUMBER(Table442466[[#This Row],[Response]])=TRUE,1,0)=2,Table442466[[#This Row],[Response]],"")</f>
        <v>3</v>
      </c>
      <c r="L21" s="6" t="str">
        <f>IF(IF(Table442466[[#This Row],[Pre or Post]]="Post",1,0)+IF(ISNUMBER(Table442466[[#This Row],[Response]])=TRUE,1,0)=2,Table442466[[#This Row],[Response]],"")</f>
        <v/>
      </c>
      <c r="M21" s="5">
        <f>IF(IF(ISNUMBER(K21),1,0)+IF(ISNUMBER(L22),1,0)=2,IF(IF(C22=C21,1,0)+IF(B22=B21,1,0)+IF(D22="Post",1,0)+IF(D21="Pre",1,0)=4,Table442466[[#This Row],[Pre Total]],""),"")</f>
        <v>3</v>
      </c>
      <c r="N21" s="5" t="str">
        <f>IF(IF(ISNUMBER(K20),1,0)+IF(ISNUMBER(Table442466[[#This Row],[Post Total]]),1,0)=2,IF(IF(Table442466[[#This Row],[Student Number]]=C20,1,0)+IF(Table442466[[#This Row],[Session]]=B20,1,0)+IF(Table442466[[#This Row],[Pre or Post]]="Post",1,0)+IF(D20="Pre",1,0)=4,Table442466[[#This Row],[Post Total]],""),"")</f>
        <v/>
      </c>
      <c r="O21" s="6" t="str">
        <f>IF(IF(ISNUMBER(K20),1,0)+IF(ISNUMBER(Table442466[[#This Row],[Post Total]]),1,0)=2,IF(IF(Table442466[[#This Row],[Student Number]]=C20,1,0)+IF(Table442466[[#This Row],[Session]]=B20,1,0)+IF(Table442466[[#This Row],[Pre or Post]]="Post",1,0)+IF(D20="Pre",1,0)=4,Table442466[[#This Row],[Post Total]]-K20,""),"")</f>
        <v/>
      </c>
      <c r="P21" s="6" t="b">
        <f>ISNUMBER(Table442466[[#This Row],[Change]])</f>
        <v>0</v>
      </c>
      <c r="Q21" s="5" t="str">
        <f>IF(E20="Male",Table442466[[#This Row],[Change]],"")</f>
        <v/>
      </c>
      <c r="R21" s="5" t="str">
        <f>IF(E20="Female",Table442466[[#This Row],[Change]],"")</f>
        <v/>
      </c>
      <c r="S21" s="5" t="b">
        <f>ISNUMBER(Table442466[[#This Row],[If Male]])</f>
        <v>0</v>
      </c>
      <c r="T21" s="5" t="b">
        <f>ISNUMBER(Table442466[[#This Row],[If Female]])</f>
        <v>0</v>
      </c>
    </row>
    <row r="22" spans="1:20">
      <c r="A22" s="1" t="s">
        <v>24</v>
      </c>
      <c r="B22" s="1" t="s">
        <v>23</v>
      </c>
      <c r="C22" s="1">
        <v>1</v>
      </c>
      <c r="D22" s="1" t="s">
        <v>16</v>
      </c>
      <c r="E22" s="5" t="s">
        <v>171</v>
      </c>
      <c r="F22" s="1">
        <v>2</v>
      </c>
      <c r="G22" s="1">
        <v>2</v>
      </c>
      <c r="I22" s="5" t="str">
        <f>IF(IF(Table442466[[#This Row],[Pre or Post]]="Pre",1,0)+IF(ISNUMBER(Table442466[[#This Row],[Response]])=TRUE,1,0)=2,1,"")</f>
        <v/>
      </c>
      <c r="J22" s="5">
        <f>IF(IF(Table442466[[#This Row],[Pre or Post]]="Post",1,0)+IF(ISNUMBER(Table442466[[#This Row],[Response]])=TRUE,1,0)=2,1,"")</f>
        <v>1</v>
      </c>
      <c r="K22" s="6" t="str">
        <f>IF(IF(Table442466[[#This Row],[Pre or Post]]="Pre",1,0)+IF(ISNUMBER(Table442466[[#This Row],[Response]])=TRUE,1,0)=2,Table442466[[#This Row],[Response]],"")</f>
        <v/>
      </c>
      <c r="L22" s="6">
        <f>IF(IF(Table442466[[#This Row],[Pre or Post]]="Post",1,0)+IF(ISNUMBER(Table442466[[#This Row],[Response]])=TRUE,1,0)=2,Table442466[[#This Row],[Response]],"")</f>
        <v>2</v>
      </c>
      <c r="M22" s="5" t="str">
        <f>IF(IF(ISNUMBER(K22),1,0)+IF(ISNUMBER(L23),1,0)=2,IF(IF(C23=C22,1,0)+IF(B23=B22,1,0)+IF(D23="Post",1,0)+IF(D22="Pre",1,0)=4,Table442466[[#This Row],[Pre Total]],""),"")</f>
        <v/>
      </c>
      <c r="N22" s="5">
        <f>IF(IF(ISNUMBER(K21),1,0)+IF(ISNUMBER(Table442466[[#This Row],[Post Total]]),1,0)=2,IF(IF(Table442466[[#This Row],[Student Number]]=C21,1,0)+IF(Table442466[[#This Row],[Session]]=B21,1,0)+IF(Table442466[[#This Row],[Pre or Post]]="Post",1,0)+IF(D21="Pre",1,0)=4,Table442466[[#This Row],[Post Total]],""),"")</f>
        <v>2</v>
      </c>
      <c r="O22" s="5">
        <f>IF(IF(ISNUMBER(K21),1,0)+IF(ISNUMBER(Table442466[[#This Row],[Post Total]]),1,0)=2,IF(IF(Table442466[[#This Row],[Student Number]]=C21,1,0)+IF(Table442466[[#This Row],[Session]]=B21,1,0)+IF(Table442466[[#This Row],[Pre or Post]]="Post",1,0)+IF(D21="Pre",1,0)=4,Table442466[[#This Row],[Post Total]]-K21,""),"")</f>
        <v>-1</v>
      </c>
      <c r="P22" s="5" t="b">
        <f>ISNUMBER(Table442466[[#This Row],[Change]])</f>
        <v>1</v>
      </c>
      <c r="Q22" s="5">
        <f>IF(E21="Male",Table442466[[#This Row],[Change]],"")</f>
        <v>-1</v>
      </c>
      <c r="R22" s="5" t="str">
        <f>IF(E21="Female",Table442466[[#This Row],[Change]],"")</f>
        <v/>
      </c>
      <c r="S22" s="5" t="b">
        <f>ISNUMBER(Table442466[[#This Row],[If Male]])</f>
        <v>1</v>
      </c>
      <c r="T22" s="5" t="b">
        <f>ISNUMBER(Table442466[[#This Row],[If Female]])</f>
        <v>0</v>
      </c>
    </row>
    <row r="23" spans="1:20">
      <c r="A23" s="1" t="s">
        <v>24</v>
      </c>
      <c r="B23" s="1" t="s">
        <v>23</v>
      </c>
      <c r="C23" s="1">
        <v>2</v>
      </c>
      <c r="D23" s="1" t="s">
        <v>6</v>
      </c>
      <c r="E23" s="5" t="s">
        <v>7</v>
      </c>
      <c r="F23" s="1">
        <v>9</v>
      </c>
      <c r="G23" s="1">
        <v>1</v>
      </c>
      <c r="H23" s="2"/>
      <c r="I23" s="6">
        <f>IF(IF(Table442466[[#This Row],[Pre or Post]]="Pre",1,0)+IF(ISNUMBER(Table442466[[#This Row],[Response]])=TRUE,1,0)=2,1,"")</f>
        <v>1</v>
      </c>
      <c r="J23" s="6" t="str">
        <f>IF(IF(Table442466[[#This Row],[Pre or Post]]="Post",1,0)+IF(ISNUMBER(Table442466[[#This Row],[Response]])=TRUE,1,0)=2,1,"")</f>
        <v/>
      </c>
      <c r="K23" s="6">
        <f>IF(IF(Table442466[[#This Row],[Pre or Post]]="Pre",1,0)+IF(ISNUMBER(Table442466[[#This Row],[Response]])=TRUE,1,0)=2,Table442466[[#This Row],[Response]],"")</f>
        <v>1</v>
      </c>
      <c r="L23" s="6" t="str">
        <f>IF(IF(Table442466[[#This Row],[Pre or Post]]="Post",1,0)+IF(ISNUMBER(Table442466[[#This Row],[Response]])=TRUE,1,0)=2,Table442466[[#This Row],[Response]],"")</f>
        <v/>
      </c>
      <c r="M23" s="6">
        <f>IF(IF(ISNUMBER(K23),1,0)+IF(ISNUMBER(L24),1,0)=2,IF(IF(C24=C23,1,0)+IF(B24=B23,1,0)+IF(D24="Post",1,0)+IF(D23="Pre",1,0)=4,Table442466[[#This Row],[Pre Total]],""),"")</f>
        <v>1</v>
      </c>
      <c r="N23" s="6" t="str">
        <f>IF(IF(ISNUMBER(K22),1,0)+IF(ISNUMBER(Table442466[[#This Row],[Post Total]]),1,0)=2,IF(IF(Table442466[[#This Row],[Student Number]]=C22,1,0)+IF(Table442466[[#This Row],[Session]]=B22,1,0)+IF(Table442466[[#This Row],[Pre or Post]]="Post",1,0)+IF(D22="Pre",1,0)=4,Table442466[[#This Row],[Post Total]],""),"")</f>
        <v/>
      </c>
      <c r="O23" s="6" t="str">
        <f>IF(IF(ISNUMBER(K22),1,0)+IF(ISNUMBER(Table442466[[#This Row],[Post Total]]),1,0)=2,IF(IF(Table442466[[#This Row],[Student Number]]=C22,1,0)+IF(Table442466[[#This Row],[Session]]=B22,1,0)+IF(Table442466[[#This Row],[Pre or Post]]="Post",1,0)+IF(D22="Pre",1,0)=4,Table442466[[#This Row],[Post Total]]-K22,""),"")</f>
        <v/>
      </c>
      <c r="P23" s="6" t="b">
        <f>ISNUMBER(Table442466[[#This Row],[Change]])</f>
        <v>0</v>
      </c>
      <c r="Q23" s="5" t="str">
        <f>IF(E22="Male",Table442466[[#This Row],[Change]],"")</f>
        <v/>
      </c>
      <c r="R23" s="5" t="str">
        <f>IF(E22="Female",Table442466[[#This Row],[Change]],"")</f>
        <v/>
      </c>
      <c r="S23" s="5" t="b">
        <f>ISNUMBER(Table442466[[#This Row],[If Male]])</f>
        <v>0</v>
      </c>
      <c r="T23" s="5" t="b">
        <f>ISNUMBER(Table442466[[#This Row],[If Female]])</f>
        <v>0</v>
      </c>
    </row>
    <row r="24" spans="1:20">
      <c r="A24" s="1" t="s">
        <v>24</v>
      </c>
      <c r="B24" s="1" t="s">
        <v>23</v>
      </c>
      <c r="C24" s="1">
        <v>2</v>
      </c>
      <c r="D24" s="1" t="s">
        <v>16</v>
      </c>
      <c r="E24" s="5" t="s">
        <v>171</v>
      </c>
      <c r="F24" s="1">
        <v>2</v>
      </c>
      <c r="G24" s="1">
        <v>1</v>
      </c>
      <c r="H24" s="2"/>
      <c r="I24" s="5" t="str">
        <f>IF(IF(Table442466[[#This Row],[Pre or Post]]="Pre",1,0)+IF(ISNUMBER(Table442466[[#This Row],[Response]])=TRUE,1,0)=2,1,"")</f>
        <v/>
      </c>
      <c r="J24" s="5">
        <f>IF(IF(Table442466[[#This Row],[Pre or Post]]="Post",1,0)+IF(ISNUMBER(Table442466[[#This Row],[Response]])=TRUE,1,0)=2,1,"")</f>
        <v>1</v>
      </c>
      <c r="K24" s="6" t="str">
        <f>IF(IF(Table442466[[#This Row],[Pre or Post]]="Pre",1,0)+IF(ISNUMBER(Table442466[[#This Row],[Response]])=TRUE,1,0)=2,Table442466[[#This Row],[Response]],"")</f>
        <v/>
      </c>
      <c r="L24" s="6">
        <f>IF(IF(Table442466[[#This Row],[Pre or Post]]="Post",1,0)+IF(ISNUMBER(Table442466[[#This Row],[Response]])=TRUE,1,0)=2,Table442466[[#This Row],[Response]],"")</f>
        <v>1</v>
      </c>
      <c r="M24" s="5" t="str">
        <f>IF(IF(ISNUMBER(K24),1,0)+IF(ISNUMBER(L25),1,0)=2,IF(IF(C25=C24,1,0)+IF(B25=B24,1,0)+IF(D25="Post",1,0)+IF(D24="Pre",1,0)=4,Table442466[[#This Row],[Pre Total]],""),"")</f>
        <v/>
      </c>
      <c r="N24" s="5">
        <f>IF(IF(ISNUMBER(K23),1,0)+IF(ISNUMBER(Table442466[[#This Row],[Post Total]]),1,0)=2,IF(IF(Table442466[[#This Row],[Student Number]]=C23,1,0)+IF(Table442466[[#This Row],[Session]]=B23,1,0)+IF(Table442466[[#This Row],[Pre or Post]]="Post",1,0)+IF(D23="Pre",1,0)=4,Table442466[[#This Row],[Post Total]],""),"")</f>
        <v>1</v>
      </c>
      <c r="O24" s="5">
        <f>IF(IF(ISNUMBER(K23),1,0)+IF(ISNUMBER(Table442466[[#This Row],[Post Total]]),1,0)=2,IF(IF(Table442466[[#This Row],[Student Number]]=C23,1,0)+IF(Table442466[[#This Row],[Session]]=B23,1,0)+IF(Table442466[[#This Row],[Pre or Post]]="Post",1,0)+IF(D23="Pre",1,0)=4,Table442466[[#This Row],[Post Total]]-K23,""),"")</f>
        <v>0</v>
      </c>
      <c r="P24" s="5" t="b">
        <f>ISNUMBER(Table442466[[#This Row],[Change]])</f>
        <v>1</v>
      </c>
      <c r="Q24" s="5">
        <f>IF(E23="Male",Table442466[[#This Row],[Change]],"")</f>
        <v>0</v>
      </c>
      <c r="R24" s="5" t="str">
        <f>IF(E23="Female",Table442466[[#This Row],[Change]],"")</f>
        <v/>
      </c>
      <c r="S24" s="5" t="b">
        <f>ISNUMBER(Table442466[[#This Row],[If Male]])</f>
        <v>1</v>
      </c>
      <c r="T24" s="5" t="b">
        <f>ISNUMBER(Table442466[[#This Row],[If Female]])</f>
        <v>0</v>
      </c>
    </row>
    <row r="25" spans="1:20">
      <c r="A25" s="1" t="s">
        <v>24</v>
      </c>
      <c r="B25" s="1" t="s">
        <v>23</v>
      </c>
      <c r="C25" s="1">
        <v>3</v>
      </c>
      <c r="D25" s="1" t="s">
        <v>6</v>
      </c>
      <c r="E25" s="5" t="s">
        <v>7</v>
      </c>
      <c r="F25" s="1">
        <v>9</v>
      </c>
      <c r="G25" s="1">
        <v>2</v>
      </c>
      <c r="H25" s="2"/>
      <c r="I25" s="6">
        <f>IF(IF(Table442466[[#This Row],[Pre or Post]]="Pre",1,0)+IF(ISNUMBER(Table442466[[#This Row],[Response]])=TRUE,1,0)=2,1,"")</f>
        <v>1</v>
      </c>
      <c r="J25" s="6" t="str">
        <f>IF(IF(Table442466[[#This Row],[Pre or Post]]="Post",1,0)+IF(ISNUMBER(Table442466[[#This Row],[Response]])=TRUE,1,0)=2,1,"")</f>
        <v/>
      </c>
      <c r="K25" s="6">
        <f>IF(IF(Table442466[[#This Row],[Pre or Post]]="Pre",1,0)+IF(ISNUMBER(Table442466[[#This Row],[Response]])=TRUE,1,0)=2,Table442466[[#This Row],[Response]],"")</f>
        <v>2</v>
      </c>
      <c r="L25" s="6" t="str">
        <f>IF(IF(Table442466[[#This Row],[Pre or Post]]="Post",1,0)+IF(ISNUMBER(Table442466[[#This Row],[Response]])=TRUE,1,0)=2,Table442466[[#This Row],[Response]],"")</f>
        <v/>
      </c>
      <c r="M25" s="6">
        <f>IF(IF(ISNUMBER(K25),1,0)+IF(ISNUMBER(L26),1,0)=2,IF(IF(C26=C25,1,0)+IF(B26=B25,1,0)+IF(D26="Post",1,0)+IF(D25="Pre",1,0)=4,Table442466[[#This Row],[Pre Total]],""),"")</f>
        <v>2</v>
      </c>
      <c r="N25" s="6" t="str">
        <f>IF(IF(ISNUMBER(K24),1,0)+IF(ISNUMBER(Table442466[[#This Row],[Post Total]]),1,0)=2,IF(IF(Table442466[[#This Row],[Student Number]]=C24,1,0)+IF(Table442466[[#This Row],[Session]]=B24,1,0)+IF(Table442466[[#This Row],[Pre or Post]]="Post",1,0)+IF(D24="Pre",1,0)=4,Table442466[[#This Row],[Post Total]],""),"")</f>
        <v/>
      </c>
      <c r="O25" s="6" t="str">
        <f>IF(IF(ISNUMBER(K24),1,0)+IF(ISNUMBER(Table442466[[#This Row],[Post Total]]),1,0)=2,IF(IF(Table442466[[#This Row],[Student Number]]=C24,1,0)+IF(Table442466[[#This Row],[Session]]=B24,1,0)+IF(Table442466[[#This Row],[Pre or Post]]="Post",1,0)+IF(D24="Pre",1,0)=4,Table442466[[#This Row],[Post Total]]-K24,""),"")</f>
        <v/>
      </c>
      <c r="P25" s="6" t="b">
        <f>ISNUMBER(Table442466[[#This Row],[Change]])</f>
        <v>0</v>
      </c>
      <c r="Q25" s="5" t="str">
        <f>IF(E24="Male",Table442466[[#This Row],[Change]],"")</f>
        <v/>
      </c>
      <c r="R25" s="5" t="str">
        <f>IF(E24="Female",Table442466[[#This Row],[Change]],"")</f>
        <v/>
      </c>
      <c r="S25" s="5" t="b">
        <f>ISNUMBER(Table442466[[#This Row],[If Male]])</f>
        <v>0</v>
      </c>
      <c r="T25" s="5" t="b">
        <f>ISNUMBER(Table442466[[#This Row],[If Female]])</f>
        <v>0</v>
      </c>
    </row>
    <row r="26" spans="1:20">
      <c r="A26" s="1" t="s">
        <v>24</v>
      </c>
      <c r="B26" s="1" t="s">
        <v>23</v>
      </c>
      <c r="C26" s="1">
        <v>3</v>
      </c>
      <c r="D26" s="1" t="s">
        <v>16</v>
      </c>
      <c r="E26" s="5" t="s">
        <v>171</v>
      </c>
      <c r="F26" s="1">
        <v>2</v>
      </c>
      <c r="G26" s="1">
        <v>3</v>
      </c>
      <c r="I26" s="5" t="str">
        <f>IF(IF(Table442466[[#This Row],[Pre or Post]]="Pre",1,0)+IF(ISNUMBER(Table442466[[#This Row],[Response]])=TRUE,1,0)=2,1,"")</f>
        <v/>
      </c>
      <c r="J26" s="5">
        <f>IF(IF(Table442466[[#This Row],[Pre or Post]]="Post",1,0)+IF(ISNUMBER(Table442466[[#This Row],[Response]])=TRUE,1,0)=2,1,"")</f>
        <v>1</v>
      </c>
      <c r="K26" s="6" t="str">
        <f>IF(IF(Table442466[[#This Row],[Pre or Post]]="Pre",1,0)+IF(ISNUMBER(Table442466[[#This Row],[Response]])=TRUE,1,0)=2,Table442466[[#This Row],[Response]],"")</f>
        <v/>
      </c>
      <c r="L26" s="6">
        <f>IF(IF(Table442466[[#This Row],[Pre or Post]]="Post",1,0)+IF(ISNUMBER(Table442466[[#This Row],[Response]])=TRUE,1,0)=2,Table442466[[#This Row],[Response]],"")</f>
        <v>3</v>
      </c>
      <c r="M26" s="5" t="str">
        <f>IF(IF(ISNUMBER(K26),1,0)+IF(ISNUMBER(L27),1,0)=2,IF(IF(C27=C26,1,0)+IF(B27=B26,1,0)+IF(D27="Post",1,0)+IF(D26="Pre",1,0)=4,Table442466[[#This Row],[Pre Total]],""),"")</f>
        <v/>
      </c>
      <c r="N26" s="5">
        <f>IF(IF(ISNUMBER(K25),1,0)+IF(ISNUMBER(Table442466[[#This Row],[Post Total]]),1,0)=2,IF(IF(Table442466[[#This Row],[Student Number]]=C25,1,0)+IF(Table442466[[#This Row],[Session]]=B25,1,0)+IF(Table442466[[#This Row],[Pre or Post]]="Post",1,0)+IF(D25="Pre",1,0)=4,Table442466[[#This Row],[Post Total]],""),"")</f>
        <v>3</v>
      </c>
      <c r="O26" s="5">
        <f>IF(IF(ISNUMBER(K25),1,0)+IF(ISNUMBER(Table442466[[#This Row],[Post Total]]),1,0)=2,IF(IF(Table442466[[#This Row],[Student Number]]=C25,1,0)+IF(Table442466[[#This Row],[Session]]=B25,1,0)+IF(Table442466[[#This Row],[Pre or Post]]="Post",1,0)+IF(D25="Pre",1,0)=4,Table442466[[#This Row],[Post Total]]-K25,""),"")</f>
        <v>1</v>
      </c>
      <c r="P26" s="5" t="b">
        <f>ISNUMBER(Table442466[[#This Row],[Change]])</f>
        <v>1</v>
      </c>
      <c r="Q26" s="5">
        <f>IF(E25="Male",Table442466[[#This Row],[Change]],"")</f>
        <v>1</v>
      </c>
      <c r="R26" s="5" t="str">
        <f>IF(E25="Female",Table442466[[#This Row],[Change]],"")</f>
        <v/>
      </c>
      <c r="S26" s="5" t="b">
        <f>ISNUMBER(Table442466[[#This Row],[If Male]])</f>
        <v>1</v>
      </c>
      <c r="T26" s="5" t="b">
        <f>ISNUMBER(Table442466[[#This Row],[If Female]])</f>
        <v>0</v>
      </c>
    </row>
    <row r="27" spans="1:20">
      <c r="A27" s="1" t="s">
        <v>24</v>
      </c>
      <c r="B27" s="1" t="s">
        <v>23</v>
      </c>
      <c r="C27" s="1">
        <v>4</v>
      </c>
      <c r="D27" s="1" t="s">
        <v>6</v>
      </c>
      <c r="E27" s="5" t="s">
        <v>7</v>
      </c>
      <c r="F27" s="1">
        <v>9</v>
      </c>
      <c r="G27" s="1">
        <v>3</v>
      </c>
      <c r="H27" s="2"/>
      <c r="I27" s="6">
        <f>IF(IF(Table442466[[#This Row],[Pre or Post]]="Pre",1,0)+IF(ISNUMBER(Table442466[[#This Row],[Response]])=TRUE,1,0)=2,1,"")</f>
        <v>1</v>
      </c>
      <c r="J27" s="6" t="str">
        <f>IF(IF(Table442466[[#This Row],[Pre or Post]]="Post",1,0)+IF(ISNUMBER(Table442466[[#This Row],[Response]])=TRUE,1,0)=2,1,"")</f>
        <v/>
      </c>
      <c r="K27" s="6">
        <f>IF(IF(Table442466[[#This Row],[Pre or Post]]="Pre",1,0)+IF(ISNUMBER(Table442466[[#This Row],[Response]])=TRUE,1,0)=2,Table442466[[#This Row],[Response]],"")</f>
        <v>3</v>
      </c>
      <c r="L27" s="6" t="str">
        <f>IF(IF(Table442466[[#This Row],[Pre or Post]]="Post",1,0)+IF(ISNUMBER(Table442466[[#This Row],[Response]])=TRUE,1,0)=2,Table442466[[#This Row],[Response]],"")</f>
        <v/>
      </c>
      <c r="M27" s="6">
        <f>IF(IF(ISNUMBER(K27),1,0)+IF(ISNUMBER(L28),1,0)=2,IF(IF(C28=C27,1,0)+IF(B28=B27,1,0)+IF(D28="Post",1,0)+IF(D27="Pre",1,0)=4,Table442466[[#This Row],[Pre Total]],""),"")</f>
        <v>3</v>
      </c>
      <c r="N27" s="6" t="str">
        <f>IF(IF(ISNUMBER(K26),1,0)+IF(ISNUMBER(Table442466[[#This Row],[Post Total]]),1,0)=2,IF(IF(Table442466[[#This Row],[Student Number]]=C26,1,0)+IF(Table442466[[#This Row],[Session]]=B26,1,0)+IF(Table442466[[#This Row],[Pre or Post]]="Post",1,0)+IF(D26="Pre",1,0)=4,Table442466[[#This Row],[Post Total]],""),"")</f>
        <v/>
      </c>
      <c r="O27" s="6" t="str">
        <f>IF(IF(ISNUMBER(K26),1,0)+IF(ISNUMBER(Table442466[[#This Row],[Post Total]]),1,0)=2,IF(IF(Table442466[[#This Row],[Student Number]]=C26,1,0)+IF(Table442466[[#This Row],[Session]]=B26,1,0)+IF(Table442466[[#This Row],[Pre or Post]]="Post",1,0)+IF(D26="Pre",1,0)=4,Table442466[[#This Row],[Post Total]]-K26,""),"")</f>
        <v/>
      </c>
      <c r="P27" s="6" t="b">
        <f>ISNUMBER(Table442466[[#This Row],[Change]])</f>
        <v>0</v>
      </c>
      <c r="Q27" s="5" t="str">
        <f>IF(E26="Male",Table442466[[#This Row],[Change]],"")</f>
        <v/>
      </c>
      <c r="R27" s="5" t="str">
        <f>IF(E26="Female",Table442466[[#This Row],[Change]],"")</f>
        <v/>
      </c>
      <c r="S27" s="5" t="b">
        <f>ISNUMBER(Table442466[[#This Row],[If Male]])</f>
        <v>0</v>
      </c>
      <c r="T27" s="5" t="b">
        <f>ISNUMBER(Table442466[[#This Row],[If Female]])</f>
        <v>0</v>
      </c>
    </row>
    <row r="28" spans="1:20">
      <c r="A28" s="1" t="s">
        <v>24</v>
      </c>
      <c r="B28" s="1" t="s">
        <v>23</v>
      </c>
      <c r="C28" s="1">
        <v>4</v>
      </c>
      <c r="D28" s="1" t="s">
        <v>16</v>
      </c>
      <c r="E28" s="5" t="s">
        <v>171</v>
      </c>
      <c r="F28" s="1">
        <v>2</v>
      </c>
      <c r="G28" s="1">
        <v>3</v>
      </c>
      <c r="H28" s="2"/>
      <c r="I28" s="5" t="str">
        <f>IF(IF(Table442466[[#This Row],[Pre or Post]]="Pre",1,0)+IF(ISNUMBER(Table442466[[#This Row],[Response]])=TRUE,1,0)=2,1,"")</f>
        <v/>
      </c>
      <c r="J28" s="5">
        <f>IF(IF(Table442466[[#This Row],[Pre or Post]]="Post",1,0)+IF(ISNUMBER(Table442466[[#This Row],[Response]])=TRUE,1,0)=2,1,"")</f>
        <v>1</v>
      </c>
      <c r="K28" s="6" t="str">
        <f>IF(IF(Table442466[[#This Row],[Pre or Post]]="Pre",1,0)+IF(ISNUMBER(Table442466[[#This Row],[Response]])=TRUE,1,0)=2,Table442466[[#This Row],[Response]],"")</f>
        <v/>
      </c>
      <c r="L28" s="6">
        <f>IF(IF(Table442466[[#This Row],[Pre or Post]]="Post",1,0)+IF(ISNUMBER(Table442466[[#This Row],[Response]])=TRUE,1,0)=2,Table442466[[#This Row],[Response]],"")</f>
        <v>3</v>
      </c>
      <c r="M28" s="5" t="str">
        <f>IF(IF(ISNUMBER(K28),1,0)+IF(ISNUMBER(L29),1,0)=2,IF(IF(C29=C28,1,0)+IF(B29=B28,1,0)+IF(D29="Post",1,0)+IF(D28="Pre",1,0)=4,Table442466[[#This Row],[Pre Total]],""),"")</f>
        <v/>
      </c>
      <c r="N28" s="5">
        <f>IF(IF(ISNUMBER(K27),1,0)+IF(ISNUMBER(Table442466[[#This Row],[Post Total]]),1,0)=2,IF(IF(Table442466[[#This Row],[Student Number]]=C27,1,0)+IF(Table442466[[#This Row],[Session]]=B27,1,0)+IF(Table442466[[#This Row],[Pre or Post]]="Post",1,0)+IF(D27="Pre",1,0)=4,Table442466[[#This Row],[Post Total]],""),"")</f>
        <v>3</v>
      </c>
      <c r="O28" s="5">
        <f>IF(IF(ISNUMBER(K27),1,0)+IF(ISNUMBER(Table442466[[#This Row],[Post Total]]),1,0)=2,IF(IF(Table442466[[#This Row],[Student Number]]=C27,1,0)+IF(Table442466[[#This Row],[Session]]=B27,1,0)+IF(Table442466[[#This Row],[Pre or Post]]="Post",1,0)+IF(D27="Pre",1,0)=4,Table442466[[#This Row],[Post Total]]-K27,""),"")</f>
        <v>0</v>
      </c>
      <c r="P28" s="5" t="b">
        <f>ISNUMBER(Table442466[[#This Row],[Change]])</f>
        <v>1</v>
      </c>
      <c r="Q28" s="5">
        <f>IF(E27="Male",Table442466[[#This Row],[Change]],"")</f>
        <v>0</v>
      </c>
      <c r="R28" s="5" t="str">
        <f>IF(E27="Female",Table442466[[#This Row],[Change]],"")</f>
        <v/>
      </c>
      <c r="S28" s="5" t="b">
        <f>ISNUMBER(Table442466[[#This Row],[If Male]])</f>
        <v>1</v>
      </c>
      <c r="T28" s="5" t="b">
        <f>ISNUMBER(Table442466[[#This Row],[If Female]])</f>
        <v>0</v>
      </c>
    </row>
    <row r="29" spans="1:20">
      <c r="A29" s="1" t="s">
        <v>24</v>
      </c>
      <c r="B29" s="1" t="s">
        <v>23</v>
      </c>
      <c r="C29" s="1">
        <v>5</v>
      </c>
      <c r="D29" s="1" t="s">
        <v>6</v>
      </c>
      <c r="E29" s="5" t="s">
        <v>7</v>
      </c>
      <c r="F29" s="1">
        <v>9</v>
      </c>
      <c r="G29" s="1">
        <v>2</v>
      </c>
      <c r="H29" s="2"/>
      <c r="I29" s="6">
        <f>IF(IF(Table442466[[#This Row],[Pre or Post]]="Pre",1,0)+IF(ISNUMBER(Table442466[[#This Row],[Response]])=TRUE,1,0)=2,1,"")</f>
        <v>1</v>
      </c>
      <c r="J29" s="6" t="str">
        <f>IF(IF(Table442466[[#This Row],[Pre or Post]]="Post",1,0)+IF(ISNUMBER(Table442466[[#This Row],[Response]])=TRUE,1,0)=2,1,"")</f>
        <v/>
      </c>
      <c r="K29" s="6">
        <f>IF(IF(Table442466[[#This Row],[Pre or Post]]="Pre",1,0)+IF(ISNUMBER(Table442466[[#This Row],[Response]])=TRUE,1,0)=2,Table442466[[#This Row],[Response]],"")</f>
        <v>2</v>
      </c>
      <c r="L29" s="6" t="str">
        <f>IF(IF(Table442466[[#This Row],[Pre or Post]]="Post",1,0)+IF(ISNUMBER(Table442466[[#This Row],[Response]])=TRUE,1,0)=2,Table442466[[#This Row],[Response]],"")</f>
        <v/>
      </c>
      <c r="M29" s="6">
        <f>IF(IF(ISNUMBER(K29),1,0)+IF(ISNUMBER(L30),1,0)=2,IF(IF(C30=C29,1,0)+IF(B30=B29,1,0)+IF(D30="Post",1,0)+IF(D29="Pre",1,0)=4,Table442466[[#This Row],[Pre Total]],""),"")</f>
        <v>2</v>
      </c>
      <c r="N29" s="6" t="str">
        <f>IF(IF(ISNUMBER(K28),1,0)+IF(ISNUMBER(Table442466[[#This Row],[Post Total]]),1,0)=2,IF(IF(Table442466[[#This Row],[Student Number]]=C28,1,0)+IF(Table442466[[#This Row],[Session]]=B28,1,0)+IF(Table442466[[#This Row],[Pre or Post]]="Post",1,0)+IF(D28="Pre",1,0)=4,Table442466[[#This Row],[Post Total]],""),"")</f>
        <v/>
      </c>
      <c r="O29" s="6" t="str">
        <f>IF(IF(ISNUMBER(K28),1,0)+IF(ISNUMBER(Table442466[[#This Row],[Post Total]]),1,0)=2,IF(IF(Table442466[[#This Row],[Student Number]]=C28,1,0)+IF(Table442466[[#This Row],[Session]]=B28,1,0)+IF(Table442466[[#This Row],[Pre or Post]]="Post",1,0)+IF(D28="Pre",1,0)=4,Table442466[[#This Row],[Post Total]]-K28,""),"")</f>
        <v/>
      </c>
      <c r="P29" s="6" t="b">
        <f>ISNUMBER(Table442466[[#This Row],[Change]])</f>
        <v>0</v>
      </c>
      <c r="Q29" s="5" t="str">
        <f>IF(E28="Male",Table442466[[#This Row],[Change]],"")</f>
        <v/>
      </c>
      <c r="R29" s="5" t="str">
        <f>IF(E28="Female",Table442466[[#This Row],[Change]],"")</f>
        <v/>
      </c>
      <c r="S29" s="5" t="b">
        <f>ISNUMBER(Table442466[[#This Row],[If Male]])</f>
        <v>0</v>
      </c>
      <c r="T29" s="5" t="b">
        <f>ISNUMBER(Table442466[[#This Row],[If Female]])</f>
        <v>0</v>
      </c>
    </row>
    <row r="30" spans="1:20">
      <c r="A30" s="1" t="s">
        <v>24</v>
      </c>
      <c r="B30" s="1" t="s">
        <v>23</v>
      </c>
      <c r="C30" s="1">
        <v>5</v>
      </c>
      <c r="D30" s="1" t="s">
        <v>16</v>
      </c>
      <c r="E30" s="5" t="s">
        <v>171</v>
      </c>
      <c r="F30" s="1">
        <v>2</v>
      </c>
      <c r="G30" s="1">
        <v>4</v>
      </c>
      <c r="I30" s="5" t="str">
        <f>IF(IF(Table442466[[#This Row],[Pre or Post]]="Pre",1,0)+IF(ISNUMBER(Table442466[[#This Row],[Response]])=TRUE,1,0)=2,1,"")</f>
        <v/>
      </c>
      <c r="J30" s="5">
        <f>IF(IF(Table442466[[#This Row],[Pre or Post]]="Post",1,0)+IF(ISNUMBER(Table442466[[#This Row],[Response]])=TRUE,1,0)=2,1,"")</f>
        <v>1</v>
      </c>
      <c r="K30" s="6" t="str">
        <f>IF(IF(Table442466[[#This Row],[Pre or Post]]="Pre",1,0)+IF(ISNUMBER(Table442466[[#This Row],[Response]])=TRUE,1,0)=2,Table442466[[#This Row],[Response]],"")</f>
        <v/>
      </c>
      <c r="L30" s="6">
        <f>IF(IF(Table442466[[#This Row],[Pre or Post]]="Post",1,0)+IF(ISNUMBER(Table442466[[#This Row],[Response]])=TRUE,1,0)=2,Table442466[[#This Row],[Response]],"")</f>
        <v>4</v>
      </c>
      <c r="M30" s="5" t="str">
        <f>IF(IF(ISNUMBER(K30),1,0)+IF(ISNUMBER(L31),1,0)=2,IF(IF(C31=C30,1,0)+IF(B31=B30,1,0)+IF(D31="Post",1,0)+IF(D30="Pre",1,0)=4,Table442466[[#This Row],[Pre Total]],""),"")</f>
        <v/>
      </c>
      <c r="N30" s="5">
        <f>IF(IF(ISNUMBER(K29),1,0)+IF(ISNUMBER(Table442466[[#This Row],[Post Total]]),1,0)=2,IF(IF(Table442466[[#This Row],[Student Number]]=C29,1,0)+IF(Table442466[[#This Row],[Session]]=B29,1,0)+IF(Table442466[[#This Row],[Pre or Post]]="Post",1,0)+IF(D29="Pre",1,0)=4,Table442466[[#This Row],[Post Total]],""),"")</f>
        <v>4</v>
      </c>
      <c r="O30" s="5">
        <f>IF(IF(ISNUMBER(K29),1,0)+IF(ISNUMBER(Table442466[[#This Row],[Post Total]]),1,0)=2,IF(IF(Table442466[[#This Row],[Student Number]]=C29,1,0)+IF(Table442466[[#This Row],[Session]]=B29,1,0)+IF(Table442466[[#This Row],[Pre or Post]]="Post",1,0)+IF(D29="Pre",1,0)=4,Table442466[[#This Row],[Post Total]]-K29,""),"")</f>
        <v>2</v>
      </c>
      <c r="P30" s="5" t="b">
        <f>ISNUMBER(Table442466[[#This Row],[Change]])</f>
        <v>1</v>
      </c>
      <c r="Q30" s="5">
        <f>IF(E29="Male",Table442466[[#This Row],[Change]],"")</f>
        <v>2</v>
      </c>
      <c r="R30" s="5" t="str">
        <f>IF(E29="Female",Table442466[[#This Row],[Change]],"")</f>
        <v/>
      </c>
      <c r="S30" s="5" t="b">
        <f>ISNUMBER(Table442466[[#This Row],[If Male]])</f>
        <v>1</v>
      </c>
      <c r="T30" s="5" t="b">
        <f>ISNUMBER(Table442466[[#This Row],[If Female]])</f>
        <v>0</v>
      </c>
    </row>
    <row r="31" spans="1:20">
      <c r="A31" s="1" t="s">
        <v>24</v>
      </c>
      <c r="B31" s="1" t="s">
        <v>23</v>
      </c>
      <c r="C31" s="1">
        <v>6</v>
      </c>
      <c r="D31" s="1" t="s">
        <v>6</v>
      </c>
      <c r="E31" s="5" t="s">
        <v>7</v>
      </c>
      <c r="F31" s="1">
        <v>9</v>
      </c>
      <c r="G31" s="1">
        <v>4</v>
      </c>
      <c r="H31" s="2"/>
      <c r="I31" s="6">
        <f>IF(IF(Table442466[[#This Row],[Pre or Post]]="Pre",1,0)+IF(ISNUMBER(Table442466[[#This Row],[Response]])=TRUE,1,0)=2,1,"")</f>
        <v>1</v>
      </c>
      <c r="J31" s="6" t="str">
        <f>IF(IF(Table442466[[#This Row],[Pre or Post]]="Post",1,0)+IF(ISNUMBER(Table442466[[#This Row],[Response]])=TRUE,1,0)=2,1,"")</f>
        <v/>
      </c>
      <c r="K31" s="6">
        <f>IF(IF(Table442466[[#This Row],[Pre or Post]]="Pre",1,0)+IF(ISNUMBER(Table442466[[#This Row],[Response]])=TRUE,1,0)=2,Table442466[[#This Row],[Response]],"")</f>
        <v>4</v>
      </c>
      <c r="L31" s="6" t="str">
        <f>IF(IF(Table442466[[#This Row],[Pre or Post]]="Post",1,0)+IF(ISNUMBER(Table442466[[#This Row],[Response]])=TRUE,1,0)=2,Table442466[[#This Row],[Response]],"")</f>
        <v/>
      </c>
      <c r="M31" s="6">
        <f>IF(IF(ISNUMBER(K31),1,0)+IF(ISNUMBER(L32),1,0)=2,IF(IF(C32=C31,1,0)+IF(B32=B31,1,0)+IF(D32="Post",1,0)+IF(D31="Pre",1,0)=4,Table442466[[#This Row],[Pre Total]],""),"")</f>
        <v>4</v>
      </c>
      <c r="N31" s="6" t="str">
        <f>IF(IF(ISNUMBER(K30),1,0)+IF(ISNUMBER(Table442466[[#This Row],[Post Total]]),1,0)=2,IF(IF(Table442466[[#This Row],[Student Number]]=C30,1,0)+IF(Table442466[[#This Row],[Session]]=B30,1,0)+IF(Table442466[[#This Row],[Pre or Post]]="Post",1,0)+IF(D30="Pre",1,0)=4,Table442466[[#This Row],[Post Total]],""),"")</f>
        <v/>
      </c>
      <c r="O31" s="6" t="str">
        <f>IF(IF(ISNUMBER(K30),1,0)+IF(ISNUMBER(Table442466[[#This Row],[Post Total]]),1,0)=2,IF(IF(Table442466[[#This Row],[Student Number]]=C30,1,0)+IF(Table442466[[#This Row],[Session]]=B30,1,0)+IF(Table442466[[#This Row],[Pre or Post]]="Post",1,0)+IF(D30="Pre",1,0)=4,Table442466[[#This Row],[Post Total]]-K30,""),"")</f>
        <v/>
      </c>
      <c r="P31" s="6" t="b">
        <f>ISNUMBER(Table442466[[#This Row],[Change]])</f>
        <v>0</v>
      </c>
      <c r="Q31" s="5" t="str">
        <f>IF(E30="Male",Table442466[[#This Row],[Change]],"")</f>
        <v/>
      </c>
      <c r="R31" s="5" t="str">
        <f>IF(E30="Female",Table442466[[#This Row],[Change]],"")</f>
        <v/>
      </c>
      <c r="S31" s="5" t="b">
        <f>ISNUMBER(Table442466[[#This Row],[If Male]])</f>
        <v>0</v>
      </c>
      <c r="T31" s="5" t="b">
        <f>ISNUMBER(Table442466[[#This Row],[If Female]])</f>
        <v>0</v>
      </c>
    </row>
    <row r="32" spans="1:20">
      <c r="A32" s="1" t="s">
        <v>24</v>
      </c>
      <c r="B32" s="1" t="s">
        <v>23</v>
      </c>
      <c r="C32" s="1">
        <v>6</v>
      </c>
      <c r="D32" s="1" t="s">
        <v>16</v>
      </c>
      <c r="E32" s="5" t="s">
        <v>171</v>
      </c>
      <c r="F32" s="1">
        <v>2</v>
      </c>
      <c r="G32" s="1">
        <v>4</v>
      </c>
      <c r="H32" s="2"/>
      <c r="I32" s="5" t="str">
        <f>IF(IF(Table442466[[#This Row],[Pre or Post]]="Pre",1,0)+IF(ISNUMBER(Table442466[[#This Row],[Response]])=TRUE,1,0)=2,1,"")</f>
        <v/>
      </c>
      <c r="J32" s="5">
        <f>IF(IF(Table442466[[#This Row],[Pre or Post]]="Post",1,0)+IF(ISNUMBER(Table442466[[#This Row],[Response]])=TRUE,1,0)=2,1,"")</f>
        <v>1</v>
      </c>
      <c r="K32" s="6" t="str">
        <f>IF(IF(Table442466[[#This Row],[Pre or Post]]="Pre",1,0)+IF(ISNUMBER(Table442466[[#This Row],[Response]])=TRUE,1,0)=2,Table442466[[#This Row],[Response]],"")</f>
        <v/>
      </c>
      <c r="L32" s="6">
        <f>IF(IF(Table442466[[#This Row],[Pre or Post]]="Post",1,0)+IF(ISNUMBER(Table442466[[#This Row],[Response]])=TRUE,1,0)=2,Table442466[[#This Row],[Response]],"")</f>
        <v>4</v>
      </c>
      <c r="M32" s="5" t="str">
        <f>IF(IF(ISNUMBER(K32),1,0)+IF(ISNUMBER(L33),1,0)=2,IF(IF(C33=C32,1,0)+IF(B33=B32,1,0)+IF(D33="Post",1,0)+IF(D32="Pre",1,0)=4,Table442466[[#This Row],[Pre Total]],""),"")</f>
        <v/>
      </c>
      <c r="N32" s="5">
        <f>IF(IF(ISNUMBER(K31),1,0)+IF(ISNUMBER(Table442466[[#This Row],[Post Total]]),1,0)=2,IF(IF(Table442466[[#This Row],[Student Number]]=C31,1,0)+IF(Table442466[[#This Row],[Session]]=B31,1,0)+IF(Table442466[[#This Row],[Pre or Post]]="Post",1,0)+IF(D31="Pre",1,0)=4,Table442466[[#This Row],[Post Total]],""),"")</f>
        <v>4</v>
      </c>
      <c r="O32" s="5">
        <f>IF(IF(ISNUMBER(K31),1,0)+IF(ISNUMBER(Table442466[[#This Row],[Post Total]]),1,0)=2,IF(IF(Table442466[[#This Row],[Student Number]]=C31,1,0)+IF(Table442466[[#This Row],[Session]]=B31,1,0)+IF(Table442466[[#This Row],[Pre or Post]]="Post",1,0)+IF(D31="Pre",1,0)=4,Table442466[[#This Row],[Post Total]]-K31,""),"")</f>
        <v>0</v>
      </c>
      <c r="P32" s="5" t="b">
        <f>ISNUMBER(Table442466[[#This Row],[Change]])</f>
        <v>1</v>
      </c>
      <c r="Q32" s="5">
        <f>IF(E31="Male",Table442466[[#This Row],[Change]],"")</f>
        <v>0</v>
      </c>
      <c r="R32" s="5" t="str">
        <f>IF(E31="Female",Table442466[[#This Row],[Change]],"")</f>
        <v/>
      </c>
      <c r="S32" s="5" t="b">
        <f>ISNUMBER(Table442466[[#This Row],[If Male]])</f>
        <v>1</v>
      </c>
      <c r="T32" s="5" t="b">
        <f>ISNUMBER(Table442466[[#This Row],[If Female]])</f>
        <v>0</v>
      </c>
    </row>
    <row r="33" spans="1:20">
      <c r="A33" s="1" t="s">
        <v>24</v>
      </c>
      <c r="B33" s="1" t="s">
        <v>23</v>
      </c>
      <c r="C33" s="1">
        <v>7</v>
      </c>
      <c r="D33" s="1" t="s">
        <v>6</v>
      </c>
      <c r="E33" s="5" t="s">
        <v>7</v>
      </c>
      <c r="F33" s="1">
        <v>9</v>
      </c>
      <c r="G33" s="1">
        <v>1</v>
      </c>
      <c r="H33" s="2"/>
      <c r="I33" s="6">
        <f>IF(IF(Table442466[[#This Row],[Pre or Post]]="Pre",1,0)+IF(ISNUMBER(Table442466[[#This Row],[Response]])=TRUE,1,0)=2,1,"")</f>
        <v>1</v>
      </c>
      <c r="J33" s="6" t="str">
        <f>IF(IF(Table442466[[#This Row],[Pre or Post]]="Post",1,0)+IF(ISNUMBER(Table442466[[#This Row],[Response]])=TRUE,1,0)=2,1,"")</f>
        <v/>
      </c>
      <c r="K33" s="6">
        <f>IF(IF(Table442466[[#This Row],[Pre or Post]]="Pre",1,0)+IF(ISNUMBER(Table442466[[#This Row],[Response]])=TRUE,1,0)=2,Table442466[[#This Row],[Response]],"")</f>
        <v>1</v>
      </c>
      <c r="L33" s="6" t="str">
        <f>IF(IF(Table442466[[#This Row],[Pre or Post]]="Post",1,0)+IF(ISNUMBER(Table442466[[#This Row],[Response]])=TRUE,1,0)=2,Table442466[[#This Row],[Response]],"")</f>
        <v/>
      </c>
      <c r="M33" s="6">
        <f>IF(IF(ISNUMBER(K33),1,0)+IF(ISNUMBER(L34),1,0)=2,IF(IF(C34=C33,1,0)+IF(B34=B33,1,0)+IF(D34="Post",1,0)+IF(D33="Pre",1,0)=4,Table442466[[#This Row],[Pre Total]],""),"")</f>
        <v>1</v>
      </c>
      <c r="N33" s="6" t="str">
        <f>IF(IF(ISNUMBER(K32),1,0)+IF(ISNUMBER(Table442466[[#This Row],[Post Total]]),1,0)=2,IF(IF(Table442466[[#This Row],[Student Number]]=C32,1,0)+IF(Table442466[[#This Row],[Session]]=B32,1,0)+IF(Table442466[[#This Row],[Pre or Post]]="Post",1,0)+IF(D32="Pre",1,0)=4,Table442466[[#This Row],[Post Total]],""),"")</f>
        <v/>
      </c>
      <c r="O33" s="6" t="str">
        <f>IF(IF(ISNUMBER(K32),1,0)+IF(ISNUMBER(Table442466[[#This Row],[Post Total]]),1,0)=2,IF(IF(Table442466[[#This Row],[Student Number]]=C32,1,0)+IF(Table442466[[#This Row],[Session]]=B32,1,0)+IF(Table442466[[#This Row],[Pre or Post]]="Post",1,0)+IF(D32="Pre",1,0)=4,Table442466[[#This Row],[Post Total]]-K32,""),"")</f>
        <v/>
      </c>
      <c r="P33" s="6" t="b">
        <f>ISNUMBER(Table442466[[#This Row],[Change]])</f>
        <v>0</v>
      </c>
      <c r="Q33" s="5" t="str">
        <f>IF(E32="Male",Table442466[[#This Row],[Change]],"")</f>
        <v/>
      </c>
      <c r="R33" s="5" t="str">
        <f>IF(E32="Female",Table442466[[#This Row],[Change]],"")</f>
        <v/>
      </c>
      <c r="S33" s="5" t="b">
        <f>ISNUMBER(Table442466[[#This Row],[If Male]])</f>
        <v>0</v>
      </c>
      <c r="T33" s="5" t="b">
        <f>ISNUMBER(Table442466[[#This Row],[If Female]])</f>
        <v>0</v>
      </c>
    </row>
    <row r="34" spans="1:20">
      <c r="A34" s="1" t="s">
        <v>24</v>
      </c>
      <c r="B34" s="1" t="s">
        <v>23</v>
      </c>
      <c r="C34" s="1">
        <v>7</v>
      </c>
      <c r="D34" s="1" t="s">
        <v>16</v>
      </c>
      <c r="E34" s="5" t="s">
        <v>171</v>
      </c>
      <c r="F34" s="1">
        <v>2</v>
      </c>
      <c r="G34" s="1">
        <v>1</v>
      </c>
      <c r="I34" s="5" t="str">
        <f>IF(IF(Table442466[[#This Row],[Pre or Post]]="Pre",1,0)+IF(ISNUMBER(Table442466[[#This Row],[Response]])=TRUE,1,0)=2,1,"")</f>
        <v/>
      </c>
      <c r="J34" s="5">
        <f>IF(IF(Table442466[[#This Row],[Pre or Post]]="Post",1,0)+IF(ISNUMBER(Table442466[[#This Row],[Response]])=TRUE,1,0)=2,1,"")</f>
        <v>1</v>
      </c>
      <c r="K34" s="6" t="str">
        <f>IF(IF(Table442466[[#This Row],[Pre or Post]]="Pre",1,0)+IF(ISNUMBER(Table442466[[#This Row],[Response]])=TRUE,1,0)=2,Table442466[[#This Row],[Response]],"")</f>
        <v/>
      </c>
      <c r="L34" s="6">
        <f>IF(IF(Table442466[[#This Row],[Pre or Post]]="Post",1,0)+IF(ISNUMBER(Table442466[[#This Row],[Response]])=TRUE,1,0)=2,Table442466[[#This Row],[Response]],"")</f>
        <v>1</v>
      </c>
      <c r="M34" s="5" t="str">
        <f>IF(IF(ISNUMBER(K34),1,0)+IF(ISNUMBER(L35),1,0)=2,IF(IF(C35=C34,1,0)+IF(B35=B34,1,0)+IF(D35="Post",1,0)+IF(D34="Pre",1,0)=4,Table442466[[#This Row],[Pre Total]],""),"")</f>
        <v/>
      </c>
      <c r="N34" s="5">
        <f>IF(IF(ISNUMBER(K33),1,0)+IF(ISNUMBER(Table442466[[#This Row],[Post Total]]),1,0)=2,IF(IF(Table442466[[#This Row],[Student Number]]=C33,1,0)+IF(Table442466[[#This Row],[Session]]=B33,1,0)+IF(Table442466[[#This Row],[Pre or Post]]="Post",1,0)+IF(D33="Pre",1,0)=4,Table442466[[#This Row],[Post Total]],""),"")</f>
        <v>1</v>
      </c>
      <c r="O34" s="5">
        <f>IF(IF(ISNUMBER(K33),1,0)+IF(ISNUMBER(Table442466[[#This Row],[Post Total]]),1,0)=2,IF(IF(Table442466[[#This Row],[Student Number]]=C33,1,0)+IF(Table442466[[#This Row],[Session]]=B33,1,0)+IF(Table442466[[#This Row],[Pre or Post]]="Post",1,0)+IF(D33="Pre",1,0)=4,Table442466[[#This Row],[Post Total]]-K33,""),"")</f>
        <v>0</v>
      </c>
      <c r="P34" s="5" t="b">
        <f>ISNUMBER(Table442466[[#This Row],[Change]])</f>
        <v>1</v>
      </c>
      <c r="Q34" s="5">
        <f>IF(E33="Male",Table442466[[#This Row],[Change]],"")</f>
        <v>0</v>
      </c>
      <c r="R34" s="5" t="str">
        <f>IF(E33="Female",Table442466[[#This Row],[Change]],"")</f>
        <v/>
      </c>
      <c r="S34" s="5" t="b">
        <f>ISNUMBER(Table442466[[#This Row],[If Male]])</f>
        <v>1</v>
      </c>
      <c r="T34" s="5" t="b">
        <f>ISNUMBER(Table442466[[#This Row],[If Female]])</f>
        <v>0</v>
      </c>
    </row>
    <row r="35" spans="1:20">
      <c r="A35" s="1" t="s">
        <v>24</v>
      </c>
      <c r="B35" s="1" t="s">
        <v>23</v>
      </c>
      <c r="C35" s="1">
        <v>8</v>
      </c>
      <c r="D35" s="1" t="s">
        <v>6</v>
      </c>
      <c r="E35" s="5" t="s">
        <v>7</v>
      </c>
      <c r="F35" s="1">
        <v>9</v>
      </c>
      <c r="G35" s="1">
        <v>3</v>
      </c>
      <c r="H35" s="2"/>
      <c r="I35" s="6">
        <f>IF(IF(Table442466[[#This Row],[Pre or Post]]="Pre",1,0)+IF(ISNUMBER(Table442466[[#This Row],[Response]])=TRUE,1,0)=2,1,"")</f>
        <v>1</v>
      </c>
      <c r="J35" s="6" t="str">
        <f>IF(IF(Table442466[[#This Row],[Pre or Post]]="Post",1,0)+IF(ISNUMBER(Table442466[[#This Row],[Response]])=TRUE,1,0)=2,1,"")</f>
        <v/>
      </c>
      <c r="K35" s="6">
        <f>IF(IF(Table442466[[#This Row],[Pre or Post]]="Pre",1,0)+IF(ISNUMBER(Table442466[[#This Row],[Response]])=TRUE,1,0)=2,Table442466[[#This Row],[Response]],"")</f>
        <v>3</v>
      </c>
      <c r="L35" s="6" t="str">
        <f>IF(IF(Table442466[[#This Row],[Pre or Post]]="Post",1,0)+IF(ISNUMBER(Table442466[[#This Row],[Response]])=TRUE,1,0)=2,Table442466[[#This Row],[Response]],"")</f>
        <v/>
      </c>
      <c r="M35" s="6">
        <f>IF(IF(ISNUMBER(K35),1,0)+IF(ISNUMBER(L36),1,0)=2,IF(IF(C36=C35,1,0)+IF(B36=B35,1,0)+IF(D36="Post",1,0)+IF(D35="Pre",1,0)=4,Table442466[[#This Row],[Pre Total]],""),"")</f>
        <v>3</v>
      </c>
      <c r="N35" s="6" t="str">
        <f>IF(IF(ISNUMBER(K34),1,0)+IF(ISNUMBER(Table442466[[#This Row],[Post Total]]),1,0)=2,IF(IF(Table442466[[#This Row],[Student Number]]=C34,1,0)+IF(Table442466[[#This Row],[Session]]=B34,1,0)+IF(Table442466[[#This Row],[Pre or Post]]="Post",1,0)+IF(D34="Pre",1,0)=4,Table442466[[#This Row],[Post Total]],""),"")</f>
        <v/>
      </c>
      <c r="O35" s="6" t="str">
        <f>IF(IF(ISNUMBER(K34),1,0)+IF(ISNUMBER(Table442466[[#This Row],[Post Total]]),1,0)=2,IF(IF(Table442466[[#This Row],[Student Number]]=C34,1,0)+IF(Table442466[[#This Row],[Session]]=B34,1,0)+IF(Table442466[[#This Row],[Pre or Post]]="Post",1,0)+IF(D34="Pre",1,0)=4,Table442466[[#This Row],[Post Total]]-K34,""),"")</f>
        <v/>
      </c>
      <c r="P35" s="6" t="b">
        <f>ISNUMBER(Table442466[[#This Row],[Change]])</f>
        <v>0</v>
      </c>
      <c r="Q35" s="5" t="str">
        <f>IF(E34="Male",Table442466[[#This Row],[Change]],"")</f>
        <v/>
      </c>
      <c r="R35" s="5" t="str">
        <f>IF(E34="Female",Table442466[[#This Row],[Change]],"")</f>
        <v/>
      </c>
      <c r="S35" s="5" t="b">
        <f>ISNUMBER(Table442466[[#This Row],[If Male]])</f>
        <v>0</v>
      </c>
      <c r="T35" s="5" t="b">
        <f>ISNUMBER(Table442466[[#This Row],[If Female]])</f>
        <v>0</v>
      </c>
    </row>
    <row r="36" spans="1:20">
      <c r="A36" s="1" t="s">
        <v>24</v>
      </c>
      <c r="B36" s="1" t="s">
        <v>23</v>
      </c>
      <c r="C36" s="1">
        <v>8</v>
      </c>
      <c r="D36" s="1" t="s">
        <v>16</v>
      </c>
      <c r="E36" s="5" t="s">
        <v>171</v>
      </c>
      <c r="F36" s="1">
        <v>2</v>
      </c>
      <c r="G36" s="1">
        <v>3</v>
      </c>
      <c r="H36" s="2"/>
      <c r="I36" s="5" t="str">
        <f>IF(IF(Table442466[[#This Row],[Pre or Post]]="Pre",1,0)+IF(ISNUMBER(Table442466[[#This Row],[Response]])=TRUE,1,0)=2,1,"")</f>
        <v/>
      </c>
      <c r="J36" s="5">
        <f>IF(IF(Table442466[[#This Row],[Pre or Post]]="Post",1,0)+IF(ISNUMBER(Table442466[[#This Row],[Response]])=TRUE,1,0)=2,1,"")</f>
        <v>1</v>
      </c>
      <c r="K36" s="6" t="str">
        <f>IF(IF(Table442466[[#This Row],[Pre or Post]]="Pre",1,0)+IF(ISNUMBER(Table442466[[#This Row],[Response]])=TRUE,1,0)=2,Table442466[[#This Row],[Response]],"")</f>
        <v/>
      </c>
      <c r="L36" s="6">
        <f>IF(IF(Table442466[[#This Row],[Pre or Post]]="Post",1,0)+IF(ISNUMBER(Table442466[[#This Row],[Response]])=TRUE,1,0)=2,Table442466[[#This Row],[Response]],"")</f>
        <v>3</v>
      </c>
      <c r="M36" s="5" t="str">
        <f>IF(IF(ISNUMBER(K36),1,0)+IF(ISNUMBER(L37),1,0)=2,IF(IF(C37=C36,1,0)+IF(B37=B36,1,0)+IF(D37="Post",1,0)+IF(D36="Pre",1,0)=4,Table442466[[#This Row],[Pre Total]],""),"")</f>
        <v/>
      </c>
      <c r="N36" s="5">
        <f>IF(IF(ISNUMBER(K35),1,0)+IF(ISNUMBER(Table442466[[#This Row],[Post Total]]),1,0)=2,IF(IF(Table442466[[#This Row],[Student Number]]=C35,1,0)+IF(Table442466[[#This Row],[Session]]=B35,1,0)+IF(Table442466[[#This Row],[Pre or Post]]="Post",1,0)+IF(D35="Pre",1,0)=4,Table442466[[#This Row],[Post Total]],""),"")</f>
        <v>3</v>
      </c>
      <c r="O36" s="5">
        <f>IF(IF(ISNUMBER(K35),1,0)+IF(ISNUMBER(Table442466[[#This Row],[Post Total]]),1,0)=2,IF(IF(Table442466[[#This Row],[Student Number]]=C35,1,0)+IF(Table442466[[#This Row],[Session]]=B35,1,0)+IF(Table442466[[#This Row],[Pre or Post]]="Post",1,0)+IF(D35="Pre",1,0)=4,Table442466[[#This Row],[Post Total]]-K35,""),"")</f>
        <v>0</v>
      </c>
      <c r="P36" s="5" t="b">
        <f>ISNUMBER(Table442466[[#This Row],[Change]])</f>
        <v>1</v>
      </c>
      <c r="Q36" s="5">
        <f>IF(E35="Male",Table442466[[#This Row],[Change]],"")</f>
        <v>0</v>
      </c>
      <c r="R36" s="5" t="str">
        <f>IF(E35="Female",Table442466[[#This Row],[Change]],"")</f>
        <v/>
      </c>
      <c r="S36" s="5" t="b">
        <f>ISNUMBER(Table442466[[#This Row],[If Male]])</f>
        <v>1</v>
      </c>
      <c r="T36" s="5" t="b">
        <f>ISNUMBER(Table442466[[#This Row],[If Female]])</f>
        <v>0</v>
      </c>
    </row>
    <row r="37" spans="1:20">
      <c r="A37" s="1" t="s">
        <v>24</v>
      </c>
      <c r="B37" s="1" t="s">
        <v>23</v>
      </c>
      <c r="C37" s="1">
        <v>9</v>
      </c>
      <c r="D37" s="1" t="s">
        <v>6</v>
      </c>
      <c r="E37" s="5" t="s">
        <v>7</v>
      </c>
      <c r="F37" s="1">
        <v>9</v>
      </c>
      <c r="G37" s="1">
        <v>3</v>
      </c>
      <c r="H37" s="2"/>
      <c r="I37" s="6">
        <f>IF(IF(Table442466[[#This Row],[Pre or Post]]="Pre",1,0)+IF(ISNUMBER(Table442466[[#This Row],[Response]])=TRUE,1,0)=2,1,"")</f>
        <v>1</v>
      </c>
      <c r="J37" s="6" t="str">
        <f>IF(IF(Table442466[[#This Row],[Pre or Post]]="Post",1,0)+IF(ISNUMBER(Table442466[[#This Row],[Response]])=TRUE,1,0)=2,1,"")</f>
        <v/>
      </c>
      <c r="K37" s="6">
        <f>IF(IF(Table442466[[#This Row],[Pre or Post]]="Pre",1,0)+IF(ISNUMBER(Table442466[[#This Row],[Response]])=TRUE,1,0)=2,Table442466[[#This Row],[Response]],"")</f>
        <v>3</v>
      </c>
      <c r="L37" s="6" t="str">
        <f>IF(IF(Table442466[[#This Row],[Pre or Post]]="Post",1,0)+IF(ISNUMBER(Table442466[[#This Row],[Response]])=TRUE,1,0)=2,Table442466[[#This Row],[Response]],"")</f>
        <v/>
      </c>
      <c r="M37" s="6">
        <f>IF(IF(ISNUMBER(K37),1,0)+IF(ISNUMBER(L38),1,0)=2,IF(IF(C38=C37,1,0)+IF(B38=B37,1,0)+IF(D38="Post",1,0)+IF(D37="Pre",1,0)=4,Table442466[[#This Row],[Pre Total]],""),"")</f>
        <v>3</v>
      </c>
      <c r="N37" s="6" t="str">
        <f>IF(IF(ISNUMBER(K36),1,0)+IF(ISNUMBER(Table442466[[#This Row],[Post Total]]),1,0)=2,IF(IF(Table442466[[#This Row],[Student Number]]=C36,1,0)+IF(Table442466[[#This Row],[Session]]=B36,1,0)+IF(Table442466[[#This Row],[Pre or Post]]="Post",1,0)+IF(D36="Pre",1,0)=4,Table442466[[#This Row],[Post Total]],""),"")</f>
        <v/>
      </c>
      <c r="O37" s="6" t="str">
        <f>IF(IF(ISNUMBER(K36),1,0)+IF(ISNUMBER(Table442466[[#This Row],[Post Total]]),1,0)=2,IF(IF(Table442466[[#This Row],[Student Number]]=C36,1,0)+IF(Table442466[[#This Row],[Session]]=B36,1,0)+IF(Table442466[[#This Row],[Pre or Post]]="Post",1,0)+IF(D36="Pre",1,0)=4,Table442466[[#This Row],[Post Total]]-K36,""),"")</f>
        <v/>
      </c>
      <c r="P37" s="6" t="b">
        <f>ISNUMBER(Table442466[[#This Row],[Change]])</f>
        <v>0</v>
      </c>
      <c r="Q37" s="5" t="str">
        <f>IF(E36="Male",Table442466[[#This Row],[Change]],"")</f>
        <v/>
      </c>
      <c r="R37" s="5" t="str">
        <f>IF(E36="Female",Table442466[[#This Row],[Change]],"")</f>
        <v/>
      </c>
      <c r="S37" s="5" t="b">
        <f>ISNUMBER(Table442466[[#This Row],[If Male]])</f>
        <v>0</v>
      </c>
      <c r="T37" s="5" t="b">
        <f>ISNUMBER(Table442466[[#This Row],[If Female]])</f>
        <v>0</v>
      </c>
    </row>
    <row r="38" spans="1:20">
      <c r="A38" s="1" t="s">
        <v>24</v>
      </c>
      <c r="B38" s="1" t="s">
        <v>23</v>
      </c>
      <c r="C38" s="1">
        <v>9</v>
      </c>
      <c r="D38" s="1" t="s">
        <v>16</v>
      </c>
      <c r="E38" s="5" t="s">
        <v>171</v>
      </c>
      <c r="F38" s="1">
        <v>2</v>
      </c>
      <c r="G38" s="1">
        <v>3</v>
      </c>
      <c r="I38" s="5" t="str">
        <f>IF(IF(Table442466[[#This Row],[Pre or Post]]="Pre",1,0)+IF(ISNUMBER(Table442466[[#This Row],[Response]])=TRUE,1,0)=2,1,"")</f>
        <v/>
      </c>
      <c r="J38" s="5">
        <f>IF(IF(Table442466[[#This Row],[Pre or Post]]="Post",1,0)+IF(ISNUMBER(Table442466[[#This Row],[Response]])=TRUE,1,0)=2,1,"")</f>
        <v>1</v>
      </c>
      <c r="K38" s="6" t="str">
        <f>IF(IF(Table442466[[#This Row],[Pre or Post]]="Pre",1,0)+IF(ISNUMBER(Table442466[[#This Row],[Response]])=TRUE,1,0)=2,Table442466[[#This Row],[Response]],"")</f>
        <v/>
      </c>
      <c r="L38" s="6">
        <f>IF(IF(Table442466[[#This Row],[Pre or Post]]="Post",1,0)+IF(ISNUMBER(Table442466[[#This Row],[Response]])=TRUE,1,0)=2,Table442466[[#This Row],[Response]],"")</f>
        <v>3</v>
      </c>
      <c r="M38" s="5" t="str">
        <f>IF(IF(ISNUMBER(K38),1,0)+IF(ISNUMBER(L39),1,0)=2,IF(IF(C39=C38,1,0)+IF(B39=B38,1,0)+IF(D39="Post",1,0)+IF(D38="Pre",1,0)=4,Table442466[[#This Row],[Pre Total]],""),"")</f>
        <v/>
      </c>
      <c r="N38" s="5">
        <f>IF(IF(ISNUMBER(K37),1,0)+IF(ISNUMBER(Table442466[[#This Row],[Post Total]]),1,0)=2,IF(IF(Table442466[[#This Row],[Student Number]]=C37,1,0)+IF(Table442466[[#This Row],[Session]]=B37,1,0)+IF(Table442466[[#This Row],[Pre or Post]]="Post",1,0)+IF(D37="Pre",1,0)=4,Table442466[[#This Row],[Post Total]],""),"")</f>
        <v>3</v>
      </c>
      <c r="O38" s="5">
        <f>IF(IF(ISNUMBER(K37),1,0)+IF(ISNUMBER(Table442466[[#This Row],[Post Total]]),1,0)=2,IF(IF(Table442466[[#This Row],[Student Number]]=C37,1,0)+IF(Table442466[[#This Row],[Session]]=B37,1,0)+IF(Table442466[[#This Row],[Pre or Post]]="Post",1,0)+IF(D37="Pre",1,0)=4,Table442466[[#This Row],[Post Total]]-K37,""),"")</f>
        <v>0</v>
      </c>
      <c r="P38" s="5" t="b">
        <f>ISNUMBER(Table442466[[#This Row],[Change]])</f>
        <v>1</v>
      </c>
      <c r="Q38" s="5">
        <f>IF(E37="Male",Table442466[[#This Row],[Change]],"")</f>
        <v>0</v>
      </c>
      <c r="R38" s="5" t="str">
        <f>IF(E37="Female",Table442466[[#This Row],[Change]],"")</f>
        <v/>
      </c>
      <c r="S38" s="5" t="b">
        <f>ISNUMBER(Table442466[[#This Row],[If Male]])</f>
        <v>1</v>
      </c>
      <c r="T38" s="5" t="b">
        <f>ISNUMBER(Table442466[[#This Row],[If Female]])</f>
        <v>0</v>
      </c>
    </row>
    <row r="39" spans="1:20">
      <c r="A39" s="1" t="s">
        <v>24</v>
      </c>
      <c r="B39" s="1" t="s">
        <v>23</v>
      </c>
      <c r="C39" s="1">
        <v>10</v>
      </c>
      <c r="D39" s="1" t="s">
        <v>6</v>
      </c>
      <c r="E39" s="5" t="s">
        <v>7</v>
      </c>
      <c r="F39" s="1">
        <v>9</v>
      </c>
      <c r="G39" s="1">
        <v>3</v>
      </c>
      <c r="H39" s="2"/>
      <c r="I39" s="6">
        <f>IF(IF(Table442466[[#This Row],[Pre or Post]]="Pre",1,0)+IF(ISNUMBER(Table442466[[#This Row],[Response]])=TRUE,1,0)=2,1,"")</f>
        <v>1</v>
      </c>
      <c r="J39" s="6" t="str">
        <f>IF(IF(Table442466[[#This Row],[Pre or Post]]="Post",1,0)+IF(ISNUMBER(Table442466[[#This Row],[Response]])=TRUE,1,0)=2,1,"")</f>
        <v/>
      </c>
      <c r="K39" s="6">
        <f>IF(IF(Table442466[[#This Row],[Pre or Post]]="Pre",1,0)+IF(ISNUMBER(Table442466[[#This Row],[Response]])=TRUE,1,0)=2,Table442466[[#This Row],[Response]],"")</f>
        <v>3</v>
      </c>
      <c r="L39" s="6" t="str">
        <f>IF(IF(Table442466[[#This Row],[Pre or Post]]="Post",1,0)+IF(ISNUMBER(Table442466[[#This Row],[Response]])=TRUE,1,0)=2,Table442466[[#This Row],[Response]],"")</f>
        <v/>
      </c>
      <c r="M39" s="6">
        <f>IF(IF(ISNUMBER(K39),1,0)+IF(ISNUMBER(L40),1,0)=2,IF(IF(C40=C39,1,0)+IF(B40=B39,1,0)+IF(D40="Post",1,0)+IF(D39="Pre",1,0)=4,Table442466[[#This Row],[Pre Total]],""),"")</f>
        <v>3</v>
      </c>
      <c r="N39" s="6" t="str">
        <f>IF(IF(ISNUMBER(K38),1,0)+IF(ISNUMBER(Table442466[[#This Row],[Post Total]]),1,0)=2,IF(IF(Table442466[[#This Row],[Student Number]]=C38,1,0)+IF(Table442466[[#This Row],[Session]]=B38,1,0)+IF(Table442466[[#This Row],[Pre or Post]]="Post",1,0)+IF(D38="Pre",1,0)=4,Table442466[[#This Row],[Post Total]],""),"")</f>
        <v/>
      </c>
      <c r="O39" s="6" t="str">
        <f>IF(IF(ISNUMBER(K38),1,0)+IF(ISNUMBER(Table442466[[#This Row],[Post Total]]),1,0)=2,IF(IF(Table442466[[#This Row],[Student Number]]=C38,1,0)+IF(Table442466[[#This Row],[Session]]=B38,1,0)+IF(Table442466[[#This Row],[Pre or Post]]="Post",1,0)+IF(D38="Pre",1,0)=4,Table442466[[#This Row],[Post Total]]-K38,""),"")</f>
        <v/>
      </c>
      <c r="P39" s="6" t="b">
        <f>ISNUMBER(Table442466[[#This Row],[Change]])</f>
        <v>0</v>
      </c>
      <c r="Q39" s="5" t="str">
        <f>IF(E38="Male",Table442466[[#This Row],[Change]],"")</f>
        <v/>
      </c>
      <c r="R39" s="5" t="str">
        <f>IF(E38="Female",Table442466[[#This Row],[Change]],"")</f>
        <v/>
      </c>
      <c r="S39" s="5" t="b">
        <f>ISNUMBER(Table442466[[#This Row],[If Male]])</f>
        <v>0</v>
      </c>
      <c r="T39" s="5" t="b">
        <f>ISNUMBER(Table442466[[#This Row],[If Female]])</f>
        <v>0</v>
      </c>
    </row>
    <row r="40" spans="1:20">
      <c r="A40" s="1" t="s">
        <v>24</v>
      </c>
      <c r="B40" s="1" t="s">
        <v>23</v>
      </c>
      <c r="C40" s="1">
        <v>10</v>
      </c>
      <c r="D40" s="1" t="s">
        <v>16</v>
      </c>
      <c r="E40" s="5" t="s">
        <v>171</v>
      </c>
      <c r="F40" s="1">
        <v>2</v>
      </c>
      <c r="G40" s="1">
        <v>4</v>
      </c>
      <c r="H40" s="2"/>
      <c r="I40" s="5" t="str">
        <f>IF(IF(Table442466[[#This Row],[Pre or Post]]="Pre",1,0)+IF(ISNUMBER(Table442466[[#This Row],[Response]])=TRUE,1,0)=2,1,"")</f>
        <v/>
      </c>
      <c r="J40" s="5">
        <f>IF(IF(Table442466[[#This Row],[Pre or Post]]="Post",1,0)+IF(ISNUMBER(Table442466[[#This Row],[Response]])=TRUE,1,0)=2,1,"")</f>
        <v>1</v>
      </c>
      <c r="K40" s="6" t="str">
        <f>IF(IF(Table442466[[#This Row],[Pre or Post]]="Pre",1,0)+IF(ISNUMBER(Table442466[[#This Row],[Response]])=TRUE,1,0)=2,Table442466[[#This Row],[Response]],"")</f>
        <v/>
      </c>
      <c r="L40" s="6">
        <f>IF(IF(Table442466[[#This Row],[Pre or Post]]="Post",1,0)+IF(ISNUMBER(Table442466[[#This Row],[Response]])=TRUE,1,0)=2,Table442466[[#This Row],[Response]],"")</f>
        <v>4</v>
      </c>
      <c r="M40" s="5" t="str">
        <f>IF(IF(ISNUMBER(K40),1,0)+IF(ISNUMBER(L41),1,0)=2,IF(IF(C41=C40,1,0)+IF(B41=B40,1,0)+IF(D41="Post",1,0)+IF(D40="Pre",1,0)=4,Table442466[[#This Row],[Pre Total]],""),"")</f>
        <v/>
      </c>
      <c r="N40" s="5">
        <f>IF(IF(ISNUMBER(K39),1,0)+IF(ISNUMBER(Table442466[[#This Row],[Post Total]]),1,0)=2,IF(IF(Table442466[[#This Row],[Student Number]]=C39,1,0)+IF(Table442466[[#This Row],[Session]]=B39,1,0)+IF(Table442466[[#This Row],[Pre or Post]]="Post",1,0)+IF(D39="Pre",1,0)=4,Table442466[[#This Row],[Post Total]],""),"")</f>
        <v>4</v>
      </c>
      <c r="O40" s="5">
        <f>IF(IF(ISNUMBER(K39),1,0)+IF(ISNUMBER(Table442466[[#This Row],[Post Total]]),1,0)=2,IF(IF(Table442466[[#This Row],[Student Number]]=C39,1,0)+IF(Table442466[[#This Row],[Session]]=B39,1,0)+IF(Table442466[[#This Row],[Pre or Post]]="Post",1,0)+IF(D39="Pre",1,0)=4,Table442466[[#This Row],[Post Total]]-K39,""),"")</f>
        <v>1</v>
      </c>
      <c r="P40" s="5" t="b">
        <f>ISNUMBER(Table442466[[#This Row],[Change]])</f>
        <v>1</v>
      </c>
      <c r="Q40" s="5">
        <f>IF(E39="Male",Table442466[[#This Row],[Change]],"")</f>
        <v>1</v>
      </c>
      <c r="R40" s="5" t="str">
        <f>IF(E39="Female",Table442466[[#This Row],[Change]],"")</f>
        <v/>
      </c>
      <c r="S40" s="5" t="b">
        <f>ISNUMBER(Table442466[[#This Row],[If Male]])</f>
        <v>1</v>
      </c>
      <c r="T40" s="5" t="b">
        <f>ISNUMBER(Table442466[[#This Row],[If Female]])</f>
        <v>0</v>
      </c>
    </row>
    <row r="41" spans="1:20">
      <c r="A41" s="1" t="s">
        <v>24</v>
      </c>
      <c r="B41" s="1" t="s">
        <v>23</v>
      </c>
      <c r="C41" s="1">
        <v>11</v>
      </c>
      <c r="D41" s="1" t="s">
        <v>6</v>
      </c>
      <c r="E41" s="5" t="s">
        <v>7</v>
      </c>
      <c r="F41" s="1">
        <v>9</v>
      </c>
      <c r="G41" s="1">
        <v>4</v>
      </c>
      <c r="H41" s="2"/>
      <c r="I41" s="6">
        <f>IF(IF(Table442466[[#This Row],[Pre or Post]]="Pre",1,0)+IF(ISNUMBER(Table442466[[#This Row],[Response]])=TRUE,1,0)=2,1,"")</f>
        <v>1</v>
      </c>
      <c r="J41" s="6" t="str">
        <f>IF(IF(Table442466[[#This Row],[Pre or Post]]="Post",1,0)+IF(ISNUMBER(Table442466[[#This Row],[Response]])=TRUE,1,0)=2,1,"")</f>
        <v/>
      </c>
      <c r="K41" s="6">
        <f>IF(IF(Table442466[[#This Row],[Pre or Post]]="Pre",1,0)+IF(ISNUMBER(Table442466[[#This Row],[Response]])=TRUE,1,0)=2,Table442466[[#This Row],[Response]],"")</f>
        <v>4</v>
      </c>
      <c r="L41" s="6" t="str">
        <f>IF(IF(Table442466[[#This Row],[Pre or Post]]="Post",1,0)+IF(ISNUMBER(Table442466[[#This Row],[Response]])=TRUE,1,0)=2,Table442466[[#This Row],[Response]],"")</f>
        <v/>
      </c>
      <c r="M41" s="6">
        <f>IF(IF(ISNUMBER(K41),1,0)+IF(ISNUMBER(L42),1,0)=2,IF(IF(C42=C41,1,0)+IF(B42=B41,1,0)+IF(D42="Post",1,0)+IF(D41="Pre",1,0)=4,Table442466[[#This Row],[Pre Total]],""),"")</f>
        <v>4</v>
      </c>
      <c r="N41" s="6" t="str">
        <f>IF(IF(ISNUMBER(K40),1,0)+IF(ISNUMBER(Table442466[[#This Row],[Post Total]]),1,0)=2,IF(IF(Table442466[[#This Row],[Student Number]]=C40,1,0)+IF(Table442466[[#This Row],[Session]]=B40,1,0)+IF(Table442466[[#This Row],[Pre or Post]]="Post",1,0)+IF(D40="Pre",1,0)=4,Table442466[[#This Row],[Post Total]],""),"")</f>
        <v/>
      </c>
      <c r="O41" s="6" t="str">
        <f>IF(IF(ISNUMBER(K40),1,0)+IF(ISNUMBER(Table442466[[#This Row],[Post Total]]),1,0)=2,IF(IF(Table442466[[#This Row],[Student Number]]=C40,1,0)+IF(Table442466[[#This Row],[Session]]=B40,1,0)+IF(Table442466[[#This Row],[Pre or Post]]="Post",1,0)+IF(D40="Pre",1,0)=4,Table442466[[#This Row],[Post Total]]-K40,""),"")</f>
        <v/>
      </c>
      <c r="P41" s="6" t="b">
        <f>ISNUMBER(Table442466[[#This Row],[Change]])</f>
        <v>0</v>
      </c>
      <c r="Q41" s="5" t="str">
        <f>IF(E40="Male",Table442466[[#This Row],[Change]],"")</f>
        <v/>
      </c>
      <c r="R41" s="5" t="str">
        <f>IF(E40="Female",Table442466[[#This Row],[Change]],"")</f>
        <v/>
      </c>
      <c r="S41" s="5" t="b">
        <f>ISNUMBER(Table442466[[#This Row],[If Male]])</f>
        <v>0</v>
      </c>
      <c r="T41" s="5" t="b">
        <f>ISNUMBER(Table442466[[#This Row],[If Female]])</f>
        <v>0</v>
      </c>
    </row>
    <row r="42" spans="1:20">
      <c r="A42" s="1" t="s">
        <v>24</v>
      </c>
      <c r="B42" s="1" t="s">
        <v>23</v>
      </c>
      <c r="C42" s="1">
        <v>11</v>
      </c>
      <c r="D42" s="1" t="s">
        <v>16</v>
      </c>
      <c r="E42" s="5" t="s">
        <v>171</v>
      </c>
      <c r="F42" s="1">
        <v>2</v>
      </c>
      <c r="G42" s="1">
        <v>4</v>
      </c>
      <c r="I42" s="5" t="str">
        <f>IF(IF(Table442466[[#This Row],[Pre or Post]]="Pre",1,0)+IF(ISNUMBER(Table442466[[#This Row],[Response]])=TRUE,1,0)=2,1,"")</f>
        <v/>
      </c>
      <c r="J42" s="5">
        <f>IF(IF(Table442466[[#This Row],[Pre or Post]]="Post",1,0)+IF(ISNUMBER(Table442466[[#This Row],[Response]])=TRUE,1,0)=2,1,"")</f>
        <v>1</v>
      </c>
      <c r="K42" s="6" t="str">
        <f>IF(IF(Table442466[[#This Row],[Pre or Post]]="Pre",1,0)+IF(ISNUMBER(Table442466[[#This Row],[Response]])=TRUE,1,0)=2,Table442466[[#This Row],[Response]],"")</f>
        <v/>
      </c>
      <c r="L42" s="6">
        <f>IF(IF(Table442466[[#This Row],[Pre or Post]]="Post",1,0)+IF(ISNUMBER(Table442466[[#This Row],[Response]])=TRUE,1,0)=2,Table442466[[#This Row],[Response]],"")</f>
        <v>4</v>
      </c>
      <c r="M42" s="5" t="str">
        <f>IF(IF(ISNUMBER(K42),1,0)+IF(ISNUMBER(L43),1,0)=2,IF(IF(C43=C42,1,0)+IF(B43=B42,1,0)+IF(D43="Post",1,0)+IF(D42="Pre",1,0)=4,Table442466[[#This Row],[Pre Total]],""),"")</f>
        <v/>
      </c>
      <c r="N42" s="5">
        <f>IF(IF(ISNUMBER(K41),1,0)+IF(ISNUMBER(Table442466[[#This Row],[Post Total]]),1,0)=2,IF(IF(Table442466[[#This Row],[Student Number]]=C41,1,0)+IF(Table442466[[#This Row],[Session]]=B41,1,0)+IF(Table442466[[#This Row],[Pre or Post]]="Post",1,0)+IF(D41="Pre",1,0)=4,Table442466[[#This Row],[Post Total]],""),"")</f>
        <v>4</v>
      </c>
      <c r="O42" s="5">
        <f>IF(IF(ISNUMBER(K41),1,0)+IF(ISNUMBER(Table442466[[#This Row],[Post Total]]),1,0)=2,IF(IF(Table442466[[#This Row],[Student Number]]=C41,1,0)+IF(Table442466[[#This Row],[Session]]=B41,1,0)+IF(Table442466[[#This Row],[Pre or Post]]="Post",1,0)+IF(D41="Pre",1,0)=4,Table442466[[#This Row],[Post Total]]-K41,""),"")</f>
        <v>0</v>
      </c>
      <c r="P42" s="5" t="b">
        <f>ISNUMBER(Table442466[[#This Row],[Change]])</f>
        <v>1</v>
      </c>
      <c r="Q42" s="5">
        <f>IF(E41="Male",Table442466[[#This Row],[Change]],"")</f>
        <v>0</v>
      </c>
      <c r="R42" s="5" t="str">
        <f>IF(E41="Female",Table442466[[#This Row],[Change]],"")</f>
        <v/>
      </c>
      <c r="S42" s="5" t="b">
        <f>ISNUMBER(Table442466[[#This Row],[If Male]])</f>
        <v>1</v>
      </c>
      <c r="T42" s="5" t="b">
        <f>ISNUMBER(Table442466[[#This Row],[If Female]])</f>
        <v>0</v>
      </c>
    </row>
    <row r="43" spans="1:20">
      <c r="A43" s="1" t="s">
        <v>24</v>
      </c>
      <c r="B43" s="1" t="s">
        <v>23</v>
      </c>
      <c r="C43" s="1">
        <v>12</v>
      </c>
      <c r="D43" s="1" t="s">
        <v>6</v>
      </c>
      <c r="E43" s="5" t="s">
        <v>7</v>
      </c>
      <c r="F43" s="1">
        <v>9</v>
      </c>
      <c r="G43" s="1">
        <v>3</v>
      </c>
      <c r="H43" s="2"/>
      <c r="I43" s="6">
        <f>IF(IF(Table442466[[#This Row],[Pre or Post]]="Pre",1,0)+IF(ISNUMBER(Table442466[[#This Row],[Response]])=TRUE,1,0)=2,1,"")</f>
        <v>1</v>
      </c>
      <c r="J43" s="6" t="str">
        <f>IF(IF(Table442466[[#This Row],[Pre or Post]]="Post",1,0)+IF(ISNUMBER(Table442466[[#This Row],[Response]])=TRUE,1,0)=2,1,"")</f>
        <v/>
      </c>
      <c r="K43" s="6">
        <f>IF(IF(Table442466[[#This Row],[Pre or Post]]="Pre",1,0)+IF(ISNUMBER(Table442466[[#This Row],[Response]])=TRUE,1,0)=2,Table442466[[#This Row],[Response]],"")</f>
        <v>3</v>
      </c>
      <c r="L43" s="6" t="str">
        <f>IF(IF(Table442466[[#This Row],[Pre or Post]]="Post",1,0)+IF(ISNUMBER(Table442466[[#This Row],[Response]])=TRUE,1,0)=2,Table442466[[#This Row],[Response]],"")</f>
        <v/>
      </c>
      <c r="M43" s="6">
        <f>IF(IF(ISNUMBER(K43),1,0)+IF(ISNUMBER(L44),1,0)=2,IF(IF(C44=C43,1,0)+IF(B44=B43,1,0)+IF(D44="Post",1,0)+IF(D43="Pre",1,0)=4,Table442466[[#This Row],[Pre Total]],""),"")</f>
        <v>3</v>
      </c>
      <c r="N43" s="6" t="str">
        <f>IF(IF(ISNUMBER(K42),1,0)+IF(ISNUMBER(Table442466[[#This Row],[Post Total]]),1,0)=2,IF(IF(Table442466[[#This Row],[Student Number]]=C42,1,0)+IF(Table442466[[#This Row],[Session]]=B42,1,0)+IF(Table442466[[#This Row],[Pre or Post]]="Post",1,0)+IF(D42="Pre",1,0)=4,Table442466[[#This Row],[Post Total]],""),"")</f>
        <v/>
      </c>
      <c r="O43" s="6" t="str">
        <f>IF(IF(ISNUMBER(K42),1,0)+IF(ISNUMBER(Table442466[[#This Row],[Post Total]]),1,0)=2,IF(IF(Table442466[[#This Row],[Student Number]]=C42,1,0)+IF(Table442466[[#This Row],[Session]]=B42,1,0)+IF(Table442466[[#This Row],[Pre or Post]]="Post",1,0)+IF(D42="Pre",1,0)=4,Table442466[[#This Row],[Post Total]]-K42,""),"")</f>
        <v/>
      </c>
      <c r="P43" s="6" t="b">
        <f>ISNUMBER(Table442466[[#This Row],[Change]])</f>
        <v>0</v>
      </c>
      <c r="Q43" s="5" t="str">
        <f>IF(E42="Male",Table442466[[#This Row],[Change]],"")</f>
        <v/>
      </c>
      <c r="R43" s="5" t="str">
        <f>IF(E42="Female",Table442466[[#This Row],[Change]],"")</f>
        <v/>
      </c>
      <c r="S43" s="5" t="b">
        <f>ISNUMBER(Table442466[[#This Row],[If Male]])</f>
        <v>0</v>
      </c>
      <c r="T43" s="5" t="b">
        <f>ISNUMBER(Table442466[[#This Row],[If Female]])</f>
        <v>0</v>
      </c>
    </row>
    <row r="44" spans="1:20">
      <c r="A44" s="1" t="s">
        <v>24</v>
      </c>
      <c r="B44" s="1" t="s">
        <v>23</v>
      </c>
      <c r="C44" s="1">
        <v>12</v>
      </c>
      <c r="D44" s="1" t="s">
        <v>16</v>
      </c>
      <c r="E44" s="5" t="s">
        <v>171</v>
      </c>
      <c r="F44" s="1">
        <v>2</v>
      </c>
      <c r="G44" s="1">
        <v>3</v>
      </c>
      <c r="H44" s="2"/>
      <c r="I44" s="5" t="str">
        <f>IF(IF(Table442466[[#This Row],[Pre or Post]]="Pre",1,0)+IF(ISNUMBER(Table442466[[#This Row],[Response]])=TRUE,1,0)=2,1,"")</f>
        <v/>
      </c>
      <c r="J44" s="5">
        <f>IF(IF(Table442466[[#This Row],[Pre or Post]]="Post",1,0)+IF(ISNUMBER(Table442466[[#This Row],[Response]])=TRUE,1,0)=2,1,"")</f>
        <v>1</v>
      </c>
      <c r="K44" s="6" t="str">
        <f>IF(IF(Table442466[[#This Row],[Pre or Post]]="Pre",1,0)+IF(ISNUMBER(Table442466[[#This Row],[Response]])=TRUE,1,0)=2,Table442466[[#This Row],[Response]],"")</f>
        <v/>
      </c>
      <c r="L44" s="6">
        <f>IF(IF(Table442466[[#This Row],[Pre or Post]]="Post",1,0)+IF(ISNUMBER(Table442466[[#This Row],[Response]])=TRUE,1,0)=2,Table442466[[#This Row],[Response]],"")</f>
        <v>3</v>
      </c>
      <c r="M44" s="5" t="str">
        <f>IF(IF(ISNUMBER(K44),1,0)+IF(ISNUMBER(L45),1,0)=2,IF(IF(C45=C44,1,0)+IF(B45=B44,1,0)+IF(D45="Post",1,0)+IF(D44="Pre",1,0)=4,Table442466[[#This Row],[Pre Total]],""),"")</f>
        <v/>
      </c>
      <c r="N44" s="5">
        <f>IF(IF(ISNUMBER(K43),1,0)+IF(ISNUMBER(Table442466[[#This Row],[Post Total]]),1,0)=2,IF(IF(Table442466[[#This Row],[Student Number]]=C43,1,0)+IF(Table442466[[#This Row],[Session]]=B43,1,0)+IF(Table442466[[#This Row],[Pre or Post]]="Post",1,0)+IF(D43="Pre",1,0)=4,Table442466[[#This Row],[Post Total]],""),"")</f>
        <v>3</v>
      </c>
      <c r="O44" s="5">
        <f>IF(IF(ISNUMBER(K43),1,0)+IF(ISNUMBER(Table442466[[#This Row],[Post Total]]),1,0)=2,IF(IF(Table442466[[#This Row],[Student Number]]=C43,1,0)+IF(Table442466[[#This Row],[Session]]=B43,1,0)+IF(Table442466[[#This Row],[Pre or Post]]="Post",1,0)+IF(D43="Pre",1,0)=4,Table442466[[#This Row],[Post Total]]-K43,""),"")</f>
        <v>0</v>
      </c>
      <c r="P44" s="5" t="b">
        <f>ISNUMBER(Table442466[[#This Row],[Change]])</f>
        <v>1</v>
      </c>
      <c r="Q44" s="5">
        <f>IF(E43="Male",Table442466[[#This Row],[Change]],"")</f>
        <v>0</v>
      </c>
      <c r="R44" s="5" t="str">
        <f>IF(E43="Female",Table442466[[#This Row],[Change]],"")</f>
        <v/>
      </c>
      <c r="S44" s="5" t="b">
        <f>ISNUMBER(Table442466[[#This Row],[If Male]])</f>
        <v>1</v>
      </c>
      <c r="T44" s="5" t="b">
        <f>ISNUMBER(Table442466[[#This Row],[If Female]])</f>
        <v>0</v>
      </c>
    </row>
    <row r="45" spans="1:20">
      <c r="A45" s="1" t="s">
        <v>24</v>
      </c>
      <c r="B45" s="1" t="s">
        <v>23</v>
      </c>
      <c r="C45" s="1">
        <v>13</v>
      </c>
      <c r="D45" s="1" t="s">
        <v>6</v>
      </c>
      <c r="E45" s="5" t="s">
        <v>7</v>
      </c>
      <c r="F45" s="1">
        <v>9</v>
      </c>
      <c r="G45" s="1">
        <v>3</v>
      </c>
      <c r="H45" s="2"/>
      <c r="I45" s="6">
        <f>IF(IF(Table442466[[#This Row],[Pre or Post]]="Pre",1,0)+IF(ISNUMBER(Table442466[[#This Row],[Response]])=TRUE,1,0)=2,1,"")</f>
        <v>1</v>
      </c>
      <c r="J45" s="6" t="str">
        <f>IF(IF(Table442466[[#This Row],[Pre or Post]]="Post",1,0)+IF(ISNUMBER(Table442466[[#This Row],[Response]])=TRUE,1,0)=2,1,"")</f>
        <v/>
      </c>
      <c r="K45" s="6">
        <f>IF(IF(Table442466[[#This Row],[Pre or Post]]="Pre",1,0)+IF(ISNUMBER(Table442466[[#This Row],[Response]])=TRUE,1,0)=2,Table442466[[#This Row],[Response]],"")</f>
        <v>3</v>
      </c>
      <c r="L45" s="6" t="str">
        <f>IF(IF(Table442466[[#This Row],[Pre or Post]]="Post",1,0)+IF(ISNUMBER(Table442466[[#This Row],[Response]])=TRUE,1,0)=2,Table442466[[#This Row],[Response]],"")</f>
        <v/>
      </c>
      <c r="M45" s="6">
        <f>IF(IF(ISNUMBER(K45),1,0)+IF(ISNUMBER(L46),1,0)=2,IF(IF(C46=C45,1,0)+IF(B46=B45,1,0)+IF(D46="Post",1,0)+IF(D45="Pre",1,0)=4,Table442466[[#This Row],[Pre Total]],""),"")</f>
        <v>3</v>
      </c>
      <c r="N45" s="6" t="str">
        <f>IF(IF(ISNUMBER(K44),1,0)+IF(ISNUMBER(Table442466[[#This Row],[Post Total]]),1,0)=2,IF(IF(Table442466[[#This Row],[Student Number]]=C44,1,0)+IF(Table442466[[#This Row],[Session]]=B44,1,0)+IF(Table442466[[#This Row],[Pre or Post]]="Post",1,0)+IF(D44="Pre",1,0)=4,Table442466[[#This Row],[Post Total]],""),"")</f>
        <v/>
      </c>
      <c r="O45" s="6" t="str">
        <f>IF(IF(ISNUMBER(K44),1,0)+IF(ISNUMBER(Table442466[[#This Row],[Post Total]]),1,0)=2,IF(IF(Table442466[[#This Row],[Student Number]]=C44,1,0)+IF(Table442466[[#This Row],[Session]]=B44,1,0)+IF(Table442466[[#This Row],[Pre or Post]]="Post",1,0)+IF(D44="Pre",1,0)=4,Table442466[[#This Row],[Post Total]]-K44,""),"")</f>
        <v/>
      </c>
      <c r="P45" s="6" t="b">
        <f>ISNUMBER(Table442466[[#This Row],[Change]])</f>
        <v>0</v>
      </c>
      <c r="Q45" s="5" t="str">
        <f>IF(E44="Male",Table442466[[#This Row],[Change]],"")</f>
        <v/>
      </c>
      <c r="R45" s="5" t="str">
        <f>IF(E44="Female",Table442466[[#This Row],[Change]],"")</f>
        <v/>
      </c>
      <c r="S45" s="5" t="b">
        <f>ISNUMBER(Table442466[[#This Row],[If Male]])</f>
        <v>0</v>
      </c>
      <c r="T45" s="5" t="b">
        <f>ISNUMBER(Table442466[[#This Row],[If Female]])</f>
        <v>0</v>
      </c>
    </row>
    <row r="46" spans="1:20">
      <c r="A46" s="1" t="s">
        <v>24</v>
      </c>
      <c r="B46" s="1" t="s">
        <v>23</v>
      </c>
      <c r="C46" s="1">
        <v>13</v>
      </c>
      <c r="D46" s="1" t="s">
        <v>16</v>
      </c>
      <c r="E46" s="5" t="s">
        <v>171</v>
      </c>
      <c r="F46" s="1">
        <v>2</v>
      </c>
      <c r="G46" s="1">
        <v>3</v>
      </c>
      <c r="I46" s="5" t="str">
        <f>IF(IF(Table442466[[#This Row],[Pre or Post]]="Pre",1,0)+IF(ISNUMBER(Table442466[[#This Row],[Response]])=TRUE,1,0)=2,1,"")</f>
        <v/>
      </c>
      <c r="J46" s="5">
        <f>IF(IF(Table442466[[#This Row],[Pre or Post]]="Post",1,0)+IF(ISNUMBER(Table442466[[#This Row],[Response]])=TRUE,1,0)=2,1,"")</f>
        <v>1</v>
      </c>
      <c r="K46" s="6" t="str">
        <f>IF(IF(Table442466[[#This Row],[Pre or Post]]="Pre",1,0)+IF(ISNUMBER(Table442466[[#This Row],[Response]])=TRUE,1,0)=2,Table442466[[#This Row],[Response]],"")</f>
        <v/>
      </c>
      <c r="L46" s="6">
        <f>IF(IF(Table442466[[#This Row],[Pre or Post]]="Post",1,0)+IF(ISNUMBER(Table442466[[#This Row],[Response]])=TRUE,1,0)=2,Table442466[[#This Row],[Response]],"")</f>
        <v>3</v>
      </c>
      <c r="M46" s="5" t="str">
        <f>IF(IF(ISNUMBER(K46),1,0)+IF(ISNUMBER(L47),1,0)=2,IF(IF(C47=C46,1,0)+IF(B47=B46,1,0)+IF(D47="Post",1,0)+IF(D46="Pre",1,0)=4,Table442466[[#This Row],[Pre Total]],""),"")</f>
        <v/>
      </c>
      <c r="N46" s="5">
        <f>IF(IF(ISNUMBER(K45),1,0)+IF(ISNUMBER(Table442466[[#This Row],[Post Total]]),1,0)=2,IF(IF(Table442466[[#This Row],[Student Number]]=C45,1,0)+IF(Table442466[[#This Row],[Session]]=B45,1,0)+IF(Table442466[[#This Row],[Pre or Post]]="Post",1,0)+IF(D45="Pre",1,0)=4,Table442466[[#This Row],[Post Total]],""),"")</f>
        <v>3</v>
      </c>
      <c r="O46" s="5">
        <f>IF(IF(ISNUMBER(K45),1,0)+IF(ISNUMBER(Table442466[[#This Row],[Post Total]]),1,0)=2,IF(IF(Table442466[[#This Row],[Student Number]]=C45,1,0)+IF(Table442466[[#This Row],[Session]]=B45,1,0)+IF(Table442466[[#This Row],[Pre or Post]]="Post",1,0)+IF(D45="Pre",1,0)=4,Table442466[[#This Row],[Post Total]]-K45,""),"")</f>
        <v>0</v>
      </c>
      <c r="P46" s="5" t="b">
        <f>ISNUMBER(Table442466[[#This Row],[Change]])</f>
        <v>1</v>
      </c>
      <c r="Q46" s="5">
        <f>IF(E45="Male",Table442466[[#This Row],[Change]],"")</f>
        <v>0</v>
      </c>
      <c r="R46" s="5" t="str">
        <f>IF(E45="Female",Table442466[[#This Row],[Change]],"")</f>
        <v/>
      </c>
      <c r="S46" s="5" t="b">
        <f>ISNUMBER(Table442466[[#This Row],[If Male]])</f>
        <v>1</v>
      </c>
      <c r="T46" s="5" t="b">
        <f>ISNUMBER(Table442466[[#This Row],[If Female]])</f>
        <v>0</v>
      </c>
    </row>
    <row r="47" spans="1:20">
      <c r="A47" s="1" t="s">
        <v>24</v>
      </c>
      <c r="B47" s="1" t="s">
        <v>23</v>
      </c>
      <c r="C47" s="1">
        <v>14</v>
      </c>
      <c r="D47" s="1" t="s">
        <v>6</v>
      </c>
      <c r="E47" s="5" t="s">
        <v>7</v>
      </c>
      <c r="F47" s="1">
        <v>9</v>
      </c>
      <c r="G47" s="1">
        <v>2</v>
      </c>
      <c r="H47" s="2"/>
      <c r="I47" s="6">
        <f>IF(IF(Table442466[[#This Row],[Pre or Post]]="Pre",1,0)+IF(ISNUMBER(Table442466[[#This Row],[Response]])=TRUE,1,0)=2,1,"")</f>
        <v>1</v>
      </c>
      <c r="J47" s="6" t="str">
        <f>IF(IF(Table442466[[#This Row],[Pre or Post]]="Post",1,0)+IF(ISNUMBER(Table442466[[#This Row],[Response]])=TRUE,1,0)=2,1,"")</f>
        <v/>
      </c>
      <c r="K47" s="6">
        <f>IF(IF(Table442466[[#This Row],[Pre or Post]]="Pre",1,0)+IF(ISNUMBER(Table442466[[#This Row],[Response]])=TRUE,1,0)=2,Table442466[[#This Row],[Response]],"")</f>
        <v>2</v>
      </c>
      <c r="L47" s="6" t="str">
        <f>IF(IF(Table442466[[#This Row],[Pre or Post]]="Post",1,0)+IF(ISNUMBER(Table442466[[#This Row],[Response]])=TRUE,1,0)=2,Table442466[[#This Row],[Response]],"")</f>
        <v/>
      </c>
      <c r="M47" s="6">
        <f>IF(IF(ISNUMBER(K47),1,0)+IF(ISNUMBER(L48),1,0)=2,IF(IF(C48=C47,1,0)+IF(B48=B47,1,0)+IF(D48="Post",1,0)+IF(D47="Pre",1,0)=4,Table442466[[#This Row],[Pre Total]],""),"")</f>
        <v>2</v>
      </c>
      <c r="N47" s="6" t="str">
        <f>IF(IF(ISNUMBER(K46),1,0)+IF(ISNUMBER(Table442466[[#This Row],[Post Total]]),1,0)=2,IF(IF(Table442466[[#This Row],[Student Number]]=C46,1,0)+IF(Table442466[[#This Row],[Session]]=B46,1,0)+IF(Table442466[[#This Row],[Pre or Post]]="Post",1,0)+IF(D46="Pre",1,0)=4,Table442466[[#This Row],[Post Total]],""),"")</f>
        <v/>
      </c>
      <c r="O47" s="6" t="str">
        <f>IF(IF(ISNUMBER(K46),1,0)+IF(ISNUMBER(Table442466[[#This Row],[Post Total]]),1,0)=2,IF(IF(Table442466[[#This Row],[Student Number]]=C46,1,0)+IF(Table442466[[#This Row],[Session]]=B46,1,0)+IF(Table442466[[#This Row],[Pre or Post]]="Post",1,0)+IF(D46="Pre",1,0)=4,Table442466[[#This Row],[Post Total]]-K46,""),"")</f>
        <v/>
      </c>
      <c r="P47" s="6" t="b">
        <f>ISNUMBER(Table442466[[#This Row],[Change]])</f>
        <v>0</v>
      </c>
      <c r="Q47" s="5" t="str">
        <f>IF(E46="Male",Table442466[[#This Row],[Change]],"")</f>
        <v/>
      </c>
      <c r="R47" s="5" t="str">
        <f>IF(E46="Female",Table442466[[#This Row],[Change]],"")</f>
        <v/>
      </c>
      <c r="S47" s="5" t="b">
        <f>ISNUMBER(Table442466[[#This Row],[If Male]])</f>
        <v>0</v>
      </c>
      <c r="T47" s="5" t="b">
        <f>ISNUMBER(Table442466[[#This Row],[If Female]])</f>
        <v>0</v>
      </c>
    </row>
    <row r="48" spans="1:20">
      <c r="A48" s="1" t="s">
        <v>24</v>
      </c>
      <c r="B48" s="1" t="s">
        <v>23</v>
      </c>
      <c r="C48" s="1">
        <v>14</v>
      </c>
      <c r="D48" s="1" t="s">
        <v>16</v>
      </c>
      <c r="E48" s="5" t="s">
        <v>171</v>
      </c>
      <c r="F48" s="1">
        <v>2</v>
      </c>
      <c r="G48" s="1">
        <v>3</v>
      </c>
      <c r="H48" s="2"/>
      <c r="I48" s="5" t="str">
        <f>IF(IF(Table442466[[#This Row],[Pre or Post]]="Pre",1,0)+IF(ISNUMBER(Table442466[[#This Row],[Response]])=TRUE,1,0)=2,1,"")</f>
        <v/>
      </c>
      <c r="J48" s="5">
        <f>IF(IF(Table442466[[#This Row],[Pre or Post]]="Post",1,0)+IF(ISNUMBER(Table442466[[#This Row],[Response]])=TRUE,1,0)=2,1,"")</f>
        <v>1</v>
      </c>
      <c r="K48" s="6" t="str">
        <f>IF(IF(Table442466[[#This Row],[Pre or Post]]="Pre",1,0)+IF(ISNUMBER(Table442466[[#This Row],[Response]])=TRUE,1,0)=2,Table442466[[#This Row],[Response]],"")</f>
        <v/>
      </c>
      <c r="L48" s="6">
        <f>IF(IF(Table442466[[#This Row],[Pre or Post]]="Post",1,0)+IF(ISNUMBER(Table442466[[#This Row],[Response]])=TRUE,1,0)=2,Table442466[[#This Row],[Response]],"")</f>
        <v>3</v>
      </c>
      <c r="M48" s="5" t="str">
        <f>IF(IF(ISNUMBER(K48),1,0)+IF(ISNUMBER(L49),1,0)=2,IF(IF(C49=C48,1,0)+IF(B49=B48,1,0)+IF(D49="Post",1,0)+IF(D48="Pre",1,0)=4,Table442466[[#This Row],[Pre Total]],""),"")</f>
        <v/>
      </c>
      <c r="N48" s="5">
        <f>IF(IF(ISNUMBER(K47),1,0)+IF(ISNUMBER(Table442466[[#This Row],[Post Total]]),1,0)=2,IF(IF(Table442466[[#This Row],[Student Number]]=C47,1,0)+IF(Table442466[[#This Row],[Session]]=B47,1,0)+IF(Table442466[[#This Row],[Pre or Post]]="Post",1,0)+IF(D47="Pre",1,0)=4,Table442466[[#This Row],[Post Total]],""),"")</f>
        <v>3</v>
      </c>
      <c r="O48" s="5">
        <f>IF(IF(ISNUMBER(K47),1,0)+IF(ISNUMBER(Table442466[[#This Row],[Post Total]]),1,0)=2,IF(IF(Table442466[[#This Row],[Student Number]]=C47,1,0)+IF(Table442466[[#This Row],[Session]]=B47,1,0)+IF(Table442466[[#This Row],[Pre or Post]]="Post",1,0)+IF(D47="Pre",1,0)=4,Table442466[[#This Row],[Post Total]]-K47,""),"")</f>
        <v>1</v>
      </c>
      <c r="P48" s="5" t="b">
        <f>ISNUMBER(Table442466[[#This Row],[Change]])</f>
        <v>1</v>
      </c>
      <c r="Q48" s="5">
        <f>IF(E47="Male",Table442466[[#This Row],[Change]],"")</f>
        <v>1</v>
      </c>
      <c r="R48" s="5" t="str">
        <f>IF(E47="Female",Table442466[[#This Row],[Change]],"")</f>
        <v/>
      </c>
      <c r="S48" s="5" t="b">
        <f>ISNUMBER(Table442466[[#This Row],[If Male]])</f>
        <v>1</v>
      </c>
      <c r="T48" s="5" t="b">
        <f>ISNUMBER(Table442466[[#This Row],[If Female]])</f>
        <v>0</v>
      </c>
    </row>
    <row r="49" spans="1:20">
      <c r="A49" s="1" t="s">
        <v>24</v>
      </c>
      <c r="B49" s="1" t="s">
        <v>23</v>
      </c>
      <c r="C49" s="1">
        <v>15</v>
      </c>
      <c r="D49" s="1" t="s">
        <v>6</v>
      </c>
      <c r="E49" s="5" t="s">
        <v>7</v>
      </c>
      <c r="F49" s="1">
        <v>9</v>
      </c>
      <c r="G49" s="1">
        <v>4</v>
      </c>
      <c r="H49" s="2"/>
      <c r="I49" s="6">
        <f>IF(IF(Table442466[[#This Row],[Pre or Post]]="Pre",1,0)+IF(ISNUMBER(Table442466[[#This Row],[Response]])=TRUE,1,0)=2,1,"")</f>
        <v>1</v>
      </c>
      <c r="J49" s="6" t="str">
        <f>IF(IF(Table442466[[#This Row],[Pre or Post]]="Post",1,0)+IF(ISNUMBER(Table442466[[#This Row],[Response]])=TRUE,1,0)=2,1,"")</f>
        <v/>
      </c>
      <c r="K49" s="6">
        <f>IF(IF(Table442466[[#This Row],[Pre or Post]]="Pre",1,0)+IF(ISNUMBER(Table442466[[#This Row],[Response]])=TRUE,1,0)=2,Table442466[[#This Row],[Response]],"")</f>
        <v>4</v>
      </c>
      <c r="L49" s="6" t="str">
        <f>IF(IF(Table442466[[#This Row],[Pre or Post]]="Post",1,0)+IF(ISNUMBER(Table442466[[#This Row],[Response]])=TRUE,1,0)=2,Table442466[[#This Row],[Response]],"")</f>
        <v/>
      </c>
      <c r="M49" s="6">
        <f>IF(IF(ISNUMBER(K49),1,0)+IF(ISNUMBER(L50),1,0)=2,IF(IF(C50=C49,1,0)+IF(B50=B49,1,0)+IF(D50="Post",1,0)+IF(D49="Pre",1,0)=4,Table442466[[#This Row],[Pre Total]],""),"")</f>
        <v>4</v>
      </c>
      <c r="N49" s="6" t="str">
        <f>IF(IF(ISNUMBER(K48),1,0)+IF(ISNUMBER(Table442466[[#This Row],[Post Total]]),1,0)=2,IF(IF(Table442466[[#This Row],[Student Number]]=C48,1,0)+IF(Table442466[[#This Row],[Session]]=B48,1,0)+IF(Table442466[[#This Row],[Pre or Post]]="Post",1,0)+IF(D48="Pre",1,0)=4,Table442466[[#This Row],[Post Total]],""),"")</f>
        <v/>
      </c>
      <c r="O49" s="6" t="str">
        <f>IF(IF(ISNUMBER(K48),1,0)+IF(ISNUMBER(Table442466[[#This Row],[Post Total]]),1,0)=2,IF(IF(Table442466[[#This Row],[Student Number]]=C48,1,0)+IF(Table442466[[#This Row],[Session]]=B48,1,0)+IF(Table442466[[#This Row],[Pre or Post]]="Post",1,0)+IF(D48="Pre",1,0)=4,Table442466[[#This Row],[Post Total]]-K48,""),"")</f>
        <v/>
      </c>
      <c r="P49" s="6" t="b">
        <f>ISNUMBER(Table442466[[#This Row],[Change]])</f>
        <v>0</v>
      </c>
      <c r="Q49" s="5" t="str">
        <f>IF(E48="Male",Table442466[[#This Row],[Change]],"")</f>
        <v/>
      </c>
      <c r="R49" s="5" t="str">
        <f>IF(E48="Female",Table442466[[#This Row],[Change]],"")</f>
        <v/>
      </c>
      <c r="S49" s="5" t="b">
        <f>ISNUMBER(Table442466[[#This Row],[If Male]])</f>
        <v>0</v>
      </c>
      <c r="T49" s="5" t="b">
        <f>ISNUMBER(Table442466[[#This Row],[If Female]])</f>
        <v>0</v>
      </c>
    </row>
    <row r="50" spans="1:20">
      <c r="A50" s="1" t="s">
        <v>24</v>
      </c>
      <c r="B50" s="1" t="s">
        <v>23</v>
      </c>
      <c r="C50" s="1">
        <v>15</v>
      </c>
      <c r="D50" s="1" t="s">
        <v>16</v>
      </c>
      <c r="E50" s="5" t="s">
        <v>171</v>
      </c>
      <c r="F50" s="1">
        <v>2</v>
      </c>
      <c r="G50" s="1">
        <v>4</v>
      </c>
      <c r="I50" s="5" t="str">
        <f>IF(IF(Table442466[[#This Row],[Pre or Post]]="Pre",1,0)+IF(ISNUMBER(Table442466[[#This Row],[Response]])=TRUE,1,0)=2,1,"")</f>
        <v/>
      </c>
      <c r="J50" s="5">
        <f>IF(IF(Table442466[[#This Row],[Pre or Post]]="Post",1,0)+IF(ISNUMBER(Table442466[[#This Row],[Response]])=TRUE,1,0)=2,1,"")</f>
        <v>1</v>
      </c>
      <c r="K50" s="6" t="str">
        <f>IF(IF(Table442466[[#This Row],[Pre or Post]]="Pre",1,0)+IF(ISNUMBER(Table442466[[#This Row],[Response]])=TRUE,1,0)=2,Table442466[[#This Row],[Response]],"")</f>
        <v/>
      </c>
      <c r="L50" s="6">
        <f>IF(IF(Table442466[[#This Row],[Pre or Post]]="Post",1,0)+IF(ISNUMBER(Table442466[[#This Row],[Response]])=TRUE,1,0)=2,Table442466[[#This Row],[Response]],"")</f>
        <v>4</v>
      </c>
      <c r="M50" s="5" t="str">
        <f>IF(IF(ISNUMBER(K50),1,0)+IF(ISNUMBER(L51),1,0)=2,IF(IF(C51=C50,1,0)+IF(B51=B50,1,0)+IF(D51="Post",1,0)+IF(D50="Pre",1,0)=4,Table442466[[#This Row],[Pre Total]],""),"")</f>
        <v/>
      </c>
      <c r="N50" s="5">
        <f>IF(IF(ISNUMBER(K49),1,0)+IF(ISNUMBER(Table442466[[#This Row],[Post Total]]),1,0)=2,IF(IF(Table442466[[#This Row],[Student Number]]=C49,1,0)+IF(Table442466[[#This Row],[Session]]=B49,1,0)+IF(Table442466[[#This Row],[Pre or Post]]="Post",1,0)+IF(D49="Pre",1,0)=4,Table442466[[#This Row],[Post Total]],""),"")</f>
        <v>4</v>
      </c>
      <c r="O50" s="5">
        <f>IF(IF(ISNUMBER(K49),1,0)+IF(ISNUMBER(Table442466[[#This Row],[Post Total]]),1,0)=2,IF(IF(Table442466[[#This Row],[Student Number]]=C49,1,0)+IF(Table442466[[#This Row],[Session]]=B49,1,0)+IF(Table442466[[#This Row],[Pre or Post]]="Post",1,0)+IF(D49="Pre",1,0)=4,Table442466[[#This Row],[Post Total]]-K49,""),"")</f>
        <v>0</v>
      </c>
      <c r="P50" s="5" t="b">
        <f>ISNUMBER(Table442466[[#This Row],[Change]])</f>
        <v>1</v>
      </c>
      <c r="Q50" s="5">
        <f>IF(E49="Male",Table442466[[#This Row],[Change]],"")</f>
        <v>0</v>
      </c>
      <c r="R50" s="5" t="str">
        <f>IF(E49="Female",Table442466[[#This Row],[Change]],"")</f>
        <v/>
      </c>
      <c r="S50" s="5" t="b">
        <f>ISNUMBER(Table442466[[#This Row],[If Male]])</f>
        <v>1</v>
      </c>
      <c r="T50" s="5" t="b">
        <f>ISNUMBER(Table442466[[#This Row],[If Female]])</f>
        <v>0</v>
      </c>
    </row>
    <row r="51" spans="1:20">
      <c r="A51" s="1" t="s">
        <v>24</v>
      </c>
      <c r="B51" s="1" t="s">
        <v>23</v>
      </c>
      <c r="C51" s="1">
        <v>16</v>
      </c>
      <c r="D51" s="1" t="s">
        <v>6</v>
      </c>
      <c r="E51" s="5" t="s">
        <v>7</v>
      </c>
      <c r="F51" s="1">
        <v>9</v>
      </c>
      <c r="G51" s="1">
        <v>3</v>
      </c>
      <c r="H51" s="2"/>
      <c r="I51" s="6">
        <f>IF(IF(Table442466[[#This Row],[Pre or Post]]="Pre",1,0)+IF(ISNUMBER(Table442466[[#This Row],[Response]])=TRUE,1,0)=2,1,"")</f>
        <v>1</v>
      </c>
      <c r="J51" s="6" t="str">
        <f>IF(IF(Table442466[[#This Row],[Pre or Post]]="Post",1,0)+IF(ISNUMBER(Table442466[[#This Row],[Response]])=TRUE,1,0)=2,1,"")</f>
        <v/>
      </c>
      <c r="K51" s="6">
        <f>IF(IF(Table442466[[#This Row],[Pre or Post]]="Pre",1,0)+IF(ISNUMBER(Table442466[[#This Row],[Response]])=TRUE,1,0)=2,Table442466[[#This Row],[Response]],"")</f>
        <v>3</v>
      </c>
      <c r="L51" s="6" t="str">
        <f>IF(IF(Table442466[[#This Row],[Pre or Post]]="Post",1,0)+IF(ISNUMBER(Table442466[[#This Row],[Response]])=TRUE,1,0)=2,Table442466[[#This Row],[Response]],"")</f>
        <v/>
      </c>
      <c r="M51" s="6">
        <f>IF(IF(ISNUMBER(K51),1,0)+IF(ISNUMBER(L52),1,0)=2,IF(IF(C52=C51,1,0)+IF(B52=B51,1,0)+IF(D52="Post",1,0)+IF(D51="Pre",1,0)=4,Table442466[[#This Row],[Pre Total]],""),"")</f>
        <v>3</v>
      </c>
      <c r="N51" s="6" t="str">
        <f>IF(IF(ISNUMBER(K50),1,0)+IF(ISNUMBER(Table442466[[#This Row],[Post Total]]),1,0)=2,IF(IF(Table442466[[#This Row],[Student Number]]=C50,1,0)+IF(Table442466[[#This Row],[Session]]=B50,1,0)+IF(Table442466[[#This Row],[Pre or Post]]="Post",1,0)+IF(D50="Pre",1,0)=4,Table442466[[#This Row],[Post Total]],""),"")</f>
        <v/>
      </c>
      <c r="O51" s="6" t="str">
        <f>IF(IF(ISNUMBER(K50),1,0)+IF(ISNUMBER(Table442466[[#This Row],[Post Total]]),1,0)=2,IF(IF(Table442466[[#This Row],[Student Number]]=C50,1,0)+IF(Table442466[[#This Row],[Session]]=B50,1,0)+IF(Table442466[[#This Row],[Pre or Post]]="Post",1,0)+IF(D50="Pre",1,0)=4,Table442466[[#This Row],[Post Total]]-K50,""),"")</f>
        <v/>
      </c>
      <c r="P51" s="6" t="b">
        <f>ISNUMBER(Table442466[[#This Row],[Change]])</f>
        <v>0</v>
      </c>
      <c r="Q51" s="5" t="str">
        <f>IF(E50="Male",Table442466[[#This Row],[Change]],"")</f>
        <v/>
      </c>
      <c r="R51" s="5" t="str">
        <f>IF(E50="Female",Table442466[[#This Row],[Change]],"")</f>
        <v/>
      </c>
      <c r="S51" s="5" t="b">
        <f>ISNUMBER(Table442466[[#This Row],[If Male]])</f>
        <v>0</v>
      </c>
      <c r="T51" s="5" t="b">
        <f>ISNUMBER(Table442466[[#This Row],[If Female]])</f>
        <v>0</v>
      </c>
    </row>
    <row r="52" spans="1:20">
      <c r="A52" s="1" t="s">
        <v>24</v>
      </c>
      <c r="B52" s="1" t="s">
        <v>23</v>
      </c>
      <c r="C52" s="1">
        <v>16</v>
      </c>
      <c r="D52" s="1" t="s">
        <v>16</v>
      </c>
      <c r="E52" s="5" t="s">
        <v>171</v>
      </c>
      <c r="F52" s="1">
        <v>2</v>
      </c>
      <c r="G52" s="1">
        <v>3</v>
      </c>
      <c r="H52" s="2"/>
      <c r="I52" s="5" t="str">
        <f>IF(IF(Table442466[[#This Row],[Pre or Post]]="Pre",1,0)+IF(ISNUMBER(Table442466[[#This Row],[Response]])=TRUE,1,0)=2,1,"")</f>
        <v/>
      </c>
      <c r="J52" s="5">
        <f>IF(IF(Table442466[[#This Row],[Pre or Post]]="Post",1,0)+IF(ISNUMBER(Table442466[[#This Row],[Response]])=TRUE,1,0)=2,1,"")</f>
        <v>1</v>
      </c>
      <c r="K52" s="6" t="str">
        <f>IF(IF(Table442466[[#This Row],[Pre or Post]]="Pre",1,0)+IF(ISNUMBER(Table442466[[#This Row],[Response]])=TRUE,1,0)=2,Table442466[[#This Row],[Response]],"")</f>
        <v/>
      </c>
      <c r="L52" s="6">
        <f>IF(IF(Table442466[[#This Row],[Pre or Post]]="Post",1,0)+IF(ISNUMBER(Table442466[[#This Row],[Response]])=TRUE,1,0)=2,Table442466[[#This Row],[Response]],"")</f>
        <v>3</v>
      </c>
      <c r="M52" s="5" t="str">
        <f>IF(IF(ISNUMBER(K52),1,0)+IF(ISNUMBER(L53),1,0)=2,IF(IF(C53=C52,1,0)+IF(B53=B52,1,0)+IF(D53="Post",1,0)+IF(D52="Pre",1,0)=4,Table442466[[#This Row],[Pre Total]],""),"")</f>
        <v/>
      </c>
      <c r="N52" s="5">
        <f>IF(IF(ISNUMBER(K51),1,0)+IF(ISNUMBER(Table442466[[#This Row],[Post Total]]),1,0)=2,IF(IF(Table442466[[#This Row],[Student Number]]=C51,1,0)+IF(Table442466[[#This Row],[Session]]=B51,1,0)+IF(Table442466[[#This Row],[Pre or Post]]="Post",1,0)+IF(D51="Pre",1,0)=4,Table442466[[#This Row],[Post Total]],""),"")</f>
        <v>3</v>
      </c>
      <c r="O52" s="5">
        <f>IF(IF(ISNUMBER(K51),1,0)+IF(ISNUMBER(Table442466[[#This Row],[Post Total]]),1,0)=2,IF(IF(Table442466[[#This Row],[Student Number]]=C51,1,0)+IF(Table442466[[#This Row],[Session]]=B51,1,0)+IF(Table442466[[#This Row],[Pre or Post]]="Post",1,0)+IF(D51="Pre",1,0)=4,Table442466[[#This Row],[Post Total]]-K51,""),"")</f>
        <v>0</v>
      </c>
      <c r="P52" s="5" t="b">
        <f>ISNUMBER(Table442466[[#This Row],[Change]])</f>
        <v>1</v>
      </c>
      <c r="Q52" s="5">
        <f>IF(E51="Male",Table442466[[#This Row],[Change]],"")</f>
        <v>0</v>
      </c>
      <c r="R52" s="5" t="str">
        <f>IF(E51="Female",Table442466[[#This Row],[Change]],"")</f>
        <v/>
      </c>
      <c r="S52" s="5" t="b">
        <f>ISNUMBER(Table442466[[#This Row],[If Male]])</f>
        <v>1</v>
      </c>
      <c r="T52" s="5" t="b">
        <f>ISNUMBER(Table442466[[#This Row],[If Female]])</f>
        <v>0</v>
      </c>
    </row>
    <row r="53" spans="1:20">
      <c r="A53" s="1" t="s">
        <v>24</v>
      </c>
      <c r="B53" s="1" t="s">
        <v>25</v>
      </c>
      <c r="C53" s="1">
        <v>1</v>
      </c>
      <c r="D53" s="1" t="s">
        <v>6</v>
      </c>
      <c r="E53" s="5" t="s">
        <v>7</v>
      </c>
      <c r="F53" s="1">
        <v>9</v>
      </c>
      <c r="G53" s="1">
        <v>3</v>
      </c>
      <c r="H53" s="2"/>
      <c r="I53" s="6">
        <f>IF(IF(Table442466[[#This Row],[Pre or Post]]="Pre",1,0)+IF(ISNUMBER(Table442466[[#This Row],[Response]])=TRUE,1,0)=2,1,"")</f>
        <v>1</v>
      </c>
      <c r="J53" s="6" t="str">
        <f>IF(IF(Table442466[[#This Row],[Pre or Post]]="Post",1,0)+IF(ISNUMBER(Table442466[[#This Row],[Response]])=TRUE,1,0)=2,1,"")</f>
        <v/>
      </c>
      <c r="K53" s="6">
        <f>IF(IF(Table442466[[#This Row],[Pre or Post]]="Pre",1,0)+IF(ISNUMBER(Table442466[[#This Row],[Response]])=TRUE,1,0)=2,Table442466[[#This Row],[Response]],"")</f>
        <v>3</v>
      </c>
      <c r="L53" s="6" t="str">
        <f>IF(IF(Table442466[[#This Row],[Pre or Post]]="Post",1,0)+IF(ISNUMBER(Table442466[[#This Row],[Response]])=TRUE,1,0)=2,Table442466[[#This Row],[Response]],"")</f>
        <v/>
      </c>
      <c r="M53" s="6">
        <f>IF(IF(ISNUMBER(K53),1,0)+IF(ISNUMBER(L54),1,0)=2,IF(IF(C54=C53,1,0)+IF(B54=B53,1,0)+IF(D54="Post",1,0)+IF(D53="Pre",1,0)=4,Table442466[[#This Row],[Pre Total]],""),"")</f>
        <v>3</v>
      </c>
      <c r="N53" s="6" t="str">
        <f>IF(IF(ISNUMBER(K52),1,0)+IF(ISNUMBER(Table442466[[#This Row],[Post Total]]),1,0)=2,IF(IF(Table442466[[#This Row],[Student Number]]=C52,1,0)+IF(Table442466[[#This Row],[Session]]=B52,1,0)+IF(Table442466[[#This Row],[Pre or Post]]="Post",1,0)+IF(D52="Pre",1,0)=4,Table442466[[#This Row],[Post Total]],""),"")</f>
        <v/>
      </c>
      <c r="O53" s="6" t="str">
        <f>IF(IF(ISNUMBER(K52),1,0)+IF(ISNUMBER(Table442466[[#This Row],[Post Total]]),1,0)=2,IF(IF(Table442466[[#This Row],[Student Number]]=C52,1,0)+IF(Table442466[[#This Row],[Session]]=B52,1,0)+IF(Table442466[[#This Row],[Pre or Post]]="Post",1,0)+IF(D52="Pre",1,0)=4,Table442466[[#This Row],[Post Total]]-K52,""),"")</f>
        <v/>
      </c>
      <c r="P53" s="6" t="b">
        <f>ISNUMBER(Table442466[[#This Row],[Change]])</f>
        <v>0</v>
      </c>
      <c r="Q53" s="5" t="str">
        <f>IF(E52="Male",Table442466[[#This Row],[Change]],"")</f>
        <v/>
      </c>
      <c r="R53" s="5" t="str">
        <f>IF(E52="Female",Table442466[[#This Row],[Change]],"")</f>
        <v/>
      </c>
      <c r="S53" s="5" t="b">
        <f>ISNUMBER(Table442466[[#This Row],[If Male]])</f>
        <v>0</v>
      </c>
      <c r="T53" s="5" t="b">
        <f>ISNUMBER(Table442466[[#This Row],[If Female]])</f>
        <v>0</v>
      </c>
    </row>
    <row r="54" spans="1:20">
      <c r="A54" s="1" t="s">
        <v>24</v>
      </c>
      <c r="B54" s="1" t="s">
        <v>25</v>
      </c>
      <c r="C54" s="1">
        <v>1</v>
      </c>
      <c r="D54" s="1" t="s">
        <v>16</v>
      </c>
      <c r="E54" s="5" t="s">
        <v>171</v>
      </c>
      <c r="F54" s="1">
        <v>2</v>
      </c>
      <c r="G54" s="1">
        <v>3</v>
      </c>
      <c r="I54" s="5" t="str">
        <f>IF(IF(Table442466[[#This Row],[Pre or Post]]="Pre",1,0)+IF(ISNUMBER(Table442466[[#This Row],[Response]])=TRUE,1,0)=2,1,"")</f>
        <v/>
      </c>
      <c r="J54" s="5">
        <f>IF(IF(Table442466[[#This Row],[Pre or Post]]="Post",1,0)+IF(ISNUMBER(Table442466[[#This Row],[Response]])=TRUE,1,0)=2,1,"")</f>
        <v>1</v>
      </c>
      <c r="K54" s="6" t="str">
        <f>IF(IF(Table442466[[#This Row],[Pre or Post]]="Pre",1,0)+IF(ISNUMBER(Table442466[[#This Row],[Response]])=TRUE,1,0)=2,Table442466[[#This Row],[Response]],"")</f>
        <v/>
      </c>
      <c r="L54" s="6">
        <f>IF(IF(Table442466[[#This Row],[Pre or Post]]="Post",1,0)+IF(ISNUMBER(Table442466[[#This Row],[Response]])=TRUE,1,0)=2,Table442466[[#This Row],[Response]],"")</f>
        <v>3</v>
      </c>
      <c r="M54" s="5" t="str">
        <f>IF(IF(ISNUMBER(K54),1,0)+IF(ISNUMBER(L55),1,0)=2,IF(IF(C55=C54,1,0)+IF(B55=B54,1,0)+IF(D55="Post",1,0)+IF(D54="Pre",1,0)=4,Table442466[[#This Row],[Pre Total]],""),"")</f>
        <v/>
      </c>
      <c r="N54" s="5">
        <f>IF(IF(ISNUMBER(K53),1,0)+IF(ISNUMBER(Table442466[[#This Row],[Post Total]]),1,0)=2,IF(IF(Table442466[[#This Row],[Student Number]]=C53,1,0)+IF(Table442466[[#This Row],[Session]]=B53,1,0)+IF(Table442466[[#This Row],[Pre or Post]]="Post",1,0)+IF(D53="Pre",1,0)=4,Table442466[[#This Row],[Post Total]],""),"")</f>
        <v>3</v>
      </c>
      <c r="O54" s="5">
        <f>IF(IF(ISNUMBER(K53),1,0)+IF(ISNUMBER(Table442466[[#This Row],[Post Total]]),1,0)=2,IF(IF(Table442466[[#This Row],[Student Number]]=C53,1,0)+IF(Table442466[[#This Row],[Session]]=B53,1,0)+IF(Table442466[[#This Row],[Pre or Post]]="Post",1,0)+IF(D53="Pre",1,0)=4,Table442466[[#This Row],[Post Total]]-K53,""),"")</f>
        <v>0</v>
      </c>
      <c r="P54" s="5" t="b">
        <f>ISNUMBER(Table442466[[#This Row],[Change]])</f>
        <v>1</v>
      </c>
      <c r="Q54" s="5">
        <f>IF(E53="Male",Table442466[[#This Row],[Change]],"")</f>
        <v>0</v>
      </c>
      <c r="R54" s="5" t="str">
        <f>IF(E53="Female",Table442466[[#This Row],[Change]],"")</f>
        <v/>
      </c>
      <c r="S54" s="5" t="b">
        <f>ISNUMBER(Table442466[[#This Row],[If Male]])</f>
        <v>1</v>
      </c>
      <c r="T54" s="5" t="b">
        <f>ISNUMBER(Table442466[[#This Row],[If Female]])</f>
        <v>0</v>
      </c>
    </row>
    <row r="55" spans="1:20">
      <c r="A55" s="1" t="s">
        <v>24</v>
      </c>
      <c r="B55" s="1" t="s">
        <v>25</v>
      </c>
      <c r="C55" s="1">
        <v>2</v>
      </c>
      <c r="D55" s="1" t="s">
        <v>6</v>
      </c>
      <c r="E55" s="5" t="s">
        <v>7</v>
      </c>
      <c r="F55" s="1">
        <v>9</v>
      </c>
      <c r="G55" s="1">
        <v>3</v>
      </c>
      <c r="H55" s="2"/>
      <c r="I55" s="6">
        <f>IF(IF(Table442466[[#This Row],[Pre or Post]]="Pre",1,0)+IF(ISNUMBER(Table442466[[#This Row],[Response]])=TRUE,1,0)=2,1,"")</f>
        <v>1</v>
      </c>
      <c r="J55" s="6" t="str">
        <f>IF(IF(Table442466[[#This Row],[Pre or Post]]="Post",1,0)+IF(ISNUMBER(Table442466[[#This Row],[Response]])=TRUE,1,0)=2,1,"")</f>
        <v/>
      </c>
      <c r="K55" s="6">
        <f>IF(IF(Table442466[[#This Row],[Pre or Post]]="Pre",1,0)+IF(ISNUMBER(Table442466[[#This Row],[Response]])=TRUE,1,0)=2,Table442466[[#This Row],[Response]],"")</f>
        <v>3</v>
      </c>
      <c r="L55" s="6" t="str">
        <f>IF(IF(Table442466[[#This Row],[Pre or Post]]="Post",1,0)+IF(ISNUMBER(Table442466[[#This Row],[Response]])=TRUE,1,0)=2,Table442466[[#This Row],[Response]],"")</f>
        <v/>
      </c>
      <c r="M55" s="6">
        <f>IF(IF(ISNUMBER(K55),1,0)+IF(ISNUMBER(L56),1,0)=2,IF(IF(C56=C55,1,0)+IF(B56=B55,1,0)+IF(D56="Post",1,0)+IF(D55="Pre",1,0)=4,Table442466[[#This Row],[Pre Total]],""),"")</f>
        <v>3</v>
      </c>
      <c r="N55" s="6" t="str">
        <f>IF(IF(ISNUMBER(K54),1,0)+IF(ISNUMBER(Table442466[[#This Row],[Post Total]]),1,0)=2,IF(IF(Table442466[[#This Row],[Student Number]]=C54,1,0)+IF(Table442466[[#This Row],[Session]]=B54,1,0)+IF(Table442466[[#This Row],[Pre or Post]]="Post",1,0)+IF(D54="Pre",1,0)=4,Table442466[[#This Row],[Post Total]],""),"")</f>
        <v/>
      </c>
      <c r="O55" s="6" t="str">
        <f>IF(IF(ISNUMBER(K54),1,0)+IF(ISNUMBER(Table442466[[#This Row],[Post Total]]),1,0)=2,IF(IF(Table442466[[#This Row],[Student Number]]=C54,1,0)+IF(Table442466[[#This Row],[Session]]=B54,1,0)+IF(Table442466[[#This Row],[Pre or Post]]="Post",1,0)+IF(D54="Pre",1,0)=4,Table442466[[#This Row],[Post Total]]-K54,""),"")</f>
        <v/>
      </c>
      <c r="P55" s="6" t="b">
        <f>ISNUMBER(Table442466[[#This Row],[Change]])</f>
        <v>0</v>
      </c>
      <c r="Q55" s="5" t="str">
        <f>IF(E54="Male",Table442466[[#This Row],[Change]],"")</f>
        <v/>
      </c>
      <c r="R55" s="5" t="str">
        <f>IF(E54="Female",Table442466[[#This Row],[Change]],"")</f>
        <v/>
      </c>
      <c r="S55" s="5" t="b">
        <f>ISNUMBER(Table442466[[#This Row],[If Male]])</f>
        <v>0</v>
      </c>
      <c r="T55" s="5" t="b">
        <f>ISNUMBER(Table442466[[#This Row],[If Female]])</f>
        <v>0</v>
      </c>
    </row>
    <row r="56" spans="1:20">
      <c r="A56" s="1" t="s">
        <v>24</v>
      </c>
      <c r="B56" s="1" t="s">
        <v>25</v>
      </c>
      <c r="C56" s="1">
        <v>2</v>
      </c>
      <c r="D56" s="1" t="s">
        <v>16</v>
      </c>
      <c r="E56" s="5" t="s">
        <v>171</v>
      </c>
      <c r="F56" s="1">
        <v>2</v>
      </c>
      <c r="G56" s="1">
        <v>3</v>
      </c>
      <c r="H56" s="2"/>
      <c r="I56" s="5" t="str">
        <f>IF(IF(Table442466[[#This Row],[Pre or Post]]="Pre",1,0)+IF(ISNUMBER(Table442466[[#This Row],[Response]])=TRUE,1,0)=2,1,"")</f>
        <v/>
      </c>
      <c r="J56" s="5">
        <f>IF(IF(Table442466[[#This Row],[Pre or Post]]="Post",1,0)+IF(ISNUMBER(Table442466[[#This Row],[Response]])=TRUE,1,0)=2,1,"")</f>
        <v>1</v>
      </c>
      <c r="K56" s="6" t="str">
        <f>IF(IF(Table442466[[#This Row],[Pre or Post]]="Pre",1,0)+IF(ISNUMBER(Table442466[[#This Row],[Response]])=TRUE,1,0)=2,Table442466[[#This Row],[Response]],"")</f>
        <v/>
      </c>
      <c r="L56" s="6">
        <f>IF(IF(Table442466[[#This Row],[Pre or Post]]="Post",1,0)+IF(ISNUMBER(Table442466[[#This Row],[Response]])=TRUE,1,0)=2,Table442466[[#This Row],[Response]],"")</f>
        <v>3</v>
      </c>
      <c r="M56" s="5" t="str">
        <f>IF(IF(ISNUMBER(K56),1,0)+IF(ISNUMBER(L57),1,0)=2,IF(IF(C57=C56,1,0)+IF(B57=B56,1,0)+IF(D57="Post",1,0)+IF(D56="Pre",1,0)=4,Table442466[[#This Row],[Pre Total]],""),"")</f>
        <v/>
      </c>
      <c r="N56" s="5">
        <f>IF(IF(ISNUMBER(K55),1,0)+IF(ISNUMBER(Table442466[[#This Row],[Post Total]]),1,0)=2,IF(IF(Table442466[[#This Row],[Student Number]]=C55,1,0)+IF(Table442466[[#This Row],[Session]]=B55,1,0)+IF(Table442466[[#This Row],[Pre or Post]]="Post",1,0)+IF(D55="Pre",1,0)=4,Table442466[[#This Row],[Post Total]],""),"")</f>
        <v>3</v>
      </c>
      <c r="O56" s="5">
        <f>IF(IF(ISNUMBER(K55),1,0)+IF(ISNUMBER(Table442466[[#This Row],[Post Total]]),1,0)=2,IF(IF(Table442466[[#This Row],[Student Number]]=C55,1,0)+IF(Table442466[[#This Row],[Session]]=B55,1,0)+IF(Table442466[[#This Row],[Pre or Post]]="Post",1,0)+IF(D55="Pre",1,0)=4,Table442466[[#This Row],[Post Total]]-K55,""),"")</f>
        <v>0</v>
      </c>
      <c r="P56" s="5" t="b">
        <f>ISNUMBER(Table442466[[#This Row],[Change]])</f>
        <v>1</v>
      </c>
      <c r="Q56" s="5">
        <f>IF(E55="Male",Table442466[[#This Row],[Change]],"")</f>
        <v>0</v>
      </c>
      <c r="R56" s="5" t="str">
        <f>IF(E55="Female",Table442466[[#This Row],[Change]],"")</f>
        <v/>
      </c>
      <c r="S56" s="5" t="b">
        <f>ISNUMBER(Table442466[[#This Row],[If Male]])</f>
        <v>1</v>
      </c>
      <c r="T56" s="5" t="b">
        <f>ISNUMBER(Table442466[[#This Row],[If Female]])</f>
        <v>0</v>
      </c>
    </row>
    <row r="57" spans="1:20">
      <c r="A57" s="1" t="s">
        <v>24</v>
      </c>
      <c r="B57" s="1" t="s">
        <v>25</v>
      </c>
      <c r="C57" s="1">
        <v>3</v>
      </c>
      <c r="D57" s="1" t="s">
        <v>6</v>
      </c>
      <c r="E57" s="5" t="s">
        <v>13</v>
      </c>
      <c r="F57" s="1">
        <v>9</v>
      </c>
      <c r="G57" s="1">
        <v>3</v>
      </c>
      <c r="H57" s="2"/>
      <c r="I57" s="6">
        <f>IF(IF(Table442466[[#This Row],[Pre or Post]]="Pre",1,0)+IF(ISNUMBER(Table442466[[#This Row],[Response]])=TRUE,1,0)=2,1,"")</f>
        <v>1</v>
      </c>
      <c r="J57" s="6" t="str">
        <f>IF(IF(Table442466[[#This Row],[Pre or Post]]="Post",1,0)+IF(ISNUMBER(Table442466[[#This Row],[Response]])=TRUE,1,0)=2,1,"")</f>
        <v/>
      </c>
      <c r="K57" s="6">
        <f>IF(IF(Table442466[[#This Row],[Pre or Post]]="Pre",1,0)+IF(ISNUMBER(Table442466[[#This Row],[Response]])=TRUE,1,0)=2,Table442466[[#This Row],[Response]],"")</f>
        <v>3</v>
      </c>
      <c r="L57" s="6" t="str">
        <f>IF(IF(Table442466[[#This Row],[Pre or Post]]="Post",1,0)+IF(ISNUMBER(Table442466[[#This Row],[Response]])=TRUE,1,0)=2,Table442466[[#This Row],[Response]],"")</f>
        <v/>
      </c>
      <c r="M57" s="6">
        <f>IF(IF(ISNUMBER(K57),1,0)+IF(ISNUMBER(L58),1,0)=2,IF(IF(C58=C57,1,0)+IF(B58=B57,1,0)+IF(D58="Post",1,0)+IF(D57="Pre",1,0)=4,Table442466[[#This Row],[Pre Total]],""),"")</f>
        <v>3</v>
      </c>
      <c r="N57" s="6" t="str">
        <f>IF(IF(ISNUMBER(K56),1,0)+IF(ISNUMBER(Table442466[[#This Row],[Post Total]]),1,0)=2,IF(IF(Table442466[[#This Row],[Student Number]]=C56,1,0)+IF(Table442466[[#This Row],[Session]]=B56,1,0)+IF(Table442466[[#This Row],[Pre or Post]]="Post",1,0)+IF(D56="Pre",1,0)=4,Table442466[[#This Row],[Post Total]],""),"")</f>
        <v/>
      </c>
      <c r="O57" s="6" t="str">
        <f>IF(IF(ISNUMBER(K56),1,0)+IF(ISNUMBER(Table442466[[#This Row],[Post Total]]),1,0)=2,IF(IF(Table442466[[#This Row],[Student Number]]=C56,1,0)+IF(Table442466[[#This Row],[Session]]=B56,1,0)+IF(Table442466[[#This Row],[Pre or Post]]="Post",1,0)+IF(D56="Pre",1,0)=4,Table442466[[#This Row],[Post Total]]-K56,""),"")</f>
        <v/>
      </c>
      <c r="P57" s="6" t="b">
        <f>ISNUMBER(Table442466[[#This Row],[Change]])</f>
        <v>0</v>
      </c>
      <c r="Q57" s="5" t="str">
        <f>IF(E56="Male",Table442466[[#This Row],[Change]],"")</f>
        <v/>
      </c>
      <c r="R57" s="5" t="str">
        <f>IF(E56="Female",Table442466[[#This Row],[Change]],"")</f>
        <v/>
      </c>
      <c r="S57" s="5" t="b">
        <f>ISNUMBER(Table442466[[#This Row],[If Male]])</f>
        <v>0</v>
      </c>
      <c r="T57" s="5" t="b">
        <f>ISNUMBER(Table442466[[#This Row],[If Female]])</f>
        <v>0</v>
      </c>
    </row>
    <row r="58" spans="1:20">
      <c r="A58" s="1" t="s">
        <v>24</v>
      </c>
      <c r="B58" s="1" t="s">
        <v>25</v>
      </c>
      <c r="C58" s="1">
        <v>3</v>
      </c>
      <c r="D58" s="1" t="s">
        <v>16</v>
      </c>
      <c r="E58" s="5" t="s">
        <v>171</v>
      </c>
      <c r="F58" s="1">
        <v>2</v>
      </c>
      <c r="G58" s="1">
        <v>3</v>
      </c>
      <c r="H58" s="2"/>
      <c r="I58" s="5" t="str">
        <f>IF(IF(Table442466[[#This Row],[Pre or Post]]="Pre",1,0)+IF(ISNUMBER(Table442466[[#This Row],[Response]])=TRUE,1,0)=2,1,"")</f>
        <v/>
      </c>
      <c r="J58" s="5">
        <f>IF(IF(Table442466[[#This Row],[Pre or Post]]="Post",1,0)+IF(ISNUMBER(Table442466[[#This Row],[Response]])=TRUE,1,0)=2,1,"")</f>
        <v>1</v>
      </c>
      <c r="K58" s="6" t="str">
        <f>IF(IF(Table442466[[#This Row],[Pre or Post]]="Pre",1,0)+IF(ISNUMBER(Table442466[[#This Row],[Response]])=TRUE,1,0)=2,Table442466[[#This Row],[Response]],"")</f>
        <v/>
      </c>
      <c r="L58" s="6">
        <f>IF(IF(Table442466[[#This Row],[Pre or Post]]="Post",1,0)+IF(ISNUMBER(Table442466[[#This Row],[Response]])=TRUE,1,0)=2,Table442466[[#This Row],[Response]],"")</f>
        <v>3</v>
      </c>
      <c r="M58" s="5" t="str">
        <f>IF(IF(ISNUMBER(K58),1,0)+IF(ISNUMBER(L59),1,0)=2,IF(IF(C59=C58,1,0)+IF(B59=B58,1,0)+IF(D59="Post",1,0)+IF(D58="Pre",1,0)=4,Table442466[[#This Row],[Pre Total]],""),"")</f>
        <v/>
      </c>
      <c r="N58" s="5">
        <f>IF(IF(ISNUMBER(K57),1,0)+IF(ISNUMBER(Table442466[[#This Row],[Post Total]]),1,0)=2,IF(IF(Table442466[[#This Row],[Student Number]]=C57,1,0)+IF(Table442466[[#This Row],[Session]]=B57,1,0)+IF(Table442466[[#This Row],[Pre or Post]]="Post",1,0)+IF(D57="Pre",1,0)=4,Table442466[[#This Row],[Post Total]],""),"")</f>
        <v>3</v>
      </c>
      <c r="O58" s="5">
        <f>IF(IF(ISNUMBER(K57),1,0)+IF(ISNUMBER(Table442466[[#This Row],[Post Total]]),1,0)=2,IF(IF(Table442466[[#This Row],[Student Number]]=C57,1,0)+IF(Table442466[[#This Row],[Session]]=B57,1,0)+IF(Table442466[[#This Row],[Pre or Post]]="Post",1,0)+IF(D57="Pre",1,0)=4,Table442466[[#This Row],[Post Total]]-K57,""),"")</f>
        <v>0</v>
      </c>
      <c r="P58" s="5" t="b">
        <f>ISNUMBER(Table442466[[#This Row],[Change]])</f>
        <v>1</v>
      </c>
      <c r="Q58" s="5" t="str">
        <f>IF(E57="Male",Table442466[[#This Row],[Change]],"")</f>
        <v/>
      </c>
      <c r="R58" s="5">
        <f>IF(E57="Female",Table442466[[#This Row],[Change]],"")</f>
        <v>0</v>
      </c>
      <c r="S58" s="5" t="b">
        <f>ISNUMBER(Table442466[[#This Row],[If Male]])</f>
        <v>0</v>
      </c>
      <c r="T58" s="5" t="b">
        <f>ISNUMBER(Table442466[[#This Row],[If Female]])</f>
        <v>1</v>
      </c>
    </row>
    <row r="59" spans="1:20">
      <c r="A59" s="1" t="s">
        <v>24</v>
      </c>
      <c r="B59" s="1" t="s">
        <v>25</v>
      </c>
      <c r="C59" s="1">
        <v>4</v>
      </c>
      <c r="D59" s="1" t="s">
        <v>6</v>
      </c>
      <c r="E59" s="5" t="s">
        <v>7</v>
      </c>
      <c r="F59" s="1">
        <v>9</v>
      </c>
      <c r="G59" s="1">
        <v>3</v>
      </c>
      <c r="I59" s="5">
        <f>IF(IF(Table442466[[#This Row],[Pre or Post]]="Pre",1,0)+IF(ISNUMBER(Table442466[[#This Row],[Response]])=TRUE,1,0)=2,1,"")</f>
        <v>1</v>
      </c>
      <c r="J59" s="5" t="str">
        <f>IF(IF(Table442466[[#This Row],[Pre or Post]]="Post",1,0)+IF(ISNUMBER(Table442466[[#This Row],[Response]])=TRUE,1,0)=2,1,"")</f>
        <v/>
      </c>
      <c r="K59" s="6">
        <f>IF(IF(Table442466[[#This Row],[Pre or Post]]="Pre",1,0)+IF(ISNUMBER(Table442466[[#This Row],[Response]])=TRUE,1,0)=2,Table442466[[#This Row],[Response]],"")</f>
        <v>3</v>
      </c>
      <c r="L59" s="6" t="str">
        <f>IF(IF(Table442466[[#This Row],[Pre or Post]]="Post",1,0)+IF(ISNUMBER(Table442466[[#This Row],[Response]])=TRUE,1,0)=2,Table442466[[#This Row],[Response]],"")</f>
        <v/>
      </c>
      <c r="M59" s="5">
        <f>IF(IF(ISNUMBER(K59),1,0)+IF(ISNUMBER(L60),1,0)=2,IF(IF(C60=C59,1,0)+IF(B60=B59,1,0)+IF(D60="Post",1,0)+IF(D59="Pre",1,0)=4,Table442466[[#This Row],[Pre Total]],""),"")</f>
        <v>3</v>
      </c>
      <c r="N59" s="5" t="str">
        <f>IF(IF(ISNUMBER(K58),1,0)+IF(ISNUMBER(Table442466[[#This Row],[Post Total]]),1,0)=2,IF(IF(Table442466[[#This Row],[Student Number]]=C58,1,0)+IF(Table442466[[#This Row],[Session]]=B58,1,0)+IF(Table442466[[#This Row],[Pre or Post]]="Post",1,0)+IF(D58="Pre",1,0)=4,Table442466[[#This Row],[Post Total]],""),"")</f>
        <v/>
      </c>
      <c r="O59" s="5" t="str">
        <f>IF(IF(ISNUMBER(K58),1,0)+IF(ISNUMBER(Table442466[[#This Row],[Post Total]]),1,0)=2,IF(IF(Table442466[[#This Row],[Student Number]]=C58,1,0)+IF(Table442466[[#This Row],[Session]]=B58,1,0)+IF(Table442466[[#This Row],[Pre or Post]]="Post",1,0)+IF(D58="Pre",1,0)=4,Table442466[[#This Row],[Post Total]]-K58,""),"")</f>
        <v/>
      </c>
      <c r="P59" s="5" t="b">
        <f>ISNUMBER(Table442466[[#This Row],[Change]])</f>
        <v>0</v>
      </c>
      <c r="Q59" s="5" t="str">
        <f>IF(E58="Male",Table442466[[#This Row],[Change]],"")</f>
        <v/>
      </c>
      <c r="R59" s="5" t="str">
        <f>IF(E58="Female",Table442466[[#This Row],[Change]],"")</f>
        <v/>
      </c>
      <c r="S59" s="5" t="b">
        <f>ISNUMBER(Table442466[[#This Row],[If Male]])</f>
        <v>0</v>
      </c>
      <c r="T59" s="5" t="b">
        <f>ISNUMBER(Table442466[[#This Row],[If Female]])</f>
        <v>0</v>
      </c>
    </row>
    <row r="60" spans="1:20">
      <c r="A60" s="1" t="s">
        <v>24</v>
      </c>
      <c r="B60" s="1" t="s">
        <v>25</v>
      </c>
      <c r="C60" s="1">
        <v>4</v>
      </c>
      <c r="D60" s="1" t="s">
        <v>16</v>
      </c>
      <c r="E60" s="5" t="s">
        <v>171</v>
      </c>
      <c r="F60" s="1">
        <v>2</v>
      </c>
      <c r="G60" s="1">
        <v>3</v>
      </c>
      <c r="H60" s="2"/>
      <c r="I60" s="5" t="str">
        <f>IF(IF(Table442466[[#This Row],[Pre or Post]]="Pre",1,0)+IF(ISNUMBER(Table442466[[#This Row],[Response]])=TRUE,1,0)=2,1,"")</f>
        <v/>
      </c>
      <c r="J60" s="5">
        <f>IF(IF(Table442466[[#This Row],[Pre or Post]]="Post",1,0)+IF(ISNUMBER(Table442466[[#This Row],[Response]])=TRUE,1,0)=2,1,"")</f>
        <v>1</v>
      </c>
      <c r="K60" s="6" t="str">
        <f>IF(IF(Table442466[[#This Row],[Pre or Post]]="Pre",1,0)+IF(ISNUMBER(Table442466[[#This Row],[Response]])=TRUE,1,0)=2,Table442466[[#This Row],[Response]],"")</f>
        <v/>
      </c>
      <c r="L60" s="6">
        <f>IF(IF(Table442466[[#This Row],[Pre or Post]]="Post",1,0)+IF(ISNUMBER(Table442466[[#This Row],[Response]])=TRUE,1,0)=2,Table442466[[#This Row],[Response]],"")</f>
        <v>3</v>
      </c>
      <c r="M60" s="5" t="str">
        <f>IF(IF(ISNUMBER(K60),1,0)+IF(ISNUMBER(L61),1,0)=2,IF(IF(C61=C60,1,0)+IF(B61=B60,1,0)+IF(D61="Post",1,0)+IF(D60="Pre",1,0)=4,Table442466[[#This Row],[Pre Total]],""),"")</f>
        <v/>
      </c>
      <c r="N60" s="5">
        <f>IF(IF(ISNUMBER(K59),1,0)+IF(ISNUMBER(Table442466[[#This Row],[Post Total]]),1,0)=2,IF(IF(Table442466[[#This Row],[Student Number]]=C59,1,0)+IF(Table442466[[#This Row],[Session]]=B59,1,0)+IF(Table442466[[#This Row],[Pre or Post]]="Post",1,0)+IF(D59="Pre",1,0)=4,Table442466[[#This Row],[Post Total]],""),"")</f>
        <v>3</v>
      </c>
      <c r="O60" s="5">
        <f>IF(IF(ISNUMBER(K59),1,0)+IF(ISNUMBER(Table442466[[#This Row],[Post Total]]),1,0)=2,IF(IF(Table442466[[#This Row],[Student Number]]=C59,1,0)+IF(Table442466[[#This Row],[Session]]=B59,1,0)+IF(Table442466[[#This Row],[Pre or Post]]="Post",1,0)+IF(D59="Pre",1,0)=4,Table442466[[#This Row],[Post Total]]-K59,""),"")</f>
        <v>0</v>
      </c>
      <c r="P60" s="5" t="b">
        <f>ISNUMBER(Table442466[[#This Row],[Change]])</f>
        <v>1</v>
      </c>
      <c r="Q60" s="5">
        <f>IF(E59="Male",Table442466[[#This Row],[Change]],"")</f>
        <v>0</v>
      </c>
      <c r="R60" s="5" t="str">
        <f>IF(E59="Female",Table442466[[#This Row],[Change]],"")</f>
        <v/>
      </c>
      <c r="S60" s="5" t="b">
        <f>ISNUMBER(Table442466[[#This Row],[If Male]])</f>
        <v>1</v>
      </c>
      <c r="T60" s="5" t="b">
        <f>ISNUMBER(Table442466[[#This Row],[If Female]])</f>
        <v>0</v>
      </c>
    </row>
    <row r="61" spans="1:20">
      <c r="A61" s="1" t="s">
        <v>24</v>
      </c>
      <c r="B61" s="1" t="s">
        <v>25</v>
      </c>
      <c r="C61" s="1">
        <v>5</v>
      </c>
      <c r="D61" s="1" t="s">
        <v>6</v>
      </c>
      <c r="E61" s="5" t="s">
        <v>7</v>
      </c>
      <c r="F61" s="1">
        <v>9</v>
      </c>
      <c r="G61" s="1">
        <v>3</v>
      </c>
      <c r="I61" s="5">
        <f>IF(IF(Table442466[[#This Row],[Pre or Post]]="Pre",1,0)+IF(ISNUMBER(Table442466[[#This Row],[Response]])=TRUE,1,0)=2,1,"")</f>
        <v>1</v>
      </c>
      <c r="J61" s="5" t="str">
        <f>IF(IF(Table442466[[#This Row],[Pre or Post]]="Post",1,0)+IF(ISNUMBER(Table442466[[#This Row],[Response]])=TRUE,1,0)=2,1,"")</f>
        <v/>
      </c>
      <c r="K61" s="6">
        <f>IF(IF(Table442466[[#This Row],[Pre or Post]]="Pre",1,0)+IF(ISNUMBER(Table442466[[#This Row],[Response]])=TRUE,1,0)=2,Table442466[[#This Row],[Response]],"")</f>
        <v>3</v>
      </c>
      <c r="L61" s="6" t="str">
        <f>IF(IF(Table442466[[#This Row],[Pre or Post]]="Post",1,0)+IF(ISNUMBER(Table442466[[#This Row],[Response]])=TRUE,1,0)=2,Table442466[[#This Row],[Response]],"")</f>
        <v/>
      </c>
      <c r="M61" s="5">
        <f>IF(IF(ISNUMBER(K61),1,0)+IF(ISNUMBER(L62),1,0)=2,IF(IF(C62=C61,1,0)+IF(B62=B61,1,0)+IF(D62="Post",1,0)+IF(D61="Pre",1,0)=4,Table442466[[#This Row],[Pre Total]],""),"")</f>
        <v>3</v>
      </c>
      <c r="N61" s="5" t="str">
        <f>IF(IF(ISNUMBER(K60),1,0)+IF(ISNUMBER(Table442466[[#This Row],[Post Total]]),1,0)=2,IF(IF(Table442466[[#This Row],[Student Number]]=C60,1,0)+IF(Table442466[[#This Row],[Session]]=B60,1,0)+IF(Table442466[[#This Row],[Pre or Post]]="Post",1,0)+IF(D60="Pre",1,0)=4,Table442466[[#This Row],[Post Total]],""),"")</f>
        <v/>
      </c>
      <c r="O61" s="5" t="str">
        <f>IF(IF(ISNUMBER(K60),1,0)+IF(ISNUMBER(Table442466[[#This Row],[Post Total]]),1,0)=2,IF(IF(Table442466[[#This Row],[Student Number]]=C60,1,0)+IF(Table442466[[#This Row],[Session]]=B60,1,0)+IF(Table442466[[#This Row],[Pre or Post]]="Post",1,0)+IF(D60="Pre",1,0)=4,Table442466[[#This Row],[Post Total]]-K60,""),"")</f>
        <v/>
      </c>
      <c r="P61" s="5" t="b">
        <f>ISNUMBER(Table442466[[#This Row],[Change]])</f>
        <v>0</v>
      </c>
      <c r="Q61" s="5" t="str">
        <f>IF(E60="Male",Table442466[[#This Row],[Change]],"")</f>
        <v/>
      </c>
      <c r="R61" s="5" t="str">
        <f>IF(E60="Female",Table442466[[#This Row],[Change]],"")</f>
        <v/>
      </c>
      <c r="S61" s="5" t="b">
        <f>ISNUMBER(Table442466[[#This Row],[If Male]])</f>
        <v>0</v>
      </c>
      <c r="T61" s="5" t="b">
        <f>ISNUMBER(Table442466[[#This Row],[If Female]])</f>
        <v>0</v>
      </c>
    </row>
    <row r="62" spans="1:20">
      <c r="A62" s="1" t="s">
        <v>24</v>
      </c>
      <c r="B62" s="1" t="s">
        <v>25</v>
      </c>
      <c r="C62" s="1">
        <v>5</v>
      </c>
      <c r="D62" s="1" t="s">
        <v>16</v>
      </c>
      <c r="E62" s="5" t="s">
        <v>171</v>
      </c>
      <c r="F62" s="1">
        <v>2</v>
      </c>
      <c r="G62" s="1">
        <v>4</v>
      </c>
      <c r="H62" s="2"/>
      <c r="I62" s="5" t="str">
        <f>IF(IF(Table442466[[#This Row],[Pre or Post]]="Pre",1,0)+IF(ISNUMBER(Table442466[[#This Row],[Response]])=TRUE,1,0)=2,1,"")</f>
        <v/>
      </c>
      <c r="J62" s="5">
        <f>IF(IF(Table442466[[#This Row],[Pre or Post]]="Post",1,0)+IF(ISNUMBER(Table442466[[#This Row],[Response]])=TRUE,1,0)=2,1,"")</f>
        <v>1</v>
      </c>
      <c r="K62" s="6" t="str">
        <f>IF(IF(Table442466[[#This Row],[Pre or Post]]="Pre",1,0)+IF(ISNUMBER(Table442466[[#This Row],[Response]])=TRUE,1,0)=2,Table442466[[#This Row],[Response]],"")</f>
        <v/>
      </c>
      <c r="L62" s="6">
        <f>IF(IF(Table442466[[#This Row],[Pre or Post]]="Post",1,0)+IF(ISNUMBER(Table442466[[#This Row],[Response]])=TRUE,1,0)=2,Table442466[[#This Row],[Response]],"")</f>
        <v>4</v>
      </c>
      <c r="M62" s="5" t="str">
        <f>IF(IF(ISNUMBER(K62),1,0)+IF(ISNUMBER(L63),1,0)=2,IF(IF(C63=C62,1,0)+IF(B63=B62,1,0)+IF(D63="Post",1,0)+IF(D62="Pre",1,0)=4,Table442466[[#This Row],[Pre Total]],""),"")</f>
        <v/>
      </c>
      <c r="N62" s="5">
        <f>IF(IF(ISNUMBER(K61),1,0)+IF(ISNUMBER(Table442466[[#This Row],[Post Total]]),1,0)=2,IF(IF(Table442466[[#This Row],[Student Number]]=C61,1,0)+IF(Table442466[[#This Row],[Session]]=B61,1,0)+IF(Table442466[[#This Row],[Pre or Post]]="Post",1,0)+IF(D61="Pre",1,0)=4,Table442466[[#This Row],[Post Total]],""),"")</f>
        <v>4</v>
      </c>
      <c r="O62" s="5">
        <f>IF(IF(ISNUMBER(K61),1,0)+IF(ISNUMBER(Table442466[[#This Row],[Post Total]]),1,0)=2,IF(IF(Table442466[[#This Row],[Student Number]]=C61,1,0)+IF(Table442466[[#This Row],[Session]]=B61,1,0)+IF(Table442466[[#This Row],[Pre or Post]]="Post",1,0)+IF(D61="Pre",1,0)=4,Table442466[[#This Row],[Post Total]]-K61,""),"")</f>
        <v>1</v>
      </c>
      <c r="P62" s="5" t="b">
        <f>ISNUMBER(Table442466[[#This Row],[Change]])</f>
        <v>1</v>
      </c>
      <c r="Q62" s="5">
        <f>IF(E61="Male",Table442466[[#This Row],[Change]],"")</f>
        <v>1</v>
      </c>
      <c r="R62" s="5" t="str">
        <f>IF(E61="Female",Table442466[[#This Row],[Change]],"")</f>
        <v/>
      </c>
      <c r="S62" s="5" t="b">
        <f>ISNUMBER(Table442466[[#This Row],[If Male]])</f>
        <v>1</v>
      </c>
      <c r="T62" s="5" t="b">
        <f>ISNUMBER(Table442466[[#This Row],[If Female]])</f>
        <v>0</v>
      </c>
    </row>
    <row r="63" spans="1:20">
      <c r="A63" s="1" t="s">
        <v>24</v>
      </c>
      <c r="B63" s="1" t="s">
        <v>25</v>
      </c>
      <c r="C63" s="1">
        <v>6</v>
      </c>
      <c r="D63" s="1" t="s">
        <v>6</v>
      </c>
      <c r="E63" s="5" t="s">
        <v>13</v>
      </c>
      <c r="F63" s="1">
        <v>9</v>
      </c>
      <c r="G63" s="1">
        <v>3</v>
      </c>
      <c r="I63" s="5">
        <f>IF(IF(Table442466[[#This Row],[Pre or Post]]="Pre",1,0)+IF(ISNUMBER(Table442466[[#This Row],[Response]])=TRUE,1,0)=2,1,"")</f>
        <v>1</v>
      </c>
      <c r="J63" s="5" t="str">
        <f>IF(IF(Table442466[[#This Row],[Pre or Post]]="Post",1,0)+IF(ISNUMBER(Table442466[[#This Row],[Response]])=TRUE,1,0)=2,1,"")</f>
        <v/>
      </c>
      <c r="K63" s="6">
        <f>IF(IF(Table442466[[#This Row],[Pre or Post]]="Pre",1,0)+IF(ISNUMBER(Table442466[[#This Row],[Response]])=TRUE,1,0)=2,Table442466[[#This Row],[Response]],"")</f>
        <v>3</v>
      </c>
      <c r="L63" s="6" t="str">
        <f>IF(IF(Table442466[[#This Row],[Pre or Post]]="Post",1,0)+IF(ISNUMBER(Table442466[[#This Row],[Response]])=TRUE,1,0)=2,Table442466[[#This Row],[Response]],"")</f>
        <v/>
      </c>
      <c r="M63" s="5">
        <f>IF(IF(ISNUMBER(K63),1,0)+IF(ISNUMBER(L64),1,0)=2,IF(IF(C64=C63,1,0)+IF(B64=B63,1,0)+IF(D64="Post",1,0)+IF(D63="Pre",1,0)=4,Table442466[[#This Row],[Pre Total]],""),"")</f>
        <v>3</v>
      </c>
      <c r="N63" s="5" t="str">
        <f>IF(IF(ISNUMBER(K62),1,0)+IF(ISNUMBER(Table442466[[#This Row],[Post Total]]),1,0)=2,IF(IF(Table442466[[#This Row],[Student Number]]=C62,1,0)+IF(Table442466[[#This Row],[Session]]=B62,1,0)+IF(Table442466[[#This Row],[Pre or Post]]="Post",1,0)+IF(D62="Pre",1,0)=4,Table442466[[#This Row],[Post Total]],""),"")</f>
        <v/>
      </c>
      <c r="O63" s="5" t="str">
        <f>IF(IF(ISNUMBER(K62),1,0)+IF(ISNUMBER(Table442466[[#This Row],[Post Total]]),1,0)=2,IF(IF(Table442466[[#This Row],[Student Number]]=C62,1,0)+IF(Table442466[[#This Row],[Session]]=B62,1,0)+IF(Table442466[[#This Row],[Pre or Post]]="Post",1,0)+IF(D62="Pre",1,0)=4,Table442466[[#This Row],[Post Total]]-K62,""),"")</f>
        <v/>
      </c>
      <c r="P63" s="5" t="b">
        <f>ISNUMBER(Table442466[[#This Row],[Change]])</f>
        <v>0</v>
      </c>
      <c r="Q63" s="5" t="str">
        <f>IF(E62="Male",Table442466[[#This Row],[Change]],"")</f>
        <v/>
      </c>
      <c r="R63" s="5" t="str">
        <f>IF(E62="Female",Table442466[[#This Row],[Change]],"")</f>
        <v/>
      </c>
      <c r="S63" s="5" t="b">
        <f>ISNUMBER(Table442466[[#This Row],[If Male]])</f>
        <v>0</v>
      </c>
      <c r="T63" s="5" t="b">
        <f>ISNUMBER(Table442466[[#This Row],[If Female]])</f>
        <v>0</v>
      </c>
    </row>
    <row r="64" spans="1:20">
      <c r="A64" s="1" t="s">
        <v>24</v>
      </c>
      <c r="B64" s="1" t="s">
        <v>25</v>
      </c>
      <c r="C64" s="1">
        <v>6</v>
      </c>
      <c r="D64" s="1" t="s">
        <v>16</v>
      </c>
      <c r="E64" s="5" t="s">
        <v>171</v>
      </c>
      <c r="F64" s="1">
        <v>2</v>
      </c>
      <c r="G64" s="1">
        <v>4</v>
      </c>
      <c r="H64" s="2"/>
      <c r="I64" s="5" t="str">
        <f>IF(IF(Table442466[[#This Row],[Pre or Post]]="Pre",1,0)+IF(ISNUMBER(Table442466[[#This Row],[Response]])=TRUE,1,0)=2,1,"")</f>
        <v/>
      </c>
      <c r="J64" s="5">
        <f>IF(IF(Table442466[[#This Row],[Pre or Post]]="Post",1,0)+IF(ISNUMBER(Table442466[[#This Row],[Response]])=TRUE,1,0)=2,1,"")</f>
        <v>1</v>
      </c>
      <c r="K64" s="6" t="str">
        <f>IF(IF(Table442466[[#This Row],[Pre or Post]]="Pre",1,0)+IF(ISNUMBER(Table442466[[#This Row],[Response]])=TRUE,1,0)=2,Table442466[[#This Row],[Response]],"")</f>
        <v/>
      </c>
      <c r="L64" s="6">
        <f>IF(IF(Table442466[[#This Row],[Pre or Post]]="Post",1,0)+IF(ISNUMBER(Table442466[[#This Row],[Response]])=TRUE,1,0)=2,Table442466[[#This Row],[Response]],"")</f>
        <v>4</v>
      </c>
      <c r="M64" s="5" t="str">
        <f>IF(IF(ISNUMBER(K64),1,0)+IF(ISNUMBER(L65),1,0)=2,IF(IF(C65=C64,1,0)+IF(B65=B64,1,0)+IF(D65="Post",1,0)+IF(D64="Pre",1,0)=4,Table442466[[#This Row],[Pre Total]],""),"")</f>
        <v/>
      </c>
      <c r="N64" s="5">
        <f>IF(IF(ISNUMBER(K63),1,0)+IF(ISNUMBER(Table442466[[#This Row],[Post Total]]),1,0)=2,IF(IF(Table442466[[#This Row],[Student Number]]=C63,1,0)+IF(Table442466[[#This Row],[Session]]=B63,1,0)+IF(Table442466[[#This Row],[Pre or Post]]="Post",1,0)+IF(D63="Pre",1,0)=4,Table442466[[#This Row],[Post Total]],""),"")</f>
        <v>4</v>
      </c>
      <c r="O64" s="5">
        <f>IF(IF(ISNUMBER(K63),1,0)+IF(ISNUMBER(Table442466[[#This Row],[Post Total]]),1,0)=2,IF(IF(Table442466[[#This Row],[Student Number]]=C63,1,0)+IF(Table442466[[#This Row],[Session]]=B63,1,0)+IF(Table442466[[#This Row],[Pre or Post]]="Post",1,0)+IF(D63="Pre",1,0)=4,Table442466[[#This Row],[Post Total]]-K63,""),"")</f>
        <v>1</v>
      </c>
      <c r="P64" s="5" t="b">
        <f>ISNUMBER(Table442466[[#This Row],[Change]])</f>
        <v>1</v>
      </c>
      <c r="Q64" s="5" t="str">
        <f>IF(E63="Male",Table442466[[#This Row],[Change]],"")</f>
        <v/>
      </c>
      <c r="R64" s="5">
        <f>IF(E63="Female",Table442466[[#This Row],[Change]],"")</f>
        <v>1</v>
      </c>
      <c r="S64" s="5" t="b">
        <f>ISNUMBER(Table442466[[#This Row],[If Male]])</f>
        <v>0</v>
      </c>
      <c r="T64" s="5" t="b">
        <f>ISNUMBER(Table442466[[#This Row],[If Female]])</f>
        <v>1</v>
      </c>
    </row>
    <row r="65" spans="1:20">
      <c r="A65" s="1" t="s">
        <v>24</v>
      </c>
      <c r="B65" s="1" t="s">
        <v>25</v>
      </c>
      <c r="C65" s="1">
        <v>7</v>
      </c>
      <c r="D65" s="1" t="s">
        <v>6</v>
      </c>
      <c r="E65" s="5" t="s">
        <v>7</v>
      </c>
      <c r="F65" s="1">
        <v>9</v>
      </c>
      <c r="G65" s="1">
        <v>3</v>
      </c>
      <c r="I65" s="5">
        <f>IF(IF(Table442466[[#This Row],[Pre or Post]]="Pre",1,0)+IF(ISNUMBER(Table442466[[#This Row],[Response]])=TRUE,1,0)=2,1,"")</f>
        <v>1</v>
      </c>
      <c r="J65" s="5" t="str">
        <f>IF(IF(Table442466[[#This Row],[Pre or Post]]="Post",1,0)+IF(ISNUMBER(Table442466[[#This Row],[Response]])=TRUE,1,0)=2,1,"")</f>
        <v/>
      </c>
      <c r="K65" s="6">
        <f>IF(IF(Table442466[[#This Row],[Pre or Post]]="Pre",1,0)+IF(ISNUMBER(Table442466[[#This Row],[Response]])=TRUE,1,0)=2,Table442466[[#This Row],[Response]],"")</f>
        <v>3</v>
      </c>
      <c r="L65" s="6" t="str">
        <f>IF(IF(Table442466[[#This Row],[Pre or Post]]="Post",1,0)+IF(ISNUMBER(Table442466[[#This Row],[Response]])=TRUE,1,0)=2,Table442466[[#This Row],[Response]],"")</f>
        <v/>
      </c>
      <c r="M65" s="5">
        <f>IF(IF(ISNUMBER(K65),1,0)+IF(ISNUMBER(L66),1,0)=2,IF(IF(C66=C65,1,0)+IF(B66=B65,1,0)+IF(D66="Post",1,0)+IF(D65="Pre",1,0)=4,Table442466[[#This Row],[Pre Total]],""),"")</f>
        <v>3</v>
      </c>
      <c r="N65" s="5" t="str">
        <f>IF(IF(ISNUMBER(K64),1,0)+IF(ISNUMBER(Table442466[[#This Row],[Post Total]]),1,0)=2,IF(IF(Table442466[[#This Row],[Student Number]]=C64,1,0)+IF(Table442466[[#This Row],[Session]]=B64,1,0)+IF(Table442466[[#This Row],[Pre or Post]]="Post",1,0)+IF(D64="Pre",1,0)=4,Table442466[[#This Row],[Post Total]],""),"")</f>
        <v/>
      </c>
      <c r="O65" s="5" t="str">
        <f>IF(IF(ISNUMBER(K64),1,0)+IF(ISNUMBER(Table442466[[#This Row],[Post Total]]),1,0)=2,IF(IF(Table442466[[#This Row],[Student Number]]=C64,1,0)+IF(Table442466[[#This Row],[Session]]=B64,1,0)+IF(Table442466[[#This Row],[Pre or Post]]="Post",1,0)+IF(D64="Pre",1,0)=4,Table442466[[#This Row],[Post Total]]-K64,""),"")</f>
        <v/>
      </c>
      <c r="P65" s="5" t="b">
        <f>ISNUMBER(Table442466[[#This Row],[Change]])</f>
        <v>0</v>
      </c>
      <c r="Q65" s="5" t="str">
        <f>IF(E64="Male",Table442466[[#This Row],[Change]],"")</f>
        <v/>
      </c>
      <c r="R65" s="5" t="str">
        <f>IF(E64="Female",Table442466[[#This Row],[Change]],"")</f>
        <v/>
      </c>
      <c r="S65" s="5" t="b">
        <f>ISNUMBER(Table442466[[#This Row],[If Male]])</f>
        <v>0</v>
      </c>
      <c r="T65" s="5" t="b">
        <f>ISNUMBER(Table442466[[#This Row],[If Female]])</f>
        <v>0</v>
      </c>
    </row>
    <row r="66" spans="1:20">
      <c r="A66" s="1" t="s">
        <v>24</v>
      </c>
      <c r="B66" s="1" t="s">
        <v>25</v>
      </c>
      <c r="C66" s="1">
        <v>7</v>
      </c>
      <c r="D66" s="1" t="s">
        <v>16</v>
      </c>
      <c r="E66" s="5" t="s">
        <v>171</v>
      </c>
      <c r="F66" s="1">
        <v>2</v>
      </c>
      <c r="G66" s="1">
        <v>4</v>
      </c>
      <c r="H66" s="2"/>
      <c r="I66" s="5" t="str">
        <f>IF(IF(Table442466[[#This Row],[Pre or Post]]="Pre",1,0)+IF(ISNUMBER(Table442466[[#This Row],[Response]])=TRUE,1,0)=2,1,"")</f>
        <v/>
      </c>
      <c r="J66" s="5">
        <f>IF(IF(Table442466[[#This Row],[Pre or Post]]="Post",1,0)+IF(ISNUMBER(Table442466[[#This Row],[Response]])=TRUE,1,0)=2,1,"")</f>
        <v>1</v>
      </c>
      <c r="K66" s="6" t="str">
        <f>IF(IF(Table442466[[#This Row],[Pre or Post]]="Pre",1,0)+IF(ISNUMBER(Table442466[[#This Row],[Response]])=TRUE,1,0)=2,Table442466[[#This Row],[Response]],"")</f>
        <v/>
      </c>
      <c r="L66" s="6">
        <f>IF(IF(Table442466[[#This Row],[Pre or Post]]="Post",1,0)+IF(ISNUMBER(Table442466[[#This Row],[Response]])=TRUE,1,0)=2,Table442466[[#This Row],[Response]],"")</f>
        <v>4</v>
      </c>
      <c r="M66" s="5" t="str">
        <f>IF(IF(ISNUMBER(K66),1,0)+IF(ISNUMBER(L67),1,0)=2,IF(IF(C67=C66,1,0)+IF(B67=B66,1,0)+IF(D67="Post",1,0)+IF(D66="Pre",1,0)=4,Table442466[[#This Row],[Pre Total]],""),"")</f>
        <v/>
      </c>
      <c r="N66" s="5">
        <f>IF(IF(ISNUMBER(K65),1,0)+IF(ISNUMBER(Table442466[[#This Row],[Post Total]]),1,0)=2,IF(IF(Table442466[[#This Row],[Student Number]]=C65,1,0)+IF(Table442466[[#This Row],[Session]]=B65,1,0)+IF(Table442466[[#This Row],[Pre or Post]]="Post",1,0)+IF(D65="Pre",1,0)=4,Table442466[[#This Row],[Post Total]],""),"")</f>
        <v>4</v>
      </c>
      <c r="O66" s="5">
        <f>IF(IF(ISNUMBER(K65),1,0)+IF(ISNUMBER(Table442466[[#This Row],[Post Total]]),1,0)=2,IF(IF(Table442466[[#This Row],[Student Number]]=C65,1,0)+IF(Table442466[[#This Row],[Session]]=B65,1,0)+IF(Table442466[[#This Row],[Pre or Post]]="Post",1,0)+IF(D65="Pre",1,0)=4,Table442466[[#This Row],[Post Total]]-K65,""),"")</f>
        <v>1</v>
      </c>
      <c r="P66" s="5" t="b">
        <f>ISNUMBER(Table442466[[#This Row],[Change]])</f>
        <v>1</v>
      </c>
      <c r="Q66" s="5">
        <f>IF(E65="Male",Table442466[[#This Row],[Change]],"")</f>
        <v>1</v>
      </c>
      <c r="R66" s="5" t="str">
        <f>IF(E65="Female",Table442466[[#This Row],[Change]],"")</f>
        <v/>
      </c>
      <c r="S66" s="5" t="b">
        <f>ISNUMBER(Table442466[[#This Row],[If Male]])</f>
        <v>1</v>
      </c>
      <c r="T66" s="5" t="b">
        <f>ISNUMBER(Table442466[[#This Row],[If Female]])</f>
        <v>0</v>
      </c>
    </row>
    <row r="67" spans="1:20">
      <c r="A67" s="1" t="s">
        <v>24</v>
      </c>
      <c r="B67" s="1" t="s">
        <v>25</v>
      </c>
      <c r="C67" s="1">
        <v>8</v>
      </c>
      <c r="D67" s="1" t="s">
        <v>6</v>
      </c>
      <c r="E67" s="5" t="s">
        <v>7</v>
      </c>
      <c r="F67" s="1">
        <v>9</v>
      </c>
      <c r="G67" s="1">
        <v>1</v>
      </c>
      <c r="I67" s="5">
        <f>IF(IF(Table442466[[#This Row],[Pre or Post]]="Pre",1,0)+IF(ISNUMBER(Table442466[[#This Row],[Response]])=TRUE,1,0)=2,1,"")</f>
        <v>1</v>
      </c>
      <c r="J67" s="5" t="str">
        <f>IF(IF(Table442466[[#This Row],[Pre or Post]]="Post",1,0)+IF(ISNUMBER(Table442466[[#This Row],[Response]])=TRUE,1,0)=2,1,"")</f>
        <v/>
      </c>
      <c r="K67" s="6">
        <f>IF(IF(Table442466[[#This Row],[Pre or Post]]="Pre",1,0)+IF(ISNUMBER(Table442466[[#This Row],[Response]])=TRUE,1,0)=2,Table442466[[#This Row],[Response]],"")</f>
        <v>1</v>
      </c>
      <c r="L67" s="6" t="str">
        <f>IF(IF(Table442466[[#This Row],[Pre or Post]]="Post",1,0)+IF(ISNUMBER(Table442466[[#This Row],[Response]])=TRUE,1,0)=2,Table442466[[#This Row],[Response]],"")</f>
        <v/>
      </c>
      <c r="M67" s="5">
        <f>IF(IF(ISNUMBER(K67),1,0)+IF(ISNUMBER(L68),1,0)=2,IF(IF(C68=C67,1,0)+IF(B68=B67,1,0)+IF(D68="Post",1,0)+IF(D67="Pre",1,0)=4,Table442466[[#This Row],[Pre Total]],""),"")</f>
        <v>1</v>
      </c>
      <c r="N67" s="5" t="str">
        <f>IF(IF(ISNUMBER(K66),1,0)+IF(ISNUMBER(Table442466[[#This Row],[Post Total]]),1,0)=2,IF(IF(Table442466[[#This Row],[Student Number]]=C66,1,0)+IF(Table442466[[#This Row],[Session]]=B66,1,0)+IF(Table442466[[#This Row],[Pre or Post]]="Post",1,0)+IF(D66="Pre",1,0)=4,Table442466[[#This Row],[Post Total]],""),"")</f>
        <v/>
      </c>
      <c r="O67" s="5" t="str">
        <f>IF(IF(ISNUMBER(K66),1,0)+IF(ISNUMBER(Table442466[[#This Row],[Post Total]]),1,0)=2,IF(IF(Table442466[[#This Row],[Student Number]]=C66,1,0)+IF(Table442466[[#This Row],[Session]]=B66,1,0)+IF(Table442466[[#This Row],[Pre or Post]]="Post",1,0)+IF(D66="Pre",1,0)=4,Table442466[[#This Row],[Post Total]]-K66,""),"")</f>
        <v/>
      </c>
      <c r="P67" s="5" t="b">
        <f>ISNUMBER(Table442466[[#This Row],[Change]])</f>
        <v>0</v>
      </c>
      <c r="Q67" s="5" t="str">
        <f>IF(E66="Male",Table442466[[#This Row],[Change]],"")</f>
        <v/>
      </c>
      <c r="R67" s="5" t="str">
        <f>IF(E66="Female",Table442466[[#This Row],[Change]],"")</f>
        <v/>
      </c>
      <c r="S67" s="5" t="b">
        <f>ISNUMBER(Table442466[[#This Row],[If Male]])</f>
        <v>0</v>
      </c>
      <c r="T67" s="5" t="b">
        <f>ISNUMBER(Table442466[[#This Row],[If Female]])</f>
        <v>0</v>
      </c>
    </row>
    <row r="68" spans="1:20">
      <c r="A68" s="1" t="s">
        <v>24</v>
      </c>
      <c r="B68" s="1" t="s">
        <v>25</v>
      </c>
      <c r="C68" s="1">
        <v>8</v>
      </c>
      <c r="D68" s="1" t="s">
        <v>16</v>
      </c>
      <c r="E68" s="5" t="s">
        <v>171</v>
      </c>
      <c r="F68" s="1">
        <v>2</v>
      </c>
      <c r="G68" s="1">
        <v>3</v>
      </c>
      <c r="H68" s="2"/>
      <c r="I68" s="5" t="str">
        <f>IF(IF(Table442466[[#This Row],[Pre or Post]]="Pre",1,0)+IF(ISNUMBER(Table442466[[#This Row],[Response]])=TRUE,1,0)=2,1,"")</f>
        <v/>
      </c>
      <c r="J68" s="5">
        <f>IF(IF(Table442466[[#This Row],[Pre or Post]]="Post",1,0)+IF(ISNUMBER(Table442466[[#This Row],[Response]])=TRUE,1,0)=2,1,"")</f>
        <v>1</v>
      </c>
      <c r="K68" s="6" t="str">
        <f>IF(IF(Table442466[[#This Row],[Pre or Post]]="Pre",1,0)+IF(ISNUMBER(Table442466[[#This Row],[Response]])=TRUE,1,0)=2,Table442466[[#This Row],[Response]],"")</f>
        <v/>
      </c>
      <c r="L68" s="6">
        <f>IF(IF(Table442466[[#This Row],[Pre or Post]]="Post",1,0)+IF(ISNUMBER(Table442466[[#This Row],[Response]])=TRUE,1,0)=2,Table442466[[#This Row],[Response]],"")</f>
        <v>3</v>
      </c>
      <c r="M68" s="5" t="str">
        <f>IF(IF(ISNUMBER(K68),1,0)+IF(ISNUMBER(L69),1,0)=2,IF(IF(C69=C68,1,0)+IF(B69=B68,1,0)+IF(D69="Post",1,0)+IF(D68="Pre",1,0)=4,Table442466[[#This Row],[Pre Total]],""),"")</f>
        <v/>
      </c>
      <c r="N68" s="5">
        <f>IF(IF(ISNUMBER(K67),1,0)+IF(ISNUMBER(Table442466[[#This Row],[Post Total]]),1,0)=2,IF(IF(Table442466[[#This Row],[Student Number]]=C67,1,0)+IF(Table442466[[#This Row],[Session]]=B67,1,0)+IF(Table442466[[#This Row],[Pre or Post]]="Post",1,0)+IF(D67="Pre",1,0)=4,Table442466[[#This Row],[Post Total]],""),"")</f>
        <v>3</v>
      </c>
      <c r="O68" s="5">
        <f>IF(IF(ISNUMBER(K67),1,0)+IF(ISNUMBER(Table442466[[#This Row],[Post Total]]),1,0)=2,IF(IF(Table442466[[#This Row],[Student Number]]=C67,1,0)+IF(Table442466[[#This Row],[Session]]=B67,1,0)+IF(Table442466[[#This Row],[Pre or Post]]="Post",1,0)+IF(D67="Pre",1,0)=4,Table442466[[#This Row],[Post Total]]-K67,""),"")</f>
        <v>2</v>
      </c>
      <c r="P68" s="5" t="b">
        <f>ISNUMBER(Table442466[[#This Row],[Change]])</f>
        <v>1</v>
      </c>
      <c r="Q68" s="5">
        <f>IF(E67="Male",Table442466[[#This Row],[Change]],"")</f>
        <v>2</v>
      </c>
      <c r="R68" s="5" t="str">
        <f>IF(E67="Female",Table442466[[#This Row],[Change]],"")</f>
        <v/>
      </c>
      <c r="S68" s="5" t="b">
        <f>ISNUMBER(Table442466[[#This Row],[If Male]])</f>
        <v>1</v>
      </c>
      <c r="T68" s="5" t="b">
        <f>ISNUMBER(Table442466[[#This Row],[If Female]])</f>
        <v>0</v>
      </c>
    </row>
    <row r="69" spans="1:20">
      <c r="A69" s="1" t="s">
        <v>24</v>
      </c>
      <c r="B69" s="1" t="s">
        <v>25</v>
      </c>
      <c r="C69" s="1">
        <v>9</v>
      </c>
      <c r="D69" s="1" t="s">
        <v>6</v>
      </c>
      <c r="E69" s="5" t="s">
        <v>13</v>
      </c>
      <c r="F69" s="1">
        <v>9</v>
      </c>
      <c r="G69" s="1">
        <v>1</v>
      </c>
      <c r="I69" s="5">
        <f>IF(IF(Table442466[[#This Row],[Pre or Post]]="Pre",1,0)+IF(ISNUMBER(Table442466[[#This Row],[Response]])=TRUE,1,0)=2,1,"")</f>
        <v>1</v>
      </c>
      <c r="J69" s="5" t="str">
        <f>IF(IF(Table442466[[#This Row],[Pre or Post]]="Post",1,0)+IF(ISNUMBER(Table442466[[#This Row],[Response]])=TRUE,1,0)=2,1,"")</f>
        <v/>
      </c>
      <c r="K69" s="6">
        <f>IF(IF(Table442466[[#This Row],[Pre or Post]]="Pre",1,0)+IF(ISNUMBER(Table442466[[#This Row],[Response]])=TRUE,1,0)=2,Table442466[[#This Row],[Response]],"")</f>
        <v>1</v>
      </c>
      <c r="L69" s="6" t="str">
        <f>IF(IF(Table442466[[#This Row],[Pre or Post]]="Post",1,0)+IF(ISNUMBER(Table442466[[#This Row],[Response]])=TRUE,1,0)=2,Table442466[[#This Row],[Response]],"")</f>
        <v/>
      </c>
      <c r="M69" s="5">
        <f>IF(IF(ISNUMBER(K69),1,0)+IF(ISNUMBER(L70),1,0)=2,IF(IF(C70=C69,1,0)+IF(B70=B69,1,0)+IF(D70="Post",1,0)+IF(D69="Pre",1,0)=4,Table442466[[#This Row],[Pre Total]],""),"")</f>
        <v>1</v>
      </c>
      <c r="N69" s="5" t="str">
        <f>IF(IF(ISNUMBER(K68),1,0)+IF(ISNUMBER(Table442466[[#This Row],[Post Total]]),1,0)=2,IF(IF(Table442466[[#This Row],[Student Number]]=C68,1,0)+IF(Table442466[[#This Row],[Session]]=B68,1,0)+IF(Table442466[[#This Row],[Pre or Post]]="Post",1,0)+IF(D68="Pre",1,0)=4,Table442466[[#This Row],[Post Total]],""),"")</f>
        <v/>
      </c>
      <c r="O69" s="5" t="str">
        <f>IF(IF(ISNUMBER(K68),1,0)+IF(ISNUMBER(Table442466[[#This Row],[Post Total]]),1,0)=2,IF(IF(Table442466[[#This Row],[Student Number]]=C68,1,0)+IF(Table442466[[#This Row],[Session]]=B68,1,0)+IF(Table442466[[#This Row],[Pre or Post]]="Post",1,0)+IF(D68="Pre",1,0)=4,Table442466[[#This Row],[Post Total]]-K68,""),"")</f>
        <v/>
      </c>
      <c r="P69" s="5" t="b">
        <f>ISNUMBER(Table442466[[#This Row],[Change]])</f>
        <v>0</v>
      </c>
      <c r="Q69" s="5" t="str">
        <f>IF(E68="Male",Table442466[[#This Row],[Change]],"")</f>
        <v/>
      </c>
      <c r="R69" s="5" t="str">
        <f>IF(E68="Female",Table442466[[#This Row],[Change]],"")</f>
        <v/>
      </c>
      <c r="S69" s="5" t="b">
        <f>ISNUMBER(Table442466[[#This Row],[If Male]])</f>
        <v>0</v>
      </c>
      <c r="T69" s="5" t="b">
        <f>ISNUMBER(Table442466[[#This Row],[If Female]])</f>
        <v>0</v>
      </c>
    </row>
    <row r="70" spans="1:20">
      <c r="A70" s="1" t="s">
        <v>24</v>
      </c>
      <c r="B70" s="1" t="s">
        <v>25</v>
      </c>
      <c r="C70" s="1">
        <v>9</v>
      </c>
      <c r="D70" s="1" t="s">
        <v>16</v>
      </c>
      <c r="E70" s="5" t="s">
        <v>171</v>
      </c>
      <c r="F70" s="1">
        <v>2</v>
      </c>
      <c r="G70" s="1">
        <v>3</v>
      </c>
      <c r="H70" s="2"/>
      <c r="I70" s="5" t="str">
        <f>IF(IF(Table442466[[#This Row],[Pre or Post]]="Pre",1,0)+IF(ISNUMBER(Table442466[[#This Row],[Response]])=TRUE,1,0)=2,1,"")</f>
        <v/>
      </c>
      <c r="J70" s="5">
        <f>IF(IF(Table442466[[#This Row],[Pre or Post]]="Post",1,0)+IF(ISNUMBER(Table442466[[#This Row],[Response]])=TRUE,1,0)=2,1,"")</f>
        <v>1</v>
      </c>
      <c r="K70" s="6" t="str">
        <f>IF(IF(Table442466[[#This Row],[Pre or Post]]="Pre",1,0)+IF(ISNUMBER(Table442466[[#This Row],[Response]])=TRUE,1,0)=2,Table442466[[#This Row],[Response]],"")</f>
        <v/>
      </c>
      <c r="L70" s="6">
        <f>IF(IF(Table442466[[#This Row],[Pre or Post]]="Post",1,0)+IF(ISNUMBER(Table442466[[#This Row],[Response]])=TRUE,1,0)=2,Table442466[[#This Row],[Response]],"")</f>
        <v>3</v>
      </c>
      <c r="M70" s="5" t="str">
        <f>IF(IF(ISNUMBER(K70),1,0)+IF(ISNUMBER(L71),1,0)=2,IF(IF(C71=C70,1,0)+IF(B71=B70,1,0)+IF(D71="Post",1,0)+IF(D70="Pre",1,0)=4,Table442466[[#This Row],[Pre Total]],""),"")</f>
        <v/>
      </c>
      <c r="N70" s="5">
        <f>IF(IF(ISNUMBER(K69),1,0)+IF(ISNUMBER(Table442466[[#This Row],[Post Total]]),1,0)=2,IF(IF(Table442466[[#This Row],[Student Number]]=C69,1,0)+IF(Table442466[[#This Row],[Session]]=B69,1,0)+IF(Table442466[[#This Row],[Pre or Post]]="Post",1,0)+IF(D69="Pre",1,0)=4,Table442466[[#This Row],[Post Total]],""),"")</f>
        <v>3</v>
      </c>
      <c r="O70" s="5">
        <f>IF(IF(ISNUMBER(K69),1,0)+IF(ISNUMBER(Table442466[[#This Row],[Post Total]]),1,0)=2,IF(IF(Table442466[[#This Row],[Student Number]]=C69,1,0)+IF(Table442466[[#This Row],[Session]]=B69,1,0)+IF(Table442466[[#This Row],[Pre or Post]]="Post",1,0)+IF(D69="Pre",1,0)=4,Table442466[[#This Row],[Post Total]]-K69,""),"")</f>
        <v>2</v>
      </c>
      <c r="P70" s="5" t="b">
        <f>ISNUMBER(Table442466[[#This Row],[Change]])</f>
        <v>1</v>
      </c>
      <c r="Q70" s="5" t="str">
        <f>IF(E69="Male",Table442466[[#This Row],[Change]],"")</f>
        <v/>
      </c>
      <c r="R70" s="5">
        <f>IF(E69="Female",Table442466[[#This Row],[Change]],"")</f>
        <v>2</v>
      </c>
      <c r="S70" s="5" t="b">
        <f>ISNUMBER(Table442466[[#This Row],[If Male]])</f>
        <v>0</v>
      </c>
      <c r="T70" s="5" t="b">
        <f>ISNUMBER(Table442466[[#This Row],[If Female]])</f>
        <v>1</v>
      </c>
    </row>
    <row r="71" spans="1:20">
      <c r="A71" s="1" t="s">
        <v>24</v>
      </c>
      <c r="B71" s="1" t="s">
        <v>25</v>
      </c>
      <c r="C71" s="1">
        <v>10</v>
      </c>
      <c r="D71" s="1" t="s">
        <v>6</v>
      </c>
      <c r="E71" s="5" t="s">
        <v>13</v>
      </c>
      <c r="F71" s="1">
        <v>9</v>
      </c>
      <c r="G71" s="1">
        <v>1</v>
      </c>
      <c r="I71" s="5">
        <f>IF(IF(Table442466[[#This Row],[Pre or Post]]="Pre",1,0)+IF(ISNUMBER(Table442466[[#This Row],[Response]])=TRUE,1,0)=2,1,"")</f>
        <v>1</v>
      </c>
      <c r="J71" s="5" t="str">
        <f>IF(IF(Table442466[[#This Row],[Pre or Post]]="Post",1,0)+IF(ISNUMBER(Table442466[[#This Row],[Response]])=TRUE,1,0)=2,1,"")</f>
        <v/>
      </c>
      <c r="K71" s="6">
        <f>IF(IF(Table442466[[#This Row],[Pre or Post]]="Pre",1,0)+IF(ISNUMBER(Table442466[[#This Row],[Response]])=TRUE,1,0)=2,Table442466[[#This Row],[Response]],"")</f>
        <v>1</v>
      </c>
      <c r="L71" s="6" t="str">
        <f>IF(IF(Table442466[[#This Row],[Pre or Post]]="Post",1,0)+IF(ISNUMBER(Table442466[[#This Row],[Response]])=TRUE,1,0)=2,Table442466[[#This Row],[Response]],"")</f>
        <v/>
      </c>
      <c r="M71" s="5">
        <f>IF(IF(ISNUMBER(K71),1,0)+IF(ISNUMBER(L72),1,0)=2,IF(IF(C72=C71,1,0)+IF(B72=B71,1,0)+IF(D72="Post",1,0)+IF(D71="Pre",1,0)=4,Table442466[[#This Row],[Pre Total]],""),"")</f>
        <v>1</v>
      </c>
      <c r="N71" s="5" t="str">
        <f>IF(IF(ISNUMBER(K70),1,0)+IF(ISNUMBER(Table442466[[#This Row],[Post Total]]),1,0)=2,IF(IF(Table442466[[#This Row],[Student Number]]=C70,1,0)+IF(Table442466[[#This Row],[Session]]=B70,1,0)+IF(Table442466[[#This Row],[Pre or Post]]="Post",1,0)+IF(D70="Pre",1,0)=4,Table442466[[#This Row],[Post Total]],""),"")</f>
        <v/>
      </c>
      <c r="O71" s="5" t="str">
        <f>IF(IF(ISNUMBER(K70),1,0)+IF(ISNUMBER(Table442466[[#This Row],[Post Total]]),1,0)=2,IF(IF(Table442466[[#This Row],[Student Number]]=C70,1,0)+IF(Table442466[[#This Row],[Session]]=B70,1,0)+IF(Table442466[[#This Row],[Pre or Post]]="Post",1,0)+IF(D70="Pre",1,0)=4,Table442466[[#This Row],[Post Total]]-K70,""),"")</f>
        <v/>
      </c>
      <c r="P71" s="5" t="b">
        <f>ISNUMBER(Table442466[[#This Row],[Change]])</f>
        <v>0</v>
      </c>
      <c r="Q71" s="5" t="str">
        <f>IF(E70="Male",Table442466[[#This Row],[Change]],"")</f>
        <v/>
      </c>
      <c r="R71" s="5" t="str">
        <f>IF(E70="Female",Table442466[[#This Row],[Change]],"")</f>
        <v/>
      </c>
      <c r="S71" s="5" t="b">
        <f>ISNUMBER(Table442466[[#This Row],[If Male]])</f>
        <v>0</v>
      </c>
      <c r="T71" s="5" t="b">
        <f>ISNUMBER(Table442466[[#This Row],[If Female]])</f>
        <v>0</v>
      </c>
    </row>
    <row r="72" spans="1:20">
      <c r="A72" s="1" t="s">
        <v>24</v>
      </c>
      <c r="B72" s="1" t="s">
        <v>25</v>
      </c>
      <c r="C72" s="1">
        <v>10</v>
      </c>
      <c r="D72" s="1" t="s">
        <v>16</v>
      </c>
      <c r="E72" s="5" t="s">
        <v>171</v>
      </c>
      <c r="F72" s="1">
        <v>2</v>
      </c>
      <c r="G72" s="2">
        <v>2</v>
      </c>
      <c r="H72" s="2"/>
      <c r="I72" s="5" t="str">
        <f>IF(IF(Table442466[[#This Row],[Pre or Post]]="Pre",1,0)+IF(ISNUMBER(Table442466[[#This Row],[Response]])=TRUE,1,0)=2,1,"")</f>
        <v/>
      </c>
      <c r="J72" s="5">
        <f>IF(IF(Table442466[[#This Row],[Pre or Post]]="Post",1,0)+IF(ISNUMBER(Table442466[[#This Row],[Response]])=TRUE,1,0)=2,1,"")</f>
        <v>1</v>
      </c>
      <c r="K72" s="6" t="str">
        <f>IF(IF(Table442466[[#This Row],[Pre or Post]]="Pre",1,0)+IF(ISNUMBER(Table442466[[#This Row],[Response]])=TRUE,1,0)=2,Table442466[[#This Row],[Response]],"")</f>
        <v/>
      </c>
      <c r="L72" s="6">
        <f>IF(IF(Table442466[[#This Row],[Pre or Post]]="Post",1,0)+IF(ISNUMBER(Table442466[[#This Row],[Response]])=TRUE,1,0)=2,Table442466[[#This Row],[Response]],"")</f>
        <v>2</v>
      </c>
      <c r="M72" s="5" t="str">
        <f>IF(IF(ISNUMBER(K72),1,0)+IF(ISNUMBER(L73),1,0)=2,IF(IF(C73=C72,1,0)+IF(B73=B72,1,0)+IF(D73="Post",1,0)+IF(D72="Pre",1,0)=4,Table442466[[#This Row],[Pre Total]],""),"")</f>
        <v/>
      </c>
      <c r="N72" s="5">
        <f>IF(IF(ISNUMBER(K71),1,0)+IF(ISNUMBER(Table442466[[#This Row],[Post Total]]),1,0)=2,IF(IF(Table442466[[#This Row],[Student Number]]=C71,1,0)+IF(Table442466[[#This Row],[Session]]=B71,1,0)+IF(Table442466[[#This Row],[Pre or Post]]="Post",1,0)+IF(D71="Pre",1,0)=4,Table442466[[#This Row],[Post Total]],""),"")</f>
        <v>2</v>
      </c>
      <c r="O72" s="5">
        <f>IF(IF(ISNUMBER(K71),1,0)+IF(ISNUMBER(Table442466[[#This Row],[Post Total]]),1,0)=2,IF(IF(Table442466[[#This Row],[Student Number]]=C71,1,0)+IF(Table442466[[#This Row],[Session]]=B71,1,0)+IF(Table442466[[#This Row],[Pre or Post]]="Post",1,0)+IF(D71="Pre",1,0)=4,Table442466[[#This Row],[Post Total]]-K71,""),"")</f>
        <v>1</v>
      </c>
      <c r="P72" s="5" t="b">
        <f>ISNUMBER(Table442466[[#This Row],[Change]])</f>
        <v>1</v>
      </c>
      <c r="Q72" s="5" t="str">
        <f>IF(E71="Male",Table442466[[#This Row],[Change]],"")</f>
        <v/>
      </c>
      <c r="R72" s="5">
        <f>IF(E71="Female",Table442466[[#This Row],[Change]],"")</f>
        <v>1</v>
      </c>
      <c r="S72" s="5" t="b">
        <f>ISNUMBER(Table442466[[#This Row],[If Male]])</f>
        <v>0</v>
      </c>
      <c r="T72" s="5" t="b">
        <f>ISNUMBER(Table442466[[#This Row],[If Female]])</f>
        <v>1</v>
      </c>
    </row>
    <row r="73" spans="1:20">
      <c r="A73" s="1" t="s">
        <v>24</v>
      </c>
      <c r="B73" s="1" t="s">
        <v>25</v>
      </c>
      <c r="C73" s="1">
        <v>11</v>
      </c>
      <c r="D73" s="1" t="s">
        <v>6</v>
      </c>
      <c r="E73" s="5" t="s">
        <v>7</v>
      </c>
      <c r="F73" s="1">
        <v>9</v>
      </c>
      <c r="G73" s="1">
        <v>4</v>
      </c>
      <c r="I73" s="5">
        <f>IF(IF(Table442466[[#This Row],[Pre or Post]]="Pre",1,0)+IF(ISNUMBER(Table442466[[#This Row],[Response]])=TRUE,1,0)=2,1,"")</f>
        <v>1</v>
      </c>
      <c r="J73" s="5" t="str">
        <f>IF(IF(Table442466[[#This Row],[Pre or Post]]="Post",1,0)+IF(ISNUMBER(Table442466[[#This Row],[Response]])=TRUE,1,0)=2,1,"")</f>
        <v/>
      </c>
      <c r="K73" s="6">
        <f>IF(IF(Table442466[[#This Row],[Pre or Post]]="Pre",1,0)+IF(ISNUMBER(Table442466[[#This Row],[Response]])=TRUE,1,0)=2,Table442466[[#This Row],[Response]],"")</f>
        <v>4</v>
      </c>
      <c r="L73" s="6" t="str">
        <f>IF(IF(Table442466[[#This Row],[Pre or Post]]="Post",1,0)+IF(ISNUMBER(Table442466[[#This Row],[Response]])=TRUE,1,0)=2,Table442466[[#This Row],[Response]],"")</f>
        <v/>
      </c>
      <c r="M73" s="5">
        <f>IF(IF(ISNUMBER(K73),1,0)+IF(ISNUMBER(L74),1,0)=2,IF(IF(C74=C73,1,0)+IF(B74=B73,1,0)+IF(D74="Post",1,0)+IF(D73="Pre",1,0)=4,Table442466[[#This Row],[Pre Total]],""),"")</f>
        <v>4</v>
      </c>
      <c r="N73" s="5" t="str">
        <f>IF(IF(ISNUMBER(K72),1,0)+IF(ISNUMBER(Table442466[[#This Row],[Post Total]]),1,0)=2,IF(IF(Table442466[[#This Row],[Student Number]]=C72,1,0)+IF(Table442466[[#This Row],[Session]]=B72,1,0)+IF(Table442466[[#This Row],[Pre or Post]]="Post",1,0)+IF(D72="Pre",1,0)=4,Table442466[[#This Row],[Post Total]],""),"")</f>
        <v/>
      </c>
      <c r="O73" s="5" t="str">
        <f>IF(IF(ISNUMBER(K72),1,0)+IF(ISNUMBER(Table442466[[#This Row],[Post Total]]),1,0)=2,IF(IF(Table442466[[#This Row],[Student Number]]=C72,1,0)+IF(Table442466[[#This Row],[Session]]=B72,1,0)+IF(Table442466[[#This Row],[Pre or Post]]="Post",1,0)+IF(D72="Pre",1,0)=4,Table442466[[#This Row],[Post Total]]-K72,""),"")</f>
        <v/>
      </c>
      <c r="P73" s="5" t="b">
        <f>ISNUMBER(Table442466[[#This Row],[Change]])</f>
        <v>0</v>
      </c>
      <c r="Q73" s="5" t="str">
        <f>IF(E72="Male",Table442466[[#This Row],[Change]],"")</f>
        <v/>
      </c>
      <c r="R73" s="5" t="str">
        <f>IF(E72="Female",Table442466[[#This Row],[Change]],"")</f>
        <v/>
      </c>
      <c r="S73" s="5" t="b">
        <f>ISNUMBER(Table442466[[#This Row],[If Male]])</f>
        <v>0</v>
      </c>
      <c r="T73" s="5" t="b">
        <f>ISNUMBER(Table442466[[#This Row],[If Female]])</f>
        <v>0</v>
      </c>
    </row>
    <row r="74" spans="1:20">
      <c r="A74" s="1" t="s">
        <v>24</v>
      </c>
      <c r="B74" s="1" t="s">
        <v>25</v>
      </c>
      <c r="C74" s="1">
        <v>11</v>
      </c>
      <c r="D74" s="1" t="s">
        <v>16</v>
      </c>
      <c r="E74" s="5" t="s">
        <v>171</v>
      </c>
      <c r="F74" s="1">
        <v>2</v>
      </c>
      <c r="G74" s="1">
        <v>4</v>
      </c>
      <c r="H74" s="2"/>
      <c r="I74" s="6" t="str">
        <f>IF(IF(Table442466[[#This Row],[Pre or Post]]="Pre",1,0)+IF(ISNUMBER(Table442466[[#This Row],[Response]])=TRUE,1,0)=2,1,"")</f>
        <v/>
      </c>
      <c r="J74" s="6">
        <f>IF(IF(Table442466[[#This Row],[Pre or Post]]="Post",1,0)+IF(ISNUMBER(Table442466[[#This Row],[Response]])=TRUE,1,0)=2,1,"")</f>
        <v>1</v>
      </c>
      <c r="K74" s="6" t="str">
        <f>IF(IF(Table442466[[#This Row],[Pre or Post]]="Pre",1,0)+IF(ISNUMBER(Table442466[[#This Row],[Response]])=TRUE,1,0)=2,Table442466[[#This Row],[Response]],"")</f>
        <v/>
      </c>
      <c r="L74" s="6">
        <f>IF(IF(Table442466[[#This Row],[Pre or Post]]="Post",1,0)+IF(ISNUMBER(Table442466[[#This Row],[Response]])=TRUE,1,0)=2,Table442466[[#This Row],[Response]],"")</f>
        <v>4</v>
      </c>
      <c r="M74" s="6" t="str">
        <f>IF(IF(ISNUMBER(K74),1,0)+IF(ISNUMBER(L75),1,0)=2,IF(IF(C75=C74,1,0)+IF(B75=B74,1,0)+IF(D75="Post",1,0)+IF(D74="Pre",1,0)=4,Table442466[[#This Row],[Pre Total]],""),"")</f>
        <v/>
      </c>
      <c r="N74" s="6">
        <f>IF(IF(ISNUMBER(K73),1,0)+IF(ISNUMBER(Table442466[[#This Row],[Post Total]]),1,0)=2,IF(IF(Table442466[[#This Row],[Student Number]]=C73,1,0)+IF(Table442466[[#This Row],[Session]]=B73,1,0)+IF(Table442466[[#This Row],[Pre or Post]]="Post",1,0)+IF(D73="Pre",1,0)=4,Table442466[[#This Row],[Post Total]],""),"")</f>
        <v>4</v>
      </c>
      <c r="O74" s="6">
        <f>IF(IF(ISNUMBER(K73),1,0)+IF(ISNUMBER(Table442466[[#This Row],[Post Total]]),1,0)=2,IF(IF(Table442466[[#This Row],[Student Number]]=C73,1,0)+IF(Table442466[[#This Row],[Session]]=B73,1,0)+IF(Table442466[[#This Row],[Pre or Post]]="Post",1,0)+IF(D73="Pre",1,0)=4,Table442466[[#This Row],[Post Total]]-K73,""),"")</f>
        <v>0</v>
      </c>
      <c r="P74" s="6" t="b">
        <f>ISNUMBER(Table442466[[#This Row],[Change]])</f>
        <v>1</v>
      </c>
      <c r="Q74" s="5">
        <f>IF(E73="Male",Table442466[[#This Row],[Change]],"")</f>
        <v>0</v>
      </c>
      <c r="R74" s="5" t="str">
        <f>IF(E73="Female",Table442466[[#This Row],[Change]],"")</f>
        <v/>
      </c>
      <c r="S74" s="5" t="b">
        <f>ISNUMBER(Table442466[[#This Row],[If Male]])</f>
        <v>1</v>
      </c>
      <c r="T74" s="5" t="b">
        <f>ISNUMBER(Table442466[[#This Row],[If Female]])</f>
        <v>0</v>
      </c>
    </row>
    <row r="75" spans="1:20">
      <c r="A75" s="1" t="s">
        <v>24</v>
      </c>
      <c r="B75" s="1" t="s">
        <v>25</v>
      </c>
      <c r="C75" s="1">
        <v>12</v>
      </c>
      <c r="D75" s="1" t="s">
        <v>6</v>
      </c>
      <c r="E75" s="5" t="s">
        <v>13</v>
      </c>
      <c r="F75" s="1">
        <v>9</v>
      </c>
      <c r="G75" s="1">
        <v>2</v>
      </c>
      <c r="I75" s="5">
        <f>IF(IF(Table442466[[#This Row],[Pre or Post]]="Pre",1,0)+IF(ISNUMBER(Table442466[[#This Row],[Response]])=TRUE,1,0)=2,1,"")</f>
        <v>1</v>
      </c>
      <c r="J75" s="5" t="str">
        <f>IF(IF(Table442466[[#This Row],[Pre or Post]]="Post",1,0)+IF(ISNUMBER(Table442466[[#This Row],[Response]])=TRUE,1,0)=2,1,"")</f>
        <v/>
      </c>
      <c r="K75" s="6">
        <f>IF(IF(Table442466[[#This Row],[Pre or Post]]="Pre",1,0)+IF(ISNUMBER(Table442466[[#This Row],[Response]])=TRUE,1,0)=2,Table442466[[#This Row],[Response]],"")</f>
        <v>2</v>
      </c>
      <c r="L75" s="6" t="str">
        <f>IF(IF(Table442466[[#This Row],[Pre or Post]]="Post",1,0)+IF(ISNUMBER(Table442466[[#This Row],[Response]])=TRUE,1,0)=2,Table442466[[#This Row],[Response]],"")</f>
        <v/>
      </c>
      <c r="M75" s="5">
        <f>IF(IF(ISNUMBER(K75),1,0)+IF(ISNUMBER(L76),1,0)=2,IF(IF(C76=C75,1,0)+IF(B76=B75,1,0)+IF(D76="Post",1,0)+IF(D75="Pre",1,0)=4,Table442466[[#This Row],[Pre Total]],""),"")</f>
        <v>2</v>
      </c>
      <c r="N75" s="5" t="str">
        <f>IF(IF(ISNUMBER(K74),1,0)+IF(ISNUMBER(Table442466[[#This Row],[Post Total]]),1,0)=2,IF(IF(Table442466[[#This Row],[Student Number]]=C74,1,0)+IF(Table442466[[#This Row],[Session]]=B74,1,0)+IF(Table442466[[#This Row],[Pre or Post]]="Post",1,0)+IF(D74="Pre",1,0)=4,Table442466[[#This Row],[Post Total]],""),"")</f>
        <v/>
      </c>
      <c r="O75" s="5" t="str">
        <f>IF(IF(ISNUMBER(K74),1,0)+IF(ISNUMBER(Table442466[[#This Row],[Post Total]]),1,0)=2,IF(IF(Table442466[[#This Row],[Student Number]]=C74,1,0)+IF(Table442466[[#This Row],[Session]]=B74,1,0)+IF(Table442466[[#This Row],[Pre or Post]]="Post",1,0)+IF(D74="Pre",1,0)=4,Table442466[[#This Row],[Post Total]]-K74,""),"")</f>
        <v/>
      </c>
      <c r="P75" s="5" t="b">
        <f>ISNUMBER(Table442466[[#This Row],[Change]])</f>
        <v>0</v>
      </c>
      <c r="Q75" s="5" t="str">
        <f>IF(E74="Male",Table442466[[#This Row],[Change]],"")</f>
        <v/>
      </c>
      <c r="R75" s="5" t="str">
        <f>IF(E74="Female",Table442466[[#This Row],[Change]],"")</f>
        <v/>
      </c>
      <c r="S75" s="5" t="b">
        <f>ISNUMBER(Table442466[[#This Row],[If Male]])</f>
        <v>0</v>
      </c>
      <c r="T75" s="5" t="b">
        <f>ISNUMBER(Table442466[[#This Row],[If Female]])</f>
        <v>0</v>
      </c>
    </row>
    <row r="76" spans="1:20">
      <c r="A76" s="1" t="s">
        <v>24</v>
      </c>
      <c r="B76" s="1" t="s">
        <v>25</v>
      </c>
      <c r="C76" s="1">
        <v>12</v>
      </c>
      <c r="D76" s="1" t="s">
        <v>16</v>
      </c>
      <c r="E76" s="5" t="s">
        <v>171</v>
      </c>
      <c r="F76" s="1">
        <v>2</v>
      </c>
      <c r="G76" s="1">
        <v>3</v>
      </c>
      <c r="H76" s="2"/>
      <c r="I76" s="5" t="str">
        <f>IF(IF(Table442466[[#This Row],[Pre or Post]]="Pre",1,0)+IF(ISNUMBER(Table442466[[#This Row],[Response]])=TRUE,1,0)=2,1,"")</f>
        <v/>
      </c>
      <c r="J76" s="5">
        <f>IF(IF(Table442466[[#This Row],[Pre or Post]]="Post",1,0)+IF(ISNUMBER(Table442466[[#This Row],[Response]])=TRUE,1,0)=2,1,"")</f>
        <v>1</v>
      </c>
      <c r="K76" s="6" t="str">
        <f>IF(IF(Table442466[[#This Row],[Pre or Post]]="Pre",1,0)+IF(ISNUMBER(Table442466[[#This Row],[Response]])=TRUE,1,0)=2,Table442466[[#This Row],[Response]],"")</f>
        <v/>
      </c>
      <c r="L76" s="6">
        <f>IF(IF(Table442466[[#This Row],[Pre or Post]]="Post",1,0)+IF(ISNUMBER(Table442466[[#This Row],[Response]])=TRUE,1,0)=2,Table442466[[#This Row],[Response]],"")</f>
        <v>3</v>
      </c>
      <c r="M76" s="5" t="str">
        <f>IF(IF(ISNUMBER(K76),1,0)+IF(ISNUMBER(L77),1,0)=2,IF(IF(C77=C76,1,0)+IF(B77=B76,1,0)+IF(D77="Post",1,0)+IF(D76="Pre",1,0)=4,Table442466[[#This Row],[Pre Total]],""),"")</f>
        <v/>
      </c>
      <c r="N76" s="5">
        <f>IF(IF(ISNUMBER(K75),1,0)+IF(ISNUMBER(Table442466[[#This Row],[Post Total]]),1,0)=2,IF(IF(Table442466[[#This Row],[Student Number]]=C75,1,0)+IF(Table442466[[#This Row],[Session]]=B75,1,0)+IF(Table442466[[#This Row],[Pre or Post]]="Post",1,0)+IF(D75="Pre",1,0)=4,Table442466[[#This Row],[Post Total]],""),"")</f>
        <v>3</v>
      </c>
      <c r="O76" s="5">
        <f>IF(IF(ISNUMBER(K75),1,0)+IF(ISNUMBER(Table442466[[#This Row],[Post Total]]),1,0)=2,IF(IF(Table442466[[#This Row],[Student Number]]=C75,1,0)+IF(Table442466[[#This Row],[Session]]=B75,1,0)+IF(Table442466[[#This Row],[Pre or Post]]="Post",1,0)+IF(D75="Pre",1,0)=4,Table442466[[#This Row],[Post Total]]-K75,""),"")</f>
        <v>1</v>
      </c>
      <c r="P76" s="5" t="b">
        <f>ISNUMBER(Table442466[[#This Row],[Change]])</f>
        <v>1</v>
      </c>
      <c r="Q76" s="5" t="str">
        <f>IF(E75="Male",Table442466[[#This Row],[Change]],"")</f>
        <v/>
      </c>
      <c r="R76" s="5">
        <f>IF(E75="Female",Table442466[[#This Row],[Change]],"")</f>
        <v>1</v>
      </c>
      <c r="S76" s="5" t="b">
        <f>ISNUMBER(Table442466[[#This Row],[If Male]])</f>
        <v>0</v>
      </c>
      <c r="T76" s="5" t="b">
        <f>ISNUMBER(Table442466[[#This Row],[If Female]])</f>
        <v>1</v>
      </c>
    </row>
    <row r="77" spans="1:20">
      <c r="A77" s="1" t="s">
        <v>24</v>
      </c>
      <c r="B77" s="1" t="s">
        <v>25</v>
      </c>
      <c r="C77" s="1">
        <v>13</v>
      </c>
      <c r="D77" s="1" t="s">
        <v>6</v>
      </c>
      <c r="E77" s="5" t="s">
        <v>13</v>
      </c>
      <c r="F77" s="1">
        <v>9</v>
      </c>
      <c r="G77" s="1">
        <v>2</v>
      </c>
      <c r="I77" s="5">
        <f>IF(IF(Table442466[[#This Row],[Pre or Post]]="Pre",1,0)+IF(ISNUMBER(Table442466[[#This Row],[Response]])=TRUE,1,0)=2,1,"")</f>
        <v>1</v>
      </c>
      <c r="J77" s="5" t="str">
        <f>IF(IF(Table442466[[#This Row],[Pre or Post]]="Post",1,0)+IF(ISNUMBER(Table442466[[#This Row],[Response]])=TRUE,1,0)=2,1,"")</f>
        <v/>
      </c>
      <c r="K77" s="6">
        <f>IF(IF(Table442466[[#This Row],[Pre or Post]]="Pre",1,0)+IF(ISNUMBER(Table442466[[#This Row],[Response]])=TRUE,1,0)=2,Table442466[[#This Row],[Response]],"")</f>
        <v>2</v>
      </c>
      <c r="L77" s="6" t="str">
        <f>IF(IF(Table442466[[#This Row],[Pre or Post]]="Post",1,0)+IF(ISNUMBER(Table442466[[#This Row],[Response]])=TRUE,1,0)=2,Table442466[[#This Row],[Response]],"")</f>
        <v/>
      </c>
      <c r="M77" s="5">
        <f>IF(IF(ISNUMBER(K77),1,0)+IF(ISNUMBER(L78),1,0)=2,IF(IF(C78=C77,1,0)+IF(B78=B77,1,0)+IF(D78="Post",1,0)+IF(D77="Pre",1,0)=4,Table442466[[#This Row],[Pre Total]],""),"")</f>
        <v>2</v>
      </c>
      <c r="N77" s="5" t="str">
        <f>IF(IF(ISNUMBER(K76),1,0)+IF(ISNUMBER(Table442466[[#This Row],[Post Total]]),1,0)=2,IF(IF(Table442466[[#This Row],[Student Number]]=C76,1,0)+IF(Table442466[[#This Row],[Session]]=B76,1,0)+IF(Table442466[[#This Row],[Pre or Post]]="Post",1,0)+IF(D76="Pre",1,0)=4,Table442466[[#This Row],[Post Total]],""),"")</f>
        <v/>
      </c>
      <c r="O77" s="5" t="str">
        <f>IF(IF(ISNUMBER(K76),1,0)+IF(ISNUMBER(Table442466[[#This Row],[Post Total]]),1,0)=2,IF(IF(Table442466[[#This Row],[Student Number]]=C76,1,0)+IF(Table442466[[#This Row],[Session]]=B76,1,0)+IF(Table442466[[#This Row],[Pre or Post]]="Post",1,0)+IF(D76="Pre",1,0)=4,Table442466[[#This Row],[Post Total]]-K76,""),"")</f>
        <v/>
      </c>
      <c r="P77" s="5" t="b">
        <f>ISNUMBER(Table442466[[#This Row],[Change]])</f>
        <v>0</v>
      </c>
      <c r="Q77" s="5" t="str">
        <f>IF(E76="Male",Table442466[[#This Row],[Change]],"")</f>
        <v/>
      </c>
      <c r="R77" s="5" t="str">
        <f>IF(E76="Female",Table442466[[#This Row],[Change]],"")</f>
        <v/>
      </c>
      <c r="S77" s="5" t="b">
        <f>ISNUMBER(Table442466[[#This Row],[If Male]])</f>
        <v>0</v>
      </c>
      <c r="T77" s="5" t="b">
        <f>ISNUMBER(Table442466[[#This Row],[If Female]])</f>
        <v>0</v>
      </c>
    </row>
    <row r="78" spans="1:20">
      <c r="A78" s="1" t="s">
        <v>24</v>
      </c>
      <c r="B78" s="1" t="s">
        <v>25</v>
      </c>
      <c r="C78" s="1">
        <v>13</v>
      </c>
      <c r="D78" s="1" t="s">
        <v>16</v>
      </c>
      <c r="E78" s="5" t="s">
        <v>171</v>
      </c>
      <c r="F78" s="1">
        <v>2</v>
      </c>
      <c r="G78" s="1">
        <v>3</v>
      </c>
      <c r="H78" s="2"/>
      <c r="I78" s="6" t="str">
        <f>IF(IF(Table442466[[#This Row],[Pre or Post]]="Pre",1,0)+IF(ISNUMBER(Table442466[[#This Row],[Response]])=TRUE,1,0)=2,1,"")</f>
        <v/>
      </c>
      <c r="J78" s="6">
        <f>IF(IF(Table442466[[#This Row],[Pre or Post]]="Post",1,0)+IF(ISNUMBER(Table442466[[#This Row],[Response]])=TRUE,1,0)=2,1,"")</f>
        <v>1</v>
      </c>
      <c r="K78" s="6" t="str">
        <f>IF(IF(Table442466[[#This Row],[Pre or Post]]="Pre",1,0)+IF(ISNUMBER(Table442466[[#This Row],[Response]])=TRUE,1,0)=2,Table442466[[#This Row],[Response]],"")</f>
        <v/>
      </c>
      <c r="L78" s="6">
        <f>IF(IF(Table442466[[#This Row],[Pre or Post]]="Post",1,0)+IF(ISNUMBER(Table442466[[#This Row],[Response]])=TRUE,1,0)=2,Table442466[[#This Row],[Response]],"")</f>
        <v>3</v>
      </c>
      <c r="M78" s="6" t="str">
        <f>IF(IF(ISNUMBER(K78),1,0)+IF(ISNUMBER(L79),1,0)=2,IF(IF(C79=C78,1,0)+IF(B79=B78,1,0)+IF(D79="Post",1,0)+IF(D78="Pre",1,0)=4,Table442466[[#This Row],[Pre Total]],""),"")</f>
        <v/>
      </c>
      <c r="N78" s="6">
        <f>IF(IF(ISNUMBER(K77),1,0)+IF(ISNUMBER(Table442466[[#This Row],[Post Total]]),1,0)=2,IF(IF(Table442466[[#This Row],[Student Number]]=C77,1,0)+IF(Table442466[[#This Row],[Session]]=B77,1,0)+IF(Table442466[[#This Row],[Pre or Post]]="Post",1,0)+IF(D77="Pre",1,0)=4,Table442466[[#This Row],[Post Total]],""),"")</f>
        <v>3</v>
      </c>
      <c r="O78" s="6">
        <f>IF(IF(ISNUMBER(K77),1,0)+IF(ISNUMBER(Table442466[[#This Row],[Post Total]]),1,0)=2,IF(IF(Table442466[[#This Row],[Student Number]]=C77,1,0)+IF(Table442466[[#This Row],[Session]]=B77,1,0)+IF(Table442466[[#This Row],[Pre or Post]]="Post",1,0)+IF(D77="Pre",1,0)=4,Table442466[[#This Row],[Post Total]]-K77,""),"")</f>
        <v>1</v>
      </c>
      <c r="P78" s="6" t="b">
        <f>ISNUMBER(Table442466[[#This Row],[Change]])</f>
        <v>1</v>
      </c>
      <c r="Q78" s="5" t="str">
        <f>IF(E77="Male",Table442466[[#This Row],[Change]],"")</f>
        <v/>
      </c>
      <c r="R78" s="5">
        <f>IF(E77="Female",Table442466[[#This Row],[Change]],"")</f>
        <v>1</v>
      </c>
      <c r="S78" s="5" t="b">
        <f>ISNUMBER(Table442466[[#This Row],[If Male]])</f>
        <v>0</v>
      </c>
      <c r="T78" s="5" t="b">
        <f>ISNUMBER(Table442466[[#This Row],[If Female]])</f>
        <v>1</v>
      </c>
    </row>
    <row r="79" spans="1:20">
      <c r="A79" s="1" t="s">
        <v>24</v>
      </c>
      <c r="B79" s="1" t="s">
        <v>25</v>
      </c>
      <c r="C79" s="1">
        <v>14</v>
      </c>
      <c r="D79" s="1" t="s">
        <v>6</v>
      </c>
      <c r="E79" s="5" t="s">
        <v>7</v>
      </c>
      <c r="F79" s="1">
        <v>9</v>
      </c>
      <c r="G79" s="1">
        <v>3</v>
      </c>
      <c r="I79" s="5">
        <f>IF(IF(Table442466[[#This Row],[Pre or Post]]="Pre",1,0)+IF(ISNUMBER(Table442466[[#This Row],[Response]])=TRUE,1,0)=2,1,"")</f>
        <v>1</v>
      </c>
      <c r="J79" s="5" t="str">
        <f>IF(IF(Table442466[[#This Row],[Pre or Post]]="Post",1,0)+IF(ISNUMBER(Table442466[[#This Row],[Response]])=TRUE,1,0)=2,1,"")</f>
        <v/>
      </c>
      <c r="K79" s="6">
        <f>IF(IF(Table442466[[#This Row],[Pre or Post]]="Pre",1,0)+IF(ISNUMBER(Table442466[[#This Row],[Response]])=TRUE,1,0)=2,Table442466[[#This Row],[Response]],"")</f>
        <v>3</v>
      </c>
      <c r="L79" s="6" t="str">
        <f>IF(IF(Table442466[[#This Row],[Pre or Post]]="Post",1,0)+IF(ISNUMBER(Table442466[[#This Row],[Response]])=TRUE,1,0)=2,Table442466[[#This Row],[Response]],"")</f>
        <v/>
      </c>
      <c r="M79" s="5">
        <f>IF(IF(ISNUMBER(K79),1,0)+IF(ISNUMBER(L80),1,0)=2,IF(IF(C80=C79,1,0)+IF(B80=B79,1,0)+IF(D80="Post",1,0)+IF(D79="Pre",1,0)=4,Table442466[[#This Row],[Pre Total]],""),"")</f>
        <v>3</v>
      </c>
      <c r="N79" s="5" t="str">
        <f>IF(IF(ISNUMBER(K78),1,0)+IF(ISNUMBER(Table442466[[#This Row],[Post Total]]),1,0)=2,IF(IF(Table442466[[#This Row],[Student Number]]=C78,1,0)+IF(Table442466[[#This Row],[Session]]=B78,1,0)+IF(Table442466[[#This Row],[Pre or Post]]="Post",1,0)+IF(D78="Pre",1,0)=4,Table442466[[#This Row],[Post Total]],""),"")</f>
        <v/>
      </c>
      <c r="O79" s="5" t="str">
        <f>IF(IF(ISNUMBER(K78),1,0)+IF(ISNUMBER(Table442466[[#This Row],[Post Total]]),1,0)=2,IF(IF(Table442466[[#This Row],[Student Number]]=C78,1,0)+IF(Table442466[[#This Row],[Session]]=B78,1,0)+IF(Table442466[[#This Row],[Pre or Post]]="Post",1,0)+IF(D78="Pre",1,0)=4,Table442466[[#This Row],[Post Total]]-K78,""),"")</f>
        <v/>
      </c>
      <c r="P79" s="5" t="b">
        <f>ISNUMBER(Table442466[[#This Row],[Change]])</f>
        <v>0</v>
      </c>
      <c r="Q79" s="5" t="str">
        <f>IF(E78="Male",Table442466[[#This Row],[Change]],"")</f>
        <v/>
      </c>
      <c r="R79" s="5" t="str">
        <f>IF(E78="Female",Table442466[[#This Row],[Change]],"")</f>
        <v/>
      </c>
      <c r="S79" s="5" t="b">
        <f>ISNUMBER(Table442466[[#This Row],[If Male]])</f>
        <v>0</v>
      </c>
      <c r="T79" s="5" t="b">
        <f>ISNUMBER(Table442466[[#This Row],[If Female]])</f>
        <v>0</v>
      </c>
    </row>
    <row r="80" spans="1:20">
      <c r="A80" s="1" t="s">
        <v>24</v>
      </c>
      <c r="B80" s="1" t="s">
        <v>25</v>
      </c>
      <c r="C80" s="1">
        <v>14</v>
      </c>
      <c r="D80" s="1" t="s">
        <v>16</v>
      </c>
      <c r="E80" s="5" t="s">
        <v>171</v>
      </c>
      <c r="F80" s="1">
        <v>2</v>
      </c>
      <c r="G80" s="1">
        <v>3</v>
      </c>
      <c r="H80" s="2"/>
      <c r="I80" s="5" t="str">
        <f>IF(IF(Table442466[[#This Row],[Pre or Post]]="Pre",1,0)+IF(ISNUMBER(Table442466[[#This Row],[Response]])=TRUE,1,0)=2,1,"")</f>
        <v/>
      </c>
      <c r="J80" s="5">
        <f>IF(IF(Table442466[[#This Row],[Pre or Post]]="Post",1,0)+IF(ISNUMBER(Table442466[[#This Row],[Response]])=TRUE,1,0)=2,1,"")</f>
        <v>1</v>
      </c>
      <c r="K80" s="6" t="str">
        <f>IF(IF(Table442466[[#This Row],[Pre or Post]]="Pre",1,0)+IF(ISNUMBER(Table442466[[#This Row],[Response]])=TRUE,1,0)=2,Table442466[[#This Row],[Response]],"")</f>
        <v/>
      </c>
      <c r="L80" s="6">
        <f>IF(IF(Table442466[[#This Row],[Pre or Post]]="Post",1,0)+IF(ISNUMBER(Table442466[[#This Row],[Response]])=TRUE,1,0)=2,Table442466[[#This Row],[Response]],"")</f>
        <v>3</v>
      </c>
      <c r="M80" s="5" t="str">
        <f>IF(IF(ISNUMBER(K80),1,0)+IF(ISNUMBER(L81),1,0)=2,IF(IF(C81=C80,1,0)+IF(B81=B80,1,0)+IF(D81="Post",1,0)+IF(D80="Pre",1,0)=4,Table442466[[#This Row],[Pre Total]],""),"")</f>
        <v/>
      </c>
      <c r="N80" s="5">
        <f>IF(IF(ISNUMBER(K79),1,0)+IF(ISNUMBER(Table442466[[#This Row],[Post Total]]),1,0)=2,IF(IF(Table442466[[#This Row],[Student Number]]=C79,1,0)+IF(Table442466[[#This Row],[Session]]=B79,1,0)+IF(Table442466[[#This Row],[Pre or Post]]="Post",1,0)+IF(D79="Pre",1,0)=4,Table442466[[#This Row],[Post Total]],""),"")</f>
        <v>3</v>
      </c>
      <c r="O80" s="5">
        <f>IF(IF(ISNUMBER(K79),1,0)+IF(ISNUMBER(Table442466[[#This Row],[Post Total]]),1,0)=2,IF(IF(Table442466[[#This Row],[Student Number]]=C79,1,0)+IF(Table442466[[#This Row],[Session]]=B79,1,0)+IF(Table442466[[#This Row],[Pre or Post]]="Post",1,0)+IF(D79="Pre",1,0)=4,Table442466[[#This Row],[Post Total]]-K79,""),"")</f>
        <v>0</v>
      </c>
      <c r="P80" s="5" t="b">
        <f>ISNUMBER(Table442466[[#This Row],[Change]])</f>
        <v>1</v>
      </c>
      <c r="Q80" s="5">
        <f>IF(E79="Male",Table442466[[#This Row],[Change]],"")</f>
        <v>0</v>
      </c>
      <c r="R80" s="5" t="str">
        <f>IF(E79="Female",Table442466[[#This Row],[Change]],"")</f>
        <v/>
      </c>
      <c r="S80" s="5" t="b">
        <f>ISNUMBER(Table442466[[#This Row],[If Male]])</f>
        <v>1</v>
      </c>
      <c r="T80" s="5" t="b">
        <f>ISNUMBER(Table442466[[#This Row],[If Female]])</f>
        <v>0</v>
      </c>
    </row>
    <row r="81" spans="1:20">
      <c r="A81" s="1" t="s">
        <v>24</v>
      </c>
      <c r="B81" s="1" t="s">
        <v>25</v>
      </c>
      <c r="C81" s="1">
        <v>15</v>
      </c>
      <c r="D81" s="1" t="s">
        <v>6</v>
      </c>
      <c r="E81" s="5" t="s">
        <v>7</v>
      </c>
      <c r="F81" s="1">
        <v>9</v>
      </c>
      <c r="G81" s="1">
        <v>4</v>
      </c>
      <c r="I81" s="5">
        <f>IF(IF(Table442466[[#This Row],[Pre or Post]]="Pre",1,0)+IF(ISNUMBER(Table442466[[#This Row],[Response]])=TRUE,1,0)=2,1,"")</f>
        <v>1</v>
      </c>
      <c r="J81" s="5" t="str">
        <f>IF(IF(Table442466[[#This Row],[Pre or Post]]="Post",1,0)+IF(ISNUMBER(Table442466[[#This Row],[Response]])=TRUE,1,0)=2,1,"")</f>
        <v/>
      </c>
      <c r="K81" s="6">
        <f>IF(IF(Table442466[[#This Row],[Pre or Post]]="Pre",1,0)+IF(ISNUMBER(Table442466[[#This Row],[Response]])=TRUE,1,0)=2,Table442466[[#This Row],[Response]],"")</f>
        <v>4</v>
      </c>
      <c r="L81" s="6" t="str">
        <f>IF(IF(Table442466[[#This Row],[Pre or Post]]="Post",1,0)+IF(ISNUMBER(Table442466[[#This Row],[Response]])=TRUE,1,0)=2,Table442466[[#This Row],[Response]],"")</f>
        <v/>
      </c>
      <c r="M81" s="5" t="str">
        <f>IF(IF(ISNUMBER(K81),1,0)+IF(ISNUMBER(L82),1,0)=2,IF(IF(C82=C81,1,0)+IF(B82=B81,1,0)+IF(D82="Post",1,0)+IF(D81="Pre",1,0)=4,Table442466[[#This Row],[Pre Total]],""),"")</f>
        <v/>
      </c>
      <c r="N81" s="5" t="str">
        <f>IF(IF(ISNUMBER(K80),1,0)+IF(ISNUMBER(Table442466[[#This Row],[Post Total]]),1,0)=2,IF(IF(Table442466[[#This Row],[Student Number]]=C80,1,0)+IF(Table442466[[#This Row],[Session]]=B80,1,0)+IF(Table442466[[#This Row],[Pre or Post]]="Post",1,0)+IF(D80="Pre",1,0)=4,Table442466[[#This Row],[Post Total]],""),"")</f>
        <v/>
      </c>
      <c r="O81" s="5" t="str">
        <f>IF(IF(ISNUMBER(K80),1,0)+IF(ISNUMBER(Table442466[[#This Row],[Post Total]]),1,0)=2,IF(IF(Table442466[[#This Row],[Student Number]]=C80,1,0)+IF(Table442466[[#This Row],[Session]]=B80,1,0)+IF(Table442466[[#This Row],[Pre or Post]]="Post",1,0)+IF(D80="Pre",1,0)=4,Table442466[[#This Row],[Post Total]]-K80,""),"")</f>
        <v/>
      </c>
      <c r="P81" s="5" t="b">
        <f>ISNUMBER(Table442466[[#This Row],[Change]])</f>
        <v>0</v>
      </c>
      <c r="Q81" s="5" t="str">
        <f>IF(E80="Male",Table442466[[#This Row],[Change]],"")</f>
        <v/>
      </c>
      <c r="R81" s="5" t="str">
        <f>IF(E80="Female",Table442466[[#This Row],[Change]],"")</f>
        <v/>
      </c>
      <c r="S81" s="5" t="b">
        <f>ISNUMBER(Table442466[[#This Row],[If Male]])</f>
        <v>0</v>
      </c>
      <c r="T81" s="5" t="b">
        <f>ISNUMBER(Table442466[[#This Row],[If Female]])</f>
        <v>0</v>
      </c>
    </row>
    <row r="82" spans="1:20">
      <c r="A82" s="1" t="s">
        <v>24</v>
      </c>
      <c r="B82" s="1" t="s">
        <v>25</v>
      </c>
      <c r="C82" s="1">
        <v>16</v>
      </c>
      <c r="D82" s="1" t="s">
        <v>6</v>
      </c>
      <c r="E82" s="5" t="s">
        <v>13</v>
      </c>
      <c r="F82" s="1">
        <v>9</v>
      </c>
      <c r="G82" s="1">
        <v>3</v>
      </c>
      <c r="I82" s="5">
        <f>IF(IF(Table442466[[#This Row],[Pre or Post]]="Pre",1,0)+IF(ISNUMBER(Table442466[[#This Row],[Response]])=TRUE,1,0)=2,1,"")</f>
        <v>1</v>
      </c>
      <c r="J82" s="5" t="str">
        <f>IF(IF(Table442466[[#This Row],[Pre or Post]]="Post",1,0)+IF(ISNUMBER(Table442466[[#This Row],[Response]])=TRUE,1,0)=2,1,"")</f>
        <v/>
      </c>
      <c r="K82" s="6">
        <f>IF(IF(Table442466[[#This Row],[Pre or Post]]="Pre",1,0)+IF(ISNUMBER(Table442466[[#This Row],[Response]])=TRUE,1,0)=2,Table442466[[#This Row],[Response]],"")</f>
        <v>3</v>
      </c>
      <c r="L82" s="6" t="str">
        <f>IF(IF(Table442466[[#This Row],[Pre or Post]]="Post",1,0)+IF(ISNUMBER(Table442466[[#This Row],[Response]])=TRUE,1,0)=2,Table442466[[#This Row],[Response]],"")</f>
        <v/>
      </c>
      <c r="M82" s="5" t="str">
        <f>IF(IF(ISNUMBER(K82),1,0)+IF(ISNUMBER(L83),1,0)=2,IF(IF(C83=C82,1,0)+IF(B83=B82,1,0)+IF(D83="Post",1,0)+IF(D82="Pre",1,0)=4,Table442466[[#This Row],[Pre Total]],""),"")</f>
        <v/>
      </c>
      <c r="N82" s="5" t="str">
        <f>IF(IF(ISNUMBER(K81),1,0)+IF(ISNUMBER(Table442466[[#This Row],[Post Total]]),1,0)=2,IF(IF(Table442466[[#This Row],[Student Number]]=C81,1,0)+IF(Table442466[[#This Row],[Session]]=B81,1,0)+IF(Table442466[[#This Row],[Pre or Post]]="Post",1,0)+IF(D81="Pre",1,0)=4,Table442466[[#This Row],[Post Total]],""),"")</f>
        <v/>
      </c>
      <c r="O82" s="5" t="str">
        <f>IF(IF(ISNUMBER(K81),1,0)+IF(ISNUMBER(Table442466[[#This Row],[Post Total]]),1,0)=2,IF(IF(Table442466[[#This Row],[Student Number]]=C81,1,0)+IF(Table442466[[#This Row],[Session]]=B81,1,0)+IF(Table442466[[#This Row],[Pre or Post]]="Post",1,0)+IF(D81="Pre",1,0)=4,Table442466[[#This Row],[Post Total]]-K81,""),"")</f>
        <v/>
      </c>
      <c r="P82" s="5" t="b">
        <f>ISNUMBER(Table442466[[#This Row],[Change]])</f>
        <v>0</v>
      </c>
      <c r="Q82" s="5" t="str">
        <f>IF(E81="Male",Table442466[[#This Row],[Change]],"")</f>
        <v/>
      </c>
      <c r="R82" s="5" t="str">
        <f>IF(E81="Female",Table442466[[#This Row],[Change]],"")</f>
        <v/>
      </c>
      <c r="S82" s="5" t="b">
        <f>ISNUMBER(Table442466[[#This Row],[If Male]])</f>
        <v>0</v>
      </c>
      <c r="T82" s="5" t="b">
        <f>ISNUMBER(Table442466[[#This Row],[If Female]])</f>
        <v>0</v>
      </c>
    </row>
    <row r="83" spans="1:20">
      <c r="A83" s="1" t="s">
        <v>24</v>
      </c>
      <c r="B83" s="1" t="s">
        <v>25</v>
      </c>
      <c r="C83" s="1">
        <v>17</v>
      </c>
      <c r="D83" s="1" t="s">
        <v>6</v>
      </c>
      <c r="E83" s="5" t="s">
        <v>7</v>
      </c>
      <c r="F83" s="1">
        <v>9</v>
      </c>
      <c r="G83" s="1">
        <v>3</v>
      </c>
      <c r="I83" s="5">
        <f>IF(IF(Table442466[[#This Row],[Pre or Post]]="Pre",1,0)+IF(ISNUMBER(Table442466[[#This Row],[Response]])=TRUE,1,0)=2,1,"")</f>
        <v>1</v>
      </c>
      <c r="J83" s="5" t="str">
        <f>IF(IF(Table442466[[#This Row],[Pre or Post]]="Post",1,0)+IF(ISNUMBER(Table442466[[#This Row],[Response]])=TRUE,1,0)=2,1,"")</f>
        <v/>
      </c>
      <c r="K83" s="6">
        <f>IF(IF(Table442466[[#This Row],[Pre or Post]]="Pre",1,0)+IF(ISNUMBER(Table442466[[#This Row],[Response]])=TRUE,1,0)=2,Table442466[[#This Row],[Response]],"")</f>
        <v>3</v>
      </c>
      <c r="L83" s="6" t="str">
        <f>IF(IF(Table442466[[#This Row],[Pre or Post]]="Post",1,0)+IF(ISNUMBER(Table442466[[#This Row],[Response]])=TRUE,1,0)=2,Table442466[[#This Row],[Response]],"")</f>
        <v/>
      </c>
      <c r="M83" s="5" t="str">
        <f>IF(IF(ISNUMBER(K83),1,0)+IF(ISNUMBER(L84),1,0)=2,IF(IF(C84=C83,1,0)+IF(B84=B83,1,0)+IF(D84="Post",1,0)+IF(D83="Pre",1,0)=4,Table442466[[#This Row],[Pre Total]],""),"")</f>
        <v/>
      </c>
      <c r="N83" s="5" t="str">
        <f>IF(IF(ISNUMBER(K82),1,0)+IF(ISNUMBER(Table442466[[#This Row],[Post Total]]),1,0)=2,IF(IF(Table442466[[#This Row],[Student Number]]=C82,1,0)+IF(Table442466[[#This Row],[Session]]=B82,1,0)+IF(Table442466[[#This Row],[Pre or Post]]="Post",1,0)+IF(D82="Pre",1,0)=4,Table442466[[#This Row],[Post Total]],""),"")</f>
        <v/>
      </c>
      <c r="O83" s="5" t="str">
        <f>IF(IF(ISNUMBER(K82),1,0)+IF(ISNUMBER(Table442466[[#This Row],[Post Total]]),1,0)=2,IF(IF(Table442466[[#This Row],[Student Number]]=C82,1,0)+IF(Table442466[[#This Row],[Session]]=B82,1,0)+IF(Table442466[[#This Row],[Pre or Post]]="Post",1,0)+IF(D82="Pre",1,0)=4,Table442466[[#This Row],[Post Total]]-K82,""),"")</f>
        <v/>
      </c>
      <c r="P83" s="5" t="b">
        <f>ISNUMBER(Table442466[[#This Row],[Change]])</f>
        <v>0</v>
      </c>
      <c r="Q83" s="5" t="str">
        <f>IF(E82="Male",Table442466[[#This Row],[Change]],"")</f>
        <v/>
      </c>
      <c r="R83" s="5" t="str">
        <f>IF(E82="Female",Table442466[[#This Row],[Change]],"")</f>
        <v/>
      </c>
      <c r="S83" s="5" t="b">
        <f>ISNUMBER(Table442466[[#This Row],[If Male]])</f>
        <v>0</v>
      </c>
      <c r="T83" s="5" t="b">
        <f>ISNUMBER(Table442466[[#This Row],[If Female]])</f>
        <v>0</v>
      </c>
    </row>
    <row r="84" spans="1:20">
      <c r="A84" s="1" t="s">
        <v>24</v>
      </c>
      <c r="B84" s="1" t="s">
        <v>25</v>
      </c>
      <c r="C84" s="1">
        <v>18</v>
      </c>
      <c r="D84" s="1" t="s">
        <v>16</v>
      </c>
      <c r="E84" s="5" t="s">
        <v>171</v>
      </c>
      <c r="F84" s="1">
        <v>2</v>
      </c>
      <c r="G84" s="1">
        <v>3</v>
      </c>
      <c r="H84" s="2"/>
      <c r="I84" s="6" t="str">
        <f>IF(IF(Table442466[[#This Row],[Pre or Post]]="Pre",1,0)+IF(ISNUMBER(Table442466[[#This Row],[Response]])=TRUE,1,0)=2,1,"")</f>
        <v/>
      </c>
      <c r="J84" s="6">
        <f>IF(IF(Table442466[[#This Row],[Pre or Post]]="Post",1,0)+IF(ISNUMBER(Table442466[[#This Row],[Response]])=TRUE,1,0)=2,1,"")</f>
        <v>1</v>
      </c>
      <c r="K84" s="6" t="str">
        <f>IF(IF(Table442466[[#This Row],[Pre or Post]]="Pre",1,0)+IF(ISNUMBER(Table442466[[#This Row],[Response]])=TRUE,1,0)=2,Table442466[[#This Row],[Response]],"")</f>
        <v/>
      </c>
      <c r="L84" s="6">
        <f>IF(IF(Table442466[[#This Row],[Pre or Post]]="Post",1,0)+IF(ISNUMBER(Table442466[[#This Row],[Response]])=TRUE,1,0)=2,Table442466[[#This Row],[Response]],"")</f>
        <v>3</v>
      </c>
      <c r="M84" s="6" t="str">
        <f>IF(IF(ISNUMBER(K84),1,0)+IF(ISNUMBER(L85),1,0)=2,IF(IF(C85=C84,1,0)+IF(B85=B84,1,0)+IF(D85="Post",1,0)+IF(D84="Pre",1,0)=4,Table442466[[#This Row],[Pre Total]],""),"")</f>
        <v/>
      </c>
      <c r="N84" s="6" t="str">
        <f>IF(IF(ISNUMBER(K83),1,0)+IF(ISNUMBER(Table442466[[#This Row],[Post Total]]),1,0)=2,IF(IF(Table442466[[#This Row],[Student Number]]=C83,1,0)+IF(Table442466[[#This Row],[Session]]=B83,1,0)+IF(Table442466[[#This Row],[Pre or Post]]="Post",1,0)+IF(D83="Pre",1,0)=4,Table442466[[#This Row],[Post Total]],""),"")</f>
        <v/>
      </c>
      <c r="O84" s="6" t="str">
        <f>IF(IF(ISNUMBER(K83),1,0)+IF(ISNUMBER(Table442466[[#This Row],[Post Total]]),1,0)=2,IF(IF(Table442466[[#This Row],[Student Number]]=C83,1,0)+IF(Table442466[[#This Row],[Session]]=B83,1,0)+IF(Table442466[[#This Row],[Pre or Post]]="Post",1,0)+IF(D83="Pre",1,0)=4,Table442466[[#This Row],[Post Total]]-K83,""),"")</f>
        <v/>
      </c>
      <c r="P84" s="6" t="b">
        <f>ISNUMBER(Table442466[[#This Row],[Change]])</f>
        <v>0</v>
      </c>
      <c r="Q84" s="5" t="str">
        <f>IF(E83="Male",Table442466[[#This Row],[Change]],"")</f>
        <v/>
      </c>
      <c r="R84" s="5" t="str">
        <f>IF(E83="Female",Table442466[[#This Row],[Change]],"")</f>
        <v/>
      </c>
      <c r="S84" s="5" t="b">
        <f>ISNUMBER(Table442466[[#This Row],[If Male]])</f>
        <v>0</v>
      </c>
      <c r="T84" s="5" t="b">
        <f>ISNUMBER(Table442466[[#This Row],[If Female]])</f>
        <v>0</v>
      </c>
    </row>
    <row r="85" spans="1:20">
      <c r="A85" s="1" t="s">
        <v>24</v>
      </c>
      <c r="B85" s="1" t="s">
        <v>25</v>
      </c>
      <c r="C85" s="1">
        <v>19</v>
      </c>
      <c r="D85" s="1" t="s">
        <v>16</v>
      </c>
      <c r="E85" s="5" t="s">
        <v>171</v>
      </c>
      <c r="F85" s="1">
        <v>2</v>
      </c>
      <c r="G85" s="1">
        <v>3</v>
      </c>
      <c r="H85" s="2"/>
      <c r="I85" s="5" t="str">
        <f>IF(IF(Table442466[[#This Row],[Pre or Post]]="Pre",1,0)+IF(ISNUMBER(Table442466[[#This Row],[Response]])=TRUE,1,0)=2,1,"")</f>
        <v/>
      </c>
      <c r="J85" s="5">
        <f>IF(IF(Table442466[[#This Row],[Pre or Post]]="Post",1,0)+IF(ISNUMBER(Table442466[[#This Row],[Response]])=TRUE,1,0)=2,1,"")</f>
        <v>1</v>
      </c>
      <c r="K85" s="6" t="str">
        <f>IF(IF(Table442466[[#This Row],[Pre or Post]]="Pre",1,0)+IF(ISNUMBER(Table442466[[#This Row],[Response]])=TRUE,1,0)=2,Table442466[[#This Row],[Response]],"")</f>
        <v/>
      </c>
      <c r="L85" s="6">
        <f>IF(IF(Table442466[[#This Row],[Pre or Post]]="Post",1,0)+IF(ISNUMBER(Table442466[[#This Row],[Response]])=TRUE,1,0)=2,Table442466[[#This Row],[Response]],"")</f>
        <v>3</v>
      </c>
      <c r="M85" s="5" t="str">
        <f>IF(IF(ISNUMBER(K85),1,0)+IF(ISNUMBER(L86),1,0)=2,IF(IF(C86=C85,1,0)+IF(B86=B85,1,0)+IF(D86="Post",1,0)+IF(D85="Pre",1,0)=4,Table442466[[#This Row],[Pre Total]],""),"")</f>
        <v/>
      </c>
      <c r="N85" s="5" t="str">
        <f>IF(IF(ISNUMBER(K84),1,0)+IF(ISNUMBER(Table442466[[#This Row],[Post Total]]),1,0)=2,IF(IF(Table442466[[#This Row],[Student Number]]=C84,1,0)+IF(Table442466[[#This Row],[Session]]=B84,1,0)+IF(Table442466[[#This Row],[Pre or Post]]="Post",1,0)+IF(D84="Pre",1,0)=4,Table442466[[#This Row],[Post Total]],""),"")</f>
        <v/>
      </c>
      <c r="O85" s="5" t="str">
        <f>IF(IF(ISNUMBER(K84),1,0)+IF(ISNUMBER(Table442466[[#This Row],[Post Total]]),1,0)=2,IF(IF(Table442466[[#This Row],[Student Number]]=C84,1,0)+IF(Table442466[[#This Row],[Session]]=B84,1,0)+IF(Table442466[[#This Row],[Pre or Post]]="Post",1,0)+IF(D84="Pre",1,0)=4,Table442466[[#This Row],[Post Total]]-K84,""),"")</f>
        <v/>
      </c>
      <c r="P85" s="5" t="b">
        <f>ISNUMBER(Table442466[[#This Row],[Change]])</f>
        <v>0</v>
      </c>
      <c r="Q85" s="5" t="str">
        <f>IF(E84="Male",Table442466[[#This Row],[Change]],"")</f>
        <v/>
      </c>
      <c r="R85" s="5" t="str">
        <f>IF(E84="Female",Table442466[[#This Row],[Change]],"")</f>
        <v/>
      </c>
      <c r="S85" s="5" t="b">
        <f>ISNUMBER(Table442466[[#This Row],[If Male]])</f>
        <v>0</v>
      </c>
      <c r="T85" s="5" t="b">
        <f>ISNUMBER(Table442466[[#This Row],[If Female]])</f>
        <v>0</v>
      </c>
    </row>
    <row r="86" spans="1:20">
      <c r="A86" s="1" t="s">
        <v>24</v>
      </c>
      <c r="B86" s="1" t="s">
        <v>25</v>
      </c>
      <c r="C86" s="1">
        <v>20</v>
      </c>
      <c r="D86" s="1" t="s">
        <v>16</v>
      </c>
      <c r="E86" s="5" t="s">
        <v>171</v>
      </c>
      <c r="F86" s="1">
        <v>2</v>
      </c>
      <c r="G86" s="1">
        <v>3</v>
      </c>
      <c r="H86" s="2"/>
      <c r="I86" s="6" t="str">
        <f>IF(IF(Table442466[[#This Row],[Pre or Post]]="Pre",1,0)+IF(ISNUMBER(Table442466[[#This Row],[Response]])=TRUE,1,0)=2,1,"")</f>
        <v/>
      </c>
      <c r="J86" s="6">
        <f>IF(IF(Table442466[[#This Row],[Pre or Post]]="Post",1,0)+IF(ISNUMBER(Table442466[[#This Row],[Response]])=TRUE,1,0)=2,1,"")</f>
        <v>1</v>
      </c>
      <c r="K86" s="6" t="str">
        <f>IF(IF(Table442466[[#This Row],[Pre or Post]]="Pre",1,0)+IF(ISNUMBER(Table442466[[#This Row],[Response]])=TRUE,1,0)=2,Table442466[[#This Row],[Response]],"")</f>
        <v/>
      </c>
      <c r="L86" s="6">
        <f>IF(IF(Table442466[[#This Row],[Pre or Post]]="Post",1,0)+IF(ISNUMBER(Table442466[[#This Row],[Response]])=TRUE,1,0)=2,Table442466[[#This Row],[Response]],"")</f>
        <v>3</v>
      </c>
      <c r="M86" s="6" t="str">
        <f>IF(IF(ISNUMBER(K86),1,0)+IF(ISNUMBER(L87),1,0)=2,IF(IF(C87=C86,1,0)+IF(B87=B86,1,0)+IF(D87="Post",1,0)+IF(D86="Pre",1,0)=4,Table442466[[#This Row],[Pre Total]],""),"")</f>
        <v/>
      </c>
      <c r="N86" s="6" t="str">
        <f>IF(IF(ISNUMBER(K85),1,0)+IF(ISNUMBER(Table442466[[#This Row],[Post Total]]),1,0)=2,IF(IF(Table442466[[#This Row],[Student Number]]=C85,1,0)+IF(Table442466[[#This Row],[Session]]=B85,1,0)+IF(Table442466[[#This Row],[Pre or Post]]="Post",1,0)+IF(D85="Pre",1,0)=4,Table442466[[#This Row],[Post Total]],""),"")</f>
        <v/>
      </c>
      <c r="O86" s="6" t="str">
        <f>IF(IF(ISNUMBER(K85),1,0)+IF(ISNUMBER(Table442466[[#This Row],[Post Total]]),1,0)=2,IF(IF(Table442466[[#This Row],[Student Number]]=C85,1,0)+IF(Table442466[[#This Row],[Session]]=B85,1,0)+IF(Table442466[[#This Row],[Pre or Post]]="Post",1,0)+IF(D85="Pre",1,0)=4,Table442466[[#This Row],[Post Total]]-K85,""),"")</f>
        <v/>
      </c>
      <c r="P86" s="6" t="b">
        <f>ISNUMBER(Table442466[[#This Row],[Change]])</f>
        <v>0</v>
      </c>
      <c r="Q86" s="5" t="str">
        <f>IF(E85="Male",Table442466[[#This Row],[Change]],"")</f>
        <v/>
      </c>
      <c r="R86" s="5" t="str">
        <f>IF(E85="Female",Table442466[[#This Row],[Change]],"")</f>
        <v/>
      </c>
      <c r="S86" s="5" t="b">
        <f>ISNUMBER(Table442466[[#This Row],[If Male]])</f>
        <v>0</v>
      </c>
      <c r="T86" s="5" t="b">
        <f>ISNUMBER(Table442466[[#This Row],[If Female]])</f>
        <v>0</v>
      </c>
    </row>
    <row r="87" spans="1:20">
      <c r="A87" s="1" t="s">
        <v>24</v>
      </c>
      <c r="B87" s="1" t="s">
        <v>25</v>
      </c>
      <c r="C87" s="1">
        <v>21</v>
      </c>
      <c r="D87" s="1" t="s">
        <v>16</v>
      </c>
      <c r="E87" s="5" t="s">
        <v>171</v>
      </c>
      <c r="F87" s="1">
        <v>2</v>
      </c>
      <c r="G87" s="1">
        <v>2</v>
      </c>
      <c r="H87" s="2"/>
      <c r="I87" s="5" t="str">
        <f>IF(IF(Table442466[[#This Row],[Pre or Post]]="Pre",1,0)+IF(ISNUMBER(Table442466[[#This Row],[Response]])=TRUE,1,0)=2,1,"")</f>
        <v/>
      </c>
      <c r="J87" s="5">
        <f>IF(IF(Table442466[[#This Row],[Pre or Post]]="Post",1,0)+IF(ISNUMBER(Table442466[[#This Row],[Response]])=TRUE,1,0)=2,1,"")</f>
        <v>1</v>
      </c>
      <c r="K87" s="6" t="str">
        <f>IF(IF(Table442466[[#This Row],[Pre or Post]]="Pre",1,0)+IF(ISNUMBER(Table442466[[#This Row],[Response]])=TRUE,1,0)=2,Table442466[[#This Row],[Response]],"")</f>
        <v/>
      </c>
      <c r="L87" s="6">
        <f>IF(IF(Table442466[[#This Row],[Pre or Post]]="Post",1,0)+IF(ISNUMBER(Table442466[[#This Row],[Response]])=TRUE,1,0)=2,Table442466[[#This Row],[Response]],"")</f>
        <v>2</v>
      </c>
      <c r="M87" s="5" t="str">
        <f>IF(IF(ISNUMBER(K87),1,0)+IF(ISNUMBER(L88),1,0)=2,IF(IF(C88=C87,1,0)+IF(B88=B87,1,0)+IF(D88="Post",1,0)+IF(D87="Pre",1,0)=4,Table442466[[#This Row],[Pre Total]],""),"")</f>
        <v/>
      </c>
      <c r="N87" s="5" t="str">
        <f>IF(IF(ISNUMBER(K86),1,0)+IF(ISNUMBER(Table442466[[#This Row],[Post Total]]),1,0)=2,IF(IF(Table442466[[#This Row],[Student Number]]=C86,1,0)+IF(Table442466[[#This Row],[Session]]=B86,1,0)+IF(Table442466[[#This Row],[Pre or Post]]="Post",1,0)+IF(D86="Pre",1,0)=4,Table442466[[#This Row],[Post Total]],""),"")</f>
        <v/>
      </c>
      <c r="O87" s="5" t="str">
        <f>IF(IF(ISNUMBER(K86),1,0)+IF(ISNUMBER(Table442466[[#This Row],[Post Total]]),1,0)=2,IF(IF(Table442466[[#This Row],[Student Number]]=C86,1,0)+IF(Table442466[[#This Row],[Session]]=B86,1,0)+IF(Table442466[[#This Row],[Pre or Post]]="Post",1,0)+IF(D86="Pre",1,0)=4,Table442466[[#This Row],[Post Total]]-K86,""),"")</f>
        <v/>
      </c>
      <c r="P87" s="5" t="b">
        <f>ISNUMBER(Table442466[[#This Row],[Change]])</f>
        <v>0</v>
      </c>
      <c r="Q87" s="5" t="str">
        <f>IF(E86="Male",Table442466[[#This Row],[Change]],"")</f>
        <v/>
      </c>
      <c r="R87" s="5" t="str">
        <f>IF(E86="Female",Table442466[[#This Row],[Change]],"")</f>
        <v/>
      </c>
      <c r="S87" s="5" t="b">
        <f>ISNUMBER(Table442466[[#This Row],[If Male]])</f>
        <v>0</v>
      </c>
      <c r="T87" s="5" t="b">
        <f>ISNUMBER(Table442466[[#This Row],[If Female]])</f>
        <v>0</v>
      </c>
    </row>
    <row r="88" spans="1:20">
      <c r="A88" s="2" t="s">
        <v>24</v>
      </c>
      <c r="B88" s="2" t="s">
        <v>28</v>
      </c>
      <c r="C88" s="1">
        <v>1</v>
      </c>
      <c r="D88" s="1" t="s">
        <v>6</v>
      </c>
      <c r="E88" s="5" t="s">
        <v>7</v>
      </c>
      <c r="F88" s="1">
        <v>9</v>
      </c>
      <c r="G88" s="1">
        <v>3</v>
      </c>
      <c r="I88" s="5">
        <f>IF(IF(Table442466[[#This Row],[Pre or Post]]="Pre",1,0)+IF(ISNUMBER(Table442466[[#This Row],[Response]])=TRUE,1,0)=2,1,"")</f>
        <v>1</v>
      </c>
      <c r="J88" s="5" t="str">
        <f>IF(IF(Table442466[[#This Row],[Pre or Post]]="Post",1,0)+IF(ISNUMBER(Table442466[[#This Row],[Response]])=TRUE,1,0)=2,1,"")</f>
        <v/>
      </c>
      <c r="K88" s="6">
        <f>IF(IF(Table442466[[#This Row],[Pre or Post]]="Pre",1,0)+IF(ISNUMBER(Table442466[[#This Row],[Response]])=TRUE,1,0)=2,Table442466[[#This Row],[Response]],"")</f>
        <v>3</v>
      </c>
      <c r="L88" s="6" t="str">
        <f>IF(IF(Table442466[[#This Row],[Pre or Post]]="Post",1,0)+IF(ISNUMBER(Table442466[[#This Row],[Response]])=TRUE,1,0)=2,Table442466[[#This Row],[Response]],"")</f>
        <v/>
      </c>
      <c r="M88" s="5">
        <f>IF(IF(ISNUMBER(K88),1,0)+IF(ISNUMBER(L89),1,0)=2,IF(IF(C89=C88,1,0)+IF(B89=B88,1,0)+IF(D89="Post",1,0)+IF(D88="Pre",1,0)=4,Table442466[[#This Row],[Pre Total]],""),"")</f>
        <v>3</v>
      </c>
      <c r="N88" s="5" t="str">
        <f>IF(IF(ISNUMBER(K87),1,0)+IF(ISNUMBER(Table442466[[#This Row],[Post Total]]),1,0)=2,IF(IF(Table442466[[#This Row],[Student Number]]=C87,1,0)+IF(Table442466[[#This Row],[Session]]=B87,1,0)+IF(Table442466[[#This Row],[Pre or Post]]="Post",1,0)+IF(D87="Pre",1,0)=4,Table442466[[#This Row],[Post Total]],""),"")</f>
        <v/>
      </c>
      <c r="O88" s="5" t="str">
        <f>IF(IF(ISNUMBER(K87),1,0)+IF(ISNUMBER(Table442466[[#This Row],[Post Total]]),1,0)=2,IF(IF(Table442466[[#This Row],[Student Number]]=C87,1,0)+IF(Table442466[[#This Row],[Session]]=B87,1,0)+IF(Table442466[[#This Row],[Pre or Post]]="Post",1,0)+IF(D87="Pre",1,0)=4,Table442466[[#This Row],[Post Total]]-K87,""),"")</f>
        <v/>
      </c>
      <c r="P88" s="5" t="b">
        <f>ISNUMBER(Table442466[[#This Row],[Change]])</f>
        <v>0</v>
      </c>
      <c r="Q88" s="5" t="str">
        <f>IF(E87="Male",Table442466[[#This Row],[Change]],"")</f>
        <v/>
      </c>
      <c r="R88" s="5" t="str">
        <f>IF(E87="Female",Table442466[[#This Row],[Change]],"")</f>
        <v/>
      </c>
      <c r="S88" s="5" t="b">
        <f>ISNUMBER(Table442466[[#This Row],[If Male]])</f>
        <v>0</v>
      </c>
      <c r="T88" s="5" t="b">
        <f>ISNUMBER(Table442466[[#This Row],[If Female]])</f>
        <v>0</v>
      </c>
    </row>
    <row r="89" spans="1:20">
      <c r="A89" s="2" t="s">
        <v>24</v>
      </c>
      <c r="B89" s="2" t="s">
        <v>28</v>
      </c>
      <c r="C89" s="1">
        <v>1</v>
      </c>
      <c r="D89" s="1" t="s">
        <v>16</v>
      </c>
      <c r="E89" s="5" t="s">
        <v>171</v>
      </c>
      <c r="F89" s="1">
        <v>2</v>
      </c>
      <c r="G89" s="2">
        <v>4</v>
      </c>
      <c r="H89" s="2"/>
      <c r="I89" s="5" t="str">
        <f>IF(IF(Table442466[[#This Row],[Pre or Post]]="Pre",1,0)+IF(ISNUMBER(Table442466[[#This Row],[Response]])=TRUE,1,0)=2,1,"")</f>
        <v/>
      </c>
      <c r="J89" s="5">
        <f>IF(IF(Table442466[[#This Row],[Pre or Post]]="Post",1,0)+IF(ISNUMBER(Table442466[[#This Row],[Response]])=TRUE,1,0)=2,1,"")</f>
        <v>1</v>
      </c>
      <c r="K89" s="6" t="str">
        <f>IF(IF(Table442466[[#This Row],[Pre or Post]]="Pre",1,0)+IF(ISNUMBER(Table442466[[#This Row],[Response]])=TRUE,1,0)=2,Table442466[[#This Row],[Response]],"")</f>
        <v/>
      </c>
      <c r="L89" s="6">
        <f>IF(IF(Table442466[[#This Row],[Pre or Post]]="Post",1,0)+IF(ISNUMBER(Table442466[[#This Row],[Response]])=TRUE,1,0)=2,Table442466[[#This Row],[Response]],"")</f>
        <v>4</v>
      </c>
      <c r="M89" s="5" t="str">
        <f>IF(IF(ISNUMBER(K89),1,0)+IF(ISNUMBER(L90),1,0)=2,IF(IF(C90=C89,1,0)+IF(B90=B89,1,0)+IF(D90="Post",1,0)+IF(D89="Pre",1,0)=4,Table442466[[#This Row],[Pre Total]],""),"")</f>
        <v/>
      </c>
      <c r="N89" s="5">
        <f>IF(IF(ISNUMBER(K88),1,0)+IF(ISNUMBER(Table442466[[#This Row],[Post Total]]),1,0)=2,IF(IF(Table442466[[#This Row],[Student Number]]=C88,1,0)+IF(Table442466[[#This Row],[Session]]=B88,1,0)+IF(Table442466[[#This Row],[Pre or Post]]="Post",1,0)+IF(D88="Pre",1,0)=4,Table442466[[#This Row],[Post Total]],""),"")</f>
        <v>4</v>
      </c>
      <c r="O89" s="5">
        <f>IF(IF(ISNUMBER(K88),1,0)+IF(ISNUMBER(Table442466[[#This Row],[Post Total]]),1,0)=2,IF(IF(Table442466[[#This Row],[Student Number]]=C88,1,0)+IF(Table442466[[#This Row],[Session]]=B88,1,0)+IF(Table442466[[#This Row],[Pre or Post]]="Post",1,0)+IF(D88="Pre",1,0)=4,Table442466[[#This Row],[Post Total]]-K88,""),"")</f>
        <v>1</v>
      </c>
      <c r="P89" s="5" t="b">
        <f>ISNUMBER(Table442466[[#This Row],[Change]])</f>
        <v>1</v>
      </c>
      <c r="Q89" s="5">
        <f>IF(E88="Male",Table442466[[#This Row],[Change]],"")</f>
        <v>1</v>
      </c>
      <c r="R89" s="5" t="str">
        <f>IF(E88="Female",Table442466[[#This Row],[Change]],"")</f>
        <v/>
      </c>
      <c r="S89" s="5" t="b">
        <f>ISNUMBER(Table442466[[#This Row],[If Male]])</f>
        <v>1</v>
      </c>
      <c r="T89" s="5" t="b">
        <f>ISNUMBER(Table442466[[#This Row],[If Female]])</f>
        <v>0</v>
      </c>
    </row>
    <row r="90" spans="1:20">
      <c r="A90" s="2" t="s">
        <v>24</v>
      </c>
      <c r="B90" s="2" t="s">
        <v>28</v>
      </c>
      <c r="C90" s="1">
        <v>2</v>
      </c>
      <c r="D90" s="1" t="s">
        <v>6</v>
      </c>
      <c r="E90" s="5" t="s">
        <v>13</v>
      </c>
      <c r="F90" s="1">
        <v>9</v>
      </c>
      <c r="G90" s="1">
        <v>3</v>
      </c>
      <c r="I90" s="5">
        <f>IF(IF(Table442466[[#This Row],[Pre or Post]]="Pre",1,0)+IF(ISNUMBER(Table442466[[#This Row],[Response]])=TRUE,1,0)=2,1,"")</f>
        <v>1</v>
      </c>
      <c r="J90" s="5" t="str">
        <f>IF(IF(Table442466[[#This Row],[Pre or Post]]="Post",1,0)+IF(ISNUMBER(Table442466[[#This Row],[Response]])=TRUE,1,0)=2,1,"")</f>
        <v/>
      </c>
      <c r="K90" s="6">
        <f>IF(IF(Table442466[[#This Row],[Pre or Post]]="Pre",1,0)+IF(ISNUMBER(Table442466[[#This Row],[Response]])=TRUE,1,0)=2,Table442466[[#This Row],[Response]],"")</f>
        <v>3</v>
      </c>
      <c r="L90" s="6" t="str">
        <f>IF(IF(Table442466[[#This Row],[Pre or Post]]="Post",1,0)+IF(ISNUMBER(Table442466[[#This Row],[Response]])=TRUE,1,0)=2,Table442466[[#This Row],[Response]],"")</f>
        <v/>
      </c>
      <c r="M90" s="5">
        <f>IF(IF(ISNUMBER(K90),1,0)+IF(ISNUMBER(L91),1,0)=2,IF(IF(C91=C90,1,0)+IF(B91=B90,1,0)+IF(D91="Post",1,0)+IF(D90="Pre",1,0)=4,Table442466[[#This Row],[Pre Total]],""),"")</f>
        <v>3</v>
      </c>
      <c r="N90" s="5" t="str">
        <f>IF(IF(ISNUMBER(K89),1,0)+IF(ISNUMBER(Table442466[[#This Row],[Post Total]]),1,0)=2,IF(IF(Table442466[[#This Row],[Student Number]]=C89,1,0)+IF(Table442466[[#This Row],[Session]]=B89,1,0)+IF(Table442466[[#This Row],[Pre or Post]]="Post",1,0)+IF(D89="Pre",1,0)=4,Table442466[[#This Row],[Post Total]],""),"")</f>
        <v/>
      </c>
      <c r="O90" s="5" t="str">
        <f>IF(IF(ISNUMBER(K89),1,0)+IF(ISNUMBER(Table442466[[#This Row],[Post Total]]),1,0)=2,IF(IF(Table442466[[#This Row],[Student Number]]=C89,1,0)+IF(Table442466[[#This Row],[Session]]=B89,1,0)+IF(Table442466[[#This Row],[Pre or Post]]="Post",1,0)+IF(D89="Pre",1,0)=4,Table442466[[#This Row],[Post Total]]-K89,""),"")</f>
        <v/>
      </c>
      <c r="P90" s="5" t="b">
        <f>ISNUMBER(Table442466[[#This Row],[Change]])</f>
        <v>0</v>
      </c>
      <c r="Q90" s="5" t="str">
        <f>IF(E89="Male",Table442466[[#This Row],[Change]],"")</f>
        <v/>
      </c>
      <c r="R90" s="5" t="str">
        <f>IF(E89="Female",Table442466[[#This Row],[Change]],"")</f>
        <v/>
      </c>
      <c r="S90" s="5" t="b">
        <f>ISNUMBER(Table442466[[#This Row],[If Male]])</f>
        <v>0</v>
      </c>
      <c r="T90" s="5" t="b">
        <f>ISNUMBER(Table442466[[#This Row],[If Female]])</f>
        <v>0</v>
      </c>
    </row>
    <row r="91" spans="1:20">
      <c r="A91" s="2" t="s">
        <v>24</v>
      </c>
      <c r="B91" s="2" t="s">
        <v>28</v>
      </c>
      <c r="C91" s="1">
        <v>2</v>
      </c>
      <c r="D91" s="1" t="s">
        <v>16</v>
      </c>
      <c r="E91" s="5" t="s">
        <v>171</v>
      </c>
      <c r="F91" s="1">
        <v>2</v>
      </c>
      <c r="G91" s="2">
        <v>4</v>
      </c>
      <c r="H91" s="2"/>
      <c r="I91" s="6" t="str">
        <f>IF(IF(Table442466[[#This Row],[Pre or Post]]="Pre",1,0)+IF(ISNUMBER(Table442466[[#This Row],[Response]])=TRUE,1,0)=2,1,"")</f>
        <v/>
      </c>
      <c r="J91" s="6">
        <f>IF(IF(Table442466[[#This Row],[Pre or Post]]="Post",1,0)+IF(ISNUMBER(Table442466[[#This Row],[Response]])=TRUE,1,0)=2,1,"")</f>
        <v>1</v>
      </c>
      <c r="K91" s="6" t="str">
        <f>IF(IF(Table442466[[#This Row],[Pre or Post]]="Pre",1,0)+IF(ISNUMBER(Table442466[[#This Row],[Response]])=TRUE,1,0)=2,Table442466[[#This Row],[Response]],"")</f>
        <v/>
      </c>
      <c r="L91" s="6">
        <f>IF(IF(Table442466[[#This Row],[Pre or Post]]="Post",1,0)+IF(ISNUMBER(Table442466[[#This Row],[Response]])=TRUE,1,0)=2,Table442466[[#This Row],[Response]],"")</f>
        <v>4</v>
      </c>
      <c r="M91" s="6" t="str">
        <f>IF(IF(ISNUMBER(K91),1,0)+IF(ISNUMBER(L92),1,0)=2,IF(IF(C92=C91,1,0)+IF(B92=B91,1,0)+IF(D92="Post",1,0)+IF(D91="Pre",1,0)=4,Table442466[[#This Row],[Pre Total]],""),"")</f>
        <v/>
      </c>
      <c r="N91" s="6">
        <f>IF(IF(ISNUMBER(K90),1,0)+IF(ISNUMBER(Table442466[[#This Row],[Post Total]]),1,0)=2,IF(IF(Table442466[[#This Row],[Student Number]]=C90,1,0)+IF(Table442466[[#This Row],[Session]]=B90,1,0)+IF(Table442466[[#This Row],[Pre or Post]]="Post",1,0)+IF(D90="Pre",1,0)=4,Table442466[[#This Row],[Post Total]],""),"")</f>
        <v>4</v>
      </c>
      <c r="O91" s="6">
        <f>IF(IF(ISNUMBER(K90),1,0)+IF(ISNUMBER(Table442466[[#This Row],[Post Total]]),1,0)=2,IF(IF(Table442466[[#This Row],[Student Number]]=C90,1,0)+IF(Table442466[[#This Row],[Session]]=B90,1,0)+IF(Table442466[[#This Row],[Pre or Post]]="Post",1,0)+IF(D90="Pre",1,0)=4,Table442466[[#This Row],[Post Total]]-K90,""),"")</f>
        <v>1</v>
      </c>
      <c r="P91" s="6" t="b">
        <f>ISNUMBER(Table442466[[#This Row],[Change]])</f>
        <v>1</v>
      </c>
      <c r="Q91" s="5" t="str">
        <f>IF(E90="Male",Table442466[[#This Row],[Change]],"")</f>
        <v/>
      </c>
      <c r="R91" s="5">
        <f>IF(E90="Female",Table442466[[#This Row],[Change]],"")</f>
        <v>1</v>
      </c>
      <c r="S91" s="5" t="b">
        <f>ISNUMBER(Table442466[[#This Row],[If Male]])</f>
        <v>0</v>
      </c>
      <c r="T91" s="5" t="b">
        <f>ISNUMBER(Table442466[[#This Row],[If Female]])</f>
        <v>1</v>
      </c>
    </row>
    <row r="92" spans="1:20">
      <c r="A92" s="2" t="s">
        <v>24</v>
      </c>
      <c r="B92" s="2" t="s">
        <v>28</v>
      </c>
      <c r="C92" s="1">
        <v>3</v>
      </c>
      <c r="D92" s="1" t="s">
        <v>6</v>
      </c>
      <c r="E92" s="5" t="s">
        <v>13</v>
      </c>
      <c r="F92" s="1">
        <v>9</v>
      </c>
      <c r="G92" s="1">
        <v>3</v>
      </c>
      <c r="I92" s="5">
        <f>IF(IF(Table442466[[#This Row],[Pre or Post]]="Pre",1,0)+IF(ISNUMBER(Table442466[[#This Row],[Response]])=TRUE,1,0)=2,1,"")</f>
        <v>1</v>
      </c>
      <c r="J92" s="5" t="str">
        <f>IF(IF(Table442466[[#This Row],[Pre or Post]]="Post",1,0)+IF(ISNUMBER(Table442466[[#This Row],[Response]])=TRUE,1,0)=2,1,"")</f>
        <v/>
      </c>
      <c r="K92" s="6">
        <f>IF(IF(Table442466[[#This Row],[Pre or Post]]="Pre",1,0)+IF(ISNUMBER(Table442466[[#This Row],[Response]])=TRUE,1,0)=2,Table442466[[#This Row],[Response]],"")</f>
        <v>3</v>
      </c>
      <c r="L92" s="6" t="str">
        <f>IF(IF(Table442466[[#This Row],[Pre or Post]]="Post",1,0)+IF(ISNUMBER(Table442466[[#This Row],[Response]])=TRUE,1,0)=2,Table442466[[#This Row],[Response]],"")</f>
        <v/>
      </c>
      <c r="M92" s="5">
        <f>IF(IF(ISNUMBER(K92),1,0)+IF(ISNUMBER(L93),1,0)=2,IF(IF(C93=C92,1,0)+IF(B93=B92,1,0)+IF(D93="Post",1,0)+IF(D92="Pre",1,0)=4,Table442466[[#This Row],[Pre Total]],""),"")</f>
        <v>3</v>
      </c>
      <c r="N92" s="5" t="str">
        <f>IF(IF(ISNUMBER(K91),1,0)+IF(ISNUMBER(Table442466[[#This Row],[Post Total]]),1,0)=2,IF(IF(Table442466[[#This Row],[Student Number]]=C91,1,0)+IF(Table442466[[#This Row],[Session]]=B91,1,0)+IF(Table442466[[#This Row],[Pre or Post]]="Post",1,0)+IF(D91="Pre",1,0)=4,Table442466[[#This Row],[Post Total]],""),"")</f>
        <v/>
      </c>
      <c r="O92" s="5" t="str">
        <f>IF(IF(ISNUMBER(K91),1,0)+IF(ISNUMBER(Table442466[[#This Row],[Post Total]]),1,0)=2,IF(IF(Table442466[[#This Row],[Student Number]]=C91,1,0)+IF(Table442466[[#This Row],[Session]]=B91,1,0)+IF(Table442466[[#This Row],[Pre or Post]]="Post",1,0)+IF(D91="Pre",1,0)=4,Table442466[[#This Row],[Post Total]]-K91,""),"")</f>
        <v/>
      </c>
      <c r="P92" s="5" t="b">
        <f>ISNUMBER(Table442466[[#This Row],[Change]])</f>
        <v>0</v>
      </c>
      <c r="Q92" s="5" t="str">
        <f>IF(E91="Male",Table442466[[#This Row],[Change]],"")</f>
        <v/>
      </c>
      <c r="R92" s="5" t="str">
        <f>IF(E91="Female",Table442466[[#This Row],[Change]],"")</f>
        <v/>
      </c>
      <c r="S92" s="5" t="b">
        <f>ISNUMBER(Table442466[[#This Row],[If Male]])</f>
        <v>0</v>
      </c>
      <c r="T92" s="5" t="b">
        <f>ISNUMBER(Table442466[[#This Row],[If Female]])</f>
        <v>0</v>
      </c>
    </row>
    <row r="93" spans="1:20">
      <c r="A93" s="2" t="s">
        <v>24</v>
      </c>
      <c r="B93" s="2" t="s">
        <v>28</v>
      </c>
      <c r="C93" s="1">
        <v>3</v>
      </c>
      <c r="D93" s="1" t="s">
        <v>16</v>
      </c>
      <c r="E93" s="5" t="s">
        <v>171</v>
      </c>
      <c r="F93" s="1">
        <v>2</v>
      </c>
      <c r="G93" s="2">
        <v>3</v>
      </c>
      <c r="H93" s="2"/>
      <c r="I93" s="6" t="str">
        <f>IF(IF(Table442466[[#This Row],[Pre or Post]]="Pre",1,0)+IF(ISNUMBER(Table442466[[#This Row],[Response]])=TRUE,1,0)=2,1,"")</f>
        <v/>
      </c>
      <c r="J93" s="6">
        <f>IF(IF(Table442466[[#This Row],[Pre or Post]]="Post",1,0)+IF(ISNUMBER(Table442466[[#This Row],[Response]])=TRUE,1,0)=2,1,"")</f>
        <v>1</v>
      </c>
      <c r="K93" s="6" t="str">
        <f>IF(IF(Table442466[[#This Row],[Pre or Post]]="Pre",1,0)+IF(ISNUMBER(Table442466[[#This Row],[Response]])=TRUE,1,0)=2,Table442466[[#This Row],[Response]],"")</f>
        <v/>
      </c>
      <c r="L93" s="6">
        <f>IF(IF(Table442466[[#This Row],[Pre or Post]]="Post",1,0)+IF(ISNUMBER(Table442466[[#This Row],[Response]])=TRUE,1,0)=2,Table442466[[#This Row],[Response]],"")</f>
        <v>3</v>
      </c>
      <c r="M93" s="6" t="str">
        <f>IF(IF(ISNUMBER(K93),1,0)+IF(ISNUMBER(L94),1,0)=2,IF(IF(C94=C93,1,0)+IF(B94=B93,1,0)+IF(D94="Post",1,0)+IF(D93="Pre",1,0)=4,Table442466[[#This Row],[Pre Total]],""),"")</f>
        <v/>
      </c>
      <c r="N93" s="6">
        <f>IF(IF(ISNUMBER(K92),1,0)+IF(ISNUMBER(Table442466[[#This Row],[Post Total]]),1,0)=2,IF(IF(Table442466[[#This Row],[Student Number]]=C92,1,0)+IF(Table442466[[#This Row],[Session]]=B92,1,0)+IF(Table442466[[#This Row],[Pre or Post]]="Post",1,0)+IF(D92="Pre",1,0)=4,Table442466[[#This Row],[Post Total]],""),"")</f>
        <v>3</v>
      </c>
      <c r="O93" s="6">
        <f>IF(IF(ISNUMBER(K92),1,0)+IF(ISNUMBER(Table442466[[#This Row],[Post Total]]),1,0)=2,IF(IF(Table442466[[#This Row],[Student Number]]=C92,1,0)+IF(Table442466[[#This Row],[Session]]=B92,1,0)+IF(Table442466[[#This Row],[Pre or Post]]="Post",1,0)+IF(D92="Pre",1,0)=4,Table442466[[#This Row],[Post Total]]-K92,""),"")</f>
        <v>0</v>
      </c>
      <c r="P93" s="6" t="b">
        <f>ISNUMBER(Table442466[[#This Row],[Change]])</f>
        <v>1</v>
      </c>
      <c r="Q93" s="5" t="str">
        <f>IF(E92="Male",Table442466[[#This Row],[Change]],"")</f>
        <v/>
      </c>
      <c r="R93" s="5">
        <f>IF(E92="Female",Table442466[[#This Row],[Change]],"")</f>
        <v>0</v>
      </c>
      <c r="S93" s="5" t="b">
        <f>ISNUMBER(Table442466[[#This Row],[If Male]])</f>
        <v>0</v>
      </c>
      <c r="T93" s="5" t="b">
        <f>ISNUMBER(Table442466[[#This Row],[If Female]])</f>
        <v>1</v>
      </c>
    </row>
    <row r="94" spans="1:20">
      <c r="A94" s="2" t="s">
        <v>24</v>
      </c>
      <c r="B94" s="2" t="s">
        <v>28</v>
      </c>
      <c r="C94" s="1">
        <v>4</v>
      </c>
      <c r="D94" s="1" t="s">
        <v>6</v>
      </c>
      <c r="E94" s="5" t="s">
        <v>7</v>
      </c>
      <c r="F94" s="1">
        <v>9</v>
      </c>
      <c r="G94" s="1">
        <v>4</v>
      </c>
      <c r="I94" s="5">
        <f>IF(IF(Table442466[[#This Row],[Pre or Post]]="Pre",1,0)+IF(ISNUMBER(Table442466[[#This Row],[Response]])=TRUE,1,0)=2,1,"")</f>
        <v>1</v>
      </c>
      <c r="J94" s="5" t="str">
        <f>IF(IF(Table442466[[#This Row],[Pre or Post]]="Post",1,0)+IF(ISNUMBER(Table442466[[#This Row],[Response]])=TRUE,1,0)=2,1,"")</f>
        <v/>
      </c>
      <c r="K94" s="6">
        <f>IF(IF(Table442466[[#This Row],[Pre or Post]]="Pre",1,0)+IF(ISNUMBER(Table442466[[#This Row],[Response]])=TRUE,1,0)=2,Table442466[[#This Row],[Response]],"")</f>
        <v>4</v>
      </c>
      <c r="L94" s="6" t="str">
        <f>IF(IF(Table442466[[#This Row],[Pre or Post]]="Post",1,0)+IF(ISNUMBER(Table442466[[#This Row],[Response]])=TRUE,1,0)=2,Table442466[[#This Row],[Response]],"")</f>
        <v/>
      </c>
      <c r="M94" s="5">
        <f>IF(IF(ISNUMBER(K94),1,0)+IF(ISNUMBER(L95),1,0)=2,IF(IF(C95=C94,1,0)+IF(B95=B94,1,0)+IF(D95="Post",1,0)+IF(D94="Pre",1,0)=4,Table442466[[#This Row],[Pre Total]],""),"")</f>
        <v>4</v>
      </c>
      <c r="N94" s="5" t="str">
        <f>IF(IF(ISNUMBER(K93),1,0)+IF(ISNUMBER(Table442466[[#This Row],[Post Total]]),1,0)=2,IF(IF(Table442466[[#This Row],[Student Number]]=C93,1,0)+IF(Table442466[[#This Row],[Session]]=B93,1,0)+IF(Table442466[[#This Row],[Pre or Post]]="Post",1,0)+IF(D93="Pre",1,0)=4,Table442466[[#This Row],[Post Total]],""),"")</f>
        <v/>
      </c>
      <c r="O94" s="5" t="str">
        <f>IF(IF(ISNUMBER(K93),1,0)+IF(ISNUMBER(Table442466[[#This Row],[Post Total]]),1,0)=2,IF(IF(Table442466[[#This Row],[Student Number]]=C93,1,0)+IF(Table442466[[#This Row],[Session]]=B93,1,0)+IF(Table442466[[#This Row],[Pre or Post]]="Post",1,0)+IF(D93="Pre",1,0)=4,Table442466[[#This Row],[Post Total]]-K93,""),"")</f>
        <v/>
      </c>
      <c r="P94" s="5" t="b">
        <f>ISNUMBER(Table442466[[#This Row],[Change]])</f>
        <v>0</v>
      </c>
      <c r="Q94" s="5" t="str">
        <f>IF(E93="Male",Table442466[[#This Row],[Change]],"")</f>
        <v/>
      </c>
      <c r="R94" s="5" t="str">
        <f>IF(E93="Female",Table442466[[#This Row],[Change]],"")</f>
        <v/>
      </c>
      <c r="S94" s="5" t="b">
        <f>ISNUMBER(Table442466[[#This Row],[If Male]])</f>
        <v>0</v>
      </c>
      <c r="T94" s="5" t="b">
        <f>ISNUMBER(Table442466[[#This Row],[If Female]])</f>
        <v>0</v>
      </c>
    </row>
    <row r="95" spans="1:20">
      <c r="A95" s="2" t="s">
        <v>24</v>
      </c>
      <c r="B95" s="2" t="s">
        <v>28</v>
      </c>
      <c r="C95" s="1">
        <v>4</v>
      </c>
      <c r="D95" s="1" t="s">
        <v>16</v>
      </c>
      <c r="E95" s="5" t="s">
        <v>171</v>
      </c>
      <c r="F95" s="1">
        <v>2</v>
      </c>
      <c r="G95" s="2">
        <v>4</v>
      </c>
      <c r="H95" s="2"/>
      <c r="I95" s="6" t="str">
        <f>IF(IF(Table442466[[#This Row],[Pre or Post]]="Pre",1,0)+IF(ISNUMBER(Table442466[[#This Row],[Response]])=TRUE,1,0)=2,1,"")</f>
        <v/>
      </c>
      <c r="J95" s="6">
        <f>IF(IF(Table442466[[#This Row],[Pre or Post]]="Post",1,0)+IF(ISNUMBER(Table442466[[#This Row],[Response]])=TRUE,1,0)=2,1,"")</f>
        <v>1</v>
      </c>
      <c r="K95" s="6" t="str">
        <f>IF(IF(Table442466[[#This Row],[Pre or Post]]="Pre",1,0)+IF(ISNUMBER(Table442466[[#This Row],[Response]])=TRUE,1,0)=2,Table442466[[#This Row],[Response]],"")</f>
        <v/>
      </c>
      <c r="L95" s="6">
        <f>IF(IF(Table442466[[#This Row],[Pre or Post]]="Post",1,0)+IF(ISNUMBER(Table442466[[#This Row],[Response]])=TRUE,1,0)=2,Table442466[[#This Row],[Response]],"")</f>
        <v>4</v>
      </c>
      <c r="M95" s="6" t="str">
        <f>IF(IF(ISNUMBER(K95),1,0)+IF(ISNUMBER(L96),1,0)=2,IF(IF(C96=C95,1,0)+IF(B96=B95,1,0)+IF(D96="Post",1,0)+IF(D95="Pre",1,0)=4,Table442466[[#This Row],[Pre Total]],""),"")</f>
        <v/>
      </c>
      <c r="N95" s="6">
        <f>IF(IF(ISNUMBER(K94),1,0)+IF(ISNUMBER(Table442466[[#This Row],[Post Total]]),1,0)=2,IF(IF(Table442466[[#This Row],[Student Number]]=C94,1,0)+IF(Table442466[[#This Row],[Session]]=B94,1,0)+IF(Table442466[[#This Row],[Pre or Post]]="Post",1,0)+IF(D94="Pre",1,0)=4,Table442466[[#This Row],[Post Total]],""),"")</f>
        <v>4</v>
      </c>
      <c r="O95" s="6">
        <f>IF(IF(ISNUMBER(K94),1,0)+IF(ISNUMBER(Table442466[[#This Row],[Post Total]]),1,0)=2,IF(IF(Table442466[[#This Row],[Student Number]]=C94,1,0)+IF(Table442466[[#This Row],[Session]]=B94,1,0)+IF(Table442466[[#This Row],[Pre or Post]]="Post",1,0)+IF(D94="Pre",1,0)=4,Table442466[[#This Row],[Post Total]]-K94,""),"")</f>
        <v>0</v>
      </c>
      <c r="P95" s="6" t="b">
        <f>ISNUMBER(Table442466[[#This Row],[Change]])</f>
        <v>1</v>
      </c>
      <c r="Q95" s="5">
        <f>IF(E94="Male",Table442466[[#This Row],[Change]],"")</f>
        <v>0</v>
      </c>
      <c r="R95" s="5" t="str">
        <f>IF(E94="Female",Table442466[[#This Row],[Change]],"")</f>
        <v/>
      </c>
      <c r="S95" s="5" t="b">
        <f>ISNUMBER(Table442466[[#This Row],[If Male]])</f>
        <v>1</v>
      </c>
      <c r="T95" s="5" t="b">
        <f>ISNUMBER(Table442466[[#This Row],[If Female]])</f>
        <v>0</v>
      </c>
    </row>
    <row r="96" spans="1:20">
      <c r="A96" s="2" t="s">
        <v>24</v>
      </c>
      <c r="B96" s="2" t="s">
        <v>28</v>
      </c>
      <c r="C96" s="1">
        <v>5</v>
      </c>
      <c r="D96" s="1" t="s">
        <v>6</v>
      </c>
      <c r="E96" s="5" t="s">
        <v>7</v>
      </c>
      <c r="F96" s="1">
        <v>9</v>
      </c>
      <c r="G96" s="1">
        <v>3</v>
      </c>
      <c r="H96" s="2"/>
      <c r="I96" s="5">
        <f>IF(IF(Table442466[[#This Row],[Pre or Post]]="Pre",1,0)+IF(ISNUMBER(Table442466[[#This Row],[Response]])=TRUE,1,0)=2,1,"")</f>
        <v>1</v>
      </c>
      <c r="J96" s="5" t="str">
        <f>IF(IF(Table442466[[#This Row],[Pre or Post]]="Post",1,0)+IF(ISNUMBER(Table442466[[#This Row],[Response]])=TRUE,1,0)=2,1,"")</f>
        <v/>
      </c>
      <c r="K96" s="6">
        <f>IF(IF(Table442466[[#This Row],[Pre or Post]]="Pre",1,0)+IF(ISNUMBER(Table442466[[#This Row],[Response]])=TRUE,1,0)=2,Table442466[[#This Row],[Response]],"")</f>
        <v>3</v>
      </c>
      <c r="L96" s="6" t="str">
        <f>IF(IF(Table442466[[#This Row],[Pre or Post]]="Post",1,0)+IF(ISNUMBER(Table442466[[#This Row],[Response]])=TRUE,1,0)=2,Table442466[[#This Row],[Response]],"")</f>
        <v/>
      </c>
      <c r="M96" s="5">
        <f>IF(IF(ISNUMBER(K96),1,0)+IF(ISNUMBER(L97),1,0)=2,IF(IF(C97=C96,1,0)+IF(B97=B96,1,0)+IF(D97="Post",1,0)+IF(D96="Pre",1,0)=4,Table442466[[#This Row],[Pre Total]],""),"")</f>
        <v>3</v>
      </c>
      <c r="N96" s="5" t="str">
        <f>IF(IF(ISNUMBER(K95),1,0)+IF(ISNUMBER(Table442466[[#This Row],[Post Total]]),1,0)=2,IF(IF(Table442466[[#This Row],[Student Number]]=C95,1,0)+IF(Table442466[[#This Row],[Session]]=B95,1,0)+IF(Table442466[[#This Row],[Pre or Post]]="Post",1,0)+IF(D95="Pre",1,0)=4,Table442466[[#This Row],[Post Total]],""),"")</f>
        <v/>
      </c>
      <c r="O96" s="5" t="str">
        <f>IF(IF(ISNUMBER(K95),1,0)+IF(ISNUMBER(Table442466[[#This Row],[Post Total]]),1,0)=2,IF(IF(Table442466[[#This Row],[Student Number]]=C95,1,0)+IF(Table442466[[#This Row],[Session]]=B95,1,0)+IF(Table442466[[#This Row],[Pre or Post]]="Post",1,0)+IF(D95="Pre",1,0)=4,Table442466[[#This Row],[Post Total]]-K95,""),"")</f>
        <v/>
      </c>
      <c r="P96" s="5" t="b">
        <f>ISNUMBER(Table442466[[#This Row],[Change]])</f>
        <v>0</v>
      </c>
      <c r="Q96" s="5" t="str">
        <f>IF(E95="Male",Table442466[[#This Row],[Change]],"")</f>
        <v/>
      </c>
      <c r="R96" s="5" t="str">
        <f>IF(E95="Female",Table442466[[#This Row],[Change]],"")</f>
        <v/>
      </c>
      <c r="S96" s="5" t="b">
        <f>ISNUMBER(Table442466[[#This Row],[If Male]])</f>
        <v>0</v>
      </c>
      <c r="T96" s="5" t="b">
        <f>ISNUMBER(Table442466[[#This Row],[If Female]])</f>
        <v>0</v>
      </c>
    </row>
    <row r="97" spans="1:20">
      <c r="A97" s="2" t="s">
        <v>24</v>
      </c>
      <c r="B97" s="2" t="s">
        <v>28</v>
      </c>
      <c r="C97" s="1">
        <v>5</v>
      </c>
      <c r="D97" s="1" t="s">
        <v>16</v>
      </c>
      <c r="E97" s="5" t="s">
        <v>171</v>
      </c>
      <c r="F97" s="1">
        <v>2</v>
      </c>
      <c r="G97" s="2">
        <v>3</v>
      </c>
      <c r="H97" s="2"/>
      <c r="I97" s="6" t="str">
        <f>IF(IF(Table442466[[#This Row],[Pre or Post]]="Pre",1,0)+IF(ISNUMBER(Table442466[[#This Row],[Response]])=TRUE,1,0)=2,1,"")</f>
        <v/>
      </c>
      <c r="J97" s="6">
        <f>IF(IF(Table442466[[#This Row],[Pre or Post]]="Post",1,0)+IF(ISNUMBER(Table442466[[#This Row],[Response]])=TRUE,1,0)=2,1,"")</f>
        <v>1</v>
      </c>
      <c r="K97" s="6" t="str">
        <f>IF(IF(Table442466[[#This Row],[Pre or Post]]="Pre",1,0)+IF(ISNUMBER(Table442466[[#This Row],[Response]])=TRUE,1,0)=2,Table442466[[#This Row],[Response]],"")</f>
        <v/>
      </c>
      <c r="L97" s="6">
        <f>IF(IF(Table442466[[#This Row],[Pre or Post]]="Post",1,0)+IF(ISNUMBER(Table442466[[#This Row],[Response]])=TRUE,1,0)=2,Table442466[[#This Row],[Response]],"")</f>
        <v>3</v>
      </c>
      <c r="M97" s="6" t="str">
        <f>IF(IF(ISNUMBER(K97),1,0)+IF(ISNUMBER(L98),1,0)=2,IF(IF(C98=C97,1,0)+IF(B98=B97,1,0)+IF(D98="Post",1,0)+IF(D97="Pre",1,0)=4,Table442466[[#This Row],[Pre Total]],""),"")</f>
        <v/>
      </c>
      <c r="N97" s="6">
        <f>IF(IF(ISNUMBER(K96),1,0)+IF(ISNUMBER(Table442466[[#This Row],[Post Total]]),1,0)=2,IF(IF(Table442466[[#This Row],[Student Number]]=C96,1,0)+IF(Table442466[[#This Row],[Session]]=B96,1,0)+IF(Table442466[[#This Row],[Pre or Post]]="Post",1,0)+IF(D96="Pre",1,0)=4,Table442466[[#This Row],[Post Total]],""),"")</f>
        <v>3</v>
      </c>
      <c r="O97" s="6">
        <f>IF(IF(ISNUMBER(K96),1,0)+IF(ISNUMBER(Table442466[[#This Row],[Post Total]]),1,0)=2,IF(IF(Table442466[[#This Row],[Student Number]]=C96,1,0)+IF(Table442466[[#This Row],[Session]]=B96,1,0)+IF(Table442466[[#This Row],[Pre or Post]]="Post",1,0)+IF(D96="Pre",1,0)=4,Table442466[[#This Row],[Post Total]]-K96,""),"")</f>
        <v>0</v>
      </c>
      <c r="P97" s="6" t="b">
        <f>ISNUMBER(Table442466[[#This Row],[Change]])</f>
        <v>1</v>
      </c>
      <c r="Q97" s="5">
        <f>IF(E96="Male",Table442466[[#This Row],[Change]],"")</f>
        <v>0</v>
      </c>
      <c r="R97" s="5" t="str">
        <f>IF(E96="Female",Table442466[[#This Row],[Change]],"")</f>
        <v/>
      </c>
      <c r="S97" s="5" t="b">
        <f>ISNUMBER(Table442466[[#This Row],[If Male]])</f>
        <v>1</v>
      </c>
      <c r="T97" s="5" t="b">
        <f>ISNUMBER(Table442466[[#This Row],[If Female]])</f>
        <v>0</v>
      </c>
    </row>
    <row r="98" spans="1:20">
      <c r="A98" s="2" t="s">
        <v>24</v>
      </c>
      <c r="B98" s="2" t="s">
        <v>28</v>
      </c>
      <c r="C98" s="1">
        <v>6</v>
      </c>
      <c r="D98" s="1" t="s">
        <v>6</v>
      </c>
      <c r="E98" s="5" t="s">
        <v>7</v>
      </c>
      <c r="F98" s="1">
        <v>9</v>
      </c>
      <c r="G98" s="1">
        <v>3</v>
      </c>
      <c r="I98" s="5">
        <f>IF(IF(Table442466[[#This Row],[Pre or Post]]="Pre",1,0)+IF(ISNUMBER(Table442466[[#This Row],[Response]])=TRUE,1,0)=2,1,"")</f>
        <v>1</v>
      </c>
      <c r="J98" s="5" t="str">
        <f>IF(IF(Table442466[[#This Row],[Pre or Post]]="Post",1,0)+IF(ISNUMBER(Table442466[[#This Row],[Response]])=TRUE,1,0)=2,1,"")</f>
        <v/>
      </c>
      <c r="K98" s="6">
        <f>IF(IF(Table442466[[#This Row],[Pre or Post]]="Pre",1,0)+IF(ISNUMBER(Table442466[[#This Row],[Response]])=TRUE,1,0)=2,Table442466[[#This Row],[Response]],"")</f>
        <v>3</v>
      </c>
      <c r="L98" s="6" t="str">
        <f>IF(IF(Table442466[[#This Row],[Pre or Post]]="Post",1,0)+IF(ISNUMBER(Table442466[[#This Row],[Response]])=TRUE,1,0)=2,Table442466[[#This Row],[Response]],"")</f>
        <v/>
      </c>
      <c r="M98" s="5">
        <f>IF(IF(ISNUMBER(K98),1,0)+IF(ISNUMBER(L99),1,0)=2,IF(IF(C99=C98,1,0)+IF(B99=B98,1,0)+IF(D99="Post",1,0)+IF(D98="Pre",1,0)=4,Table442466[[#This Row],[Pre Total]],""),"")</f>
        <v>3</v>
      </c>
      <c r="N98" s="5" t="str">
        <f>IF(IF(ISNUMBER(K97),1,0)+IF(ISNUMBER(Table442466[[#This Row],[Post Total]]),1,0)=2,IF(IF(Table442466[[#This Row],[Student Number]]=C97,1,0)+IF(Table442466[[#This Row],[Session]]=B97,1,0)+IF(Table442466[[#This Row],[Pre or Post]]="Post",1,0)+IF(D97="Pre",1,0)=4,Table442466[[#This Row],[Post Total]],""),"")</f>
        <v/>
      </c>
      <c r="O98" s="5" t="str">
        <f>IF(IF(ISNUMBER(K97),1,0)+IF(ISNUMBER(Table442466[[#This Row],[Post Total]]),1,0)=2,IF(IF(Table442466[[#This Row],[Student Number]]=C97,1,0)+IF(Table442466[[#This Row],[Session]]=B97,1,0)+IF(Table442466[[#This Row],[Pre or Post]]="Post",1,0)+IF(D97="Pre",1,0)=4,Table442466[[#This Row],[Post Total]]-K97,""),"")</f>
        <v/>
      </c>
      <c r="P98" s="5" t="b">
        <f>ISNUMBER(Table442466[[#This Row],[Change]])</f>
        <v>0</v>
      </c>
      <c r="Q98" s="5" t="str">
        <f>IF(E97="Male",Table442466[[#This Row],[Change]],"")</f>
        <v/>
      </c>
      <c r="R98" s="5" t="str">
        <f>IF(E97="Female",Table442466[[#This Row],[Change]],"")</f>
        <v/>
      </c>
      <c r="S98" s="5" t="b">
        <f>ISNUMBER(Table442466[[#This Row],[If Male]])</f>
        <v>0</v>
      </c>
      <c r="T98" s="5" t="b">
        <f>ISNUMBER(Table442466[[#This Row],[If Female]])</f>
        <v>0</v>
      </c>
    </row>
    <row r="99" spans="1:20">
      <c r="A99" s="2" t="s">
        <v>24</v>
      </c>
      <c r="B99" s="2" t="s">
        <v>28</v>
      </c>
      <c r="C99" s="1">
        <v>6</v>
      </c>
      <c r="D99" s="1" t="s">
        <v>16</v>
      </c>
      <c r="E99" s="5" t="s">
        <v>171</v>
      </c>
      <c r="F99" s="1">
        <v>2</v>
      </c>
      <c r="G99" s="2">
        <v>4</v>
      </c>
      <c r="H99" s="2"/>
      <c r="I99" s="6" t="str">
        <f>IF(IF(Table442466[[#This Row],[Pre or Post]]="Pre",1,0)+IF(ISNUMBER(Table442466[[#This Row],[Response]])=TRUE,1,0)=2,1,"")</f>
        <v/>
      </c>
      <c r="J99" s="6">
        <f>IF(IF(Table442466[[#This Row],[Pre or Post]]="Post",1,0)+IF(ISNUMBER(Table442466[[#This Row],[Response]])=TRUE,1,0)=2,1,"")</f>
        <v>1</v>
      </c>
      <c r="K99" s="6" t="str">
        <f>IF(IF(Table442466[[#This Row],[Pre or Post]]="Pre",1,0)+IF(ISNUMBER(Table442466[[#This Row],[Response]])=TRUE,1,0)=2,Table442466[[#This Row],[Response]],"")</f>
        <v/>
      </c>
      <c r="L99" s="6">
        <f>IF(IF(Table442466[[#This Row],[Pre or Post]]="Post",1,0)+IF(ISNUMBER(Table442466[[#This Row],[Response]])=TRUE,1,0)=2,Table442466[[#This Row],[Response]],"")</f>
        <v>4</v>
      </c>
      <c r="M99" s="6" t="str">
        <f>IF(IF(ISNUMBER(K99),1,0)+IF(ISNUMBER(L100),1,0)=2,IF(IF(C100=C99,1,0)+IF(B100=B99,1,0)+IF(D100="Post",1,0)+IF(D99="Pre",1,0)=4,Table442466[[#This Row],[Pre Total]],""),"")</f>
        <v/>
      </c>
      <c r="N99" s="6">
        <f>IF(IF(ISNUMBER(K98),1,0)+IF(ISNUMBER(Table442466[[#This Row],[Post Total]]),1,0)=2,IF(IF(Table442466[[#This Row],[Student Number]]=C98,1,0)+IF(Table442466[[#This Row],[Session]]=B98,1,0)+IF(Table442466[[#This Row],[Pre or Post]]="Post",1,0)+IF(D98="Pre",1,0)=4,Table442466[[#This Row],[Post Total]],""),"")</f>
        <v>4</v>
      </c>
      <c r="O99" s="6">
        <f>IF(IF(ISNUMBER(K98),1,0)+IF(ISNUMBER(Table442466[[#This Row],[Post Total]]),1,0)=2,IF(IF(Table442466[[#This Row],[Student Number]]=C98,1,0)+IF(Table442466[[#This Row],[Session]]=B98,1,0)+IF(Table442466[[#This Row],[Pre or Post]]="Post",1,0)+IF(D98="Pre",1,0)=4,Table442466[[#This Row],[Post Total]]-K98,""),"")</f>
        <v>1</v>
      </c>
      <c r="P99" s="6" t="b">
        <f>ISNUMBER(Table442466[[#This Row],[Change]])</f>
        <v>1</v>
      </c>
      <c r="Q99" s="5">
        <f>IF(E98="Male",Table442466[[#This Row],[Change]],"")</f>
        <v>1</v>
      </c>
      <c r="R99" s="5" t="str">
        <f>IF(E98="Female",Table442466[[#This Row],[Change]],"")</f>
        <v/>
      </c>
      <c r="S99" s="5" t="b">
        <f>ISNUMBER(Table442466[[#This Row],[If Male]])</f>
        <v>1</v>
      </c>
      <c r="T99" s="5" t="b">
        <f>ISNUMBER(Table442466[[#This Row],[If Female]])</f>
        <v>0</v>
      </c>
    </row>
    <row r="100" spans="1:20">
      <c r="A100" s="2" t="s">
        <v>24</v>
      </c>
      <c r="B100" s="2" t="s">
        <v>28</v>
      </c>
      <c r="C100" s="1">
        <v>7</v>
      </c>
      <c r="D100" s="1" t="s">
        <v>6</v>
      </c>
      <c r="E100" s="5" t="s">
        <v>7</v>
      </c>
      <c r="F100" s="1">
        <v>9</v>
      </c>
      <c r="G100" s="1">
        <v>3</v>
      </c>
      <c r="H100" s="2"/>
      <c r="I100" s="5">
        <f>IF(IF(Table442466[[#This Row],[Pre or Post]]="Pre",1,0)+IF(ISNUMBER(Table442466[[#This Row],[Response]])=TRUE,1,0)=2,1,"")</f>
        <v>1</v>
      </c>
      <c r="J100" s="5" t="str">
        <f>IF(IF(Table442466[[#This Row],[Pre or Post]]="Post",1,0)+IF(ISNUMBER(Table442466[[#This Row],[Response]])=TRUE,1,0)=2,1,"")</f>
        <v/>
      </c>
      <c r="K100" s="6">
        <f>IF(IF(Table442466[[#This Row],[Pre or Post]]="Pre",1,0)+IF(ISNUMBER(Table442466[[#This Row],[Response]])=TRUE,1,0)=2,Table442466[[#This Row],[Response]],"")</f>
        <v>3</v>
      </c>
      <c r="L100" s="6" t="str">
        <f>IF(IF(Table442466[[#This Row],[Pre or Post]]="Post",1,0)+IF(ISNUMBER(Table442466[[#This Row],[Response]])=TRUE,1,0)=2,Table442466[[#This Row],[Response]],"")</f>
        <v/>
      </c>
      <c r="M100" s="5">
        <f>IF(IF(ISNUMBER(K100),1,0)+IF(ISNUMBER(L101),1,0)=2,IF(IF(C101=C100,1,0)+IF(B101=B100,1,0)+IF(D101="Post",1,0)+IF(D100="Pre",1,0)=4,Table442466[[#This Row],[Pre Total]],""),"")</f>
        <v>3</v>
      </c>
      <c r="N100" s="5" t="str">
        <f>IF(IF(ISNUMBER(K99),1,0)+IF(ISNUMBER(Table442466[[#This Row],[Post Total]]),1,0)=2,IF(IF(Table442466[[#This Row],[Student Number]]=C99,1,0)+IF(Table442466[[#This Row],[Session]]=B99,1,0)+IF(Table442466[[#This Row],[Pre or Post]]="Post",1,0)+IF(D99="Pre",1,0)=4,Table442466[[#This Row],[Post Total]],""),"")</f>
        <v/>
      </c>
      <c r="O100" s="5" t="str">
        <f>IF(IF(ISNUMBER(K99),1,0)+IF(ISNUMBER(Table442466[[#This Row],[Post Total]]),1,0)=2,IF(IF(Table442466[[#This Row],[Student Number]]=C99,1,0)+IF(Table442466[[#This Row],[Session]]=B99,1,0)+IF(Table442466[[#This Row],[Pre or Post]]="Post",1,0)+IF(D99="Pre",1,0)=4,Table442466[[#This Row],[Post Total]]-K99,""),"")</f>
        <v/>
      </c>
      <c r="P100" s="5" t="b">
        <f>ISNUMBER(Table442466[[#This Row],[Change]])</f>
        <v>0</v>
      </c>
      <c r="Q100" s="5" t="str">
        <f>IF(E99="Male",Table442466[[#This Row],[Change]],"")</f>
        <v/>
      </c>
      <c r="R100" s="5" t="str">
        <f>IF(E99="Female",Table442466[[#This Row],[Change]],"")</f>
        <v/>
      </c>
      <c r="S100" s="5" t="b">
        <f>ISNUMBER(Table442466[[#This Row],[If Male]])</f>
        <v>0</v>
      </c>
      <c r="T100" s="5" t="b">
        <f>ISNUMBER(Table442466[[#This Row],[If Female]])</f>
        <v>0</v>
      </c>
    </row>
    <row r="101" spans="1:20">
      <c r="A101" s="2" t="s">
        <v>24</v>
      </c>
      <c r="B101" s="2" t="s">
        <v>28</v>
      </c>
      <c r="C101" s="1">
        <v>7</v>
      </c>
      <c r="D101" s="1" t="s">
        <v>16</v>
      </c>
      <c r="E101" s="5" t="s">
        <v>171</v>
      </c>
      <c r="F101" s="1">
        <v>2</v>
      </c>
      <c r="G101" s="2">
        <v>2</v>
      </c>
      <c r="H101" s="2"/>
      <c r="I101" s="6" t="str">
        <f>IF(IF(Table442466[[#This Row],[Pre or Post]]="Pre",1,0)+IF(ISNUMBER(Table442466[[#This Row],[Response]])=TRUE,1,0)=2,1,"")</f>
        <v/>
      </c>
      <c r="J101" s="6">
        <f>IF(IF(Table442466[[#This Row],[Pre or Post]]="Post",1,0)+IF(ISNUMBER(Table442466[[#This Row],[Response]])=TRUE,1,0)=2,1,"")</f>
        <v>1</v>
      </c>
      <c r="K101" s="6" t="str">
        <f>IF(IF(Table442466[[#This Row],[Pre or Post]]="Pre",1,0)+IF(ISNUMBER(Table442466[[#This Row],[Response]])=TRUE,1,0)=2,Table442466[[#This Row],[Response]],"")</f>
        <v/>
      </c>
      <c r="L101" s="6">
        <f>IF(IF(Table442466[[#This Row],[Pre or Post]]="Post",1,0)+IF(ISNUMBER(Table442466[[#This Row],[Response]])=TRUE,1,0)=2,Table442466[[#This Row],[Response]],"")</f>
        <v>2</v>
      </c>
      <c r="M101" s="6" t="str">
        <f>IF(IF(ISNUMBER(K101),1,0)+IF(ISNUMBER(L102),1,0)=2,IF(IF(C102=C101,1,0)+IF(B102=B101,1,0)+IF(D102="Post",1,0)+IF(D101="Pre",1,0)=4,Table442466[[#This Row],[Pre Total]],""),"")</f>
        <v/>
      </c>
      <c r="N101" s="6">
        <f>IF(IF(ISNUMBER(K100),1,0)+IF(ISNUMBER(Table442466[[#This Row],[Post Total]]),1,0)=2,IF(IF(Table442466[[#This Row],[Student Number]]=C100,1,0)+IF(Table442466[[#This Row],[Session]]=B100,1,0)+IF(Table442466[[#This Row],[Pre or Post]]="Post",1,0)+IF(D100="Pre",1,0)=4,Table442466[[#This Row],[Post Total]],""),"")</f>
        <v>2</v>
      </c>
      <c r="O101" s="6">
        <f>IF(IF(ISNUMBER(K100),1,0)+IF(ISNUMBER(Table442466[[#This Row],[Post Total]]),1,0)=2,IF(IF(Table442466[[#This Row],[Student Number]]=C100,1,0)+IF(Table442466[[#This Row],[Session]]=B100,1,0)+IF(Table442466[[#This Row],[Pre or Post]]="Post",1,0)+IF(D100="Pre",1,0)=4,Table442466[[#This Row],[Post Total]]-K100,""),"")</f>
        <v>-1</v>
      </c>
      <c r="P101" s="6" t="b">
        <f>ISNUMBER(Table442466[[#This Row],[Change]])</f>
        <v>1</v>
      </c>
      <c r="Q101" s="5">
        <f>IF(E100="Male",Table442466[[#This Row],[Change]],"")</f>
        <v>-1</v>
      </c>
      <c r="R101" s="5" t="str">
        <f>IF(E100="Female",Table442466[[#This Row],[Change]],"")</f>
        <v/>
      </c>
      <c r="S101" s="5" t="b">
        <f>ISNUMBER(Table442466[[#This Row],[If Male]])</f>
        <v>1</v>
      </c>
      <c r="T101" s="5" t="b">
        <f>ISNUMBER(Table442466[[#This Row],[If Female]])</f>
        <v>0</v>
      </c>
    </row>
    <row r="102" spans="1:20">
      <c r="A102" s="2" t="s">
        <v>24</v>
      </c>
      <c r="B102" s="2" t="s">
        <v>28</v>
      </c>
      <c r="C102" s="1">
        <v>8</v>
      </c>
      <c r="D102" s="1" t="s">
        <v>6</v>
      </c>
      <c r="E102" s="5" t="s">
        <v>7</v>
      </c>
      <c r="F102" s="1">
        <v>9</v>
      </c>
      <c r="G102" s="1">
        <v>3</v>
      </c>
      <c r="I102" s="5">
        <f>IF(IF(Table442466[[#This Row],[Pre or Post]]="Pre",1,0)+IF(ISNUMBER(Table442466[[#This Row],[Response]])=TRUE,1,0)=2,1,"")</f>
        <v>1</v>
      </c>
      <c r="J102" s="5" t="str">
        <f>IF(IF(Table442466[[#This Row],[Pre or Post]]="Post",1,0)+IF(ISNUMBER(Table442466[[#This Row],[Response]])=TRUE,1,0)=2,1,"")</f>
        <v/>
      </c>
      <c r="K102" s="6">
        <f>IF(IF(Table442466[[#This Row],[Pre or Post]]="Pre",1,0)+IF(ISNUMBER(Table442466[[#This Row],[Response]])=TRUE,1,0)=2,Table442466[[#This Row],[Response]],"")</f>
        <v>3</v>
      </c>
      <c r="L102" s="6" t="str">
        <f>IF(IF(Table442466[[#This Row],[Pre or Post]]="Post",1,0)+IF(ISNUMBER(Table442466[[#This Row],[Response]])=TRUE,1,0)=2,Table442466[[#This Row],[Response]],"")</f>
        <v/>
      </c>
      <c r="M102" s="5">
        <f>IF(IF(ISNUMBER(K102),1,0)+IF(ISNUMBER(L103),1,0)=2,IF(IF(C103=C102,1,0)+IF(B103=B102,1,0)+IF(D103="Post",1,0)+IF(D102="Pre",1,0)=4,Table442466[[#This Row],[Pre Total]],""),"")</f>
        <v>3</v>
      </c>
      <c r="N102" s="5" t="str">
        <f>IF(IF(ISNUMBER(K101),1,0)+IF(ISNUMBER(Table442466[[#This Row],[Post Total]]),1,0)=2,IF(IF(Table442466[[#This Row],[Student Number]]=C101,1,0)+IF(Table442466[[#This Row],[Session]]=B101,1,0)+IF(Table442466[[#This Row],[Pre or Post]]="Post",1,0)+IF(D101="Pre",1,0)=4,Table442466[[#This Row],[Post Total]],""),"")</f>
        <v/>
      </c>
      <c r="O102" s="5" t="str">
        <f>IF(IF(ISNUMBER(K101),1,0)+IF(ISNUMBER(Table442466[[#This Row],[Post Total]]),1,0)=2,IF(IF(Table442466[[#This Row],[Student Number]]=C101,1,0)+IF(Table442466[[#This Row],[Session]]=B101,1,0)+IF(Table442466[[#This Row],[Pre or Post]]="Post",1,0)+IF(D101="Pre",1,0)=4,Table442466[[#This Row],[Post Total]]-K101,""),"")</f>
        <v/>
      </c>
      <c r="P102" s="5" t="b">
        <f>ISNUMBER(Table442466[[#This Row],[Change]])</f>
        <v>0</v>
      </c>
      <c r="Q102" s="5" t="str">
        <f>IF(E101="Male",Table442466[[#This Row],[Change]],"")</f>
        <v/>
      </c>
      <c r="R102" s="5" t="str">
        <f>IF(E101="Female",Table442466[[#This Row],[Change]],"")</f>
        <v/>
      </c>
      <c r="S102" s="5" t="b">
        <f>ISNUMBER(Table442466[[#This Row],[If Male]])</f>
        <v>0</v>
      </c>
      <c r="T102" s="5" t="b">
        <f>ISNUMBER(Table442466[[#This Row],[If Female]])</f>
        <v>0</v>
      </c>
    </row>
    <row r="103" spans="1:20">
      <c r="A103" s="2" t="s">
        <v>24</v>
      </c>
      <c r="B103" s="2" t="s">
        <v>28</v>
      </c>
      <c r="C103" s="1">
        <v>8</v>
      </c>
      <c r="D103" s="1" t="s">
        <v>16</v>
      </c>
      <c r="E103" s="5" t="s">
        <v>171</v>
      </c>
      <c r="F103" s="1">
        <v>2</v>
      </c>
      <c r="G103" s="1">
        <v>3</v>
      </c>
      <c r="H103" s="2"/>
      <c r="I103" s="6" t="str">
        <f>IF(IF(Table442466[[#This Row],[Pre or Post]]="Pre",1,0)+IF(ISNUMBER(Table442466[[#This Row],[Response]])=TRUE,1,0)=2,1,"")</f>
        <v/>
      </c>
      <c r="J103" s="6">
        <f>IF(IF(Table442466[[#This Row],[Pre or Post]]="Post",1,0)+IF(ISNUMBER(Table442466[[#This Row],[Response]])=TRUE,1,0)=2,1,"")</f>
        <v>1</v>
      </c>
      <c r="K103" s="6" t="str">
        <f>IF(IF(Table442466[[#This Row],[Pre or Post]]="Pre",1,0)+IF(ISNUMBER(Table442466[[#This Row],[Response]])=TRUE,1,0)=2,Table442466[[#This Row],[Response]],"")</f>
        <v/>
      </c>
      <c r="L103" s="6">
        <f>IF(IF(Table442466[[#This Row],[Pre or Post]]="Post",1,0)+IF(ISNUMBER(Table442466[[#This Row],[Response]])=TRUE,1,0)=2,Table442466[[#This Row],[Response]],"")</f>
        <v>3</v>
      </c>
      <c r="M103" s="6" t="str">
        <f>IF(IF(ISNUMBER(K103),1,0)+IF(ISNUMBER(L104),1,0)=2,IF(IF(C104=C103,1,0)+IF(B104=B103,1,0)+IF(D104="Post",1,0)+IF(D103="Pre",1,0)=4,Table442466[[#This Row],[Pre Total]],""),"")</f>
        <v/>
      </c>
      <c r="N103" s="6">
        <f>IF(IF(ISNUMBER(K102),1,0)+IF(ISNUMBER(Table442466[[#This Row],[Post Total]]),1,0)=2,IF(IF(Table442466[[#This Row],[Student Number]]=C102,1,0)+IF(Table442466[[#This Row],[Session]]=B102,1,0)+IF(Table442466[[#This Row],[Pre or Post]]="Post",1,0)+IF(D102="Pre",1,0)=4,Table442466[[#This Row],[Post Total]],""),"")</f>
        <v>3</v>
      </c>
      <c r="O103" s="6">
        <f>IF(IF(ISNUMBER(K102),1,0)+IF(ISNUMBER(Table442466[[#This Row],[Post Total]]),1,0)=2,IF(IF(Table442466[[#This Row],[Student Number]]=C102,1,0)+IF(Table442466[[#This Row],[Session]]=B102,1,0)+IF(Table442466[[#This Row],[Pre or Post]]="Post",1,0)+IF(D102="Pre",1,0)=4,Table442466[[#This Row],[Post Total]]-K102,""),"")</f>
        <v>0</v>
      </c>
      <c r="P103" s="6" t="b">
        <f>ISNUMBER(Table442466[[#This Row],[Change]])</f>
        <v>1</v>
      </c>
      <c r="Q103" s="5">
        <f>IF(E102="Male",Table442466[[#This Row],[Change]],"")</f>
        <v>0</v>
      </c>
      <c r="R103" s="5" t="str">
        <f>IF(E102="Female",Table442466[[#This Row],[Change]],"")</f>
        <v/>
      </c>
      <c r="S103" s="5" t="b">
        <f>ISNUMBER(Table442466[[#This Row],[If Male]])</f>
        <v>1</v>
      </c>
      <c r="T103" s="5" t="b">
        <f>ISNUMBER(Table442466[[#This Row],[If Female]])</f>
        <v>0</v>
      </c>
    </row>
    <row r="104" spans="1:20">
      <c r="A104" s="2" t="s">
        <v>24</v>
      </c>
      <c r="B104" s="2" t="s">
        <v>28</v>
      </c>
      <c r="C104" s="1">
        <v>9</v>
      </c>
      <c r="D104" s="1" t="s">
        <v>6</v>
      </c>
      <c r="E104" s="5" t="s">
        <v>13</v>
      </c>
      <c r="F104" s="1">
        <v>9</v>
      </c>
      <c r="G104" s="1">
        <v>2</v>
      </c>
      <c r="H104" s="2"/>
      <c r="I104" s="5">
        <f>IF(IF(Table442466[[#This Row],[Pre or Post]]="Pre",1,0)+IF(ISNUMBER(Table442466[[#This Row],[Response]])=TRUE,1,0)=2,1,"")</f>
        <v>1</v>
      </c>
      <c r="J104" s="5" t="str">
        <f>IF(IF(Table442466[[#This Row],[Pre or Post]]="Post",1,0)+IF(ISNUMBER(Table442466[[#This Row],[Response]])=TRUE,1,0)=2,1,"")</f>
        <v/>
      </c>
      <c r="K104" s="6">
        <f>IF(IF(Table442466[[#This Row],[Pre or Post]]="Pre",1,0)+IF(ISNUMBER(Table442466[[#This Row],[Response]])=TRUE,1,0)=2,Table442466[[#This Row],[Response]],"")</f>
        <v>2</v>
      </c>
      <c r="L104" s="6" t="str">
        <f>IF(IF(Table442466[[#This Row],[Pre or Post]]="Post",1,0)+IF(ISNUMBER(Table442466[[#This Row],[Response]])=TRUE,1,0)=2,Table442466[[#This Row],[Response]],"")</f>
        <v/>
      </c>
      <c r="M104" s="5">
        <f>IF(IF(ISNUMBER(K104),1,0)+IF(ISNUMBER(L105),1,0)=2,IF(IF(C105=C104,1,0)+IF(B105=B104,1,0)+IF(D105="Post",1,0)+IF(D104="Pre",1,0)=4,Table442466[[#This Row],[Pre Total]],""),"")</f>
        <v>2</v>
      </c>
      <c r="N104" s="5" t="str">
        <f>IF(IF(ISNUMBER(K103),1,0)+IF(ISNUMBER(Table442466[[#This Row],[Post Total]]),1,0)=2,IF(IF(Table442466[[#This Row],[Student Number]]=C103,1,0)+IF(Table442466[[#This Row],[Session]]=B103,1,0)+IF(Table442466[[#This Row],[Pre or Post]]="Post",1,0)+IF(D103="Pre",1,0)=4,Table442466[[#This Row],[Post Total]],""),"")</f>
        <v/>
      </c>
      <c r="O104" s="5" t="str">
        <f>IF(IF(ISNUMBER(K103),1,0)+IF(ISNUMBER(Table442466[[#This Row],[Post Total]]),1,0)=2,IF(IF(Table442466[[#This Row],[Student Number]]=C103,1,0)+IF(Table442466[[#This Row],[Session]]=B103,1,0)+IF(Table442466[[#This Row],[Pre or Post]]="Post",1,0)+IF(D103="Pre",1,0)=4,Table442466[[#This Row],[Post Total]]-K103,""),"")</f>
        <v/>
      </c>
      <c r="P104" s="5" t="b">
        <f>ISNUMBER(Table442466[[#This Row],[Change]])</f>
        <v>0</v>
      </c>
      <c r="Q104" s="5" t="str">
        <f>IF(E103="Male",Table442466[[#This Row],[Change]],"")</f>
        <v/>
      </c>
      <c r="R104" s="5" t="str">
        <f>IF(E103="Female",Table442466[[#This Row],[Change]],"")</f>
        <v/>
      </c>
      <c r="S104" s="5" t="b">
        <f>ISNUMBER(Table442466[[#This Row],[If Male]])</f>
        <v>0</v>
      </c>
      <c r="T104" s="5" t="b">
        <f>ISNUMBER(Table442466[[#This Row],[If Female]])</f>
        <v>0</v>
      </c>
    </row>
    <row r="105" spans="1:20">
      <c r="A105" s="2" t="s">
        <v>24</v>
      </c>
      <c r="B105" s="2" t="s">
        <v>28</v>
      </c>
      <c r="C105" s="1">
        <v>9</v>
      </c>
      <c r="D105" s="1" t="s">
        <v>16</v>
      </c>
      <c r="E105" s="5" t="s">
        <v>171</v>
      </c>
      <c r="F105" s="1">
        <v>2</v>
      </c>
      <c r="G105" s="1">
        <v>2</v>
      </c>
      <c r="H105" s="2"/>
      <c r="I105" s="6" t="str">
        <f>IF(IF(Table442466[[#This Row],[Pre or Post]]="Pre",1,0)+IF(ISNUMBER(Table442466[[#This Row],[Response]])=TRUE,1,0)=2,1,"")</f>
        <v/>
      </c>
      <c r="J105" s="6">
        <f>IF(IF(Table442466[[#This Row],[Pre or Post]]="Post",1,0)+IF(ISNUMBER(Table442466[[#This Row],[Response]])=TRUE,1,0)=2,1,"")</f>
        <v>1</v>
      </c>
      <c r="K105" s="6" t="str">
        <f>IF(IF(Table442466[[#This Row],[Pre or Post]]="Pre",1,0)+IF(ISNUMBER(Table442466[[#This Row],[Response]])=TRUE,1,0)=2,Table442466[[#This Row],[Response]],"")</f>
        <v/>
      </c>
      <c r="L105" s="6">
        <f>IF(IF(Table442466[[#This Row],[Pre or Post]]="Post",1,0)+IF(ISNUMBER(Table442466[[#This Row],[Response]])=TRUE,1,0)=2,Table442466[[#This Row],[Response]],"")</f>
        <v>2</v>
      </c>
      <c r="M105" s="6" t="str">
        <f>IF(IF(ISNUMBER(K105),1,0)+IF(ISNUMBER(L106),1,0)=2,IF(IF(C106=C105,1,0)+IF(B106=B105,1,0)+IF(D106="Post",1,0)+IF(D105="Pre",1,0)=4,Table442466[[#This Row],[Pre Total]],""),"")</f>
        <v/>
      </c>
      <c r="N105" s="6">
        <f>IF(IF(ISNUMBER(K104),1,0)+IF(ISNUMBER(Table442466[[#This Row],[Post Total]]),1,0)=2,IF(IF(Table442466[[#This Row],[Student Number]]=C104,1,0)+IF(Table442466[[#This Row],[Session]]=B104,1,0)+IF(Table442466[[#This Row],[Pre or Post]]="Post",1,0)+IF(D104="Pre",1,0)=4,Table442466[[#This Row],[Post Total]],""),"")</f>
        <v>2</v>
      </c>
      <c r="O105" s="6">
        <f>IF(IF(ISNUMBER(K104),1,0)+IF(ISNUMBER(Table442466[[#This Row],[Post Total]]),1,0)=2,IF(IF(Table442466[[#This Row],[Student Number]]=C104,1,0)+IF(Table442466[[#This Row],[Session]]=B104,1,0)+IF(Table442466[[#This Row],[Pre or Post]]="Post",1,0)+IF(D104="Pre",1,0)=4,Table442466[[#This Row],[Post Total]]-K104,""),"")</f>
        <v>0</v>
      </c>
      <c r="P105" s="6" t="b">
        <f>ISNUMBER(Table442466[[#This Row],[Change]])</f>
        <v>1</v>
      </c>
      <c r="Q105" s="5" t="str">
        <f>IF(E104="Male",Table442466[[#This Row],[Change]],"")</f>
        <v/>
      </c>
      <c r="R105" s="5">
        <f>IF(E104="Female",Table442466[[#This Row],[Change]],"")</f>
        <v>0</v>
      </c>
      <c r="S105" s="5" t="b">
        <f>ISNUMBER(Table442466[[#This Row],[If Male]])</f>
        <v>0</v>
      </c>
      <c r="T105" s="5" t="b">
        <f>ISNUMBER(Table442466[[#This Row],[If Female]])</f>
        <v>1</v>
      </c>
    </row>
    <row r="106" spans="1:20">
      <c r="A106" s="2" t="s">
        <v>24</v>
      </c>
      <c r="B106" s="2" t="s">
        <v>28</v>
      </c>
      <c r="C106" s="1">
        <v>10</v>
      </c>
      <c r="D106" s="1" t="s">
        <v>6</v>
      </c>
      <c r="E106" s="5" t="s">
        <v>13</v>
      </c>
      <c r="F106" s="1">
        <v>9</v>
      </c>
      <c r="G106" s="1">
        <v>3</v>
      </c>
      <c r="I106" s="5">
        <f>IF(IF(Table442466[[#This Row],[Pre or Post]]="Pre",1,0)+IF(ISNUMBER(Table442466[[#This Row],[Response]])=TRUE,1,0)=2,1,"")</f>
        <v>1</v>
      </c>
      <c r="J106" s="5" t="str">
        <f>IF(IF(Table442466[[#This Row],[Pre or Post]]="Post",1,0)+IF(ISNUMBER(Table442466[[#This Row],[Response]])=TRUE,1,0)=2,1,"")</f>
        <v/>
      </c>
      <c r="K106" s="6">
        <f>IF(IF(Table442466[[#This Row],[Pre or Post]]="Pre",1,0)+IF(ISNUMBER(Table442466[[#This Row],[Response]])=TRUE,1,0)=2,Table442466[[#This Row],[Response]],"")</f>
        <v>3</v>
      </c>
      <c r="L106" s="6" t="str">
        <f>IF(IF(Table442466[[#This Row],[Pre or Post]]="Post",1,0)+IF(ISNUMBER(Table442466[[#This Row],[Response]])=TRUE,1,0)=2,Table442466[[#This Row],[Response]],"")</f>
        <v/>
      </c>
      <c r="M106" s="5">
        <f>IF(IF(ISNUMBER(K106),1,0)+IF(ISNUMBER(L107),1,0)=2,IF(IF(C107=C106,1,0)+IF(B107=B106,1,0)+IF(D107="Post",1,0)+IF(D106="Pre",1,0)=4,Table442466[[#This Row],[Pre Total]],""),"")</f>
        <v>3</v>
      </c>
      <c r="N106" s="5" t="str">
        <f>IF(IF(ISNUMBER(K105),1,0)+IF(ISNUMBER(Table442466[[#This Row],[Post Total]]),1,0)=2,IF(IF(Table442466[[#This Row],[Student Number]]=C105,1,0)+IF(Table442466[[#This Row],[Session]]=B105,1,0)+IF(Table442466[[#This Row],[Pre or Post]]="Post",1,0)+IF(D105="Pre",1,0)=4,Table442466[[#This Row],[Post Total]],""),"")</f>
        <v/>
      </c>
      <c r="O106" s="5" t="str">
        <f>IF(IF(ISNUMBER(K105),1,0)+IF(ISNUMBER(Table442466[[#This Row],[Post Total]]),1,0)=2,IF(IF(Table442466[[#This Row],[Student Number]]=C105,1,0)+IF(Table442466[[#This Row],[Session]]=B105,1,0)+IF(Table442466[[#This Row],[Pre or Post]]="Post",1,0)+IF(D105="Pre",1,0)=4,Table442466[[#This Row],[Post Total]]-K105,""),"")</f>
        <v/>
      </c>
      <c r="P106" s="5" t="b">
        <f>ISNUMBER(Table442466[[#This Row],[Change]])</f>
        <v>0</v>
      </c>
      <c r="Q106" s="5" t="str">
        <f>IF(E105="Male",Table442466[[#This Row],[Change]],"")</f>
        <v/>
      </c>
      <c r="R106" s="5" t="str">
        <f>IF(E105="Female",Table442466[[#This Row],[Change]],"")</f>
        <v/>
      </c>
      <c r="S106" s="5" t="b">
        <f>ISNUMBER(Table442466[[#This Row],[If Male]])</f>
        <v>0</v>
      </c>
      <c r="T106" s="5" t="b">
        <f>ISNUMBER(Table442466[[#This Row],[If Female]])</f>
        <v>0</v>
      </c>
    </row>
    <row r="107" spans="1:20">
      <c r="A107" s="2" t="s">
        <v>24</v>
      </c>
      <c r="B107" s="2" t="s">
        <v>28</v>
      </c>
      <c r="C107" s="1">
        <v>10</v>
      </c>
      <c r="D107" s="1" t="s">
        <v>16</v>
      </c>
      <c r="E107" s="5" t="s">
        <v>171</v>
      </c>
      <c r="F107" s="1">
        <v>2</v>
      </c>
      <c r="G107" s="1">
        <v>3</v>
      </c>
      <c r="H107" s="2"/>
      <c r="I107" s="6" t="str">
        <f>IF(IF(Table442466[[#This Row],[Pre or Post]]="Pre",1,0)+IF(ISNUMBER(Table442466[[#This Row],[Response]])=TRUE,1,0)=2,1,"")</f>
        <v/>
      </c>
      <c r="J107" s="6">
        <f>IF(IF(Table442466[[#This Row],[Pre or Post]]="Post",1,0)+IF(ISNUMBER(Table442466[[#This Row],[Response]])=TRUE,1,0)=2,1,"")</f>
        <v>1</v>
      </c>
      <c r="K107" s="6" t="str">
        <f>IF(IF(Table442466[[#This Row],[Pre or Post]]="Pre",1,0)+IF(ISNUMBER(Table442466[[#This Row],[Response]])=TRUE,1,0)=2,Table442466[[#This Row],[Response]],"")</f>
        <v/>
      </c>
      <c r="L107" s="6">
        <f>IF(IF(Table442466[[#This Row],[Pre or Post]]="Post",1,0)+IF(ISNUMBER(Table442466[[#This Row],[Response]])=TRUE,1,0)=2,Table442466[[#This Row],[Response]],"")</f>
        <v>3</v>
      </c>
      <c r="M107" s="6" t="str">
        <f>IF(IF(ISNUMBER(K107),1,0)+IF(ISNUMBER(L108),1,0)=2,IF(IF(C108=C107,1,0)+IF(B108=B107,1,0)+IF(D108="Post",1,0)+IF(D107="Pre",1,0)=4,Table442466[[#This Row],[Pre Total]],""),"")</f>
        <v/>
      </c>
      <c r="N107" s="6">
        <f>IF(IF(ISNUMBER(K106),1,0)+IF(ISNUMBER(Table442466[[#This Row],[Post Total]]),1,0)=2,IF(IF(Table442466[[#This Row],[Student Number]]=C106,1,0)+IF(Table442466[[#This Row],[Session]]=B106,1,0)+IF(Table442466[[#This Row],[Pre or Post]]="Post",1,0)+IF(D106="Pre",1,0)=4,Table442466[[#This Row],[Post Total]],""),"")</f>
        <v>3</v>
      </c>
      <c r="O107" s="6">
        <f>IF(IF(ISNUMBER(K106),1,0)+IF(ISNUMBER(Table442466[[#This Row],[Post Total]]),1,0)=2,IF(IF(Table442466[[#This Row],[Student Number]]=C106,1,0)+IF(Table442466[[#This Row],[Session]]=B106,1,0)+IF(Table442466[[#This Row],[Pre or Post]]="Post",1,0)+IF(D106="Pre",1,0)=4,Table442466[[#This Row],[Post Total]]-K106,""),"")</f>
        <v>0</v>
      </c>
      <c r="P107" s="6" t="b">
        <f>ISNUMBER(Table442466[[#This Row],[Change]])</f>
        <v>1</v>
      </c>
      <c r="Q107" s="5" t="str">
        <f>IF(E106="Male",Table442466[[#This Row],[Change]],"")</f>
        <v/>
      </c>
      <c r="R107" s="5">
        <f>IF(E106="Female",Table442466[[#This Row],[Change]],"")</f>
        <v>0</v>
      </c>
      <c r="S107" s="5" t="b">
        <f>ISNUMBER(Table442466[[#This Row],[If Male]])</f>
        <v>0</v>
      </c>
      <c r="T107" s="5" t="b">
        <f>ISNUMBER(Table442466[[#This Row],[If Female]])</f>
        <v>1</v>
      </c>
    </row>
    <row r="108" spans="1:20">
      <c r="A108" s="2" t="s">
        <v>24</v>
      </c>
      <c r="B108" s="2" t="s">
        <v>28</v>
      </c>
      <c r="C108" s="1">
        <v>11</v>
      </c>
      <c r="D108" s="1" t="s">
        <v>6</v>
      </c>
      <c r="E108" s="5" t="s">
        <v>13</v>
      </c>
      <c r="F108" s="1">
        <v>9</v>
      </c>
      <c r="G108" s="1">
        <v>3</v>
      </c>
      <c r="H108" s="2"/>
      <c r="I108" s="5">
        <f>IF(IF(Table442466[[#This Row],[Pre or Post]]="Pre",1,0)+IF(ISNUMBER(Table442466[[#This Row],[Response]])=TRUE,1,0)=2,1,"")</f>
        <v>1</v>
      </c>
      <c r="J108" s="5" t="str">
        <f>IF(IF(Table442466[[#This Row],[Pre or Post]]="Post",1,0)+IF(ISNUMBER(Table442466[[#This Row],[Response]])=TRUE,1,0)=2,1,"")</f>
        <v/>
      </c>
      <c r="K108" s="6">
        <f>IF(IF(Table442466[[#This Row],[Pre or Post]]="Pre",1,0)+IF(ISNUMBER(Table442466[[#This Row],[Response]])=TRUE,1,0)=2,Table442466[[#This Row],[Response]],"")</f>
        <v>3</v>
      </c>
      <c r="L108" s="6" t="str">
        <f>IF(IF(Table442466[[#This Row],[Pre or Post]]="Post",1,0)+IF(ISNUMBER(Table442466[[#This Row],[Response]])=TRUE,1,0)=2,Table442466[[#This Row],[Response]],"")</f>
        <v/>
      </c>
      <c r="M108" s="5">
        <f>IF(IF(ISNUMBER(K108),1,0)+IF(ISNUMBER(L109),1,0)=2,IF(IF(C109=C108,1,0)+IF(B109=B108,1,0)+IF(D109="Post",1,0)+IF(D108="Pre",1,0)=4,Table442466[[#This Row],[Pre Total]],""),"")</f>
        <v>3</v>
      </c>
      <c r="N108" s="5" t="str">
        <f>IF(IF(ISNUMBER(K107),1,0)+IF(ISNUMBER(Table442466[[#This Row],[Post Total]]),1,0)=2,IF(IF(Table442466[[#This Row],[Student Number]]=C107,1,0)+IF(Table442466[[#This Row],[Session]]=B107,1,0)+IF(Table442466[[#This Row],[Pre or Post]]="Post",1,0)+IF(D107="Pre",1,0)=4,Table442466[[#This Row],[Post Total]],""),"")</f>
        <v/>
      </c>
      <c r="O108" s="5" t="str">
        <f>IF(IF(ISNUMBER(K107),1,0)+IF(ISNUMBER(Table442466[[#This Row],[Post Total]]),1,0)=2,IF(IF(Table442466[[#This Row],[Student Number]]=C107,1,0)+IF(Table442466[[#This Row],[Session]]=B107,1,0)+IF(Table442466[[#This Row],[Pre or Post]]="Post",1,0)+IF(D107="Pre",1,0)=4,Table442466[[#This Row],[Post Total]]-K107,""),"")</f>
        <v/>
      </c>
      <c r="P108" s="5" t="b">
        <f>ISNUMBER(Table442466[[#This Row],[Change]])</f>
        <v>0</v>
      </c>
      <c r="Q108" s="5" t="str">
        <f>IF(E107="Male",Table442466[[#This Row],[Change]],"")</f>
        <v/>
      </c>
      <c r="R108" s="5" t="str">
        <f>IF(E107="Female",Table442466[[#This Row],[Change]],"")</f>
        <v/>
      </c>
      <c r="S108" s="5" t="b">
        <f>ISNUMBER(Table442466[[#This Row],[If Male]])</f>
        <v>0</v>
      </c>
      <c r="T108" s="5" t="b">
        <f>ISNUMBER(Table442466[[#This Row],[If Female]])</f>
        <v>0</v>
      </c>
    </row>
    <row r="109" spans="1:20" s="16" customFormat="1">
      <c r="A109" s="2" t="s">
        <v>24</v>
      </c>
      <c r="B109" s="2" t="s">
        <v>28</v>
      </c>
      <c r="C109" s="1">
        <v>11</v>
      </c>
      <c r="D109" s="1" t="s">
        <v>16</v>
      </c>
      <c r="E109" s="5" t="s">
        <v>171</v>
      </c>
      <c r="F109" s="1">
        <v>2</v>
      </c>
      <c r="G109" s="1">
        <v>3</v>
      </c>
      <c r="H109" s="2"/>
      <c r="I109" s="6" t="str">
        <f>IF(IF(Table442466[[#This Row],[Pre or Post]]="Pre",1,0)+IF(ISNUMBER(Table442466[[#This Row],[Response]])=TRUE,1,0)=2,1,"")</f>
        <v/>
      </c>
      <c r="J109" s="6">
        <f>IF(IF(Table442466[[#This Row],[Pre or Post]]="Post",1,0)+IF(ISNUMBER(Table442466[[#This Row],[Response]])=TRUE,1,0)=2,1,"")</f>
        <v>1</v>
      </c>
      <c r="K109" s="6" t="str">
        <f>IF(IF(Table442466[[#This Row],[Pre or Post]]="Pre",1,0)+IF(ISNUMBER(Table442466[[#This Row],[Response]])=TRUE,1,0)=2,Table442466[[#This Row],[Response]],"")</f>
        <v/>
      </c>
      <c r="L109" s="6">
        <f>IF(IF(Table442466[[#This Row],[Pre or Post]]="Post",1,0)+IF(ISNUMBER(Table442466[[#This Row],[Response]])=TRUE,1,0)=2,Table442466[[#This Row],[Response]],"")</f>
        <v>3</v>
      </c>
      <c r="M109" s="6" t="str">
        <f>IF(IF(ISNUMBER(K109),1,0)+IF(ISNUMBER(L110),1,0)=2,IF(IF(C110=C109,1,0)+IF(B110=B109,1,0)+IF(D110="Post",1,0)+IF(D109="Pre",1,0)=4,Table442466[[#This Row],[Pre Total]],""),"")</f>
        <v/>
      </c>
      <c r="N109" s="6">
        <f>IF(IF(ISNUMBER(K108),1,0)+IF(ISNUMBER(Table442466[[#This Row],[Post Total]]),1,0)=2,IF(IF(Table442466[[#This Row],[Student Number]]=C108,1,0)+IF(Table442466[[#This Row],[Session]]=B108,1,0)+IF(Table442466[[#This Row],[Pre or Post]]="Post",1,0)+IF(D108="Pre",1,0)=4,Table442466[[#This Row],[Post Total]],""),"")</f>
        <v>3</v>
      </c>
      <c r="O109" s="6">
        <f>IF(IF(ISNUMBER(K108),1,0)+IF(ISNUMBER(Table442466[[#This Row],[Post Total]]),1,0)=2,IF(IF(Table442466[[#This Row],[Student Number]]=C108,1,0)+IF(Table442466[[#This Row],[Session]]=B108,1,0)+IF(Table442466[[#This Row],[Pre or Post]]="Post",1,0)+IF(D108="Pre",1,0)=4,Table442466[[#This Row],[Post Total]]-K108,""),"")</f>
        <v>0</v>
      </c>
      <c r="P109" s="6" t="b">
        <f>ISNUMBER(Table442466[[#This Row],[Change]])</f>
        <v>1</v>
      </c>
      <c r="Q109" s="5" t="str">
        <f>IF(E108="Male",Table442466[[#This Row],[Change]],"")</f>
        <v/>
      </c>
      <c r="R109" s="5">
        <f>IF(E108="Female",Table442466[[#This Row],[Change]],"")</f>
        <v>0</v>
      </c>
      <c r="S109" s="5" t="b">
        <f>ISNUMBER(Table442466[[#This Row],[If Male]])</f>
        <v>0</v>
      </c>
      <c r="T109" s="5" t="b">
        <f>ISNUMBER(Table442466[[#This Row],[If Female]])</f>
        <v>1</v>
      </c>
    </row>
    <row r="110" spans="1:20">
      <c r="A110" s="2" t="s">
        <v>24</v>
      </c>
      <c r="B110" s="2" t="s">
        <v>28</v>
      </c>
      <c r="C110" s="1">
        <v>12</v>
      </c>
      <c r="D110" s="1" t="s">
        <v>6</v>
      </c>
      <c r="E110" s="5" t="s">
        <v>7</v>
      </c>
      <c r="F110" s="1">
        <v>9</v>
      </c>
      <c r="G110" s="2">
        <v>3</v>
      </c>
      <c r="I110" s="5">
        <f>IF(IF(Table442466[[#This Row],[Pre or Post]]="Pre",1,0)+IF(ISNUMBER(Table442466[[#This Row],[Response]])=TRUE,1,0)=2,1,"")</f>
        <v>1</v>
      </c>
      <c r="J110" s="5" t="str">
        <f>IF(IF(Table442466[[#This Row],[Pre or Post]]="Post",1,0)+IF(ISNUMBER(Table442466[[#This Row],[Response]])=TRUE,1,0)=2,1,"")</f>
        <v/>
      </c>
      <c r="K110" s="6">
        <f>IF(IF(Table442466[[#This Row],[Pre or Post]]="Pre",1,0)+IF(ISNUMBER(Table442466[[#This Row],[Response]])=TRUE,1,0)=2,Table442466[[#This Row],[Response]],"")</f>
        <v>3</v>
      </c>
      <c r="L110" s="6" t="str">
        <f>IF(IF(Table442466[[#This Row],[Pre or Post]]="Post",1,0)+IF(ISNUMBER(Table442466[[#This Row],[Response]])=TRUE,1,0)=2,Table442466[[#This Row],[Response]],"")</f>
        <v/>
      </c>
      <c r="M110" s="5">
        <f>IF(IF(ISNUMBER(K110),1,0)+IF(ISNUMBER(L111),1,0)=2,IF(IF(C111=C110,1,0)+IF(B111=B110,1,0)+IF(D111="Post",1,0)+IF(D110="Pre",1,0)=4,Table442466[[#This Row],[Pre Total]],""),"")</f>
        <v>3</v>
      </c>
      <c r="N110" s="5" t="str">
        <f>IF(IF(ISNUMBER(K109),1,0)+IF(ISNUMBER(Table442466[[#This Row],[Post Total]]),1,0)=2,IF(IF(Table442466[[#This Row],[Student Number]]=C109,1,0)+IF(Table442466[[#This Row],[Session]]=B109,1,0)+IF(Table442466[[#This Row],[Pre or Post]]="Post",1,0)+IF(D109="Pre",1,0)=4,Table442466[[#This Row],[Post Total]],""),"")</f>
        <v/>
      </c>
      <c r="O110" s="5" t="str">
        <f>IF(IF(ISNUMBER(K109),1,0)+IF(ISNUMBER(Table442466[[#This Row],[Post Total]]),1,0)=2,IF(IF(Table442466[[#This Row],[Student Number]]=C109,1,0)+IF(Table442466[[#This Row],[Session]]=B109,1,0)+IF(Table442466[[#This Row],[Pre or Post]]="Post",1,0)+IF(D109="Pre",1,0)=4,Table442466[[#This Row],[Post Total]]-K109,""),"")</f>
        <v/>
      </c>
      <c r="P110" s="5" t="b">
        <f>ISNUMBER(Table442466[[#This Row],[Change]])</f>
        <v>0</v>
      </c>
      <c r="Q110" s="5" t="str">
        <f>IF(E109="Male",Table442466[[#This Row],[Change]],"")</f>
        <v/>
      </c>
      <c r="R110" s="5" t="str">
        <f>IF(E109="Female",Table442466[[#This Row],[Change]],"")</f>
        <v/>
      </c>
      <c r="S110" s="5" t="b">
        <f>ISNUMBER(Table442466[[#This Row],[If Male]])</f>
        <v>0</v>
      </c>
      <c r="T110" s="5" t="b">
        <f>ISNUMBER(Table442466[[#This Row],[If Female]])</f>
        <v>0</v>
      </c>
    </row>
    <row r="111" spans="1:20">
      <c r="A111" s="2" t="s">
        <v>24</v>
      </c>
      <c r="B111" s="2" t="s">
        <v>28</v>
      </c>
      <c r="C111" s="1">
        <v>12</v>
      </c>
      <c r="D111" s="1" t="s">
        <v>16</v>
      </c>
      <c r="E111" s="5" t="s">
        <v>171</v>
      </c>
      <c r="F111" s="1">
        <v>2</v>
      </c>
      <c r="G111" s="1">
        <v>3</v>
      </c>
      <c r="H111" s="2"/>
      <c r="I111" s="6" t="str">
        <f>IF(IF(Table442466[[#This Row],[Pre or Post]]="Pre",1,0)+IF(ISNUMBER(Table442466[[#This Row],[Response]])=TRUE,1,0)=2,1,"")</f>
        <v/>
      </c>
      <c r="J111" s="6">
        <f>IF(IF(Table442466[[#This Row],[Pre or Post]]="Post",1,0)+IF(ISNUMBER(Table442466[[#This Row],[Response]])=TRUE,1,0)=2,1,"")</f>
        <v>1</v>
      </c>
      <c r="K111" s="6" t="str">
        <f>IF(IF(Table442466[[#This Row],[Pre or Post]]="Pre",1,0)+IF(ISNUMBER(Table442466[[#This Row],[Response]])=TRUE,1,0)=2,Table442466[[#This Row],[Response]],"")</f>
        <v/>
      </c>
      <c r="L111" s="6">
        <f>IF(IF(Table442466[[#This Row],[Pre or Post]]="Post",1,0)+IF(ISNUMBER(Table442466[[#This Row],[Response]])=TRUE,1,0)=2,Table442466[[#This Row],[Response]],"")</f>
        <v>3</v>
      </c>
      <c r="M111" s="6" t="str">
        <f>IF(IF(ISNUMBER(K111),1,0)+IF(ISNUMBER(L112),1,0)=2,IF(IF(C112=C111,1,0)+IF(B112=B111,1,0)+IF(D112="Post",1,0)+IF(D111="Pre",1,0)=4,Table442466[[#This Row],[Pre Total]],""),"")</f>
        <v/>
      </c>
      <c r="N111" s="6">
        <f>IF(IF(ISNUMBER(K110),1,0)+IF(ISNUMBER(Table442466[[#This Row],[Post Total]]),1,0)=2,IF(IF(Table442466[[#This Row],[Student Number]]=C110,1,0)+IF(Table442466[[#This Row],[Session]]=B110,1,0)+IF(Table442466[[#This Row],[Pre or Post]]="Post",1,0)+IF(D110="Pre",1,0)=4,Table442466[[#This Row],[Post Total]],""),"")</f>
        <v>3</v>
      </c>
      <c r="O111" s="6">
        <f>IF(IF(ISNUMBER(K110),1,0)+IF(ISNUMBER(Table442466[[#This Row],[Post Total]]),1,0)=2,IF(IF(Table442466[[#This Row],[Student Number]]=C110,1,0)+IF(Table442466[[#This Row],[Session]]=B110,1,0)+IF(Table442466[[#This Row],[Pre or Post]]="Post",1,0)+IF(D110="Pre",1,0)=4,Table442466[[#This Row],[Post Total]]-K110,""),"")</f>
        <v>0</v>
      </c>
      <c r="P111" s="6" t="b">
        <f>ISNUMBER(Table442466[[#This Row],[Change]])</f>
        <v>1</v>
      </c>
      <c r="Q111" s="5">
        <f>IF(E110="Male",Table442466[[#This Row],[Change]],"")</f>
        <v>0</v>
      </c>
      <c r="R111" s="5" t="str">
        <f>IF(E110="Female",Table442466[[#This Row],[Change]],"")</f>
        <v/>
      </c>
      <c r="S111" s="5" t="b">
        <f>ISNUMBER(Table442466[[#This Row],[If Male]])</f>
        <v>1</v>
      </c>
      <c r="T111" s="5" t="b">
        <f>ISNUMBER(Table442466[[#This Row],[If Female]])</f>
        <v>0</v>
      </c>
    </row>
    <row r="112" spans="1:20">
      <c r="A112" s="2" t="s">
        <v>24</v>
      </c>
      <c r="B112" s="2" t="s">
        <v>28</v>
      </c>
      <c r="C112" s="1">
        <v>13</v>
      </c>
      <c r="D112" s="1" t="s">
        <v>6</v>
      </c>
      <c r="E112" s="5" t="s">
        <v>7</v>
      </c>
      <c r="F112" s="1">
        <v>9</v>
      </c>
      <c r="G112" s="2">
        <v>3</v>
      </c>
      <c r="H112" s="2"/>
      <c r="I112" s="5">
        <f>IF(IF(Table442466[[#This Row],[Pre or Post]]="Pre",1,0)+IF(ISNUMBER(Table442466[[#This Row],[Response]])=TRUE,1,0)=2,1,"")</f>
        <v>1</v>
      </c>
      <c r="J112" s="5" t="str">
        <f>IF(IF(Table442466[[#This Row],[Pre or Post]]="Post",1,0)+IF(ISNUMBER(Table442466[[#This Row],[Response]])=TRUE,1,0)=2,1,"")</f>
        <v/>
      </c>
      <c r="K112" s="6">
        <f>IF(IF(Table442466[[#This Row],[Pre or Post]]="Pre",1,0)+IF(ISNUMBER(Table442466[[#This Row],[Response]])=TRUE,1,0)=2,Table442466[[#This Row],[Response]],"")</f>
        <v>3</v>
      </c>
      <c r="L112" s="6" t="str">
        <f>IF(IF(Table442466[[#This Row],[Pre or Post]]="Post",1,0)+IF(ISNUMBER(Table442466[[#This Row],[Response]])=TRUE,1,0)=2,Table442466[[#This Row],[Response]],"")</f>
        <v/>
      </c>
      <c r="M112" s="5">
        <f>IF(IF(ISNUMBER(K112),1,0)+IF(ISNUMBER(L113),1,0)=2,IF(IF(C113=C112,1,0)+IF(B113=B112,1,0)+IF(D113="Post",1,0)+IF(D112="Pre",1,0)=4,Table442466[[#This Row],[Pre Total]],""),"")</f>
        <v>3</v>
      </c>
      <c r="N112" s="5" t="str">
        <f>IF(IF(ISNUMBER(K111),1,0)+IF(ISNUMBER(Table442466[[#This Row],[Post Total]]),1,0)=2,IF(IF(Table442466[[#This Row],[Student Number]]=C111,1,0)+IF(Table442466[[#This Row],[Session]]=B111,1,0)+IF(Table442466[[#This Row],[Pre or Post]]="Post",1,0)+IF(D111="Pre",1,0)=4,Table442466[[#This Row],[Post Total]],""),"")</f>
        <v/>
      </c>
      <c r="O112" s="5" t="str">
        <f>IF(IF(ISNUMBER(K111),1,0)+IF(ISNUMBER(Table442466[[#This Row],[Post Total]]),1,0)=2,IF(IF(Table442466[[#This Row],[Student Number]]=C111,1,0)+IF(Table442466[[#This Row],[Session]]=B111,1,0)+IF(Table442466[[#This Row],[Pre or Post]]="Post",1,0)+IF(D111="Pre",1,0)=4,Table442466[[#This Row],[Post Total]]-K111,""),"")</f>
        <v/>
      </c>
      <c r="P112" s="5" t="b">
        <f>ISNUMBER(Table442466[[#This Row],[Change]])</f>
        <v>0</v>
      </c>
      <c r="Q112" s="5" t="str">
        <f>IF(E111="Male",Table442466[[#This Row],[Change]],"")</f>
        <v/>
      </c>
      <c r="R112" s="5" t="str">
        <f>IF(E111="Female",Table442466[[#This Row],[Change]],"")</f>
        <v/>
      </c>
      <c r="S112" s="5" t="b">
        <f>ISNUMBER(Table442466[[#This Row],[If Male]])</f>
        <v>0</v>
      </c>
      <c r="T112" s="5" t="b">
        <f>ISNUMBER(Table442466[[#This Row],[If Female]])</f>
        <v>0</v>
      </c>
    </row>
    <row r="113" spans="1:20">
      <c r="A113" s="2" t="s">
        <v>24</v>
      </c>
      <c r="B113" s="2" t="s">
        <v>28</v>
      </c>
      <c r="C113" s="1">
        <v>13</v>
      </c>
      <c r="D113" s="1" t="s">
        <v>16</v>
      </c>
      <c r="E113" s="5" t="s">
        <v>171</v>
      </c>
      <c r="F113" s="1">
        <v>2</v>
      </c>
      <c r="G113" s="1">
        <v>3.5</v>
      </c>
      <c r="H113" s="2"/>
      <c r="I113" s="6" t="str">
        <f>IF(IF(Table442466[[#This Row],[Pre or Post]]="Pre",1,0)+IF(ISNUMBER(Table442466[[#This Row],[Response]])=TRUE,1,0)=2,1,"")</f>
        <v/>
      </c>
      <c r="J113" s="6">
        <f>IF(IF(Table442466[[#This Row],[Pre or Post]]="Post",1,0)+IF(ISNUMBER(Table442466[[#This Row],[Response]])=TRUE,1,0)=2,1,"")</f>
        <v>1</v>
      </c>
      <c r="K113" s="6" t="str">
        <f>IF(IF(Table442466[[#This Row],[Pre or Post]]="Pre",1,0)+IF(ISNUMBER(Table442466[[#This Row],[Response]])=TRUE,1,0)=2,Table442466[[#This Row],[Response]],"")</f>
        <v/>
      </c>
      <c r="L113" s="6">
        <f>IF(IF(Table442466[[#This Row],[Pre or Post]]="Post",1,0)+IF(ISNUMBER(Table442466[[#This Row],[Response]])=TRUE,1,0)=2,Table442466[[#This Row],[Response]],"")</f>
        <v>3.5</v>
      </c>
      <c r="M113" s="6" t="str">
        <f>IF(IF(ISNUMBER(K113),1,0)+IF(ISNUMBER(L114),1,0)=2,IF(IF(C114=C113,1,0)+IF(B114=B113,1,0)+IF(D114="Post",1,0)+IF(D113="Pre",1,0)=4,Table442466[[#This Row],[Pre Total]],""),"")</f>
        <v/>
      </c>
      <c r="N113" s="6">
        <f>IF(IF(ISNUMBER(K112),1,0)+IF(ISNUMBER(Table442466[[#This Row],[Post Total]]),1,0)=2,IF(IF(Table442466[[#This Row],[Student Number]]=C112,1,0)+IF(Table442466[[#This Row],[Session]]=B112,1,0)+IF(Table442466[[#This Row],[Pre or Post]]="Post",1,0)+IF(D112="Pre",1,0)=4,Table442466[[#This Row],[Post Total]],""),"")</f>
        <v>3.5</v>
      </c>
      <c r="O113" s="6">
        <f>IF(IF(ISNUMBER(K112),1,0)+IF(ISNUMBER(Table442466[[#This Row],[Post Total]]),1,0)=2,IF(IF(Table442466[[#This Row],[Student Number]]=C112,1,0)+IF(Table442466[[#This Row],[Session]]=B112,1,0)+IF(Table442466[[#This Row],[Pre or Post]]="Post",1,0)+IF(D112="Pre",1,0)=4,Table442466[[#This Row],[Post Total]]-K112,""),"")</f>
        <v>0.5</v>
      </c>
      <c r="P113" s="6" t="b">
        <f>ISNUMBER(Table442466[[#This Row],[Change]])</f>
        <v>1</v>
      </c>
      <c r="Q113" s="5">
        <f>IF(E112="Male",Table442466[[#This Row],[Change]],"")</f>
        <v>0.5</v>
      </c>
      <c r="R113" s="5" t="str">
        <f>IF(E112="Female",Table442466[[#This Row],[Change]],"")</f>
        <v/>
      </c>
      <c r="S113" s="5" t="b">
        <f>ISNUMBER(Table442466[[#This Row],[If Male]])</f>
        <v>1</v>
      </c>
      <c r="T113" s="5" t="b">
        <f>ISNUMBER(Table442466[[#This Row],[If Female]])</f>
        <v>0</v>
      </c>
    </row>
    <row r="114" spans="1:20">
      <c r="A114" s="2" t="s">
        <v>24</v>
      </c>
      <c r="B114" s="2" t="s">
        <v>31</v>
      </c>
      <c r="C114" s="1">
        <v>1</v>
      </c>
      <c r="D114" s="2" t="s">
        <v>16</v>
      </c>
      <c r="E114" s="6" t="s">
        <v>171</v>
      </c>
      <c r="F114" s="1">
        <v>2</v>
      </c>
      <c r="G114" s="1">
        <v>3</v>
      </c>
      <c r="H114" s="2"/>
      <c r="I114" s="5" t="str">
        <f>IF(IF(Table442466[[#This Row],[Pre or Post]]="Pre",1,0)+IF(ISNUMBER(Table442466[[#This Row],[Response]])=TRUE,1,0)=2,1,"")</f>
        <v/>
      </c>
      <c r="J114" s="5">
        <f>IF(IF(Table442466[[#This Row],[Pre or Post]]="Post",1,0)+IF(ISNUMBER(Table442466[[#This Row],[Response]])=TRUE,1,0)=2,1,"")</f>
        <v>1</v>
      </c>
      <c r="K114" s="6" t="str">
        <f>IF(IF(Table442466[[#This Row],[Pre or Post]]="Pre",1,0)+IF(ISNUMBER(Table442466[[#This Row],[Response]])=TRUE,1,0)=2,Table442466[[#This Row],[Response]],"")</f>
        <v/>
      </c>
      <c r="L114" s="6">
        <f>IF(IF(Table442466[[#This Row],[Pre or Post]]="Post",1,0)+IF(ISNUMBER(Table442466[[#This Row],[Response]])=TRUE,1,0)=2,Table442466[[#This Row],[Response]],"")</f>
        <v>3</v>
      </c>
      <c r="M114" s="5" t="str">
        <f>IF(IF(ISNUMBER(K114),1,0)+IF(ISNUMBER(L115),1,0)=2,IF(IF(C115=C114,1,0)+IF(B115=B114,1,0)+IF(D115="Post",1,0)+IF(D114="Pre",1,0)=4,Table442466[[#This Row],[Pre Total]],""),"")</f>
        <v/>
      </c>
      <c r="N114" s="5" t="str">
        <f>IF(IF(ISNUMBER(K113),1,0)+IF(ISNUMBER(Table442466[[#This Row],[Post Total]]),1,0)=2,IF(IF(Table442466[[#This Row],[Student Number]]=C113,1,0)+IF(Table442466[[#This Row],[Session]]=B113,1,0)+IF(Table442466[[#This Row],[Pre or Post]]="Post",1,0)+IF(D113="Pre",1,0)=4,Table442466[[#This Row],[Post Total]],""),"")</f>
        <v/>
      </c>
      <c r="O114" s="5" t="str">
        <f>IF(IF(ISNUMBER(K113),1,0)+IF(ISNUMBER(Table442466[[#This Row],[Post Total]]),1,0)=2,IF(IF(Table442466[[#This Row],[Student Number]]=C113,1,0)+IF(Table442466[[#This Row],[Session]]=B113,1,0)+IF(Table442466[[#This Row],[Pre or Post]]="Post",1,0)+IF(D113="Pre",1,0)=4,Table442466[[#This Row],[Post Total]]-K113,""),"")</f>
        <v/>
      </c>
      <c r="P114" s="5" t="b">
        <f>ISNUMBER(Table442466[[#This Row],[Change]])</f>
        <v>0</v>
      </c>
      <c r="Q114" s="5" t="str">
        <f>IF(E113="Male",Table442466[[#This Row],[Change]],"")</f>
        <v/>
      </c>
      <c r="R114" s="5" t="str">
        <f>IF(E113="Female",Table442466[[#This Row],[Change]],"")</f>
        <v/>
      </c>
      <c r="S114" s="5" t="b">
        <f>ISNUMBER(Table442466[[#This Row],[If Male]])</f>
        <v>0</v>
      </c>
      <c r="T114" s="5" t="b">
        <f>ISNUMBER(Table442466[[#This Row],[If Female]])</f>
        <v>0</v>
      </c>
    </row>
    <row r="115" spans="1:20">
      <c r="A115" s="2" t="s">
        <v>24</v>
      </c>
      <c r="B115" s="2" t="s">
        <v>31</v>
      </c>
      <c r="C115" s="1">
        <v>2</v>
      </c>
      <c r="D115" s="2" t="s">
        <v>16</v>
      </c>
      <c r="E115" s="6" t="s">
        <v>171</v>
      </c>
      <c r="F115" s="1">
        <v>2</v>
      </c>
      <c r="G115" s="1">
        <v>3</v>
      </c>
      <c r="H115" s="2"/>
      <c r="I115" s="5" t="str">
        <f>IF(IF(Table442466[[#This Row],[Pre or Post]]="Pre",1,0)+IF(ISNUMBER(Table442466[[#This Row],[Response]])=TRUE,1,0)=2,1,"")</f>
        <v/>
      </c>
      <c r="J115" s="5">
        <f>IF(IF(Table442466[[#This Row],[Pre or Post]]="Post",1,0)+IF(ISNUMBER(Table442466[[#This Row],[Response]])=TRUE,1,0)=2,1,"")</f>
        <v>1</v>
      </c>
      <c r="K115" s="6" t="str">
        <f>IF(IF(Table442466[[#This Row],[Pre or Post]]="Pre",1,0)+IF(ISNUMBER(Table442466[[#This Row],[Response]])=TRUE,1,0)=2,Table442466[[#This Row],[Response]],"")</f>
        <v/>
      </c>
      <c r="L115" s="6">
        <f>IF(IF(Table442466[[#This Row],[Pre or Post]]="Post",1,0)+IF(ISNUMBER(Table442466[[#This Row],[Response]])=TRUE,1,0)=2,Table442466[[#This Row],[Response]],"")</f>
        <v>3</v>
      </c>
      <c r="M115" s="5" t="str">
        <f>IF(IF(ISNUMBER(K115),1,0)+IF(ISNUMBER(L116),1,0)=2,IF(IF(C116=C115,1,0)+IF(B116=B115,1,0)+IF(D116="Post",1,0)+IF(D115="Pre",1,0)=4,Table442466[[#This Row],[Pre Total]],""),"")</f>
        <v/>
      </c>
      <c r="N115" s="5" t="str">
        <f>IF(IF(ISNUMBER(K114),1,0)+IF(ISNUMBER(Table442466[[#This Row],[Post Total]]),1,0)=2,IF(IF(Table442466[[#This Row],[Student Number]]=C114,1,0)+IF(Table442466[[#This Row],[Session]]=B114,1,0)+IF(Table442466[[#This Row],[Pre or Post]]="Post",1,0)+IF(D114="Pre",1,0)=4,Table442466[[#This Row],[Post Total]],""),"")</f>
        <v/>
      </c>
      <c r="O115" s="5" t="str">
        <f>IF(IF(ISNUMBER(K114),1,0)+IF(ISNUMBER(Table442466[[#This Row],[Post Total]]),1,0)=2,IF(IF(Table442466[[#This Row],[Student Number]]=C114,1,0)+IF(Table442466[[#This Row],[Session]]=B114,1,0)+IF(Table442466[[#This Row],[Pre or Post]]="Post",1,0)+IF(D114="Pre",1,0)=4,Table442466[[#This Row],[Post Total]]-K114,""),"")</f>
        <v/>
      </c>
      <c r="P115" s="5" t="b">
        <f>ISNUMBER(Table442466[[#This Row],[Change]])</f>
        <v>0</v>
      </c>
      <c r="Q115" s="5" t="str">
        <f>IF(E114="Male",Table442466[[#This Row],[Change]],"")</f>
        <v/>
      </c>
      <c r="R115" s="5" t="str">
        <f>IF(E114="Female",Table442466[[#This Row],[Change]],"")</f>
        <v/>
      </c>
      <c r="S115" s="5" t="b">
        <f>ISNUMBER(Table442466[[#This Row],[If Male]])</f>
        <v>0</v>
      </c>
      <c r="T115" s="5" t="b">
        <f>ISNUMBER(Table442466[[#This Row],[If Female]])</f>
        <v>0</v>
      </c>
    </row>
    <row r="116" spans="1:20">
      <c r="A116" s="2" t="s">
        <v>24</v>
      </c>
      <c r="B116" s="2" t="s">
        <v>31</v>
      </c>
      <c r="C116" s="1">
        <v>3</v>
      </c>
      <c r="D116" s="2" t="s">
        <v>16</v>
      </c>
      <c r="E116" s="6" t="s">
        <v>171</v>
      </c>
      <c r="F116" s="1">
        <v>2</v>
      </c>
      <c r="G116" s="1">
        <v>4</v>
      </c>
      <c r="H116" s="2"/>
      <c r="I116" s="5" t="str">
        <f>IF(IF(Table442466[[#This Row],[Pre or Post]]="Pre",1,0)+IF(ISNUMBER(Table442466[[#This Row],[Response]])=TRUE,1,0)=2,1,"")</f>
        <v/>
      </c>
      <c r="J116" s="5">
        <f>IF(IF(Table442466[[#This Row],[Pre or Post]]="Post",1,0)+IF(ISNUMBER(Table442466[[#This Row],[Response]])=TRUE,1,0)=2,1,"")</f>
        <v>1</v>
      </c>
      <c r="K116" s="6" t="str">
        <f>IF(IF(Table442466[[#This Row],[Pre or Post]]="Pre",1,0)+IF(ISNUMBER(Table442466[[#This Row],[Response]])=TRUE,1,0)=2,Table442466[[#This Row],[Response]],"")</f>
        <v/>
      </c>
      <c r="L116" s="6">
        <f>IF(IF(Table442466[[#This Row],[Pre or Post]]="Post",1,0)+IF(ISNUMBER(Table442466[[#This Row],[Response]])=TRUE,1,0)=2,Table442466[[#This Row],[Response]],"")</f>
        <v>4</v>
      </c>
      <c r="M116" s="5" t="str">
        <f>IF(IF(ISNUMBER(K116),1,0)+IF(ISNUMBER(L117),1,0)=2,IF(IF(C117=C116,1,0)+IF(B117=B116,1,0)+IF(D117="Post",1,0)+IF(D116="Pre",1,0)=4,Table442466[[#This Row],[Pre Total]],""),"")</f>
        <v/>
      </c>
      <c r="N116" s="5" t="str">
        <f>IF(IF(ISNUMBER(K115),1,0)+IF(ISNUMBER(Table442466[[#This Row],[Post Total]]),1,0)=2,IF(IF(Table442466[[#This Row],[Student Number]]=C115,1,0)+IF(Table442466[[#This Row],[Session]]=B115,1,0)+IF(Table442466[[#This Row],[Pre or Post]]="Post",1,0)+IF(D115="Pre",1,0)=4,Table442466[[#This Row],[Post Total]],""),"")</f>
        <v/>
      </c>
      <c r="O116" s="5" t="str">
        <f>IF(IF(ISNUMBER(K115),1,0)+IF(ISNUMBER(Table442466[[#This Row],[Post Total]]),1,0)=2,IF(IF(Table442466[[#This Row],[Student Number]]=C115,1,0)+IF(Table442466[[#This Row],[Session]]=B115,1,0)+IF(Table442466[[#This Row],[Pre or Post]]="Post",1,0)+IF(D115="Pre",1,0)=4,Table442466[[#This Row],[Post Total]]-K115,""),"")</f>
        <v/>
      </c>
      <c r="P116" s="5" t="b">
        <f>ISNUMBER(Table442466[[#This Row],[Change]])</f>
        <v>0</v>
      </c>
      <c r="Q116" s="5" t="str">
        <f>IF(E115="Male",Table442466[[#This Row],[Change]],"")</f>
        <v/>
      </c>
      <c r="R116" s="5" t="str">
        <f>IF(E115="Female",Table442466[[#This Row],[Change]],"")</f>
        <v/>
      </c>
      <c r="S116" s="5" t="b">
        <f>ISNUMBER(Table442466[[#This Row],[If Male]])</f>
        <v>0</v>
      </c>
      <c r="T116" s="5" t="b">
        <f>ISNUMBER(Table442466[[#This Row],[If Female]])</f>
        <v>0</v>
      </c>
    </row>
    <row r="117" spans="1:20">
      <c r="A117" s="2" t="s">
        <v>24</v>
      </c>
      <c r="B117" s="2" t="s">
        <v>31</v>
      </c>
      <c r="C117" s="1">
        <v>4</v>
      </c>
      <c r="D117" s="2" t="s">
        <v>16</v>
      </c>
      <c r="E117" s="6" t="s">
        <v>171</v>
      </c>
      <c r="F117" s="1">
        <v>2</v>
      </c>
      <c r="G117" s="1">
        <v>4</v>
      </c>
      <c r="H117" s="2"/>
      <c r="I117" s="5" t="str">
        <f>IF(IF(Table442466[[#This Row],[Pre or Post]]="Pre",1,0)+IF(ISNUMBER(Table442466[[#This Row],[Response]])=TRUE,1,0)=2,1,"")</f>
        <v/>
      </c>
      <c r="J117" s="5">
        <f>IF(IF(Table442466[[#This Row],[Pre or Post]]="Post",1,0)+IF(ISNUMBER(Table442466[[#This Row],[Response]])=TRUE,1,0)=2,1,"")</f>
        <v>1</v>
      </c>
      <c r="K117" s="6" t="str">
        <f>IF(IF(Table442466[[#This Row],[Pre or Post]]="Pre",1,0)+IF(ISNUMBER(Table442466[[#This Row],[Response]])=TRUE,1,0)=2,Table442466[[#This Row],[Response]],"")</f>
        <v/>
      </c>
      <c r="L117" s="6">
        <f>IF(IF(Table442466[[#This Row],[Pre or Post]]="Post",1,0)+IF(ISNUMBER(Table442466[[#This Row],[Response]])=TRUE,1,0)=2,Table442466[[#This Row],[Response]],"")</f>
        <v>4</v>
      </c>
      <c r="M117" s="5" t="str">
        <f>IF(IF(ISNUMBER(K117),1,0)+IF(ISNUMBER(L118),1,0)=2,IF(IF(C118=C117,1,0)+IF(B118=B117,1,0)+IF(D118="Post",1,0)+IF(D117="Pre",1,0)=4,Table442466[[#This Row],[Pre Total]],""),"")</f>
        <v/>
      </c>
      <c r="N117" s="5" t="str">
        <f>IF(IF(ISNUMBER(K116),1,0)+IF(ISNUMBER(Table442466[[#This Row],[Post Total]]),1,0)=2,IF(IF(Table442466[[#This Row],[Student Number]]=C116,1,0)+IF(Table442466[[#This Row],[Session]]=B116,1,0)+IF(Table442466[[#This Row],[Pre or Post]]="Post",1,0)+IF(D116="Pre",1,0)=4,Table442466[[#This Row],[Post Total]],""),"")</f>
        <v/>
      </c>
      <c r="O117" s="5" t="str">
        <f>IF(IF(ISNUMBER(K116),1,0)+IF(ISNUMBER(Table442466[[#This Row],[Post Total]]),1,0)=2,IF(IF(Table442466[[#This Row],[Student Number]]=C116,1,0)+IF(Table442466[[#This Row],[Session]]=B116,1,0)+IF(Table442466[[#This Row],[Pre or Post]]="Post",1,0)+IF(D116="Pre",1,0)=4,Table442466[[#This Row],[Post Total]]-K116,""),"")</f>
        <v/>
      </c>
      <c r="P117" s="5" t="b">
        <f>ISNUMBER(Table442466[[#This Row],[Change]])</f>
        <v>0</v>
      </c>
      <c r="Q117" s="5" t="str">
        <f>IF(E116="Male",Table442466[[#This Row],[Change]],"")</f>
        <v/>
      </c>
      <c r="R117" s="5" t="str">
        <f>IF(E116="Female",Table442466[[#This Row],[Change]],"")</f>
        <v/>
      </c>
      <c r="S117" s="5" t="b">
        <f>ISNUMBER(Table442466[[#This Row],[If Male]])</f>
        <v>0</v>
      </c>
      <c r="T117" s="5" t="b">
        <f>ISNUMBER(Table442466[[#This Row],[If Female]])</f>
        <v>0</v>
      </c>
    </row>
    <row r="118" spans="1:20">
      <c r="A118" s="2" t="s">
        <v>24</v>
      </c>
      <c r="B118" s="2" t="s">
        <v>31</v>
      </c>
      <c r="C118" s="1">
        <v>5</v>
      </c>
      <c r="D118" s="2" t="s">
        <v>16</v>
      </c>
      <c r="E118" s="6" t="s">
        <v>171</v>
      </c>
      <c r="F118" s="1">
        <v>2</v>
      </c>
      <c r="G118" s="1">
        <v>3</v>
      </c>
      <c r="H118" s="2"/>
      <c r="I118" s="5" t="str">
        <f>IF(IF(Table442466[[#This Row],[Pre or Post]]="Pre",1,0)+IF(ISNUMBER(Table442466[[#This Row],[Response]])=TRUE,1,0)=2,1,"")</f>
        <v/>
      </c>
      <c r="J118" s="5">
        <f>IF(IF(Table442466[[#This Row],[Pre or Post]]="Post",1,0)+IF(ISNUMBER(Table442466[[#This Row],[Response]])=TRUE,1,0)=2,1,"")</f>
        <v>1</v>
      </c>
      <c r="K118" s="6" t="str">
        <f>IF(IF(Table442466[[#This Row],[Pre or Post]]="Pre",1,0)+IF(ISNUMBER(Table442466[[#This Row],[Response]])=TRUE,1,0)=2,Table442466[[#This Row],[Response]],"")</f>
        <v/>
      </c>
      <c r="L118" s="6">
        <f>IF(IF(Table442466[[#This Row],[Pre or Post]]="Post",1,0)+IF(ISNUMBER(Table442466[[#This Row],[Response]])=TRUE,1,0)=2,Table442466[[#This Row],[Response]],"")</f>
        <v>3</v>
      </c>
      <c r="M118" s="5" t="str">
        <f>IF(IF(ISNUMBER(K118),1,0)+IF(ISNUMBER(L119),1,0)=2,IF(IF(C119=C118,1,0)+IF(B119=B118,1,0)+IF(D119="Post",1,0)+IF(D118="Pre",1,0)=4,Table442466[[#This Row],[Pre Total]],""),"")</f>
        <v/>
      </c>
      <c r="N118" s="5" t="str">
        <f>IF(IF(ISNUMBER(K117),1,0)+IF(ISNUMBER(Table442466[[#This Row],[Post Total]]),1,0)=2,IF(IF(Table442466[[#This Row],[Student Number]]=C117,1,0)+IF(Table442466[[#This Row],[Session]]=B117,1,0)+IF(Table442466[[#This Row],[Pre or Post]]="Post",1,0)+IF(D117="Pre",1,0)=4,Table442466[[#This Row],[Post Total]],""),"")</f>
        <v/>
      </c>
      <c r="O118" s="5" t="str">
        <f>IF(IF(ISNUMBER(K117),1,0)+IF(ISNUMBER(Table442466[[#This Row],[Post Total]]),1,0)=2,IF(IF(Table442466[[#This Row],[Student Number]]=C117,1,0)+IF(Table442466[[#This Row],[Session]]=B117,1,0)+IF(Table442466[[#This Row],[Pre or Post]]="Post",1,0)+IF(D117="Pre",1,0)=4,Table442466[[#This Row],[Post Total]]-K117,""),"")</f>
        <v/>
      </c>
      <c r="P118" s="5" t="b">
        <f>ISNUMBER(Table442466[[#This Row],[Change]])</f>
        <v>0</v>
      </c>
      <c r="Q118" s="5" t="str">
        <f>IF(E117="Male",Table442466[[#This Row],[Change]],"")</f>
        <v/>
      </c>
      <c r="R118" s="5" t="str">
        <f>IF(E117="Female",Table442466[[#This Row],[Change]],"")</f>
        <v/>
      </c>
      <c r="S118" s="5" t="b">
        <f>ISNUMBER(Table442466[[#This Row],[If Male]])</f>
        <v>0</v>
      </c>
      <c r="T118" s="5" t="b">
        <f>ISNUMBER(Table442466[[#This Row],[If Female]])</f>
        <v>0</v>
      </c>
    </row>
    <row r="119" spans="1:20">
      <c r="A119" s="2" t="s">
        <v>24</v>
      </c>
      <c r="B119" s="2" t="s">
        <v>31</v>
      </c>
      <c r="C119" s="1">
        <v>6</v>
      </c>
      <c r="D119" s="2" t="s">
        <v>16</v>
      </c>
      <c r="E119" s="6" t="s">
        <v>171</v>
      </c>
      <c r="F119" s="1">
        <v>2</v>
      </c>
      <c r="G119" s="1">
        <v>4</v>
      </c>
      <c r="H119" s="2"/>
      <c r="I119" s="5" t="str">
        <f>IF(IF(Table442466[[#This Row],[Pre or Post]]="Pre",1,0)+IF(ISNUMBER(Table442466[[#This Row],[Response]])=TRUE,1,0)=2,1,"")</f>
        <v/>
      </c>
      <c r="J119" s="5">
        <f>IF(IF(Table442466[[#This Row],[Pre or Post]]="Post",1,0)+IF(ISNUMBER(Table442466[[#This Row],[Response]])=TRUE,1,0)=2,1,"")</f>
        <v>1</v>
      </c>
      <c r="K119" s="6" t="str">
        <f>IF(IF(Table442466[[#This Row],[Pre or Post]]="Pre",1,0)+IF(ISNUMBER(Table442466[[#This Row],[Response]])=TRUE,1,0)=2,Table442466[[#This Row],[Response]],"")</f>
        <v/>
      </c>
      <c r="L119" s="6">
        <f>IF(IF(Table442466[[#This Row],[Pre or Post]]="Post",1,0)+IF(ISNUMBER(Table442466[[#This Row],[Response]])=TRUE,1,0)=2,Table442466[[#This Row],[Response]],"")</f>
        <v>4</v>
      </c>
      <c r="M119" s="5" t="str">
        <f>IF(IF(ISNUMBER(K119),1,0)+IF(ISNUMBER(L120),1,0)=2,IF(IF(C120=C119,1,0)+IF(B120=B119,1,0)+IF(D120="Post",1,0)+IF(D119="Pre",1,0)=4,Table442466[[#This Row],[Pre Total]],""),"")</f>
        <v/>
      </c>
      <c r="N119" s="5" t="str">
        <f>IF(IF(ISNUMBER(K118),1,0)+IF(ISNUMBER(Table442466[[#This Row],[Post Total]]),1,0)=2,IF(IF(Table442466[[#This Row],[Student Number]]=C118,1,0)+IF(Table442466[[#This Row],[Session]]=B118,1,0)+IF(Table442466[[#This Row],[Pre or Post]]="Post",1,0)+IF(D118="Pre",1,0)=4,Table442466[[#This Row],[Post Total]],""),"")</f>
        <v/>
      </c>
      <c r="O119" s="5" t="str">
        <f>IF(IF(ISNUMBER(K118),1,0)+IF(ISNUMBER(Table442466[[#This Row],[Post Total]]),1,0)=2,IF(IF(Table442466[[#This Row],[Student Number]]=C118,1,0)+IF(Table442466[[#This Row],[Session]]=B118,1,0)+IF(Table442466[[#This Row],[Pre or Post]]="Post",1,0)+IF(D118="Pre",1,0)=4,Table442466[[#This Row],[Post Total]]-K118,""),"")</f>
        <v/>
      </c>
      <c r="P119" s="5" t="b">
        <f>ISNUMBER(Table442466[[#This Row],[Change]])</f>
        <v>0</v>
      </c>
      <c r="Q119" s="5" t="str">
        <f>IF(E118="Male",Table442466[[#This Row],[Change]],"")</f>
        <v/>
      </c>
      <c r="R119" s="5" t="str">
        <f>IF(E118="Female",Table442466[[#This Row],[Change]],"")</f>
        <v/>
      </c>
      <c r="S119" s="5" t="b">
        <f>ISNUMBER(Table442466[[#This Row],[If Male]])</f>
        <v>0</v>
      </c>
      <c r="T119" s="5" t="b">
        <f>ISNUMBER(Table442466[[#This Row],[If Female]])</f>
        <v>0</v>
      </c>
    </row>
    <row r="120" spans="1:20">
      <c r="A120" s="2" t="s">
        <v>24</v>
      </c>
      <c r="B120" s="2" t="s">
        <v>31</v>
      </c>
      <c r="C120" s="1">
        <v>7</v>
      </c>
      <c r="D120" s="2" t="s">
        <v>16</v>
      </c>
      <c r="E120" s="6" t="s">
        <v>171</v>
      </c>
      <c r="F120" s="1">
        <v>2</v>
      </c>
      <c r="G120" s="1">
        <v>3</v>
      </c>
      <c r="H120" s="2"/>
      <c r="I120" s="5" t="str">
        <f>IF(IF(Table442466[[#This Row],[Pre or Post]]="Pre",1,0)+IF(ISNUMBER(Table442466[[#This Row],[Response]])=TRUE,1,0)=2,1,"")</f>
        <v/>
      </c>
      <c r="J120" s="5">
        <f>IF(IF(Table442466[[#This Row],[Pre or Post]]="Post",1,0)+IF(ISNUMBER(Table442466[[#This Row],[Response]])=TRUE,1,0)=2,1,"")</f>
        <v>1</v>
      </c>
      <c r="K120" s="6" t="str">
        <f>IF(IF(Table442466[[#This Row],[Pre or Post]]="Pre",1,0)+IF(ISNUMBER(Table442466[[#This Row],[Response]])=TRUE,1,0)=2,Table442466[[#This Row],[Response]],"")</f>
        <v/>
      </c>
      <c r="L120" s="6">
        <f>IF(IF(Table442466[[#This Row],[Pre or Post]]="Post",1,0)+IF(ISNUMBER(Table442466[[#This Row],[Response]])=TRUE,1,0)=2,Table442466[[#This Row],[Response]],"")</f>
        <v>3</v>
      </c>
      <c r="M120" s="5" t="str">
        <f>IF(IF(ISNUMBER(K120),1,0)+IF(ISNUMBER(L121),1,0)=2,IF(IF(C121=C120,1,0)+IF(B121=B120,1,0)+IF(D121="Post",1,0)+IF(D120="Pre",1,0)=4,Table442466[[#This Row],[Pre Total]],""),"")</f>
        <v/>
      </c>
      <c r="N120" s="5" t="str">
        <f>IF(IF(ISNUMBER(K119),1,0)+IF(ISNUMBER(Table442466[[#This Row],[Post Total]]),1,0)=2,IF(IF(Table442466[[#This Row],[Student Number]]=C119,1,0)+IF(Table442466[[#This Row],[Session]]=B119,1,0)+IF(Table442466[[#This Row],[Pre or Post]]="Post",1,0)+IF(D119="Pre",1,0)=4,Table442466[[#This Row],[Post Total]],""),"")</f>
        <v/>
      </c>
      <c r="O120" s="5" t="str">
        <f>IF(IF(ISNUMBER(K119),1,0)+IF(ISNUMBER(Table442466[[#This Row],[Post Total]]),1,0)=2,IF(IF(Table442466[[#This Row],[Student Number]]=C119,1,0)+IF(Table442466[[#This Row],[Session]]=B119,1,0)+IF(Table442466[[#This Row],[Pre or Post]]="Post",1,0)+IF(D119="Pre",1,0)=4,Table442466[[#This Row],[Post Total]]-K119,""),"")</f>
        <v/>
      </c>
      <c r="P120" s="5" t="b">
        <f>ISNUMBER(Table442466[[#This Row],[Change]])</f>
        <v>0</v>
      </c>
      <c r="Q120" s="5" t="str">
        <f>IF(E119="Male",Table442466[[#This Row],[Change]],"")</f>
        <v/>
      </c>
      <c r="R120" s="5" t="str">
        <f>IF(E119="Female",Table442466[[#This Row],[Change]],"")</f>
        <v/>
      </c>
      <c r="S120" s="5" t="b">
        <f>ISNUMBER(Table442466[[#This Row],[If Male]])</f>
        <v>0</v>
      </c>
      <c r="T120" s="5" t="b">
        <f>ISNUMBER(Table442466[[#This Row],[If Female]])</f>
        <v>0</v>
      </c>
    </row>
    <row r="121" spans="1:20">
      <c r="A121" s="2" t="s">
        <v>24</v>
      </c>
      <c r="B121" s="2" t="s">
        <v>31</v>
      </c>
      <c r="C121" s="1">
        <v>8</v>
      </c>
      <c r="D121" s="2" t="s">
        <v>16</v>
      </c>
      <c r="E121" s="6" t="s">
        <v>171</v>
      </c>
      <c r="F121" s="1">
        <v>2</v>
      </c>
      <c r="G121" s="1">
        <v>4</v>
      </c>
      <c r="H121" s="2"/>
      <c r="I121" s="5" t="str">
        <f>IF(IF(Table442466[[#This Row],[Pre or Post]]="Pre",1,0)+IF(ISNUMBER(Table442466[[#This Row],[Response]])=TRUE,1,0)=2,1,"")</f>
        <v/>
      </c>
      <c r="J121" s="5">
        <f>IF(IF(Table442466[[#This Row],[Pre or Post]]="Post",1,0)+IF(ISNUMBER(Table442466[[#This Row],[Response]])=TRUE,1,0)=2,1,"")</f>
        <v>1</v>
      </c>
      <c r="K121" s="6" t="str">
        <f>IF(IF(Table442466[[#This Row],[Pre or Post]]="Pre",1,0)+IF(ISNUMBER(Table442466[[#This Row],[Response]])=TRUE,1,0)=2,Table442466[[#This Row],[Response]],"")</f>
        <v/>
      </c>
      <c r="L121" s="6">
        <f>IF(IF(Table442466[[#This Row],[Pre or Post]]="Post",1,0)+IF(ISNUMBER(Table442466[[#This Row],[Response]])=TRUE,1,0)=2,Table442466[[#This Row],[Response]],"")</f>
        <v>4</v>
      </c>
      <c r="M121" s="5" t="str">
        <f>IF(IF(ISNUMBER(K121),1,0)+IF(ISNUMBER(L122),1,0)=2,IF(IF(C122=C121,1,0)+IF(B122=B121,1,0)+IF(D122="Post",1,0)+IF(D121="Pre",1,0)=4,Table442466[[#This Row],[Pre Total]],""),"")</f>
        <v/>
      </c>
      <c r="N121" s="5" t="str">
        <f>IF(IF(ISNUMBER(K120),1,0)+IF(ISNUMBER(Table442466[[#This Row],[Post Total]]),1,0)=2,IF(IF(Table442466[[#This Row],[Student Number]]=C120,1,0)+IF(Table442466[[#This Row],[Session]]=B120,1,0)+IF(Table442466[[#This Row],[Pre or Post]]="Post",1,0)+IF(D120="Pre",1,0)=4,Table442466[[#This Row],[Post Total]],""),"")</f>
        <v/>
      </c>
      <c r="O121" s="5" t="str">
        <f>IF(IF(ISNUMBER(K120),1,0)+IF(ISNUMBER(Table442466[[#This Row],[Post Total]]),1,0)=2,IF(IF(Table442466[[#This Row],[Student Number]]=C120,1,0)+IF(Table442466[[#This Row],[Session]]=B120,1,0)+IF(Table442466[[#This Row],[Pre or Post]]="Post",1,0)+IF(D120="Pre",1,0)=4,Table442466[[#This Row],[Post Total]]-K120,""),"")</f>
        <v/>
      </c>
      <c r="P121" s="5" t="b">
        <f>ISNUMBER(Table442466[[#This Row],[Change]])</f>
        <v>0</v>
      </c>
      <c r="Q121" s="5" t="str">
        <f>IF(E120="Male",Table442466[[#This Row],[Change]],"")</f>
        <v/>
      </c>
      <c r="R121" s="5" t="str">
        <f>IF(E120="Female",Table442466[[#This Row],[Change]],"")</f>
        <v/>
      </c>
      <c r="S121" s="5" t="b">
        <f>ISNUMBER(Table442466[[#This Row],[If Male]])</f>
        <v>0</v>
      </c>
      <c r="T121" s="5" t="b">
        <f>ISNUMBER(Table442466[[#This Row],[If Female]])</f>
        <v>0</v>
      </c>
    </row>
    <row r="122" spans="1:20">
      <c r="A122" s="2" t="s">
        <v>24</v>
      </c>
      <c r="B122" s="2" t="s">
        <v>31</v>
      </c>
      <c r="C122" s="1">
        <v>9</v>
      </c>
      <c r="D122" s="2" t="s">
        <v>16</v>
      </c>
      <c r="E122" s="6" t="s">
        <v>171</v>
      </c>
      <c r="F122" s="1">
        <v>2</v>
      </c>
      <c r="G122" s="1">
        <v>4</v>
      </c>
      <c r="H122" s="2"/>
      <c r="I122" s="6" t="str">
        <f>IF(IF(Table442466[[#This Row],[Pre or Post]]="Pre",1,0)+IF(ISNUMBER(Table442466[[#This Row],[Response]])=TRUE,1,0)=2,1,"")</f>
        <v/>
      </c>
      <c r="J122" s="6">
        <f>IF(IF(Table442466[[#This Row],[Pre or Post]]="Post",1,0)+IF(ISNUMBER(Table442466[[#This Row],[Response]])=TRUE,1,0)=2,1,"")</f>
        <v>1</v>
      </c>
      <c r="K122" s="6" t="str">
        <f>IF(IF(Table442466[[#This Row],[Pre or Post]]="Pre",1,0)+IF(ISNUMBER(Table442466[[#This Row],[Response]])=TRUE,1,0)=2,Table442466[[#This Row],[Response]],"")</f>
        <v/>
      </c>
      <c r="L122" s="6">
        <f>IF(IF(Table442466[[#This Row],[Pre or Post]]="Post",1,0)+IF(ISNUMBER(Table442466[[#This Row],[Response]])=TRUE,1,0)=2,Table442466[[#This Row],[Response]],"")</f>
        <v>4</v>
      </c>
      <c r="M122" s="6" t="str">
        <f>IF(IF(ISNUMBER(K122),1,0)+IF(ISNUMBER(L123),1,0)=2,IF(IF(C123=C122,1,0)+IF(B123=B122,1,0)+IF(D123="Post",1,0)+IF(D122="Pre",1,0)=4,Table442466[[#This Row],[Pre Total]],""),"")</f>
        <v/>
      </c>
      <c r="N122" s="6" t="str">
        <f>IF(IF(ISNUMBER(K121),1,0)+IF(ISNUMBER(Table442466[[#This Row],[Post Total]]),1,0)=2,IF(IF(Table442466[[#This Row],[Student Number]]=C121,1,0)+IF(Table442466[[#This Row],[Session]]=B121,1,0)+IF(Table442466[[#This Row],[Pre or Post]]="Post",1,0)+IF(D121="Pre",1,0)=4,Table442466[[#This Row],[Post Total]],""),"")</f>
        <v/>
      </c>
      <c r="O122" s="6" t="str">
        <f>IF(IF(ISNUMBER(K121),1,0)+IF(ISNUMBER(Table442466[[#This Row],[Post Total]]),1,0)=2,IF(IF(Table442466[[#This Row],[Student Number]]=C121,1,0)+IF(Table442466[[#This Row],[Session]]=B121,1,0)+IF(Table442466[[#This Row],[Pre or Post]]="Post",1,0)+IF(D121="Pre",1,0)=4,Table442466[[#This Row],[Post Total]]-K121,""),"")</f>
        <v/>
      </c>
      <c r="P122" s="6" t="b">
        <f>ISNUMBER(Table442466[[#This Row],[Change]])</f>
        <v>0</v>
      </c>
      <c r="Q122" s="5" t="str">
        <f>IF(E121="Male",Table442466[[#This Row],[Change]],"")</f>
        <v/>
      </c>
      <c r="R122" s="5" t="str">
        <f>IF(E121="Female",Table442466[[#This Row],[Change]],"")</f>
        <v/>
      </c>
      <c r="S122" s="5" t="b">
        <f>ISNUMBER(Table442466[[#This Row],[If Male]])</f>
        <v>0</v>
      </c>
      <c r="T122" s="5" t="b">
        <f>ISNUMBER(Table442466[[#This Row],[If Female]])</f>
        <v>0</v>
      </c>
    </row>
    <row r="123" spans="1:20">
      <c r="A123" s="2" t="s">
        <v>24</v>
      </c>
      <c r="B123" s="2" t="s">
        <v>31</v>
      </c>
      <c r="C123" s="1">
        <v>10</v>
      </c>
      <c r="D123" s="2" t="s">
        <v>16</v>
      </c>
      <c r="E123" s="6" t="s">
        <v>171</v>
      </c>
      <c r="F123" s="1">
        <v>2</v>
      </c>
      <c r="G123" s="1">
        <v>5</v>
      </c>
      <c r="H123" s="2"/>
      <c r="I123" s="5" t="str">
        <f>IF(IF(Table442466[[#This Row],[Pre or Post]]="Pre",1,0)+IF(ISNUMBER(Table442466[[#This Row],[Response]])=TRUE,1,0)=2,1,"")</f>
        <v/>
      </c>
      <c r="J123" s="5">
        <f>IF(IF(Table442466[[#This Row],[Pre or Post]]="Post",1,0)+IF(ISNUMBER(Table442466[[#This Row],[Response]])=TRUE,1,0)=2,1,"")</f>
        <v>1</v>
      </c>
      <c r="K123" s="6" t="str">
        <f>IF(IF(Table442466[[#This Row],[Pre or Post]]="Pre",1,0)+IF(ISNUMBER(Table442466[[#This Row],[Response]])=TRUE,1,0)=2,Table442466[[#This Row],[Response]],"")</f>
        <v/>
      </c>
      <c r="L123" s="6">
        <f>IF(IF(Table442466[[#This Row],[Pre or Post]]="Post",1,0)+IF(ISNUMBER(Table442466[[#This Row],[Response]])=TRUE,1,0)=2,Table442466[[#This Row],[Response]],"")</f>
        <v>5</v>
      </c>
      <c r="M123" s="5" t="str">
        <f>IF(IF(ISNUMBER(K123),1,0)+IF(ISNUMBER(L124),1,0)=2,IF(IF(C124=C123,1,0)+IF(B124=B123,1,0)+IF(D124="Post",1,0)+IF(D123="Pre",1,0)=4,Table442466[[#This Row],[Pre Total]],""),"")</f>
        <v/>
      </c>
      <c r="N123" s="5" t="str">
        <f>IF(IF(ISNUMBER(K122),1,0)+IF(ISNUMBER(Table442466[[#This Row],[Post Total]]),1,0)=2,IF(IF(Table442466[[#This Row],[Student Number]]=C122,1,0)+IF(Table442466[[#This Row],[Session]]=B122,1,0)+IF(Table442466[[#This Row],[Pre or Post]]="Post",1,0)+IF(D122="Pre",1,0)=4,Table442466[[#This Row],[Post Total]],""),"")</f>
        <v/>
      </c>
      <c r="O123" s="5" t="str">
        <f>IF(IF(ISNUMBER(K122),1,0)+IF(ISNUMBER(Table442466[[#This Row],[Post Total]]),1,0)=2,IF(IF(Table442466[[#This Row],[Student Number]]=C122,1,0)+IF(Table442466[[#This Row],[Session]]=B122,1,0)+IF(Table442466[[#This Row],[Pre or Post]]="Post",1,0)+IF(D122="Pre",1,0)=4,Table442466[[#This Row],[Post Total]]-K122,""),"")</f>
        <v/>
      </c>
      <c r="P123" s="5" t="b">
        <f>ISNUMBER(Table442466[[#This Row],[Change]])</f>
        <v>0</v>
      </c>
      <c r="Q123" s="5" t="str">
        <f>IF(E122="Male",Table442466[[#This Row],[Change]],"")</f>
        <v/>
      </c>
      <c r="R123" s="5" t="str">
        <f>IF(E122="Female",Table442466[[#This Row],[Change]],"")</f>
        <v/>
      </c>
      <c r="S123" s="5" t="b">
        <f>ISNUMBER(Table442466[[#This Row],[If Male]])</f>
        <v>0</v>
      </c>
      <c r="T123" s="5" t="b">
        <f>ISNUMBER(Table442466[[#This Row],[If Female]])</f>
        <v>0</v>
      </c>
    </row>
    <row r="124" spans="1:20">
      <c r="A124" s="2" t="s">
        <v>24</v>
      </c>
      <c r="B124" s="2" t="s">
        <v>31</v>
      </c>
      <c r="C124" s="1">
        <v>11</v>
      </c>
      <c r="D124" s="2" t="s">
        <v>16</v>
      </c>
      <c r="E124" s="6" t="s">
        <v>171</v>
      </c>
      <c r="F124" s="1">
        <v>2</v>
      </c>
      <c r="G124" s="1">
        <v>4</v>
      </c>
      <c r="H124" s="2"/>
      <c r="I124" s="6" t="str">
        <f>IF(IF(Table442466[[#This Row],[Pre or Post]]="Pre",1,0)+IF(ISNUMBER(Table442466[[#This Row],[Response]])=TRUE,1,0)=2,1,"")</f>
        <v/>
      </c>
      <c r="J124" s="6">
        <f>IF(IF(Table442466[[#This Row],[Pre or Post]]="Post",1,0)+IF(ISNUMBER(Table442466[[#This Row],[Response]])=TRUE,1,0)=2,1,"")</f>
        <v>1</v>
      </c>
      <c r="K124" s="6" t="str">
        <f>IF(IF(Table442466[[#This Row],[Pre or Post]]="Pre",1,0)+IF(ISNUMBER(Table442466[[#This Row],[Response]])=TRUE,1,0)=2,Table442466[[#This Row],[Response]],"")</f>
        <v/>
      </c>
      <c r="L124" s="6">
        <f>IF(IF(Table442466[[#This Row],[Pre or Post]]="Post",1,0)+IF(ISNUMBER(Table442466[[#This Row],[Response]])=TRUE,1,0)=2,Table442466[[#This Row],[Response]],"")</f>
        <v>4</v>
      </c>
      <c r="M124" s="6" t="str">
        <f>IF(IF(ISNUMBER(K124),1,0)+IF(ISNUMBER(L125),1,0)=2,IF(IF(C125=C124,1,0)+IF(B125=B124,1,0)+IF(D125="Post",1,0)+IF(D124="Pre",1,0)=4,Table442466[[#This Row],[Pre Total]],""),"")</f>
        <v/>
      </c>
      <c r="N124" s="6" t="str">
        <f>IF(IF(ISNUMBER(K123),1,0)+IF(ISNUMBER(Table442466[[#This Row],[Post Total]]),1,0)=2,IF(IF(Table442466[[#This Row],[Student Number]]=C123,1,0)+IF(Table442466[[#This Row],[Session]]=B123,1,0)+IF(Table442466[[#This Row],[Pre or Post]]="Post",1,0)+IF(D123="Pre",1,0)=4,Table442466[[#This Row],[Post Total]],""),"")</f>
        <v/>
      </c>
      <c r="O124" s="6" t="str">
        <f>IF(IF(ISNUMBER(K123),1,0)+IF(ISNUMBER(Table442466[[#This Row],[Post Total]]),1,0)=2,IF(IF(Table442466[[#This Row],[Student Number]]=C123,1,0)+IF(Table442466[[#This Row],[Session]]=B123,1,0)+IF(Table442466[[#This Row],[Pre or Post]]="Post",1,0)+IF(D123="Pre",1,0)=4,Table442466[[#This Row],[Post Total]]-K123,""),"")</f>
        <v/>
      </c>
      <c r="P124" s="6" t="b">
        <f>ISNUMBER(Table442466[[#This Row],[Change]])</f>
        <v>0</v>
      </c>
      <c r="Q124" s="5" t="str">
        <f>IF(E123="Male",Table442466[[#This Row],[Change]],"")</f>
        <v/>
      </c>
      <c r="R124" s="5" t="str">
        <f>IF(E123="Female",Table442466[[#This Row],[Change]],"")</f>
        <v/>
      </c>
      <c r="S124" s="5" t="b">
        <f>ISNUMBER(Table442466[[#This Row],[If Male]])</f>
        <v>0</v>
      </c>
      <c r="T124" s="5" t="b">
        <f>ISNUMBER(Table442466[[#This Row],[If Female]])</f>
        <v>0</v>
      </c>
    </row>
    <row r="125" spans="1:20">
      <c r="A125" s="2" t="s">
        <v>24</v>
      </c>
      <c r="B125" s="2" t="s">
        <v>31</v>
      </c>
      <c r="C125" s="1">
        <v>12</v>
      </c>
      <c r="D125" s="2" t="s">
        <v>16</v>
      </c>
      <c r="E125" s="6" t="s">
        <v>171</v>
      </c>
      <c r="F125" s="1">
        <v>2</v>
      </c>
      <c r="G125" s="1">
        <v>4</v>
      </c>
      <c r="H125" s="2"/>
      <c r="I125" s="5" t="str">
        <f>IF(IF(Table442466[[#This Row],[Pre or Post]]="Pre",1,0)+IF(ISNUMBER(Table442466[[#This Row],[Response]])=TRUE,1,0)=2,1,"")</f>
        <v/>
      </c>
      <c r="J125" s="5">
        <f>IF(IF(Table442466[[#This Row],[Pre or Post]]="Post",1,0)+IF(ISNUMBER(Table442466[[#This Row],[Response]])=TRUE,1,0)=2,1,"")</f>
        <v>1</v>
      </c>
      <c r="K125" s="6" t="str">
        <f>IF(IF(Table442466[[#This Row],[Pre or Post]]="Pre",1,0)+IF(ISNUMBER(Table442466[[#This Row],[Response]])=TRUE,1,0)=2,Table442466[[#This Row],[Response]],"")</f>
        <v/>
      </c>
      <c r="L125" s="6">
        <f>IF(IF(Table442466[[#This Row],[Pre or Post]]="Post",1,0)+IF(ISNUMBER(Table442466[[#This Row],[Response]])=TRUE,1,0)=2,Table442466[[#This Row],[Response]],"")</f>
        <v>4</v>
      </c>
      <c r="M125" s="5" t="str">
        <f>IF(IF(ISNUMBER(K125),1,0)+IF(ISNUMBER(L126),1,0)=2,IF(IF(C126=C125,1,0)+IF(B126=B125,1,0)+IF(D126="Post",1,0)+IF(D125="Pre",1,0)=4,Table442466[[#This Row],[Pre Total]],""),"")</f>
        <v/>
      </c>
      <c r="N125" s="5" t="str">
        <f>IF(IF(ISNUMBER(K124),1,0)+IF(ISNUMBER(Table442466[[#This Row],[Post Total]]),1,0)=2,IF(IF(Table442466[[#This Row],[Student Number]]=C124,1,0)+IF(Table442466[[#This Row],[Session]]=B124,1,0)+IF(Table442466[[#This Row],[Pre or Post]]="Post",1,0)+IF(D124="Pre",1,0)=4,Table442466[[#This Row],[Post Total]],""),"")</f>
        <v/>
      </c>
      <c r="O125" s="5" t="str">
        <f>IF(IF(ISNUMBER(K124),1,0)+IF(ISNUMBER(Table442466[[#This Row],[Post Total]]),1,0)=2,IF(IF(Table442466[[#This Row],[Student Number]]=C124,1,0)+IF(Table442466[[#This Row],[Session]]=B124,1,0)+IF(Table442466[[#This Row],[Pre or Post]]="Post",1,0)+IF(D124="Pre",1,0)=4,Table442466[[#This Row],[Post Total]]-K124,""),"")</f>
        <v/>
      </c>
      <c r="P125" s="5" t="b">
        <f>ISNUMBER(Table442466[[#This Row],[Change]])</f>
        <v>0</v>
      </c>
      <c r="Q125" s="5" t="str">
        <f>IF(E124="Male",Table442466[[#This Row],[Change]],"")</f>
        <v/>
      </c>
      <c r="R125" s="5" t="str">
        <f>IF(E124="Female",Table442466[[#This Row],[Change]],"")</f>
        <v/>
      </c>
      <c r="S125" s="5" t="b">
        <f>ISNUMBER(Table442466[[#This Row],[If Male]])</f>
        <v>0</v>
      </c>
      <c r="T125" s="5" t="b">
        <f>ISNUMBER(Table442466[[#This Row],[If Female]])</f>
        <v>0</v>
      </c>
    </row>
    <row r="126" spans="1:20">
      <c r="A126" s="2" t="s">
        <v>24</v>
      </c>
      <c r="B126" s="2" t="s">
        <v>31</v>
      </c>
      <c r="C126" s="1">
        <v>13</v>
      </c>
      <c r="D126" s="2" t="s">
        <v>16</v>
      </c>
      <c r="E126" s="6" t="s">
        <v>171</v>
      </c>
      <c r="F126" s="1">
        <v>2</v>
      </c>
      <c r="G126" s="1">
        <v>3</v>
      </c>
      <c r="H126" s="2"/>
      <c r="I126" s="6" t="str">
        <f>IF(IF(Table442466[[#This Row],[Pre or Post]]="Pre",1,0)+IF(ISNUMBER(Table442466[[#This Row],[Response]])=TRUE,1,0)=2,1,"")</f>
        <v/>
      </c>
      <c r="J126" s="6">
        <f>IF(IF(Table442466[[#This Row],[Pre or Post]]="Post",1,0)+IF(ISNUMBER(Table442466[[#This Row],[Response]])=TRUE,1,0)=2,1,"")</f>
        <v>1</v>
      </c>
      <c r="K126" s="6" t="str">
        <f>IF(IF(Table442466[[#This Row],[Pre or Post]]="Pre",1,0)+IF(ISNUMBER(Table442466[[#This Row],[Response]])=TRUE,1,0)=2,Table442466[[#This Row],[Response]],"")</f>
        <v/>
      </c>
      <c r="L126" s="6">
        <f>IF(IF(Table442466[[#This Row],[Pre or Post]]="Post",1,0)+IF(ISNUMBER(Table442466[[#This Row],[Response]])=TRUE,1,0)=2,Table442466[[#This Row],[Response]],"")</f>
        <v>3</v>
      </c>
      <c r="M126" s="6" t="str">
        <f>IF(IF(ISNUMBER(K126),1,0)+IF(ISNUMBER(L127),1,0)=2,IF(IF(C127=C126,1,0)+IF(B127=B126,1,0)+IF(D127="Post",1,0)+IF(D126="Pre",1,0)=4,Table442466[[#This Row],[Pre Total]],""),"")</f>
        <v/>
      </c>
      <c r="N126" s="6" t="str">
        <f>IF(IF(ISNUMBER(K125),1,0)+IF(ISNUMBER(Table442466[[#This Row],[Post Total]]),1,0)=2,IF(IF(Table442466[[#This Row],[Student Number]]=C125,1,0)+IF(Table442466[[#This Row],[Session]]=B125,1,0)+IF(Table442466[[#This Row],[Pre or Post]]="Post",1,0)+IF(D125="Pre",1,0)=4,Table442466[[#This Row],[Post Total]],""),"")</f>
        <v/>
      </c>
      <c r="O126" s="6" t="str">
        <f>IF(IF(ISNUMBER(K125),1,0)+IF(ISNUMBER(Table442466[[#This Row],[Post Total]]),1,0)=2,IF(IF(Table442466[[#This Row],[Student Number]]=C125,1,0)+IF(Table442466[[#This Row],[Session]]=B125,1,0)+IF(Table442466[[#This Row],[Pre or Post]]="Post",1,0)+IF(D125="Pre",1,0)=4,Table442466[[#This Row],[Post Total]]-K125,""),"")</f>
        <v/>
      </c>
      <c r="P126" s="6" t="b">
        <f>ISNUMBER(Table442466[[#This Row],[Change]])</f>
        <v>0</v>
      </c>
      <c r="Q126" s="5" t="str">
        <f>IF(E125="Male",Table442466[[#This Row],[Change]],"")</f>
        <v/>
      </c>
      <c r="R126" s="5" t="str">
        <f>IF(E125="Female",Table442466[[#This Row],[Change]],"")</f>
        <v/>
      </c>
      <c r="S126" s="5" t="b">
        <f>ISNUMBER(Table442466[[#This Row],[If Male]])</f>
        <v>0</v>
      </c>
      <c r="T126" s="5" t="b">
        <f>ISNUMBER(Table442466[[#This Row],[If Female]])</f>
        <v>0</v>
      </c>
    </row>
    <row r="127" spans="1:20">
      <c r="A127" s="2" t="s">
        <v>24</v>
      </c>
      <c r="B127" s="2" t="s">
        <v>31</v>
      </c>
      <c r="C127" s="1">
        <v>14</v>
      </c>
      <c r="D127" s="2" t="s">
        <v>16</v>
      </c>
      <c r="E127" s="6" t="s">
        <v>171</v>
      </c>
      <c r="F127" s="1">
        <v>2</v>
      </c>
      <c r="G127" s="1">
        <v>5</v>
      </c>
      <c r="H127" s="2"/>
      <c r="I127" s="5" t="str">
        <f>IF(IF(Table442466[[#This Row],[Pre or Post]]="Pre",1,0)+IF(ISNUMBER(Table442466[[#This Row],[Response]])=TRUE,1,0)=2,1,"")</f>
        <v/>
      </c>
      <c r="J127" s="5">
        <f>IF(IF(Table442466[[#This Row],[Pre or Post]]="Post",1,0)+IF(ISNUMBER(Table442466[[#This Row],[Response]])=TRUE,1,0)=2,1,"")</f>
        <v>1</v>
      </c>
      <c r="K127" s="6" t="str">
        <f>IF(IF(Table442466[[#This Row],[Pre or Post]]="Pre",1,0)+IF(ISNUMBER(Table442466[[#This Row],[Response]])=TRUE,1,0)=2,Table442466[[#This Row],[Response]],"")</f>
        <v/>
      </c>
      <c r="L127" s="6">
        <f>IF(IF(Table442466[[#This Row],[Pre or Post]]="Post",1,0)+IF(ISNUMBER(Table442466[[#This Row],[Response]])=TRUE,1,0)=2,Table442466[[#This Row],[Response]],"")</f>
        <v>5</v>
      </c>
      <c r="M127" s="5" t="str">
        <f>IF(IF(ISNUMBER(K127),1,0)+IF(ISNUMBER(L128),1,0)=2,IF(IF(C128=C127,1,0)+IF(B128=B127,1,0)+IF(D128="Post",1,0)+IF(D127="Pre",1,0)=4,Table442466[[#This Row],[Pre Total]],""),"")</f>
        <v/>
      </c>
      <c r="N127" s="5" t="str">
        <f>IF(IF(ISNUMBER(K126),1,0)+IF(ISNUMBER(Table442466[[#This Row],[Post Total]]),1,0)=2,IF(IF(Table442466[[#This Row],[Student Number]]=C126,1,0)+IF(Table442466[[#This Row],[Session]]=B126,1,0)+IF(Table442466[[#This Row],[Pre or Post]]="Post",1,0)+IF(D126="Pre",1,0)=4,Table442466[[#This Row],[Post Total]],""),"")</f>
        <v/>
      </c>
      <c r="O127" s="5" t="str">
        <f>IF(IF(ISNUMBER(K126),1,0)+IF(ISNUMBER(Table442466[[#This Row],[Post Total]]),1,0)=2,IF(IF(Table442466[[#This Row],[Student Number]]=C126,1,0)+IF(Table442466[[#This Row],[Session]]=B126,1,0)+IF(Table442466[[#This Row],[Pre or Post]]="Post",1,0)+IF(D126="Pre",1,0)=4,Table442466[[#This Row],[Post Total]]-K126,""),"")</f>
        <v/>
      </c>
      <c r="P127" s="5" t="b">
        <f>ISNUMBER(Table442466[[#This Row],[Change]])</f>
        <v>0</v>
      </c>
      <c r="Q127" s="5" t="str">
        <f>IF(E126="Male",Table442466[[#This Row],[Change]],"")</f>
        <v/>
      </c>
      <c r="R127" s="5" t="str">
        <f>IF(E126="Female",Table442466[[#This Row],[Change]],"")</f>
        <v/>
      </c>
      <c r="S127" s="5" t="b">
        <f>ISNUMBER(Table442466[[#This Row],[If Male]])</f>
        <v>0</v>
      </c>
      <c r="T127" s="5" t="b">
        <f>ISNUMBER(Table442466[[#This Row],[If Female]])</f>
        <v>0</v>
      </c>
    </row>
    <row r="128" spans="1:20">
      <c r="A128" s="2" t="s">
        <v>24</v>
      </c>
      <c r="B128" s="2" t="s">
        <v>31</v>
      </c>
      <c r="C128" s="1">
        <v>15</v>
      </c>
      <c r="D128" s="2" t="s">
        <v>16</v>
      </c>
      <c r="E128" s="6" t="s">
        <v>171</v>
      </c>
      <c r="F128" s="1">
        <v>2</v>
      </c>
      <c r="G128" s="1">
        <v>4</v>
      </c>
      <c r="H128" s="2"/>
      <c r="I128" s="6" t="str">
        <f>IF(IF(Table442466[[#This Row],[Pre or Post]]="Pre",1,0)+IF(ISNUMBER(Table442466[[#This Row],[Response]])=TRUE,1,0)=2,1,"")</f>
        <v/>
      </c>
      <c r="J128" s="6">
        <f>IF(IF(Table442466[[#This Row],[Pre or Post]]="Post",1,0)+IF(ISNUMBER(Table442466[[#This Row],[Response]])=TRUE,1,0)=2,1,"")</f>
        <v>1</v>
      </c>
      <c r="K128" s="6" t="str">
        <f>IF(IF(Table442466[[#This Row],[Pre or Post]]="Pre",1,0)+IF(ISNUMBER(Table442466[[#This Row],[Response]])=TRUE,1,0)=2,Table442466[[#This Row],[Response]],"")</f>
        <v/>
      </c>
      <c r="L128" s="6">
        <f>IF(IF(Table442466[[#This Row],[Pre or Post]]="Post",1,0)+IF(ISNUMBER(Table442466[[#This Row],[Response]])=TRUE,1,0)=2,Table442466[[#This Row],[Response]],"")</f>
        <v>4</v>
      </c>
      <c r="M128" s="6" t="str">
        <f>IF(IF(ISNUMBER(K128),1,0)+IF(ISNUMBER(L129),1,0)=2,IF(IF(C129=C128,1,0)+IF(B129=B128,1,0)+IF(D129="Post",1,0)+IF(D128="Pre",1,0)=4,Table442466[[#This Row],[Pre Total]],""),"")</f>
        <v/>
      </c>
      <c r="N128" s="6" t="str">
        <f>IF(IF(ISNUMBER(K127),1,0)+IF(ISNUMBER(Table442466[[#This Row],[Post Total]]),1,0)=2,IF(IF(Table442466[[#This Row],[Student Number]]=C127,1,0)+IF(Table442466[[#This Row],[Session]]=B127,1,0)+IF(Table442466[[#This Row],[Pre or Post]]="Post",1,0)+IF(D127="Pre",1,0)=4,Table442466[[#This Row],[Post Total]],""),"")</f>
        <v/>
      </c>
      <c r="O128" s="6" t="str">
        <f>IF(IF(ISNUMBER(K127),1,0)+IF(ISNUMBER(Table442466[[#This Row],[Post Total]]),1,0)=2,IF(IF(Table442466[[#This Row],[Student Number]]=C127,1,0)+IF(Table442466[[#This Row],[Session]]=B127,1,0)+IF(Table442466[[#This Row],[Pre or Post]]="Post",1,0)+IF(D127="Pre",1,0)=4,Table442466[[#This Row],[Post Total]]-K127,""),"")</f>
        <v/>
      </c>
      <c r="P128" s="6" t="b">
        <f>ISNUMBER(Table442466[[#This Row],[Change]])</f>
        <v>0</v>
      </c>
      <c r="Q128" s="5" t="str">
        <f>IF(E127="Male",Table442466[[#This Row],[Change]],"")</f>
        <v/>
      </c>
      <c r="R128" s="5" t="str">
        <f>IF(E127="Female",Table442466[[#This Row],[Change]],"")</f>
        <v/>
      </c>
      <c r="S128" s="5" t="b">
        <f>ISNUMBER(Table442466[[#This Row],[If Male]])</f>
        <v>0</v>
      </c>
      <c r="T128" s="5" t="b">
        <f>ISNUMBER(Table442466[[#This Row],[If Female]])</f>
        <v>0</v>
      </c>
    </row>
    <row r="129" spans="1:20">
      <c r="A129" s="2" t="s">
        <v>24</v>
      </c>
      <c r="B129" s="2" t="s">
        <v>26</v>
      </c>
      <c r="C129" s="1">
        <v>1</v>
      </c>
      <c r="D129" s="1" t="s">
        <v>6</v>
      </c>
      <c r="E129" s="5" t="s">
        <v>13</v>
      </c>
      <c r="F129" s="1">
        <v>9</v>
      </c>
      <c r="G129" s="1">
        <v>3</v>
      </c>
      <c r="I129" s="5">
        <f>IF(IF(Table442466[[#This Row],[Pre or Post]]="Pre",1,0)+IF(ISNUMBER(Table442466[[#This Row],[Response]])=TRUE,1,0)=2,1,"")</f>
        <v>1</v>
      </c>
      <c r="J129" s="5" t="str">
        <f>IF(IF(Table442466[[#This Row],[Pre or Post]]="Post",1,0)+IF(ISNUMBER(Table442466[[#This Row],[Response]])=TRUE,1,0)=2,1,"")</f>
        <v/>
      </c>
      <c r="K129" s="6">
        <f>IF(IF(Table442466[[#This Row],[Pre or Post]]="Pre",1,0)+IF(ISNUMBER(Table442466[[#This Row],[Response]])=TRUE,1,0)=2,Table442466[[#This Row],[Response]],"")</f>
        <v>3</v>
      </c>
      <c r="L129" s="6" t="str">
        <f>IF(IF(Table442466[[#This Row],[Pre or Post]]="Post",1,0)+IF(ISNUMBER(Table442466[[#This Row],[Response]])=TRUE,1,0)=2,Table442466[[#This Row],[Response]],"")</f>
        <v/>
      </c>
      <c r="M129" s="5">
        <f>IF(IF(ISNUMBER(K129),1,0)+IF(ISNUMBER(L130),1,0)=2,IF(IF(C130=C129,1,0)+IF(B130=B129,1,0)+IF(D130="Post",1,0)+IF(D129="Pre",1,0)=4,Table442466[[#This Row],[Pre Total]],""),"")</f>
        <v>3</v>
      </c>
      <c r="N129" s="5" t="str">
        <f>IF(IF(ISNUMBER(K128),1,0)+IF(ISNUMBER(Table442466[[#This Row],[Post Total]]),1,0)=2,IF(IF(Table442466[[#This Row],[Student Number]]=C128,1,0)+IF(Table442466[[#This Row],[Session]]=B128,1,0)+IF(Table442466[[#This Row],[Pre or Post]]="Post",1,0)+IF(D128="Pre",1,0)=4,Table442466[[#This Row],[Post Total]],""),"")</f>
        <v/>
      </c>
      <c r="O129" s="5" t="str">
        <f>IF(IF(ISNUMBER(K128),1,0)+IF(ISNUMBER(Table442466[[#This Row],[Post Total]]),1,0)=2,IF(IF(Table442466[[#This Row],[Student Number]]=C128,1,0)+IF(Table442466[[#This Row],[Session]]=B128,1,0)+IF(Table442466[[#This Row],[Pre or Post]]="Post",1,0)+IF(D128="Pre",1,0)=4,Table442466[[#This Row],[Post Total]]-K128,""),"")</f>
        <v/>
      </c>
      <c r="P129" s="5" t="b">
        <f>ISNUMBER(Table442466[[#This Row],[Change]])</f>
        <v>0</v>
      </c>
      <c r="Q129" s="5" t="str">
        <f>IF(E128="Male",Table442466[[#This Row],[Change]],"")</f>
        <v/>
      </c>
      <c r="R129" s="5" t="str">
        <f>IF(E128="Female",Table442466[[#This Row],[Change]],"")</f>
        <v/>
      </c>
      <c r="S129" s="5" t="b">
        <f>ISNUMBER(Table442466[[#This Row],[If Male]])</f>
        <v>0</v>
      </c>
      <c r="T129" s="5" t="b">
        <f>ISNUMBER(Table442466[[#This Row],[If Female]])</f>
        <v>0</v>
      </c>
    </row>
    <row r="130" spans="1:20">
      <c r="A130" s="2" t="s">
        <v>24</v>
      </c>
      <c r="B130" s="2" t="s">
        <v>26</v>
      </c>
      <c r="C130" s="1">
        <v>1</v>
      </c>
      <c r="D130" s="1" t="s">
        <v>16</v>
      </c>
      <c r="E130" s="5" t="s">
        <v>171</v>
      </c>
      <c r="F130" s="1">
        <v>2</v>
      </c>
      <c r="G130" s="1">
        <v>3</v>
      </c>
      <c r="H130" s="2"/>
      <c r="I130" s="6" t="str">
        <f>IF(IF(Table442466[[#This Row],[Pre or Post]]="Pre",1,0)+IF(ISNUMBER(Table442466[[#This Row],[Response]])=TRUE,1,0)=2,1,"")</f>
        <v/>
      </c>
      <c r="J130" s="6">
        <f>IF(IF(Table442466[[#This Row],[Pre or Post]]="Post",1,0)+IF(ISNUMBER(Table442466[[#This Row],[Response]])=TRUE,1,0)=2,1,"")</f>
        <v>1</v>
      </c>
      <c r="K130" s="6" t="str">
        <f>IF(IF(Table442466[[#This Row],[Pre or Post]]="Pre",1,0)+IF(ISNUMBER(Table442466[[#This Row],[Response]])=TRUE,1,0)=2,Table442466[[#This Row],[Response]],"")</f>
        <v/>
      </c>
      <c r="L130" s="6">
        <f>IF(IF(Table442466[[#This Row],[Pre or Post]]="Post",1,0)+IF(ISNUMBER(Table442466[[#This Row],[Response]])=TRUE,1,0)=2,Table442466[[#This Row],[Response]],"")</f>
        <v>3</v>
      </c>
      <c r="M130" s="6" t="str">
        <f>IF(IF(ISNUMBER(K130),1,0)+IF(ISNUMBER(L131),1,0)=2,IF(IF(C131=C130,1,0)+IF(B131=B130,1,0)+IF(D131="Post",1,0)+IF(D130="Pre",1,0)=4,Table442466[[#This Row],[Pre Total]],""),"")</f>
        <v/>
      </c>
      <c r="N130" s="6">
        <f>IF(IF(ISNUMBER(K129),1,0)+IF(ISNUMBER(Table442466[[#This Row],[Post Total]]),1,0)=2,IF(IF(Table442466[[#This Row],[Student Number]]=C129,1,0)+IF(Table442466[[#This Row],[Session]]=B129,1,0)+IF(Table442466[[#This Row],[Pre or Post]]="Post",1,0)+IF(D129="Pre",1,0)=4,Table442466[[#This Row],[Post Total]],""),"")</f>
        <v>3</v>
      </c>
      <c r="O130" s="6">
        <f>IF(IF(ISNUMBER(K129),1,0)+IF(ISNUMBER(Table442466[[#This Row],[Post Total]]),1,0)=2,IF(IF(Table442466[[#This Row],[Student Number]]=C129,1,0)+IF(Table442466[[#This Row],[Session]]=B129,1,0)+IF(Table442466[[#This Row],[Pre or Post]]="Post",1,0)+IF(D129="Pre",1,0)=4,Table442466[[#This Row],[Post Total]]-K129,""),"")</f>
        <v>0</v>
      </c>
      <c r="P130" s="6" t="b">
        <f>ISNUMBER(Table442466[[#This Row],[Change]])</f>
        <v>1</v>
      </c>
      <c r="Q130" s="5" t="str">
        <f>IF(E129="Male",Table442466[[#This Row],[Change]],"")</f>
        <v/>
      </c>
      <c r="R130" s="5">
        <f>IF(E129="Female",Table442466[[#This Row],[Change]],"")</f>
        <v>0</v>
      </c>
      <c r="S130" s="5" t="b">
        <f>ISNUMBER(Table442466[[#This Row],[If Male]])</f>
        <v>0</v>
      </c>
      <c r="T130" s="5" t="b">
        <f>ISNUMBER(Table442466[[#This Row],[If Female]])</f>
        <v>1</v>
      </c>
    </row>
    <row r="131" spans="1:20">
      <c r="A131" s="2" t="s">
        <v>24</v>
      </c>
      <c r="B131" s="2" t="s">
        <v>26</v>
      </c>
      <c r="C131" s="1">
        <v>2</v>
      </c>
      <c r="D131" s="1" t="s">
        <v>6</v>
      </c>
      <c r="E131" s="5" t="s">
        <v>13</v>
      </c>
      <c r="F131" s="1">
        <v>9</v>
      </c>
      <c r="G131" s="1">
        <v>3</v>
      </c>
      <c r="I131" s="5">
        <f>IF(IF(Table442466[[#This Row],[Pre or Post]]="Pre",1,0)+IF(ISNUMBER(Table442466[[#This Row],[Response]])=TRUE,1,0)=2,1,"")</f>
        <v>1</v>
      </c>
      <c r="J131" s="5" t="str">
        <f>IF(IF(Table442466[[#This Row],[Pre or Post]]="Post",1,0)+IF(ISNUMBER(Table442466[[#This Row],[Response]])=TRUE,1,0)=2,1,"")</f>
        <v/>
      </c>
      <c r="K131" s="6">
        <f>IF(IF(Table442466[[#This Row],[Pre or Post]]="Pre",1,0)+IF(ISNUMBER(Table442466[[#This Row],[Response]])=TRUE,1,0)=2,Table442466[[#This Row],[Response]],"")</f>
        <v>3</v>
      </c>
      <c r="L131" s="6" t="str">
        <f>IF(IF(Table442466[[#This Row],[Pre or Post]]="Post",1,0)+IF(ISNUMBER(Table442466[[#This Row],[Response]])=TRUE,1,0)=2,Table442466[[#This Row],[Response]],"")</f>
        <v/>
      </c>
      <c r="M131" s="5">
        <f>IF(IF(ISNUMBER(K131),1,0)+IF(ISNUMBER(L132),1,0)=2,IF(IF(C132=C131,1,0)+IF(B132=B131,1,0)+IF(D132="Post",1,0)+IF(D131="Pre",1,0)=4,Table442466[[#This Row],[Pre Total]],""),"")</f>
        <v>3</v>
      </c>
      <c r="N131" s="5" t="str">
        <f>IF(IF(ISNUMBER(K130),1,0)+IF(ISNUMBER(Table442466[[#This Row],[Post Total]]),1,0)=2,IF(IF(Table442466[[#This Row],[Student Number]]=C130,1,0)+IF(Table442466[[#This Row],[Session]]=B130,1,0)+IF(Table442466[[#This Row],[Pre or Post]]="Post",1,0)+IF(D130="Pre",1,0)=4,Table442466[[#This Row],[Post Total]],""),"")</f>
        <v/>
      </c>
      <c r="O131" s="5" t="str">
        <f>IF(IF(ISNUMBER(K130),1,0)+IF(ISNUMBER(Table442466[[#This Row],[Post Total]]),1,0)=2,IF(IF(Table442466[[#This Row],[Student Number]]=C130,1,0)+IF(Table442466[[#This Row],[Session]]=B130,1,0)+IF(Table442466[[#This Row],[Pre or Post]]="Post",1,0)+IF(D130="Pre",1,0)=4,Table442466[[#This Row],[Post Total]]-K130,""),"")</f>
        <v/>
      </c>
      <c r="P131" s="5" t="b">
        <f>ISNUMBER(Table442466[[#This Row],[Change]])</f>
        <v>0</v>
      </c>
      <c r="Q131" s="5" t="str">
        <f>IF(E130="Male",Table442466[[#This Row],[Change]],"")</f>
        <v/>
      </c>
      <c r="R131" s="5" t="str">
        <f>IF(E130="Female",Table442466[[#This Row],[Change]],"")</f>
        <v/>
      </c>
      <c r="S131" s="5" t="b">
        <f>ISNUMBER(Table442466[[#This Row],[If Male]])</f>
        <v>0</v>
      </c>
      <c r="T131" s="5" t="b">
        <f>ISNUMBER(Table442466[[#This Row],[If Female]])</f>
        <v>0</v>
      </c>
    </row>
    <row r="132" spans="1:20">
      <c r="A132" s="2" t="s">
        <v>24</v>
      </c>
      <c r="B132" s="2" t="s">
        <v>26</v>
      </c>
      <c r="C132" s="1">
        <v>2</v>
      </c>
      <c r="D132" s="1" t="s">
        <v>16</v>
      </c>
      <c r="E132" s="5" t="s">
        <v>171</v>
      </c>
      <c r="F132" s="1">
        <v>2</v>
      </c>
      <c r="G132" s="1">
        <v>2</v>
      </c>
      <c r="H132" s="2"/>
      <c r="I132" s="5" t="str">
        <f>IF(IF(Table442466[[#This Row],[Pre or Post]]="Pre",1,0)+IF(ISNUMBER(Table442466[[#This Row],[Response]])=TRUE,1,0)=2,1,"")</f>
        <v/>
      </c>
      <c r="J132" s="5">
        <f>IF(IF(Table442466[[#This Row],[Pre or Post]]="Post",1,0)+IF(ISNUMBER(Table442466[[#This Row],[Response]])=TRUE,1,0)=2,1,"")</f>
        <v>1</v>
      </c>
      <c r="K132" s="6" t="str">
        <f>IF(IF(Table442466[[#This Row],[Pre or Post]]="Pre",1,0)+IF(ISNUMBER(Table442466[[#This Row],[Response]])=TRUE,1,0)=2,Table442466[[#This Row],[Response]],"")</f>
        <v/>
      </c>
      <c r="L132" s="6">
        <f>IF(IF(Table442466[[#This Row],[Pre or Post]]="Post",1,0)+IF(ISNUMBER(Table442466[[#This Row],[Response]])=TRUE,1,0)=2,Table442466[[#This Row],[Response]],"")</f>
        <v>2</v>
      </c>
      <c r="M132" s="5" t="str">
        <f>IF(IF(ISNUMBER(K132),1,0)+IF(ISNUMBER(L133),1,0)=2,IF(IF(C133=C132,1,0)+IF(B133=B132,1,0)+IF(D133="Post",1,0)+IF(D132="Pre",1,0)=4,Table442466[[#This Row],[Pre Total]],""),"")</f>
        <v/>
      </c>
      <c r="N132" s="5">
        <f>IF(IF(ISNUMBER(K131),1,0)+IF(ISNUMBER(Table442466[[#This Row],[Post Total]]),1,0)=2,IF(IF(Table442466[[#This Row],[Student Number]]=C131,1,0)+IF(Table442466[[#This Row],[Session]]=B131,1,0)+IF(Table442466[[#This Row],[Pre or Post]]="Post",1,0)+IF(D131="Pre",1,0)=4,Table442466[[#This Row],[Post Total]],""),"")</f>
        <v>2</v>
      </c>
      <c r="O132" s="5">
        <f>IF(IF(ISNUMBER(K131),1,0)+IF(ISNUMBER(Table442466[[#This Row],[Post Total]]),1,0)=2,IF(IF(Table442466[[#This Row],[Student Number]]=C131,1,0)+IF(Table442466[[#This Row],[Session]]=B131,1,0)+IF(Table442466[[#This Row],[Pre or Post]]="Post",1,0)+IF(D131="Pre",1,0)=4,Table442466[[#This Row],[Post Total]]-K131,""),"")</f>
        <v>-1</v>
      </c>
      <c r="P132" s="5" t="b">
        <f>ISNUMBER(Table442466[[#This Row],[Change]])</f>
        <v>1</v>
      </c>
      <c r="Q132" s="5" t="str">
        <f>IF(E131="Male",Table442466[[#This Row],[Change]],"")</f>
        <v/>
      </c>
      <c r="R132" s="5">
        <f>IF(E131="Female",Table442466[[#This Row],[Change]],"")</f>
        <v>-1</v>
      </c>
      <c r="S132" s="5" t="b">
        <f>ISNUMBER(Table442466[[#This Row],[If Male]])</f>
        <v>0</v>
      </c>
      <c r="T132" s="5" t="b">
        <f>ISNUMBER(Table442466[[#This Row],[If Female]])</f>
        <v>1</v>
      </c>
    </row>
    <row r="133" spans="1:20">
      <c r="A133" s="2" t="s">
        <v>24</v>
      </c>
      <c r="B133" s="2" t="s">
        <v>26</v>
      </c>
      <c r="C133" s="1">
        <v>3</v>
      </c>
      <c r="D133" s="1" t="s">
        <v>6</v>
      </c>
      <c r="E133" s="5" t="s">
        <v>13</v>
      </c>
      <c r="F133" s="1">
        <v>9</v>
      </c>
      <c r="G133" s="1">
        <v>3</v>
      </c>
      <c r="I133" s="5">
        <f>IF(IF(Table442466[[#This Row],[Pre or Post]]="Pre",1,0)+IF(ISNUMBER(Table442466[[#This Row],[Response]])=TRUE,1,0)=2,1,"")</f>
        <v>1</v>
      </c>
      <c r="J133" s="5" t="str">
        <f>IF(IF(Table442466[[#This Row],[Pre or Post]]="Post",1,0)+IF(ISNUMBER(Table442466[[#This Row],[Response]])=TRUE,1,0)=2,1,"")</f>
        <v/>
      </c>
      <c r="K133" s="6">
        <f>IF(IF(Table442466[[#This Row],[Pre or Post]]="Pre",1,0)+IF(ISNUMBER(Table442466[[#This Row],[Response]])=TRUE,1,0)=2,Table442466[[#This Row],[Response]],"")</f>
        <v>3</v>
      </c>
      <c r="L133" s="6" t="str">
        <f>IF(IF(Table442466[[#This Row],[Pre or Post]]="Post",1,0)+IF(ISNUMBER(Table442466[[#This Row],[Response]])=TRUE,1,0)=2,Table442466[[#This Row],[Response]],"")</f>
        <v/>
      </c>
      <c r="M133" s="5">
        <f>IF(IF(ISNUMBER(K133),1,0)+IF(ISNUMBER(L134),1,0)=2,IF(IF(C134=C133,1,0)+IF(B134=B133,1,0)+IF(D134="Post",1,0)+IF(D133="Pre",1,0)=4,Table442466[[#This Row],[Pre Total]],""),"")</f>
        <v>3</v>
      </c>
      <c r="N133" s="5" t="str">
        <f>IF(IF(ISNUMBER(K132),1,0)+IF(ISNUMBER(Table442466[[#This Row],[Post Total]]),1,0)=2,IF(IF(Table442466[[#This Row],[Student Number]]=C132,1,0)+IF(Table442466[[#This Row],[Session]]=B132,1,0)+IF(Table442466[[#This Row],[Pre or Post]]="Post",1,0)+IF(D132="Pre",1,0)=4,Table442466[[#This Row],[Post Total]],""),"")</f>
        <v/>
      </c>
      <c r="O133" s="5" t="str">
        <f>IF(IF(ISNUMBER(K132),1,0)+IF(ISNUMBER(Table442466[[#This Row],[Post Total]]),1,0)=2,IF(IF(Table442466[[#This Row],[Student Number]]=C132,1,0)+IF(Table442466[[#This Row],[Session]]=B132,1,0)+IF(Table442466[[#This Row],[Pre or Post]]="Post",1,0)+IF(D132="Pre",1,0)=4,Table442466[[#This Row],[Post Total]]-K132,""),"")</f>
        <v/>
      </c>
      <c r="P133" s="5" t="b">
        <f>ISNUMBER(Table442466[[#This Row],[Change]])</f>
        <v>0</v>
      </c>
      <c r="Q133" s="5" t="str">
        <f>IF(E132="Male",Table442466[[#This Row],[Change]],"")</f>
        <v/>
      </c>
      <c r="R133" s="5" t="str">
        <f>IF(E132="Female",Table442466[[#This Row],[Change]],"")</f>
        <v/>
      </c>
      <c r="S133" s="5" t="b">
        <f>ISNUMBER(Table442466[[#This Row],[If Male]])</f>
        <v>0</v>
      </c>
      <c r="T133" s="5" t="b">
        <f>ISNUMBER(Table442466[[#This Row],[If Female]])</f>
        <v>0</v>
      </c>
    </row>
    <row r="134" spans="1:20">
      <c r="A134" s="2" t="s">
        <v>24</v>
      </c>
      <c r="B134" s="2" t="s">
        <v>26</v>
      </c>
      <c r="C134" s="1">
        <v>3</v>
      </c>
      <c r="D134" s="1" t="s">
        <v>16</v>
      </c>
      <c r="E134" s="5" t="s">
        <v>171</v>
      </c>
      <c r="F134" s="1">
        <v>2</v>
      </c>
      <c r="G134" s="1">
        <v>3</v>
      </c>
      <c r="H134" s="2"/>
      <c r="I134" s="6" t="str">
        <f>IF(IF(Table442466[[#This Row],[Pre or Post]]="Pre",1,0)+IF(ISNUMBER(Table442466[[#This Row],[Response]])=TRUE,1,0)=2,1,"")</f>
        <v/>
      </c>
      <c r="J134" s="6">
        <f>IF(IF(Table442466[[#This Row],[Pre or Post]]="Post",1,0)+IF(ISNUMBER(Table442466[[#This Row],[Response]])=TRUE,1,0)=2,1,"")</f>
        <v>1</v>
      </c>
      <c r="K134" s="6" t="str">
        <f>IF(IF(Table442466[[#This Row],[Pre or Post]]="Pre",1,0)+IF(ISNUMBER(Table442466[[#This Row],[Response]])=TRUE,1,0)=2,Table442466[[#This Row],[Response]],"")</f>
        <v/>
      </c>
      <c r="L134" s="6">
        <f>IF(IF(Table442466[[#This Row],[Pre or Post]]="Post",1,0)+IF(ISNUMBER(Table442466[[#This Row],[Response]])=TRUE,1,0)=2,Table442466[[#This Row],[Response]],"")</f>
        <v>3</v>
      </c>
      <c r="M134" s="6" t="str">
        <f>IF(IF(ISNUMBER(K134),1,0)+IF(ISNUMBER(L135),1,0)=2,IF(IF(C135=C134,1,0)+IF(B135=B134,1,0)+IF(D135="Post",1,0)+IF(D134="Pre",1,0)=4,Table442466[[#This Row],[Pre Total]],""),"")</f>
        <v/>
      </c>
      <c r="N134" s="6">
        <f>IF(IF(ISNUMBER(K133),1,0)+IF(ISNUMBER(Table442466[[#This Row],[Post Total]]),1,0)=2,IF(IF(Table442466[[#This Row],[Student Number]]=C133,1,0)+IF(Table442466[[#This Row],[Session]]=B133,1,0)+IF(Table442466[[#This Row],[Pre or Post]]="Post",1,0)+IF(D133="Pre",1,0)=4,Table442466[[#This Row],[Post Total]],""),"")</f>
        <v>3</v>
      </c>
      <c r="O134" s="6">
        <f>IF(IF(ISNUMBER(K133),1,0)+IF(ISNUMBER(Table442466[[#This Row],[Post Total]]),1,0)=2,IF(IF(Table442466[[#This Row],[Student Number]]=C133,1,0)+IF(Table442466[[#This Row],[Session]]=B133,1,0)+IF(Table442466[[#This Row],[Pre or Post]]="Post",1,0)+IF(D133="Pre",1,0)=4,Table442466[[#This Row],[Post Total]]-K133,""),"")</f>
        <v>0</v>
      </c>
      <c r="P134" s="6" t="b">
        <f>ISNUMBER(Table442466[[#This Row],[Change]])</f>
        <v>1</v>
      </c>
      <c r="Q134" s="5" t="str">
        <f>IF(E133="Male",Table442466[[#This Row],[Change]],"")</f>
        <v/>
      </c>
      <c r="R134" s="5">
        <f>IF(E133="Female",Table442466[[#This Row],[Change]],"")</f>
        <v>0</v>
      </c>
      <c r="S134" s="5" t="b">
        <f>ISNUMBER(Table442466[[#This Row],[If Male]])</f>
        <v>0</v>
      </c>
      <c r="T134" s="5" t="b">
        <f>ISNUMBER(Table442466[[#This Row],[If Female]])</f>
        <v>1</v>
      </c>
    </row>
    <row r="135" spans="1:20">
      <c r="A135" s="2" t="s">
        <v>24</v>
      </c>
      <c r="B135" s="2" t="s">
        <v>26</v>
      </c>
      <c r="C135" s="1">
        <v>4</v>
      </c>
      <c r="D135" s="1" t="s">
        <v>6</v>
      </c>
      <c r="E135" s="5" t="s">
        <v>13</v>
      </c>
      <c r="F135" s="1">
        <v>9</v>
      </c>
      <c r="G135" s="1">
        <v>3</v>
      </c>
      <c r="I135" s="5">
        <f>IF(IF(Table442466[[#This Row],[Pre or Post]]="Pre",1,0)+IF(ISNUMBER(Table442466[[#This Row],[Response]])=TRUE,1,0)=2,1,"")</f>
        <v>1</v>
      </c>
      <c r="J135" s="5" t="str">
        <f>IF(IF(Table442466[[#This Row],[Pre or Post]]="Post",1,0)+IF(ISNUMBER(Table442466[[#This Row],[Response]])=TRUE,1,0)=2,1,"")</f>
        <v/>
      </c>
      <c r="K135" s="6">
        <f>IF(IF(Table442466[[#This Row],[Pre or Post]]="Pre",1,0)+IF(ISNUMBER(Table442466[[#This Row],[Response]])=TRUE,1,0)=2,Table442466[[#This Row],[Response]],"")</f>
        <v>3</v>
      </c>
      <c r="L135" s="6" t="str">
        <f>IF(IF(Table442466[[#This Row],[Pre or Post]]="Post",1,0)+IF(ISNUMBER(Table442466[[#This Row],[Response]])=TRUE,1,0)=2,Table442466[[#This Row],[Response]],"")</f>
        <v/>
      </c>
      <c r="M135" s="5">
        <f>IF(IF(ISNUMBER(K135),1,0)+IF(ISNUMBER(L136),1,0)=2,IF(IF(C136=C135,1,0)+IF(B136=B135,1,0)+IF(D136="Post",1,0)+IF(D135="Pre",1,0)=4,Table442466[[#This Row],[Pre Total]],""),"")</f>
        <v>3</v>
      </c>
      <c r="N135" s="5" t="str">
        <f>IF(IF(ISNUMBER(K134),1,0)+IF(ISNUMBER(Table442466[[#This Row],[Post Total]]),1,0)=2,IF(IF(Table442466[[#This Row],[Student Number]]=C134,1,0)+IF(Table442466[[#This Row],[Session]]=B134,1,0)+IF(Table442466[[#This Row],[Pre or Post]]="Post",1,0)+IF(D134="Pre",1,0)=4,Table442466[[#This Row],[Post Total]],""),"")</f>
        <v/>
      </c>
      <c r="O135" s="5" t="str">
        <f>IF(IF(ISNUMBER(K134),1,0)+IF(ISNUMBER(Table442466[[#This Row],[Post Total]]),1,0)=2,IF(IF(Table442466[[#This Row],[Student Number]]=C134,1,0)+IF(Table442466[[#This Row],[Session]]=B134,1,0)+IF(Table442466[[#This Row],[Pre or Post]]="Post",1,0)+IF(D134="Pre",1,0)=4,Table442466[[#This Row],[Post Total]]-K134,""),"")</f>
        <v/>
      </c>
      <c r="P135" s="5" t="b">
        <f>ISNUMBER(Table442466[[#This Row],[Change]])</f>
        <v>0</v>
      </c>
      <c r="Q135" s="5" t="str">
        <f>IF(E134="Male",Table442466[[#This Row],[Change]],"")</f>
        <v/>
      </c>
      <c r="R135" s="5" t="str">
        <f>IF(E134="Female",Table442466[[#This Row],[Change]],"")</f>
        <v/>
      </c>
      <c r="S135" s="5" t="b">
        <f>ISNUMBER(Table442466[[#This Row],[If Male]])</f>
        <v>0</v>
      </c>
      <c r="T135" s="5" t="b">
        <f>ISNUMBER(Table442466[[#This Row],[If Female]])</f>
        <v>0</v>
      </c>
    </row>
    <row r="136" spans="1:20">
      <c r="A136" s="2" t="s">
        <v>24</v>
      </c>
      <c r="B136" s="2" t="s">
        <v>26</v>
      </c>
      <c r="C136" s="1">
        <v>4</v>
      </c>
      <c r="D136" s="1" t="s">
        <v>16</v>
      </c>
      <c r="E136" s="5" t="s">
        <v>171</v>
      </c>
      <c r="F136" s="1">
        <v>2</v>
      </c>
      <c r="G136" s="1">
        <v>3</v>
      </c>
      <c r="H136" s="2"/>
      <c r="I136" s="5" t="str">
        <f>IF(IF(Table442466[[#This Row],[Pre or Post]]="Pre",1,0)+IF(ISNUMBER(Table442466[[#This Row],[Response]])=TRUE,1,0)=2,1,"")</f>
        <v/>
      </c>
      <c r="J136" s="5">
        <f>IF(IF(Table442466[[#This Row],[Pre or Post]]="Post",1,0)+IF(ISNUMBER(Table442466[[#This Row],[Response]])=TRUE,1,0)=2,1,"")</f>
        <v>1</v>
      </c>
      <c r="K136" s="6" t="str">
        <f>IF(IF(Table442466[[#This Row],[Pre or Post]]="Pre",1,0)+IF(ISNUMBER(Table442466[[#This Row],[Response]])=TRUE,1,0)=2,Table442466[[#This Row],[Response]],"")</f>
        <v/>
      </c>
      <c r="L136" s="6">
        <f>IF(IF(Table442466[[#This Row],[Pre or Post]]="Post",1,0)+IF(ISNUMBER(Table442466[[#This Row],[Response]])=TRUE,1,0)=2,Table442466[[#This Row],[Response]],"")</f>
        <v>3</v>
      </c>
      <c r="M136" s="5" t="str">
        <f>IF(IF(ISNUMBER(K136),1,0)+IF(ISNUMBER(L137),1,0)=2,IF(IF(C137=C136,1,0)+IF(B137=B136,1,0)+IF(D137="Post",1,0)+IF(D136="Pre",1,0)=4,Table442466[[#This Row],[Pre Total]],""),"")</f>
        <v/>
      </c>
      <c r="N136" s="5">
        <f>IF(IF(ISNUMBER(K135),1,0)+IF(ISNUMBER(Table442466[[#This Row],[Post Total]]),1,0)=2,IF(IF(Table442466[[#This Row],[Student Number]]=C135,1,0)+IF(Table442466[[#This Row],[Session]]=B135,1,0)+IF(Table442466[[#This Row],[Pre or Post]]="Post",1,0)+IF(D135="Pre",1,0)=4,Table442466[[#This Row],[Post Total]],""),"")</f>
        <v>3</v>
      </c>
      <c r="O136" s="5">
        <f>IF(IF(ISNUMBER(K135),1,0)+IF(ISNUMBER(Table442466[[#This Row],[Post Total]]),1,0)=2,IF(IF(Table442466[[#This Row],[Student Number]]=C135,1,0)+IF(Table442466[[#This Row],[Session]]=B135,1,0)+IF(Table442466[[#This Row],[Pre or Post]]="Post",1,0)+IF(D135="Pre",1,0)=4,Table442466[[#This Row],[Post Total]]-K135,""),"")</f>
        <v>0</v>
      </c>
      <c r="P136" s="5" t="b">
        <f>ISNUMBER(Table442466[[#This Row],[Change]])</f>
        <v>1</v>
      </c>
      <c r="Q136" s="5" t="str">
        <f>IF(E135="Male",Table442466[[#This Row],[Change]],"")</f>
        <v/>
      </c>
      <c r="R136" s="5">
        <f>IF(E135="Female",Table442466[[#This Row],[Change]],"")</f>
        <v>0</v>
      </c>
      <c r="S136" s="5" t="b">
        <f>ISNUMBER(Table442466[[#This Row],[If Male]])</f>
        <v>0</v>
      </c>
      <c r="T136" s="5" t="b">
        <f>ISNUMBER(Table442466[[#This Row],[If Female]])</f>
        <v>1</v>
      </c>
    </row>
    <row r="137" spans="1:20">
      <c r="A137" s="2" t="s">
        <v>24</v>
      </c>
      <c r="B137" s="2" t="s">
        <v>26</v>
      </c>
      <c r="C137" s="1">
        <v>5</v>
      </c>
      <c r="D137" s="1" t="s">
        <v>6</v>
      </c>
      <c r="E137" s="5" t="s">
        <v>7</v>
      </c>
      <c r="F137" s="1">
        <v>9</v>
      </c>
      <c r="G137" s="1">
        <v>3</v>
      </c>
      <c r="I137" s="5">
        <f>IF(IF(Table442466[[#This Row],[Pre or Post]]="Pre",1,0)+IF(ISNUMBER(Table442466[[#This Row],[Response]])=TRUE,1,0)=2,1,"")</f>
        <v>1</v>
      </c>
      <c r="J137" s="5" t="str">
        <f>IF(IF(Table442466[[#This Row],[Pre or Post]]="Post",1,0)+IF(ISNUMBER(Table442466[[#This Row],[Response]])=TRUE,1,0)=2,1,"")</f>
        <v/>
      </c>
      <c r="K137" s="6">
        <f>IF(IF(Table442466[[#This Row],[Pre or Post]]="Pre",1,0)+IF(ISNUMBER(Table442466[[#This Row],[Response]])=TRUE,1,0)=2,Table442466[[#This Row],[Response]],"")</f>
        <v>3</v>
      </c>
      <c r="L137" s="6" t="str">
        <f>IF(IF(Table442466[[#This Row],[Pre or Post]]="Post",1,0)+IF(ISNUMBER(Table442466[[#This Row],[Response]])=TRUE,1,0)=2,Table442466[[#This Row],[Response]],"")</f>
        <v/>
      </c>
      <c r="M137" s="5">
        <f>IF(IF(ISNUMBER(K137),1,0)+IF(ISNUMBER(L138),1,0)=2,IF(IF(C138=C137,1,0)+IF(B138=B137,1,0)+IF(D138="Post",1,0)+IF(D137="Pre",1,0)=4,Table442466[[#This Row],[Pre Total]],""),"")</f>
        <v>3</v>
      </c>
      <c r="N137" s="5" t="str">
        <f>IF(IF(ISNUMBER(K136),1,0)+IF(ISNUMBER(Table442466[[#This Row],[Post Total]]),1,0)=2,IF(IF(Table442466[[#This Row],[Student Number]]=C136,1,0)+IF(Table442466[[#This Row],[Session]]=B136,1,0)+IF(Table442466[[#This Row],[Pre or Post]]="Post",1,0)+IF(D136="Pre",1,0)=4,Table442466[[#This Row],[Post Total]],""),"")</f>
        <v/>
      </c>
      <c r="O137" s="5" t="str">
        <f>IF(IF(ISNUMBER(K136),1,0)+IF(ISNUMBER(Table442466[[#This Row],[Post Total]]),1,0)=2,IF(IF(Table442466[[#This Row],[Student Number]]=C136,1,0)+IF(Table442466[[#This Row],[Session]]=B136,1,0)+IF(Table442466[[#This Row],[Pre or Post]]="Post",1,0)+IF(D136="Pre",1,0)=4,Table442466[[#This Row],[Post Total]]-K136,""),"")</f>
        <v/>
      </c>
      <c r="P137" s="5" t="b">
        <f>ISNUMBER(Table442466[[#This Row],[Change]])</f>
        <v>0</v>
      </c>
      <c r="Q137" s="5" t="str">
        <f>IF(E136="Male",Table442466[[#This Row],[Change]],"")</f>
        <v/>
      </c>
      <c r="R137" s="5" t="str">
        <f>IF(E136="Female",Table442466[[#This Row],[Change]],"")</f>
        <v/>
      </c>
      <c r="S137" s="5" t="b">
        <f>ISNUMBER(Table442466[[#This Row],[If Male]])</f>
        <v>0</v>
      </c>
      <c r="T137" s="5" t="b">
        <f>ISNUMBER(Table442466[[#This Row],[If Female]])</f>
        <v>0</v>
      </c>
    </row>
    <row r="138" spans="1:20">
      <c r="A138" s="2" t="s">
        <v>24</v>
      </c>
      <c r="B138" s="2" t="s">
        <v>26</v>
      </c>
      <c r="C138" s="1">
        <v>5</v>
      </c>
      <c r="D138" s="1" t="s">
        <v>16</v>
      </c>
      <c r="E138" s="5" t="s">
        <v>171</v>
      </c>
      <c r="F138" s="1">
        <v>2</v>
      </c>
      <c r="G138" s="1">
        <v>3</v>
      </c>
      <c r="H138" s="2"/>
      <c r="I138" s="6" t="str">
        <f>IF(IF(Table442466[[#This Row],[Pre or Post]]="Pre",1,0)+IF(ISNUMBER(Table442466[[#This Row],[Response]])=TRUE,1,0)=2,1,"")</f>
        <v/>
      </c>
      <c r="J138" s="6">
        <f>IF(IF(Table442466[[#This Row],[Pre or Post]]="Post",1,0)+IF(ISNUMBER(Table442466[[#This Row],[Response]])=TRUE,1,0)=2,1,"")</f>
        <v>1</v>
      </c>
      <c r="K138" s="6" t="str">
        <f>IF(IF(Table442466[[#This Row],[Pre or Post]]="Pre",1,0)+IF(ISNUMBER(Table442466[[#This Row],[Response]])=TRUE,1,0)=2,Table442466[[#This Row],[Response]],"")</f>
        <v/>
      </c>
      <c r="L138" s="6">
        <f>IF(IF(Table442466[[#This Row],[Pre or Post]]="Post",1,0)+IF(ISNUMBER(Table442466[[#This Row],[Response]])=TRUE,1,0)=2,Table442466[[#This Row],[Response]],"")</f>
        <v>3</v>
      </c>
      <c r="M138" s="6" t="str">
        <f>IF(IF(ISNUMBER(K138),1,0)+IF(ISNUMBER(L139),1,0)=2,IF(IF(C139=C138,1,0)+IF(B139=B138,1,0)+IF(D139="Post",1,0)+IF(D138="Pre",1,0)=4,Table442466[[#This Row],[Pre Total]],""),"")</f>
        <v/>
      </c>
      <c r="N138" s="6">
        <f>IF(IF(ISNUMBER(K137),1,0)+IF(ISNUMBER(Table442466[[#This Row],[Post Total]]),1,0)=2,IF(IF(Table442466[[#This Row],[Student Number]]=C137,1,0)+IF(Table442466[[#This Row],[Session]]=B137,1,0)+IF(Table442466[[#This Row],[Pre or Post]]="Post",1,0)+IF(D137="Pre",1,0)=4,Table442466[[#This Row],[Post Total]],""),"")</f>
        <v>3</v>
      </c>
      <c r="O138" s="6">
        <f>IF(IF(ISNUMBER(K137),1,0)+IF(ISNUMBER(Table442466[[#This Row],[Post Total]]),1,0)=2,IF(IF(Table442466[[#This Row],[Student Number]]=C137,1,0)+IF(Table442466[[#This Row],[Session]]=B137,1,0)+IF(Table442466[[#This Row],[Pre or Post]]="Post",1,0)+IF(D137="Pre",1,0)=4,Table442466[[#This Row],[Post Total]]-K137,""),"")</f>
        <v>0</v>
      </c>
      <c r="P138" s="6" t="b">
        <f>ISNUMBER(Table442466[[#This Row],[Change]])</f>
        <v>1</v>
      </c>
      <c r="Q138" s="5">
        <f>IF(E137="Male",Table442466[[#This Row],[Change]],"")</f>
        <v>0</v>
      </c>
      <c r="R138" s="5" t="str">
        <f>IF(E137="Female",Table442466[[#This Row],[Change]],"")</f>
        <v/>
      </c>
      <c r="S138" s="5" t="b">
        <f>ISNUMBER(Table442466[[#This Row],[If Male]])</f>
        <v>1</v>
      </c>
      <c r="T138" s="5" t="b">
        <f>ISNUMBER(Table442466[[#This Row],[If Female]])</f>
        <v>0</v>
      </c>
    </row>
    <row r="139" spans="1:20">
      <c r="A139" s="2" t="s">
        <v>24</v>
      </c>
      <c r="B139" s="2" t="s">
        <v>26</v>
      </c>
      <c r="C139" s="1">
        <v>6</v>
      </c>
      <c r="D139" s="1" t="s">
        <v>6</v>
      </c>
      <c r="E139" s="5" t="s">
        <v>13</v>
      </c>
      <c r="F139" s="1">
        <v>9</v>
      </c>
      <c r="G139" s="1">
        <v>3</v>
      </c>
      <c r="I139" s="5">
        <f>IF(IF(Table442466[[#This Row],[Pre or Post]]="Pre",1,0)+IF(ISNUMBER(Table442466[[#This Row],[Response]])=TRUE,1,0)=2,1,"")</f>
        <v>1</v>
      </c>
      <c r="J139" s="5" t="str">
        <f>IF(IF(Table442466[[#This Row],[Pre or Post]]="Post",1,0)+IF(ISNUMBER(Table442466[[#This Row],[Response]])=TRUE,1,0)=2,1,"")</f>
        <v/>
      </c>
      <c r="K139" s="6">
        <f>IF(IF(Table442466[[#This Row],[Pre or Post]]="Pre",1,0)+IF(ISNUMBER(Table442466[[#This Row],[Response]])=TRUE,1,0)=2,Table442466[[#This Row],[Response]],"")</f>
        <v>3</v>
      </c>
      <c r="L139" s="6" t="str">
        <f>IF(IF(Table442466[[#This Row],[Pre or Post]]="Post",1,0)+IF(ISNUMBER(Table442466[[#This Row],[Response]])=TRUE,1,0)=2,Table442466[[#This Row],[Response]],"")</f>
        <v/>
      </c>
      <c r="M139" s="5">
        <f>IF(IF(ISNUMBER(K139),1,0)+IF(ISNUMBER(L140),1,0)=2,IF(IF(C140=C139,1,0)+IF(B140=B139,1,0)+IF(D140="Post",1,0)+IF(D139="Pre",1,0)=4,Table442466[[#This Row],[Pre Total]],""),"")</f>
        <v>3</v>
      </c>
      <c r="N139" s="5" t="str">
        <f>IF(IF(ISNUMBER(K138),1,0)+IF(ISNUMBER(Table442466[[#This Row],[Post Total]]),1,0)=2,IF(IF(Table442466[[#This Row],[Student Number]]=C138,1,0)+IF(Table442466[[#This Row],[Session]]=B138,1,0)+IF(Table442466[[#This Row],[Pre or Post]]="Post",1,0)+IF(D138="Pre",1,0)=4,Table442466[[#This Row],[Post Total]],""),"")</f>
        <v/>
      </c>
      <c r="O139" s="5" t="str">
        <f>IF(IF(ISNUMBER(K138),1,0)+IF(ISNUMBER(Table442466[[#This Row],[Post Total]]),1,0)=2,IF(IF(Table442466[[#This Row],[Student Number]]=C138,1,0)+IF(Table442466[[#This Row],[Session]]=B138,1,0)+IF(Table442466[[#This Row],[Pre or Post]]="Post",1,0)+IF(D138="Pre",1,0)=4,Table442466[[#This Row],[Post Total]]-K138,""),"")</f>
        <v/>
      </c>
      <c r="P139" s="5" t="b">
        <f>ISNUMBER(Table442466[[#This Row],[Change]])</f>
        <v>0</v>
      </c>
      <c r="Q139" s="5" t="str">
        <f>IF(E138="Male",Table442466[[#This Row],[Change]],"")</f>
        <v/>
      </c>
      <c r="R139" s="5" t="str">
        <f>IF(E138="Female",Table442466[[#This Row],[Change]],"")</f>
        <v/>
      </c>
      <c r="S139" s="5" t="b">
        <f>ISNUMBER(Table442466[[#This Row],[If Male]])</f>
        <v>0</v>
      </c>
      <c r="T139" s="5" t="b">
        <f>ISNUMBER(Table442466[[#This Row],[If Female]])</f>
        <v>0</v>
      </c>
    </row>
    <row r="140" spans="1:20">
      <c r="A140" s="2" t="s">
        <v>24</v>
      </c>
      <c r="B140" s="2" t="s">
        <v>26</v>
      </c>
      <c r="C140" s="1">
        <v>6</v>
      </c>
      <c r="D140" s="1" t="s">
        <v>16</v>
      </c>
      <c r="E140" s="5" t="s">
        <v>171</v>
      </c>
      <c r="F140" s="1">
        <v>2</v>
      </c>
      <c r="G140" s="1">
        <v>3</v>
      </c>
      <c r="H140" s="2"/>
      <c r="I140" s="5" t="str">
        <f>IF(IF(Table442466[[#This Row],[Pre or Post]]="Pre",1,0)+IF(ISNUMBER(Table442466[[#This Row],[Response]])=TRUE,1,0)=2,1,"")</f>
        <v/>
      </c>
      <c r="J140" s="5">
        <f>IF(IF(Table442466[[#This Row],[Pre or Post]]="Post",1,0)+IF(ISNUMBER(Table442466[[#This Row],[Response]])=TRUE,1,0)=2,1,"")</f>
        <v>1</v>
      </c>
      <c r="K140" s="6" t="str">
        <f>IF(IF(Table442466[[#This Row],[Pre or Post]]="Pre",1,0)+IF(ISNUMBER(Table442466[[#This Row],[Response]])=TRUE,1,0)=2,Table442466[[#This Row],[Response]],"")</f>
        <v/>
      </c>
      <c r="L140" s="6">
        <f>IF(IF(Table442466[[#This Row],[Pre or Post]]="Post",1,0)+IF(ISNUMBER(Table442466[[#This Row],[Response]])=TRUE,1,0)=2,Table442466[[#This Row],[Response]],"")</f>
        <v>3</v>
      </c>
      <c r="M140" s="5" t="str">
        <f>IF(IF(ISNUMBER(K140),1,0)+IF(ISNUMBER(L141),1,0)=2,IF(IF(C141=C140,1,0)+IF(B141=B140,1,0)+IF(D141="Post",1,0)+IF(D140="Pre",1,0)=4,Table442466[[#This Row],[Pre Total]],""),"")</f>
        <v/>
      </c>
      <c r="N140" s="5">
        <f>IF(IF(ISNUMBER(K139),1,0)+IF(ISNUMBER(Table442466[[#This Row],[Post Total]]),1,0)=2,IF(IF(Table442466[[#This Row],[Student Number]]=C139,1,0)+IF(Table442466[[#This Row],[Session]]=B139,1,0)+IF(Table442466[[#This Row],[Pre or Post]]="Post",1,0)+IF(D139="Pre",1,0)=4,Table442466[[#This Row],[Post Total]],""),"")</f>
        <v>3</v>
      </c>
      <c r="O140" s="5">
        <f>IF(IF(ISNUMBER(K139),1,0)+IF(ISNUMBER(Table442466[[#This Row],[Post Total]]),1,0)=2,IF(IF(Table442466[[#This Row],[Student Number]]=C139,1,0)+IF(Table442466[[#This Row],[Session]]=B139,1,0)+IF(Table442466[[#This Row],[Pre or Post]]="Post",1,0)+IF(D139="Pre",1,0)=4,Table442466[[#This Row],[Post Total]]-K139,""),"")</f>
        <v>0</v>
      </c>
      <c r="P140" s="5" t="b">
        <f>ISNUMBER(Table442466[[#This Row],[Change]])</f>
        <v>1</v>
      </c>
      <c r="Q140" s="5" t="str">
        <f>IF(E139="Male",Table442466[[#This Row],[Change]],"")</f>
        <v/>
      </c>
      <c r="R140" s="5">
        <f>IF(E139="Female",Table442466[[#This Row],[Change]],"")</f>
        <v>0</v>
      </c>
      <c r="S140" s="5" t="b">
        <f>ISNUMBER(Table442466[[#This Row],[If Male]])</f>
        <v>0</v>
      </c>
      <c r="T140" s="5" t="b">
        <f>ISNUMBER(Table442466[[#This Row],[If Female]])</f>
        <v>1</v>
      </c>
    </row>
    <row r="141" spans="1:20">
      <c r="A141" s="2" t="s">
        <v>24</v>
      </c>
      <c r="B141" s="2" t="s">
        <v>26</v>
      </c>
      <c r="C141" s="1">
        <v>7</v>
      </c>
      <c r="D141" s="1" t="s">
        <v>6</v>
      </c>
      <c r="E141" s="5" t="s">
        <v>7</v>
      </c>
      <c r="F141" s="1">
        <v>9</v>
      </c>
      <c r="G141" s="1">
        <v>3</v>
      </c>
      <c r="I141" s="5">
        <f>IF(IF(Table442466[[#This Row],[Pre or Post]]="Pre",1,0)+IF(ISNUMBER(Table442466[[#This Row],[Response]])=TRUE,1,0)=2,1,"")</f>
        <v>1</v>
      </c>
      <c r="J141" s="5" t="str">
        <f>IF(IF(Table442466[[#This Row],[Pre or Post]]="Post",1,0)+IF(ISNUMBER(Table442466[[#This Row],[Response]])=TRUE,1,0)=2,1,"")</f>
        <v/>
      </c>
      <c r="K141" s="6">
        <f>IF(IF(Table442466[[#This Row],[Pre or Post]]="Pre",1,0)+IF(ISNUMBER(Table442466[[#This Row],[Response]])=TRUE,1,0)=2,Table442466[[#This Row],[Response]],"")</f>
        <v>3</v>
      </c>
      <c r="L141" s="6" t="str">
        <f>IF(IF(Table442466[[#This Row],[Pre or Post]]="Post",1,0)+IF(ISNUMBER(Table442466[[#This Row],[Response]])=TRUE,1,0)=2,Table442466[[#This Row],[Response]],"")</f>
        <v/>
      </c>
      <c r="M141" s="5">
        <f>IF(IF(ISNUMBER(K141),1,0)+IF(ISNUMBER(L142),1,0)=2,IF(IF(C142=C141,1,0)+IF(B142=B141,1,0)+IF(D142="Post",1,0)+IF(D141="Pre",1,0)=4,Table442466[[#This Row],[Pre Total]],""),"")</f>
        <v>3</v>
      </c>
      <c r="N141" s="5" t="str">
        <f>IF(IF(ISNUMBER(K140),1,0)+IF(ISNUMBER(Table442466[[#This Row],[Post Total]]),1,0)=2,IF(IF(Table442466[[#This Row],[Student Number]]=C140,1,0)+IF(Table442466[[#This Row],[Session]]=B140,1,0)+IF(Table442466[[#This Row],[Pre or Post]]="Post",1,0)+IF(D140="Pre",1,0)=4,Table442466[[#This Row],[Post Total]],""),"")</f>
        <v/>
      </c>
      <c r="O141" s="5" t="str">
        <f>IF(IF(ISNUMBER(K140),1,0)+IF(ISNUMBER(Table442466[[#This Row],[Post Total]]),1,0)=2,IF(IF(Table442466[[#This Row],[Student Number]]=C140,1,0)+IF(Table442466[[#This Row],[Session]]=B140,1,0)+IF(Table442466[[#This Row],[Pre or Post]]="Post",1,0)+IF(D140="Pre",1,0)=4,Table442466[[#This Row],[Post Total]]-K140,""),"")</f>
        <v/>
      </c>
      <c r="P141" s="5" t="b">
        <f>ISNUMBER(Table442466[[#This Row],[Change]])</f>
        <v>0</v>
      </c>
      <c r="Q141" s="5" t="str">
        <f>IF(E140="Male",Table442466[[#This Row],[Change]],"")</f>
        <v/>
      </c>
      <c r="R141" s="5" t="str">
        <f>IF(E140="Female",Table442466[[#This Row],[Change]],"")</f>
        <v/>
      </c>
      <c r="S141" s="5" t="b">
        <f>ISNUMBER(Table442466[[#This Row],[If Male]])</f>
        <v>0</v>
      </c>
      <c r="T141" s="5" t="b">
        <f>ISNUMBER(Table442466[[#This Row],[If Female]])</f>
        <v>0</v>
      </c>
    </row>
    <row r="142" spans="1:20">
      <c r="A142" s="2" t="s">
        <v>24</v>
      </c>
      <c r="B142" s="2" t="s">
        <v>26</v>
      </c>
      <c r="C142" s="1">
        <v>7</v>
      </c>
      <c r="D142" s="1" t="s">
        <v>16</v>
      </c>
      <c r="E142" s="5" t="s">
        <v>171</v>
      </c>
      <c r="F142" s="1">
        <v>2</v>
      </c>
      <c r="G142" s="1">
        <v>3</v>
      </c>
      <c r="H142" s="2"/>
      <c r="I142" s="6" t="str">
        <f>IF(IF(Table442466[[#This Row],[Pre or Post]]="Pre",1,0)+IF(ISNUMBER(Table442466[[#This Row],[Response]])=TRUE,1,0)=2,1,"")</f>
        <v/>
      </c>
      <c r="J142" s="6">
        <f>IF(IF(Table442466[[#This Row],[Pre or Post]]="Post",1,0)+IF(ISNUMBER(Table442466[[#This Row],[Response]])=TRUE,1,0)=2,1,"")</f>
        <v>1</v>
      </c>
      <c r="K142" s="6" t="str">
        <f>IF(IF(Table442466[[#This Row],[Pre or Post]]="Pre",1,0)+IF(ISNUMBER(Table442466[[#This Row],[Response]])=TRUE,1,0)=2,Table442466[[#This Row],[Response]],"")</f>
        <v/>
      </c>
      <c r="L142" s="6">
        <f>IF(IF(Table442466[[#This Row],[Pre or Post]]="Post",1,0)+IF(ISNUMBER(Table442466[[#This Row],[Response]])=TRUE,1,0)=2,Table442466[[#This Row],[Response]],"")</f>
        <v>3</v>
      </c>
      <c r="M142" s="6" t="str">
        <f>IF(IF(ISNUMBER(K142),1,0)+IF(ISNUMBER(L143),1,0)=2,IF(IF(C143=C142,1,0)+IF(B143=B142,1,0)+IF(D143="Post",1,0)+IF(D142="Pre",1,0)=4,Table442466[[#This Row],[Pre Total]],""),"")</f>
        <v/>
      </c>
      <c r="N142" s="6">
        <f>IF(IF(ISNUMBER(K141),1,0)+IF(ISNUMBER(Table442466[[#This Row],[Post Total]]),1,0)=2,IF(IF(Table442466[[#This Row],[Student Number]]=C141,1,0)+IF(Table442466[[#This Row],[Session]]=B141,1,0)+IF(Table442466[[#This Row],[Pre or Post]]="Post",1,0)+IF(D141="Pre",1,0)=4,Table442466[[#This Row],[Post Total]],""),"")</f>
        <v>3</v>
      </c>
      <c r="O142" s="6">
        <f>IF(IF(ISNUMBER(K141),1,0)+IF(ISNUMBER(Table442466[[#This Row],[Post Total]]),1,0)=2,IF(IF(Table442466[[#This Row],[Student Number]]=C141,1,0)+IF(Table442466[[#This Row],[Session]]=B141,1,0)+IF(Table442466[[#This Row],[Pre or Post]]="Post",1,0)+IF(D141="Pre",1,0)=4,Table442466[[#This Row],[Post Total]]-K141,""),"")</f>
        <v>0</v>
      </c>
      <c r="P142" s="6" t="b">
        <f>ISNUMBER(Table442466[[#This Row],[Change]])</f>
        <v>1</v>
      </c>
      <c r="Q142" s="5">
        <f>IF(E141="Male",Table442466[[#This Row],[Change]],"")</f>
        <v>0</v>
      </c>
      <c r="R142" s="5" t="str">
        <f>IF(E141="Female",Table442466[[#This Row],[Change]],"")</f>
        <v/>
      </c>
      <c r="S142" s="5" t="b">
        <f>ISNUMBER(Table442466[[#This Row],[If Male]])</f>
        <v>1</v>
      </c>
      <c r="T142" s="5" t="b">
        <f>ISNUMBER(Table442466[[#This Row],[If Female]])</f>
        <v>0</v>
      </c>
    </row>
    <row r="143" spans="1:20">
      <c r="A143" s="2" t="s">
        <v>24</v>
      </c>
      <c r="B143" s="2" t="s">
        <v>26</v>
      </c>
      <c r="C143" s="1">
        <v>8</v>
      </c>
      <c r="D143" s="1" t="s">
        <v>6</v>
      </c>
      <c r="E143" s="5" t="s">
        <v>7</v>
      </c>
      <c r="F143" s="1">
        <v>9</v>
      </c>
      <c r="G143" s="1">
        <v>4</v>
      </c>
      <c r="I143" s="5">
        <f>IF(IF(Table442466[[#This Row],[Pre or Post]]="Pre",1,0)+IF(ISNUMBER(Table442466[[#This Row],[Response]])=TRUE,1,0)=2,1,"")</f>
        <v>1</v>
      </c>
      <c r="J143" s="5" t="str">
        <f>IF(IF(Table442466[[#This Row],[Pre or Post]]="Post",1,0)+IF(ISNUMBER(Table442466[[#This Row],[Response]])=TRUE,1,0)=2,1,"")</f>
        <v/>
      </c>
      <c r="K143" s="6">
        <f>IF(IF(Table442466[[#This Row],[Pre or Post]]="Pre",1,0)+IF(ISNUMBER(Table442466[[#This Row],[Response]])=TRUE,1,0)=2,Table442466[[#This Row],[Response]],"")</f>
        <v>4</v>
      </c>
      <c r="L143" s="6" t="str">
        <f>IF(IF(Table442466[[#This Row],[Pre or Post]]="Post",1,0)+IF(ISNUMBER(Table442466[[#This Row],[Response]])=TRUE,1,0)=2,Table442466[[#This Row],[Response]],"")</f>
        <v/>
      </c>
      <c r="M143" s="5">
        <f>IF(IF(ISNUMBER(K143),1,0)+IF(ISNUMBER(L144),1,0)=2,IF(IF(C144=C143,1,0)+IF(B144=B143,1,0)+IF(D144="Post",1,0)+IF(D143="Pre",1,0)=4,Table442466[[#This Row],[Pre Total]],""),"")</f>
        <v>4</v>
      </c>
      <c r="N143" s="5" t="str">
        <f>IF(IF(ISNUMBER(K142),1,0)+IF(ISNUMBER(Table442466[[#This Row],[Post Total]]),1,0)=2,IF(IF(Table442466[[#This Row],[Student Number]]=C142,1,0)+IF(Table442466[[#This Row],[Session]]=B142,1,0)+IF(Table442466[[#This Row],[Pre or Post]]="Post",1,0)+IF(D142="Pre",1,0)=4,Table442466[[#This Row],[Post Total]],""),"")</f>
        <v/>
      </c>
      <c r="O143" s="5" t="str">
        <f>IF(IF(ISNUMBER(K142),1,0)+IF(ISNUMBER(Table442466[[#This Row],[Post Total]]),1,0)=2,IF(IF(Table442466[[#This Row],[Student Number]]=C142,1,0)+IF(Table442466[[#This Row],[Session]]=B142,1,0)+IF(Table442466[[#This Row],[Pre or Post]]="Post",1,0)+IF(D142="Pre",1,0)=4,Table442466[[#This Row],[Post Total]]-K142,""),"")</f>
        <v/>
      </c>
      <c r="P143" s="5" t="b">
        <f>ISNUMBER(Table442466[[#This Row],[Change]])</f>
        <v>0</v>
      </c>
      <c r="Q143" s="5" t="str">
        <f>IF(E142="Male",Table442466[[#This Row],[Change]],"")</f>
        <v/>
      </c>
      <c r="R143" s="5" t="str">
        <f>IF(E142="Female",Table442466[[#This Row],[Change]],"")</f>
        <v/>
      </c>
      <c r="S143" s="5" t="b">
        <f>ISNUMBER(Table442466[[#This Row],[If Male]])</f>
        <v>0</v>
      </c>
      <c r="T143" s="5" t="b">
        <f>ISNUMBER(Table442466[[#This Row],[If Female]])</f>
        <v>0</v>
      </c>
    </row>
    <row r="144" spans="1:20">
      <c r="A144" s="2" t="s">
        <v>24</v>
      </c>
      <c r="B144" s="2" t="s">
        <v>26</v>
      </c>
      <c r="C144" s="1">
        <v>8</v>
      </c>
      <c r="D144" s="1" t="s">
        <v>16</v>
      </c>
      <c r="E144" s="5" t="s">
        <v>171</v>
      </c>
      <c r="F144" s="1">
        <v>2</v>
      </c>
      <c r="G144" s="1">
        <v>5</v>
      </c>
      <c r="H144" s="2"/>
      <c r="I144" s="5" t="str">
        <f>IF(IF(Table442466[[#This Row],[Pre or Post]]="Pre",1,0)+IF(ISNUMBER(Table442466[[#This Row],[Response]])=TRUE,1,0)=2,1,"")</f>
        <v/>
      </c>
      <c r="J144" s="5">
        <f>IF(IF(Table442466[[#This Row],[Pre or Post]]="Post",1,0)+IF(ISNUMBER(Table442466[[#This Row],[Response]])=TRUE,1,0)=2,1,"")</f>
        <v>1</v>
      </c>
      <c r="K144" s="6" t="str">
        <f>IF(IF(Table442466[[#This Row],[Pre or Post]]="Pre",1,0)+IF(ISNUMBER(Table442466[[#This Row],[Response]])=TRUE,1,0)=2,Table442466[[#This Row],[Response]],"")</f>
        <v/>
      </c>
      <c r="L144" s="6">
        <f>IF(IF(Table442466[[#This Row],[Pre or Post]]="Post",1,0)+IF(ISNUMBER(Table442466[[#This Row],[Response]])=TRUE,1,0)=2,Table442466[[#This Row],[Response]],"")</f>
        <v>5</v>
      </c>
      <c r="M144" s="5" t="str">
        <f>IF(IF(ISNUMBER(K144),1,0)+IF(ISNUMBER(L145),1,0)=2,IF(IF(C145=C144,1,0)+IF(B145=B144,1,0)+IF(D145="Post",1,0)+IF(D144="Pre",1,0)=4,Table442466[[#This Row],[Pre Total]],""),"")</f>
        <v/>
      </c>
      <c r="N144" s="5">
        <f>IF(IF(ISNUMBER(K143),1,0)+IF(ISNUMBER(Table442466[[#This Row],[Post Total]]),1,0)=2,IF(IF(Table442466[[#This Row],[Student Number]]=C143,1,0)+IF(Table442466[[#This Row],[Session]]=B143,1,0)+IF(Table442466[[#This Row],[Pre or Post]]="Post",1,0)+IF(D143="Pre",1,0)=4,Table442466[[#This Row],[Post Total]],""),"")</f>
        <v>5</v>
      </c>
      <c r="O144" s="5">
        <f>IF(IF(ISNUMBER(K143),1,0)+IF(ISNUMBER(Table442466[[#This Row],[Post Total]]),1,0)=2,IF(IF(Table442466[[#This Row],[Student Number]]=C143,1,0)+IF(Table442466[[#This Row],[Session]]=B143,1,0)+IF(Table442466[[#This Row],[Pre or Post]]="Post",1,0)+IF(D143="Pre",1,0)=4,Table442466[[#This Row],[Post Total]]-K143,""),"")</f>
        <v>1</v>
      </c>
      <c r="P144" s="5" t="b">
        <f>ISNUMBER(Table442466[[#This Row],[Change]])</f>
        <v>1</v>
      </c>
      <c r="Q144" s="5">
        <f>IF(E143="Male",Table442466[[#This Row],[Change]],"")</f>
        <v>1</v>
      </c>
      <c r="R144" s="5" t="str">
        <f>IF(E143="Female",Table442466[[#This Row],[Change]],"")</f>
        <v/>
      </c>
      <c r="S144" s="5" t="b">
        <f>ISNUMBER(Table442466[[#This Row],[If Male]])</f>
        <v>1</v>
      </c>
      <c r="T144" s="5" t="b">
        <f>ISNUMBER(Table442466[[#This Row],[If Female]])</f>
        <v>0</v>
      </c>
    </row>
    <row r="145" spans="1:20">
      <c r="A145" s="2" t="s">
        <v>24</v>
      </c>
      <c r="B145" s="2" t="s">
        <v>26</v>
      </c>
      <c r="C145" s="1">
        <v>9</v>
      </c>
      <c r="D145" s="1" t="s">
        <v>6</v>
      </c>
      <c r="E145" s="5" t="s">
        <v>7</v>
      </c>
      <c r="F145" s="1">
        <v>9</v>
      </c>
      <c r="G145" s="1">
        <v>4</v>
      </c>
      <c r="I145" s="5">
        <f>IF(IF(Table442466[[#This Row],[Pre or Post]]="Pre",1,0)+IF(ISNUMBER(Table442466[[#This Row],[Response]])=TRUE,1,0)=2,1,"")</f>
        <v>1</v>
      </c>
      <c r="J145" s="5" t="str">
        <f>IF(IF(Table442466[[#This Row],[Pre or Post]]="Post",1,0)+IF(ISNUMBER(Table442466[[#This Row],[Response]])=TRUE,1,0)=2,1,"")</f>
        <v/>
      </c>
      <c r="K145" s="6">
        <f>IF(IF(Table442466[[#This Row],[Pre or Post]]="Pre",1,0)+IF(ISNUMBER(Table442466[[#This Row],[Response]])=TRUE,1,0)=2,Table442466[[#This Row],[Response]],"")</f>
        <v>4</v>
      </c>
      <c r="L145" s="6" t="str">
        <f>IF(IF(Table442466[[#This Row],[Pre or Post]]="Post",1,0)+IF(ISNUMBER(Table442466[[#This Row],[Response]])=TRUE,1,0)=2,Table442466[[#This Row],[Response]],"")</f>
        <v/>
      </c>
      <c r="M145" s="5">
        <f>IF(IF(ISNUMBER(K145),1,0)+IF(ISNUMBER(L146),1,0)=2,IF(IF(C146=C145,1,0)+IF(B146=B145,1,0)+IF(D146="Post",1,0)+IF(D145="Pre",1,0)=4,Table442466[[#This Row],[Pre Total]],""),"")</f>
        <v>4</v>
      </c>
      <c r="N145" s="5" t="str">
        <f>IF(IF(ISNUMBER(K144),1,0)+IF(ISNUMBER(Table442466[[#This Row],[Post Total]]),1,0)=2,IF(IF(Table442466[[#This Row],[Student Number]]=C144,1,0)+IF(Table442466[[#This Row],[Session]]=B144,1,0)+IF(Table442466[[#This Row],[Pre or Post]]="Post",1,0)+IF(D144="Pre",1,0)=4,Table442466[[#This Row],[Post Total]],""),"")</f>
        <v/>
      </c>
      <c r="O145" s="5" t="str">
        <f>IF(IF(ISNUMBER(K144),1,0)+IF(ISNUMBER(Table442466[[#This Row],[Post Total]]),1,0)=2,IF(IF(Table442466[[#This Row],[Student Number]]=C144,1,0)+IF(Table442466[[#This Row],[Session]]=B144,1,0)+IF(Table442466[[#This Row],[Pre or Post]]="Post",1,0)+IF(D144="Pre",1,0)=4,Table442466[[#This Row],[Post Total]]-K144,""),"")</f>
        <v/>
      </c>
      <c r="P145" s="5" t="b">
        <f>ISNUMBER(Table442466[[#This Row],[Change]])</f>
        <v>0</v>
      </c>
      <c r="Q145" s="5" t="str">
        <f>IF(E144="Male",Table442466[[#This Row],[Change]],"")</f>
        <v/>
      </c>
      <c r="R145" s="5" t="str">
        <f>IF(E144="Female",Table442466[[#This Row],[Change]],"")</f>
        <v/>
      </c>
      <c r="S145" s="5" t="b">
        <f>ISNUMBER(Table442466[[#This Row],[If Male]])</f>
        <v>0</v>
      </c>
      <c r="T145" s="5" t="b">
        <f>ISNUMBER(Table442466[[#This Row],[If Female]])</f>
        <v>0</v>
      </c>
    </row>
    <row r="146" spans="1:20">
      <c r="A146" s="2" t="s">
        <v>24</v>
      </c>
      <c r="B146" s="2" t="s">
        <v>26</v>
      </c>
      <c r="C146" s="1">
        <v>9</v>
      </c>
      <c r="D146" s="1" t="s">
        <v>16</v>
      </c>
      <c r="E146" s="5" t="s">
        <v>171</v>
      </c>
      <c r="F146" s="1">
        <v>2</v>
      </c>
      <c r="G146" s="1">
        <v>4</v>
      </c>
      <c r="H146" s="2"/>
      <c r="I146" s="6" t="str">
        <f>IF(IF(Table442466[[#This Row],[Pre or Post]]="Pre",1,0)+IF(ISNUMBER(Table442466[[#This Row],[Response]])=TRUE,1,0)=2,1,"")</f>
        <v/>
      </c>
      <c r="J146" s="6">
        <f>IF(IF(Table442466[[#This Row],[Pre or Post]]="Post",1,0)+IF(ISNUMBER(Table442466[[#This Row],[Response]])=TRUE,1,0)=2,1,"")</f>
        <v>1</v>
      </c>
      <c r="K146" s="6" t="str">
        <f>IF(IF(Table442466[[#This Row],[Pre or Post]]="Pre",1,0)+IF(ISNUMBER(Table442466[[#This Row],[Response]])=TRUE,1,0)=2,Table442466[[#This Row],[Response]],"")</f>
        <v/>
      </c>
      <c r="L146" s="6">
        <f>IF(IF(Table442466[[#This Row],[Pre or Post]]="Post",1,0)+IF(ISNUMBER(Table442466[[#This Row],[Response]])=TRUE,1,0)=2,Table442466[[#This Row],[Response]],"")</f>
        <v>4</v>
      </c>
      <c r="M146" s="6" t="str">
        <f>IF(IF(ISNUMBER(K146),1,0)+IF(ISNUMBER(L147),1,0)=2,IF(IF(C147=C146,1,0)+IF(B147=B146,1,0)+IF(D147="Post",1,0)+IF(D146="Pre",1,0)=4,Table442466[[#This Row],[Pre Total]],""),"")</f>
        <v/>
      </c>
      <c r="N146" s="6">
        <f>IF(IF(ISNUMBER(K145),1,0)+IF(ISNUMBER(Table442466[[#This Row],[Post Total]]),1,0)=2,IF(IF(Table442466[[#This Row],[Student Number]]=C145,1,0)+IF(Table442466[[#This Row],[Session]]=B145,1,0)+IF(Table442466[[#This Row],[Pre or Post]]="Post",1,0)+IF(D145="Pre",1,0)=4,Table442466[[#This Row],[Post Total]],""),"")</f>
        <v>4</v>
      </c>
      <c r="O146" s="6">
        <f>IF(IF(ISNUMBER(K145),1,0)+IF(ISNUMBER(Table442466[[#This Row],[Post Total]]),1,0)=2,IF(IF(Table442466[[#This Row],[Student Number]]=C145,1,0)+IF(Table442466[[#This Row],[Session]]=B145,1,0)+IF(Table442466[[#This Row],[Pre or Post]]="Post",1,0)+IF(D145="Pre",1,0)=4,Table442466[[#This Row],[Post Total]]-K145,""),"")</f>
        <v>0</v>
      </c>
      <c r="P146" s="6" t="b">
        <f>ISNUMBER(Table442466[[#This Row],[Change]])</f>
        <v>1</v>
      </c>
      <c r="Q146" s="5">
        <f>IF(E145="Male",Table442466[[#This Row],[Change]],"")</f>
        <v>0</v>
      </c>
      <c r="R146" s="5" t="str">
        <f>IF(E145="Female",Table442466[[#This Row],[Change]],"")</f>
        <v/>
      </c>
      <c r="S146" s="5" t="b">
        <f>ISNUMBER(Table442466[[#This Row],[If Male]])</f>
        <v>1</v>
      </c>
      <c r="T146" s="5" t="b">
        <f>ISNUMBER(Table442466[[#This Row],[If Female]])</f>
        <v>0</v>
      </c>
    </row>
    <row r="147" spans="1:20">
      <c r="A147" s="2" t="s">
        <v>24</v>
      </c>
      <c r="B147" s="2" t="s">
        <v>26</v>
      </c>
      <c r="C147" s="1">
        <v>10</v>
      </c>
      <c r="D147" s="1" t="s">
        <v>6</v>
      </c>
      <c r="E147" s="5" t="s">
        <v>7</v>
      </c>
      <c r="F147" s="1">
        <v>9</v>
      </c>
      <c r="G147" s="1">
        <v>4</v>
      </c>
      <c r="I147" s="5">
        <f>IF(IF(Table442466[[#This Row],[Pre or Post]]="Pre",1,0)+IF(ISNUMBER(Table442466[[#This Row],[Response]])=TRUE,1,0)=2,1,"")</f>
        <v>1</v>
      </c>
      <c r="J147" s="5" t="str">
        <f>IF(IF(Table442466[[#This Row],[Pre or Post]]="Post",1,0)+IF(ISNUMBER(Table442466[[#This Row],[Response]])=TRUE,1,0)=2,1,"")</f>
        <v/>
      </c>
      <c r="K147" s="6">
        <f>IF(IF(Table442466[[#This Row],[Pre or Post]]="Pre",1,0)+IF(ISNUMBER(Table442466[[#This Row],[Response]])=TRUE,1,0)=2,Table442466[[#This Row],[Response]],"")</f>
        <v>4</v>
      </c>
      <c r="L147" s="6" t="str">
        <f>IF(IF(Table442466[[#This Row],[Pre or Post]]="Post",1,0)+IF(ISNUMBER(Table442466[[#This Row],[Response]])=TRUE,1,0)=2,Table442466[[#This Row],[Response]],"")</f>
        <v/>
      </c>
      <c r="M147" s="5">
        <f>IF(IF(ISNUMBER(K147),1,0)+IF(ISNUMBER(L148),1,0)=2,IF(IF(C148=C147,1,0)+IF(B148=B147,1,0)+IF(D148="Post",1,0)+IF(D147="Pre",1,0)=4,Table442466[[#This Row],[Pre Total]],""),"")</f>
        <v>4</v>
      </c>
      <c r="N147" s="5" t="str">
        <f>IF(IF(ISNUMBER(K146),1,0)+IF(ISNUMBER(Table442466[[#This Row],[Post Total]]),1,0)=2,IF(IF(Table442466[[#This Row],[Student Number]]=C146,1,0)+IF(Table442466[[#This Row],[Session]]=B146,1,0)+IF(Table442466[[#This Row],[Pre or Post]]="Post",1,0)+IF(D146="Pre",1,0)=4,Table442466[[#This Row],[Post Total]],""),"")</f>
        <v/>
      </c>
      <c r="O147" s="5" t="str">
        <f>IF(IF(ISNUMBER(K146),1,0)+IF(ISNUMBER(Table442466[[#This Row],[Post Total]]),1,0)=2,IF(IF(Table442466[[#This Row],[Student Number]]=C146,1,0)+IF(Table442466[[#This Row],[Session]]=B146,1,0)+IF(Table442466[[#This Row],[Pre or Post]]="Post",1,0)+IF(D146="Pre",1,0)=4,Table442466[[#This Row],[Post Total]]-K146,""),"")</f>
        <v/>
      </c>
      <c r="P147" s="5" t="b">
        <f>ISNUMBER(Table442466[[#This Row],[Change]])</f>
        <v>0</v>
      </c>
      <c r="Q147" s="5" t="str">
        <f>IF(E146="Male",Table442466[[#This Row],[Change]],"")</f>
        <v/>
      </c>
      <c r="R147" s="5" t="str">
        <f>IF(E146="Female",Table442466[[#This Row],[Change]],"")</f>
        <v/>
      </c>
      <c r="S147" s="5" t="b">
        <f>ISNUMBER(Table442466[[#This Row],[If Male]])</f>
        <v>0</v>
      </c>
      <c r="T147" s="5" t="b">
        <f>ISNUMBER(Table442466[[#This Row],[If Female]])</f>
        <v>0</v>
      </c>
    </row>
    <row r="148" spans="1:20">
      <c r="A148" s="2" t="s">
        <v>24</v>
      </c>
      <c r="B148" s="2" t="s">
        <v>26</v>
      </c>
      <c r="C148" s="1">
        <v>10</v>
      </c>
      <c r="D148" s="1" t="s">
        <v>16</v>
      </c>
      <c r="E148" s="5" t="s">
        <v>171</v>
      </c>
      <c r="F148" s="1">
        <v>2</v>
      </c>
      <c r="G148" s="1">
        <v>5</v>
      </c>
      <c r="H148" s="2"/>
      <c r="I148" s="5" t="str">
        <f>IF(IF(Table442466[[#This Row],[Pre or Post]]="Pre",1,0)+IF(ISNUMBER(Table442466[[#This Row],[Response]])=TRUE,1,0)=2,1,"")</f>
        <v/>
      </c>
      <c r="J148" s="5">
        <f>IF(IF(Table442466[[#This Row],[Pre or Post]]="Post",1,0)+IF(ISNUMBER(Table442466[[#This Row],[Response]])=TRUE,1,0)=2,1,"")</f>
        <v>1</v>
      </c>
      <c r="K148" s="6" t="str">
        <f>IF(IF(Table442466[[#This Row],[Pre or Post]]="Pre",1,0)+IF(ISNUMBER(Table442466[[#This Row],[Response]])=TRUE,1,0)=2,Table442466[[#This Row],[Response]],"")</f>
        <v/>
      </c>
      <c r="L148" s="6">
        <f>IF(IF(Table442466[[#This Row],[Pre or Post]]="Post",1,0)+IF(ISNUMBER(Table442466[[#This Row],[Response]])=TRUE,1,0)=2,Table442466[[#This Row],[Response]],"")</f>
        <v>5</v>
      </c>
      <c r="M148" s="5" t="str">
        <f>IF(IF(ISNUMBER(K148),1,0)+IF(ISNUMBER(L149),1,0)=2,IF(IF(C149=C148,1,0)+IF(B149=B148,1,0)+IF(D149="Post",1,0)+IF(D148="Pre",1,0)=4,Table442466[[#This Row],[Pre Total]],""),"")</f>
        <v/>
      </c>
      <c r="N148" s="5">
        <f>IF(IF(ISNUMBER(K147),1,0)+IF(ISNUMBER(Table442466[[#This Row],[Post Total]]),1,0)=2,IF(IF(Table442466[[#This Row],[Student Number]]=C147,1,0)+IF(Table442466[[#This Row],[Session]]=B147,1,0)+IF(Table442466[[#This Row],[Pre or Post]]="Post",1,0)+IF(D147="Pre",1,0)=4,Table442466[[#This Row],[Post Total]],""),"")</f>
        <v>5</v>
      </c>
      <c r="O148" s="5">
        <f>IF(IF(ISNUMBER(K147),1,0)+IF(ISNUMBER(Table442466[[#This Row],[Post Total]]),1,0)=2,IF(IF(Table442466[[#This Row],[Student Number]]=C147,1,0)+IF(Table442466[[#This Row],[Session]]=B147,1,0)+IF(Table442466[[#This Row],[Pre or Post]]="Post",1,0)+IF(D147="Pre",1,0)=4,Table442466[[#This Row],[Post Total]]-K147,""),"")</f>
        <v>1</v>
      </c>
      <c r="P148" s="5" t="b">
        <f>ISNUMBER(Table442466[[#This Row],[Change]])</f>
        <v>1</v>
      </c>
      <c r="Q148" s="5">
        <f>IF(E147="Male",Table442466[[#This Row],[Change]],"")</f>
        <v>1</v>
      </c>
      <c r="R148" s="5" t="str">
        <f>IF(E147="Female",Table442466[[#This Row],[Change]],"")</f>
        <v/>
      </c>
      <c r="S148" s="5" t="b">
        <f>ISNUMBER(Table442466[[#This Row],[If Male]])</f>
        <v>1</v>
      </c>
      <c r="T148" s="5" t="b">
        <f>ISNUMBER(Table442466[[#This Row],[If Female]])</f>
        <v>0</v>
      </c>
    </row>
    <row r="149" spans="1:20">
      <c r="A149" s="2" t="s">
        <v>24</v>
      </c>
      <c r="B149" s="2" t="s">
        <v>26</v>
      </c>
      <c r="C149" s="1">
        <v>11</v>
      </c>
      <c r="D149" s="1" t="s">
        <v>6</v>
      </c>
      <c r="E149" s="5" t="s">
        <v>13</v>
      </c>
      <c r="F149" s="1">
        <v>9</v>
      </c>
      <c r="G149" s="1">
        <v>3</v>
      </c>
      <c r="I149" s="5">
        <f>IF(IF(Table442466[[#This Row],[Pre or Post]]="Pre",1,0)+IF(ISNUMBER(Table442466[[#This Row],[Response]])=TRUE,1,0)=2,1,"")</f>
        <v>1</v>
      </c>
      <c r="J149" s="5" t="str">
        <f>IF(IF(Table442466[[#This Row],[Pre or Post]]="Post",1,0)+IF(ISNUMBER(Table442466[[#This Row],[Response]])=TRUE,1,0)=2,1,"")</f>
        <v/>
      </c>
      <c r="K149" s="6">
        <f>IF(IF(Table442466[[#This Row],[Pre or Post]]="Pre",1,0)+IF(ISNUMBER(Table442466[[#This Row],[Response]])=TRUE,1,0)=2,Table442466[[#This Row],[Response]],"")</f>
        <v>3</v>
      </c>
      <c r="L149" s="6" t="str">
        <f>IF(IF(Table442466[[#This Row],[Pre or Post]]="Post",1,0)+IF(ISNUMBER(Table442466[[#This Row],[Response]])=TRUE,1,0)=2,Table442466[[#This Row],[Response]],"")</f>
        <v/>
      </c>
      <c r="M149" s="5">
        <f>IF(IF(ISNUMBER(K149),1,0)+IF(ISNUMBER(L150),1,0)=2,IF(IF(C150=C149,1,0)+IF(B150=B149,1,0)+IF(D150="Post",1,0)+IF(D149="Pre",1,0)=4,Table442466[[#This Row],[Pre Total]],""),"")</f>
        <v>3</v>
      </c>
      <c r="N149" s="5" t="str">
        <f>IF(IF(ISNUMBER(K148),1,0)+IF(ISNUMBER(Table442466[[#This Row],[Post Total]]),1,0)=2,IF(IF(Table442466[[#This Row],[Student Number]]=C148,1,0)+IF(Table442466[[#This Row],[Session]]=B148,1,0)+IF(Table442466[[#This Row],[Pre or Post]]="Post",1,0)+IF(D148="Pre",1,0)=4,Table442466[[#This Row],[Post Total]],""),"")</f>
        <v/>
      </c>
      <c r="O149" s="5" t="str">
        <f>IF(IF(ISNUMBER(K148),1,0)+IF(ISNUMBER(Table442466[[#This Row],[Post Total]]),1,0)=2,IF(IF(Table442466[[#This Row],[Student Number]]=C148,1,0)+IF(Table442466[[#This Row],[Session]]=B148,1,0)+IF(Table442466[[#This Row],[Pre or Post]]="Post",1,0)+IF(D148="Pre",1,0)=4,Table442466[[#This Row],[Post Total]]-K148,""),"")</f>
        <v/>
      </c>
      <c r="P149" s="5" t="b">
        <f>ISNUMBER(Table442466[[#This Row],[Change]])</f>
        <v>0</v>
      </c>
      <c r="Q149" s="5" t="str">
        <f>IF(E148="Male",Table442466[[#This Row],[Change]],"")</f>
        <v/>
      </c>
      <c r="R149" s="5" t="str">
        <f>IF(E148="Female",Table442466[[#This Row],[Change]],"")</f>
        <v/>
      </c>
      <c r="S149" s="5" t="b">
        <f>ISNUMBER(Table442466[[#This Row],[If Male]])</f>
        <v>0</v>
      </c>
      <c r="T149" s="5" t="b">
        <f>ISNUMBER(Table442466[[#This Row],[If Female]])</f>
        <v>0</v>
      </c>
    </row>
    <row r="150" spans="1:20">
      <c r="A150" s="2" t="s">
        <v>24</v>
      </c>
      <c r="B150" s="2" t="s">
        <v>26</v>
      </c>
      <c r="C150" s="1">
        <v>11</v>
      </c>
      <c r="D150" s="1" t="s">
        <v>16</v>
      </c>
      <c r="E150" s="5" t="s">
        <v>171</v>
      </c>
      <c r="F150" s="1">
        <v>2</v>
      </c>
      <c r="G150" s="1">
        <v>3</v>
      </c>
      <c r="H150" s="2"/>
      <c r="I150" s="6" t="str">
        <f>IF(IF(Table442466[[#This Row],[Pre or Post]]="Pre",1,0)+IF(ISNUMBER(Table442466[[#This Row],[Response]])=TRUE,1,0)=2,1,"")</f>
        <v/>
      </c>
      <c r="J150" s="6">
        <f>IF(IF(Table442466[[#This Row],[Pre or Post]]="Post",1,0)+IF(ISNUMBER(Table442466[[#This Row],[Response]])=TRUE,1,0)=2,1,"")</f>
        <v>1</v>
      </c>
      <c r="K150" s="6" t="str">
        <f>IF(IF(Table442466[[#This Row],[Pre or Post]]="Pre",1,0)+IF(ISNUMBER(Table442466[[#This Row],[Response]])=TRUE,1,0)=2,Table442466[[#This Row],[Response]],"")</f>
        <v/>
      </c>
      <c r="L150" s="6">
        <f>IF(IF(Table442466[[#This Row],[Pre or Post]]="Post",1,0)+IF(ISNUMBER(Table442466[[#This Row],[Response]])=TRUE,1,0)=2,Table442466[[#This Row],[Response]],"")</f>
        <v>3</v>
      </c>
      <c r="M150" s="6" t="str">
        <f>IF(IF(ISNUMBER(K150),1,0)+IF(ISNUMBER(L151),1,0)=2,IF(IF(C151=C150,1,0)+IF(B151=B150,1,0)+IF(D151="Post",1,0)+IF(D150="Pre",1,0)=4,Table442466[[#This Row],[Pre Total]],""),"")</f>
        <v/>
      </c>
      <c r="N150" s="6">
        <f>IF(IF(ISNUMBER(K149),1,0)+IF(ISNUMBER(Table442466[[#This Row],[Post Total]]),1,0)=2,IF(IF(Table442466[[#This Row],[Student Number]]=C149,1,0)+IF(Table442466[[#This Row],[Session]]=B149,1,0)+IF(Table442466[[#This Row],[Pre or Post]]="Post",1,0)+IF(D149="Pre",1,0)=4,Table442466[[#This Row],[Post Total]],""),"")</f>
        <v>3</v>
      </c>
      <c r="O150" s="6">
        <f>IF(IF(ISNUMBER(K149),1,0)+IF(ISNUMBER(Table442466[[#This Row],[Post Total]]),1,0)=2,IF(IF(Table442466[[#This Row],[Student Number]]=C149,1,0)+IF(Table442466[[#This Row],[Session]]=B149,1,0)+IF(Table442466[[#This Row],[Pre or Post]]="Post",1,0)+IF(D149="Pre",1,0)=4,Table442466[[#This Row],[Post Total]]-K149,""),"")</f>
        <v>0</v>
      </c>
      <c r="P150" s="6" t="b">
        <f>ISNUMBER(Table442466[[#This Row],[Change]])</f>
        <v>1</v>
      </c>
      <c r="Q150" s="5" t="str">
        <f>IF(E149="Male",Table442466[[#This Row],[Change]],"")</f>
        <v/>
      </c>
      <c r="R150" s="5">
        <f>IF(E149="Female",Table442466[[#This Row],[Change]],"")</f>
        <v>0</v>
      </c>
      <c r="S150" s="5" t="b">
        <f>ISNUMBER(Table442466[[#This Row],[If Male]])</f>
        <v>0</v>
      </c>
      <c r="T150" s="5" t="b">
        <f>ISNUMBER(Table442466[[#This Row],[If Female]])</f>
        <v>1</v>
      </c>
    </row>
    <row r="151" spans="1:20">
      <c r="A151" s="2" t="s">
        <v>24</v>
      </c>
      <c r="B151" s="2" t="s">
        <v>26</v>
      </c>
      <c r="C151" s="1">
        <v>12</v>
      </c>
      <c r="D151" s="1" t="s">
        <v>6</v>
      </c>
      <c r="E151" s="5" t="s">
        <v>13</v>
      </c>
      <c r="F151" s="1">
        <v>9</v>
      </c>
      <c r="G151" s="1">
        <v>3</v>
      </c>
      <c r="I151" s="5">
        <f>IF(IF(Table442466[[#This Row],[Pre or Post]]="Pre",1,0)+IF(ISNUMBER(Table442466[[#This Row],[Response]])=TRUE,1,0)=2,1,"")</f>
        <v>1</v>
      </c>
      <c r="J151" s="5" t="str">
        <f>IF(IF(Table442466[[#This Row],[Pre or Post]]="Post",1,0)+IF(ISNUMBER(Table442466[[#This Row],[Response]])=TRUE,1,0)=2,1,"")</f>
        <v/>
      </c>
      <c r="K151" s="6">
        <f>IF(IF(Table442466[[#This Row],[Pre or Post]]="Pre",1,0)+IF(ISNUMBER(Table442466[[#This Row],[Response]])=TRUE,1,0)=2,Table442466[[#This Row],[Response]],"")</f>
        <v>3</v>
      </c>
      <c r="L151" s="6" t="str">
        <f>IF(IF(Table442466[[#This Row],[Pre or Post]]="Post",1,0)+IF(ISNUMBER(Table442466[[#This Row],[Response]])=TRUE,1,0)=2,Table442466[[#This Row],[Response]],"")</f>
        <v/>
      </c>
      <c r="M151" s="5">
        <f>IF(IF(ISNUMBER(K151),1,0)+IF(ISNUMBER(L152),1,0)=2,IF(IF(C152=C151,1,0)+IF(B152=B151,1,0)+IF(D152="Post",1,0)+IF(D151="Pre",1,0)=4,Table442466[[#This Row],[Pre Total]],""),"")</f>
        <v>3</v>
      </c>
      <c r="N151" s="5" t="str">
        <f>IF(IF(ISNUMBER(K150),1,0)+IF(ISNUMBER(Table442466[[#This Row],[Post Total]]),1,0)=2,IF(IF(Table442466[[#This Row],[Student Number]]=C150,1,0)+IF(Table442466[[#This Row],[Session]]=B150,1,0)+IF(Table442466[[#This Row],[Pre or Post]]="Post",1,0)+IF(D150="Pre",1,0)=4,Table442466[[#This Row],[Post Total]],""),"")</f>
        <v/>
      </c>
      <c r="O151" s="5" t="str">
        <f>IF(IF(ISNUMBER(K150),1,0)+IF(ISNUMBER(Table442466[[#This Row],[Post Total]]),1,0)=2,IF(IF(Table442466[[#This Row],[Student Number]]=C150,1,0)+IF(Table442466[[#This Row],[Session]]=B150,1,0)+IF(Table442466[[#This Row],[Pre or Post]]="Post",1,0)+IF(D150="Pre",1,0)=4,Table442466[[#This Row],[Post Total]]-K150,""),"")</f>
        <v/>
      </c>
      <c r="P151" s="5" t="b">
        <f>ISNUMBER(Table442466[[#This Row],[Change]])</f>
        <v>0</v>
      </c>
      <c r="Q151" s="5" t="str">
        <f>IF(E150="Male",Table442466[[#This Row],[Change]],"")</f>
        <v/>
      </c>
      <c r="R151" s="5" t="str">
        <f>IF(E150="Female",Table442466[[#This Row],[Change]],"")</f>
        <v/>
      </c>
      <c r="S151" s="5" t="b">
        <f>ISNUMBER(Table442466[[#This Row],[If Male]])</f>
        <v>0</v>
      </c>
      <c r="T151" s="5" t="b">
        <f>ISNUMBER(Table442466[[#This Row],[If Female]])</f>
        <v>0</v>
      </c>
    </row>
    <row r="152" spans="1:20">
      <c r="A152" s="2" t="s">
        <v>24</v>
      </c>
      <c r="B152" s="2" t="s">
        <v>26</v>
      </c>
      <c r="C152" s="1">
        <v>12</v>
      </c>
      <c r="D152" s="1" t="s">
        <v>16</v>
      </c>
      <c r="E152" s="5" t="s">
        <v>171</v>
      </c>
      <c r="F152" s="1">
        <v>2</v>
      </c>
      <c r="G152" s="1">
        <v>2</v>
      </c>
      <c r="H152" s="2"/>
      <c r="I152" s="5" t="str">
        <f>IF(IF(Table442466[[#This Row],[Pre or Post]]="Pre",1,0)+IF(ISNUMBER(Table442466[[#This Row],[Response]])=TRUE,1,0)=2,1,"")</f>
        <v/>
      </c>
      <c r="J152" s="5">
        <f>IF(IF(Table442466[[#This Row],[Pre or Post]]="Post",1,0)+IF(ISNUMBER(Table442466[[#This Row],[Response]])=TRUE,1,0)=2,1,"")</f>
        <v>1</v>
      </c>
      <c r="K152" s="6" t="str">
        <f>IF(IF(Table442466[[#This Row],[Pre or Post]]="Pre",1,0)+IF(ISNUMBER(Table442466[[#This Row],[Response]])=TRUE,1,0)=2,Table442466[[#This Row],[Response]],"")</f>
        <v/>
      </c>
      <c r="L152" s="6">
        <f>IF(IF(Table442466[[#This Row],[Pre or Post]]="Post",1,0)+IF(ISNUMBER(Table442466[[#This Row],[Response]])=TRUE,1,0)=2,Table442466[[#This Row],[Response]],"")</f>
        <v>2</v>
      </c>
      <c r="M152" s="5" t="str">
        <f>IF(IF(ISNUMBER(K152),1,0)+IF(ISNUMBER(L153),1,0)=2,IF(IF(C153=C152,1,0)+IF(B153=B152,1,0)+IF(D153="Post",1,0)+IF(D152="Pre",1,0)=4,Table442466[[#This Row],[Pre Total]],""),"")</f>
        <v/>
      </c>
      <c r="N152" s="5">
        <f>IF(IF(ISNUMBER(K151),1,0)+IF(ISNUMBER(Table442466[[#This Row],[Post Total]]),1,0)=2,IF(IF(Table442466[[#This Row],[Student Number]]=C151,1,0)+IF(Table442466[[#This Row],[Session]]=B151,1,0)+IF(Table442466[[#This Row],[Pre or Post]]="Post",1,0)+IF(D151="Pre",1,0)=4,Table442466[[#This Row],[Post Total]],""),"")</f>
        <v>2</v>
      </c>
      <c r="O152" s="5">
        <f>IF(IF(ISNUMBER(K151),1,0)+IF(ISNUMBER(Table442466[[#This Row],[Post Total]]),1,0)=2,IF(IF(Table442466[[#This Row],[Student Number]]=C151,1,0)+IF(Table442466[[#This Row],[Session]]=B151,1,0)+IF(Table442466[[#This Row],[Pre or Post]]="Post",1,0)+IF(D151="Pre",1,0)=4,Table442466[[#This Row],[Post Total]]-K151,""),"")</f>
        <v>-1</v>
      </c>
      <c r="P152" s="5" t="b">
        <f>ISNUMBER(Table442466[[#This Row],[Change]])</f>
        <v>1</v>
      </c>
      <c r="Q152" s="5" t="str">
        <f>IF(E151="Male",Table442466[[#This Row],[Change]],"")</f>
        <v/>
      </c>
      <c r="R152" s="5">
        <f>IF(E151="Female",Table442466[[#This Row],[Change]],"")</f>
        <v>-1</v>
      </c>
      <c r="S152" s="5" t="b">
        <f>ISNUMBER(Table442466[[#This Row],[If Male]])</f>
        <v>0</v>
      </c>
      <c r="T152" s="5" t="b">
        <f>ISNUMBER(Table442466[[#This Row],[If Female]])</f>
        <v>1</v>
      </c>
    </row>
    <row r="153" spans="1:20">
      <c r="A153" s="2" t="s">
        <v>24</v>
      </c>
      <c r="B153" s="2" t="s">
        <v>26</v>
      </c>
      <c r="C153" s="1">
        <v>13</v>
      </c>
      <c r="D153" s="1" t="s">
        <v>6</v>
      </c>
      <c r="E153" s="5" t="s">
        <v>13</v>
      </c>
      <c r="F153" s="1">
        <v>9</v>
      </c>
      <c r="G153" s="1">
        <v>3</v>
      </c>
      <c r="I153" s="5">
        <f>IF(IF(Table442466[[#This Row],[Pre or Post]]="Pre",1,0)+IF(ISNUMBER(Table442466[[#This Row],[Response]])=TRUE,1,0)=2,1,"")</f>
        <v>1</v>
      </c>
      <c r="J153" s="5" t="str">
        <f>IF(IF(Table442466[[#This Row],[Pre or Post]]="Post",1,0)+IF(ISNUMBER(Table442466[[#This Row],[Response]])=TRUE,1,0)=2,1,"")</f>
        <v/>
      </c>
      <c r="K153" s="6">
        <f>IF(IF(Table442466[[#This Row],[Pre or Post]]="Pre",1,0)+IF(ISNUMBER(Table442466[[#This Row],[Response]])=TRUE,1,0)=2,Table442466[[#This Row],[Response]],"")</f>
        <v>3</v>
      </c>
      <c r="L153" s="6" t="str">
        <f>IF(IF(Table442466[[#This Row],[Pre or Post]]="Post",1,0)+IF(ISNUMBER(Table442466[[#This Row],[Response]])=TRUE,1,0)=2,Table442466[[#This Row],[Response]],"")</f>
        <v/>
      </c>
      <c r="M153" s="5">
        <f>IF(IF(ISNUMBER(K153),1,0)+IF(ISNUMBER(L154),1,0)=2,IF(IF(C154=C153,1,0)+IF(B154=B153,1,0)+IF(D154="Post",1,0)+IF(D153="Pre",1,0)=4,Table442466[[#This Row],[Pre Total]],""),"")</f>
        <v>3</v>
      </c>
      <c r="N153" s="5" t="str">
        <f>IF(IF(ISNUMBER(K152),1,0)+IF(ISNUMBER(Table442466[[#This Row],[Post Total]]),1,0)=2,IF(IF(Table442466[[#This Row],[Student Number]]=C152,1,0)+IF(Table442466[[#This Row],[Session]]=B152,1,0)+IF(Table442466[[#This Row],[Pre or Post]]="Post",1,0)+IF(D152="Pre",1,0)=4,Table442466[[#This Row],[Post Total]],""),"")</f>
        <v/>
      </c>
      <c r="O153" s="5" t="str">
        <f>IF(IF(ISNUMBER(K152),1,0)+IF(ISNUMBER(Table442466[[#This Row],[Post Total]]),1,0)=2,IF(IF(Table442466[[#This Row],[Student Number]]=C152,1,0)+IF(Table442466[[#This Row],[Session]]=B152,1,0)+IF(Table442466[[#This Row],[Pre or Post]]="Post",1,0)+IF(D152="Pre",1,0)=4,Table442466[[#This Row],[Post Total]]-K152,""),"")</f>
        <v/>
      </c>
      <c r="P153" s="5" t="b">
        <f>ISNUMBER(Table442466[[#This Row],[Change]])</f>
        <v>0</v>
      </c>
      <c r="Q153" s="5" t="str">
        <f>IF(E152="Male",Table442466[[#This Row],[Change]],"")</f>
        <v/>
      </c>
      <c r="R153" s="5" t="str">
        <f>IF(E152="Female",Table442466[[#This Row],[Change]],"")</f>
        <v/>
      </c>
      <c r="S153" s="5" t="b">
        <f>ISNUMBER(Table442466[[#This Row],[If Male]])</f>
        <v>0</v>
      </c>
      <c r="T153" s="5" t="b">
        <f>ISNUMBER(Table442466[[#This Row],[If Female]])</f>
        <v>0</v>
      </c>
    </row>
    <row r="154" spans="1:20">
      <c r="A154" s="2" t="s">
        <v>24</v>
      </c>
      <c r="B154" s="2" t="s">
        <v>26</v>
      </c>
      <c r="C154" s="1">
        <v>13</v>
      </c>
      <c r="D154" s="1" t="s">
        <v>16</v>
      </c>
      <c r="E154" s="5" t="s">
        <v>171</v>
      </c>
      <c r="F154" s="1">
        <v>2</v>
      </c>
      <c r="G154" s="1">
        <v>5</v>
      </c>
      <c r="H154" s="2"/>
      <c r="I154" s="6" t="str">
        <f>IF(IF(Table442466[[#This Row],[Pre or Post]]="Pre",1,0)+IF(ISNUMBER(Table442466[[#This Row],[Response]])=TRUE,1,0)=2,1,"")</f>
        <v/>
      </c>
      <c r="J154" s="6">
        <f>IF(IF(Table442466[[#This Row],[Pre or Post]]="Post",1,0)+IF(ISNUMBER(Table442466[[#This Row],[Response]])=TRUE,1,0)=2,1,"")</f>
        <v>1</v>
      </c>
      <c r="K154" s="6" t="str">
        <f>IF(IF(Table442466[[#This Row],[Pre or Post]]="Pre",1,0)+IF(ISNUMBER(Table442466[[#This Row],[Response]])=TRUE,1,0)=2,Table442466[[#This Row],[Response]],"")</f>
        <v/>
      </c>
      <c r="L154" s="6">
        <f>IF(IF(Table442466[[#This Row],[Pre or Post]]="Post",1,0)+IF(ISNUMBER(Table442466[[#This Row],[Response]])=TRUE,1,0)=2,Table442466[[#This Row],[Response]],"")</f>
        <v>5</v>
      </c>
      <c r="M154" s="6" t="str">
        <f>IF(IF(ISNUMBER(K154),1,0)+IF(ISNUMBER(L155),1,0)=2,IF(IF(C155=C154,1,0)+IF(B155=B154,1,0)+IF(D155="Post",1,0)+IF(D154="Pre",1,0)=4,Table442466[[#This Row],[Pre Total]],""),"")</f>
        <v/>
      </c>
      <c r="N154" s="6">
        <f>IF(IF(ISNUMBER(K153),1,0)+IF(ISNUMBER(Table442466[[#This Row],[Post Total]]),1,0)=2,IF(IF(Table442466[[#This Row],[Student Number]]=C153,1,0)+IF(Table442466[[#This Row],[Session]]=B153,1,0)+IF(Table442466[[#This Row],[Pre or Post]]="Post",1,0)+IF(D153="Pre",1,0)=4,Table442466[[#This Row],[Post Total]],""),"")</f>
        <v>5</v>
      </c>
      <c r="O154" s="6">
        <f>IF(IF(ISNUMBER(K153),1,0)+IF(ISNUMBER(Table442466[[#This Row],[Post Total]]),1,0)=2,IF(IF(Table442466[[#This Row],[Student Number]]=C153,1,0)+IF(Table442466[[#This Row],[Session]]=B153,1,0)+IF(Table442466[[#This Row],[Pre or Post]]="Post",1,0)+IF(D153="Pre",1,0)=4,Table442466[[#This Row],[Post Total]]-K153,""),"")</f>
        <v>2</v>
      </c>
      <c r="P154" s="6" t="b">
        <f>ISNUMBER(Table442466[[#This Row],[Change]])</f>
        <v>1</v>
      </c>
      <c r="Q154" s="5" t="str">
        <f>IF(E153="Male",Table442466[[#This Row],[Change]],"")</f>
        <v/>
      </c>
      <c r="R154" s="5">
        <f>IF(E153="Female",Table442466[[#This Row],[Change]],"")</f>
        <v>2</v>
      </c>
      <c r="S154" s="5" t="b">
        <f>ISNUMBER(Table442466[[#This Row],[If Male]])</f>
        <v>0</v>
      </c>
      <c r="T154" s="5" t="b">
        <f>ISNUMBER(Table442466[[#This Row],[If Female]])</f>
        <v>1</v>
      </c>
    </row>
    <row r="155" spans="1:20">
      <c r="A155" s="2" t="s">
        <v>24</v>
      </c>
      <c r="B155" s="2" t="s">
        <v>26</v>
      </c>
      <c r="C155" s="1">
        <v>14</v>
      </c>
      <c r="D155" s="1" t="s">
        <v>6</v>
      </c>
      <c r="E155" s="5" t="s">
        <v>13</v>
      </c>
      <c r="F155" s="1">
        <v>9</v>
      </c>
      <c r="G155" s="1">
        <v>4</v>
      </c>
      <c r="I155" s="5">
        <f>IF(IF(Table442466[[#This Row],[Pre or Post]]="Pre",1,0)+IF(ISNUMBER(Table442466[[#This Row],[Response]])=TRUE,1,0)=2,1,"")</f>
        <v>1</v>
      </c>
      <c r="J155" s="5" t="str">
        <f>IF(IF(Table442466[[#This Row],[Pre or Post]]="Post",1,0)+IF(ISNUMBER(Table442466[[#This Row],[Response]])=TRUE,1,0)=2,1,"")</f>
        <v/>
      </c>
      <c r="K155" s="6">
        <f>IF(IF(Table442466[[#This Row],[Pre or Post]]="Pre",1,0)+IF(ISNUMBER(Table442466[[#This Row],[Response]])=TRUE,1,0)=2,Table442466[[#This Row],[Response]],"")</f>
        <v>4</v>
      </c>
      <c r="L155" s="6" t="str">
        <f>IF(IF(Table442466[[#This Row],[Pre or Post]]="Post",1,0)+IF(ISNUMBER(Table442466[[#This Row],[Response]])=TRUE,1,0)=2,Table442466[[#This Row],[Response]],"")</f>
        <v/>
      </c>
      <c r="M155" s="5">
        <f>IF(IF(ISNUMBER(K155),1,0)+IF(ISNUMBER(L156),1,0)=2,IF(IF(C156=C155,1,0)+IF(B156=B155,1,0)+IF(D156="Post",1,0)+IF(D155="Pre",1,0)=4,Table442466[[#This Row],[Pre Total]],""),"")</f>
        <v>4</v>
      </c>
      <c r="N155" s="5" t="str">
        <f>IF(IF(ISNUMBER(K154),1,0)+IF(ISNUMBER(Table442466[[#This Row],[Post Total]]),1,0)=2,IF(IF(Table442466[[#This Row],[Student Number]]=C154,1,0)+IF(Table442466[[#This Row],[Session]]=B154,1,0)+IF(Table442466[[#This Row],[Pre or Post]]="Post",1,0)+IF(D154="Pre",1,0)=4,Table442466[[#This Row],[Post Total]],""),"")</f>
        <v/>
      </c>
      <c r="O155" s="5" t="str">
        <f>IF(IF(ISNUMBER(K154),1,0)+IF(ISNUMBER(Table442466[[#This Row],[Post Total]]),1,0)=2,IF(IF(Table442466[[#This Row],[Student Number]]=C154,1,0)+IF(Table442466[[#This Row],[Session]]=B154,1,0)+IF(Table442466[[#This Row],[Pre or Post]]="Post",1,0)+IF(D154="Pre",1,0)=4,Table442466[[#This Row],[Post Total]]-K154,""),"")</f>
        <v/>
      </c>
      <c r="P155" s="5" t="b">
        <f>ISNUMBER(Table442466[[#This Row],[Change]])</f>
        <v>0</v>
      </c>
      <c r="Q155" s="5" t="str">
        <f>IF(E154="Male",Table442466[[#This Row],[Change]],"")</f>
        <v/>
      </c>
      <c r="R155" s="5" t="str">
        <f>IF(E154="Female",Table442466[[#This Row],[Change]],"")</f>
        <v/>
      </c>
      <c r="S155" s="5" t="b">
        <f>ISNUMBER(Table442466[[#This Row],[If Male]])</f>
        <v>0</v>
      </c>
      <c r="T155" s="5" t="b">
        <f>ISNUMBER(Table442466[[#This Row],[If Female]])</f>
        <v>0</v>
      </c>
    </row>
    <row r="156" spans="1:20">
      <c r="A156" s="2" t="s">
        <v>24</v>
      </c>
      <c r="B156" s="2" t="s">
        <v>26</v>
      </c>
      <c r="C156" s="1">
        <v>14</v>
      </c>
      <c r="D156" s="1" t="s">
        <v>16</v>
      </c>
      <c r="E156" s="5" t="s">
        <v>171</v>
      </c>
      <c r="F156" s="1">
        <v>2</v>
      </c>
      <c r="G156" s="1">
        <v>4</v>
      </c>
      <c r="H156" s="2"/>
      <c r="I156" s="5" t="str">
        <f>IF(IF(Table442466[[#This Row],[Pre or Post]]="Pre",1,0)+IF(ISNUMBER(Table442466[[#This Row],[Response]])=TRUE,1,0)=2,1,"")</f>
        <v/>
      </c>
      <c r="J156" s="5">
        <f>IF(IF(Table442466[[#This Row],[Pre or Post]]="Post",1,0)+IF(ISNUMBER(Table442466[[#This Row],[Response]])=TRUE,1,0)=2,1,"")</f>
        <v>1</v>
      </c>
      <c r="K156" s="6" t="str">
        <f>IF(IF(Table442466[[#This Row],[Pre or Post]]="Pre",1,0)+IF(ISNUMBER(Table442466[[#This Row],[Response]])=TRUE,1,0)=2,Table442466[[#This Row],[Response]],"")</f>
        <v/>
      </c>
      <c r="L156" s="6">
        <f>IF(IF(Table442466[[#This Row],[Pre or Post]]="Post",1,0)+IF(ISNUMBER(Table442466[[#This Row],[Response]])=TRUE,1,0)=2,Table442466[[#This Row],[Response]],"")</f>
        <v>4</v>
      </c>
      <c r="M156" s="5" t="str">
        <f>IF(IF(ISNUMBER(K156),1,0)+IF(ISNUMBER(L157),1,0)=2,IF(IF(C157=C156,1,0)+IF(B157=B156,1,0)+IF(D157="Post",1,0)+IF(D156="Pre",1,0)=4,Table442466[[#This Row],[Pre Total]],""),"")</f>
        <v/>
      </c>
      <c r="N156" s="5">
        <f>IF(IF(ISNUMBER(K155),1,0)+IF(ISNUMBER(Table442466[[#This Row],[Post Total]]),1,0)=2,IF(IF(Table442466[[#This Row],[Student Number]]=C155,1,0)+IF(Table442466[[#This Row],[Session]]=B155,1,0)+IF(Table442466[[#This Row],[Pre or Post]]="Post",1,0)+IF(D155="Pre",1,0)=4,Table442466[[#This Row],[Post Total]],""),"")</f>
        <v>4</v>
      </c>
      <c r="O156" s="5">
        <f>IF(IF(ISNUMBER(K155),1,0)+IF(ISNUMBER(Table442466[[#This Row],[Post Total]]),1,0)=2,IF(IF(Table442466[[#This Row],[Student Number]]=C155,1,0)+IF(Table442466[[#This Row],[Session]]=B155,1,0)+IF(Table442466[[#This Row],[Pre or Post]]="Post",1,0)+IF(D155="Pre",1,0)=4,Table442466[[#This Row],[Post Total]]-K155,""),"")</f>
        <v>0</v>
      </c>
      <c r="P156" s="5" t="b">
        <f>ISNUMBER(Table442466[[#This Row],[Change]])</f>
        <v>1</v>
      </c>
      <c r="Q156" s="5" t="str">
        <f>IF(E155="Male",Table442466[[#This Row],[Change]],"")</f>
        <v/>
      </c>
      <c r="R156" s="5">
        <f>IF(E155="Female",Table442466[[#This Row],[Change]],"")</f>
        <v>0</v>
      </c>
      <c r="S156" s="5" t="b">
        <f>ISNUMBER(Table442466[[#This Row],[If Male]])</f>
        <v>0</v>
      </c>
      <c r="T156" s="5" t="b">
        <f>ISNUMBER(Table442466[[#This Row],[If Female]])</f>
        <v>1</v>
      </c>
    </row>
    <row r="157" spans="1:20">
      <c r="A157" s="2" t="s">
        <v>24</v>
      </c>
      <c r="B157" s="2" t="s">
        <v>26</v>
      </c>
      <c r="C157" s="1">
        <v>15</v>
      </c>
      <c r="D157" s="1" t="s">
        <v>6</v>
      </c>
      <c r="E157" s="5" t="s">
        <v>13</v>
      </c>
      <c r="F157" s="1">
        <v>9</v>
      </c>
      <c r="G157" s="1">
        <v>3</v>
      </c>
      <c r="I157" s="5">
        <f>IF(IF(Table442466[[#This Row],[Pre or Post]]="Pre",1,0)+IF(ISNUMBER(Table442466[[#This Row],[Response]])=TRUE,1,0)=2,1,"")</f>
        <v>1</v>
      </c>
      <c r="J157" s="5" t="str">
        <f>IF(IF(Table442466[[#This Row],[Pre or Post]]="Post",1,0)+IF(ISNUMBER(Table442466[[#This Row],[Response]])=TRUE,1,0)=2,1,"")</f>
        <v/>
      </c>
      <c r="K157" s="6">
        <f>IF(IF(Table442466[[#This Row],[Pre or Post]]="Pre",1,0)+IF(ISNUMBER(Table442466[[#This Row],[Response]])=TRUE,1,0)=2,Table442466[[#This Row],[Response]],"")</f>
        <v>3</v>
      </c>
      <c r="L157" s="6" t="str">
        <f>IF(IF(Table442466[[#This Row],[Pre or Post]]="Post",1,0)+IF(ISNUMBER(Table442466[[#This Row],[Response]])=TRUE,1,0)=2,Table442466[[#This Row],[Response]],"")</f>
        <v/>
      </c>
      <c r="M157" s="5">
        <f>IF(IF(ISNUMBER(K157),1,0)+IF(ISNUMBER(L158),1,0)=2,IF(IF(C158=C157,1,0)+IF(B158=B157,1,0)+IF(D158="Post",1,0)+IF(D157="Pre",1,0)=4,Table442466[[#This Row],[Pre Total]],""),"")</f>
        <v>3</v>
      </c>
      <c r="N157" s="5" t="str">
        <f>IF(IF(ISNUMBER(K156),1,0)+IF(ISNUMBER(Table442466[[#This Row],[Post Total]]),1,0)=2,IF(IF(Table442466[[#This Row],[Student Number]]=C156,1,0)+IF(Table442466[[#This Row],[Session]]=B156,1,0)+IF(Table442466[[#This Row],[Pre or Post]]="Post",1,0)+IF(D156="Pre",1,0)=4,Table442466[[#This Row],[Post Total]],""),"")</f>
        <v/>
      </c>
      <c r="O157" s="5" t="str">
        <f>IF(IF(ISNUMBER(K156),1,0)+IF(ISNUMBER(Table442466[[#This Row],[Post Total]]),1,0)=2,IF(IF(Table442466[[#This Row],[Student Number]]=C156,1,0)+IF(Table442466[[#This Row],[Session]]=B156,1,0)+IF(Table442466[[#This Row],[Pre or Post]]="Post",1,0)+IF(D156="Pre",1,0)=4,Table442466[[#This Row],[Post Total]]-K156,""),"")</f>
        <v/>
      </c>
      <c r="P157" s="5" t="b">
        <f>ISNUMBER(Table442466[[#This Row],[Change]])</f>
        <v>0</v>
      </c>
      <c r="Q157" s="5" t="str">
        <f>IF(E156="Male",Table442466[[#This Row],[Change]],"")</f>
        <v/>
      </c>
      <c r="R157" s="5" t="str">
        <f>IF(E156="Female",Table442466[[#This Row],[Change]],"")</f>
        <v/>
      </c>
      <c r="S157" s="5" t="b">
        <f>ISNUMBER(Table442466[[#This Row],[If Male]])</f>
        <v>0</v>
      </c>
      <c r="T157" s="5" t="b">
        <f>ISNUMBER(Table442466[[#This Row],[If Female]])</f>
        <v>0</v>
      </c>
    </row>
    <row r="158" spans="1:20">
      <c r="A158" s="2" t="s">
        <v>24</v>
      </c>
      <c r="B158" s="2" t="s">
        <v>26</v>
      </c>
      <c r="C158" s="1">
        <v>15</v>
      </c>
      <c r="D158" s="1" t="s">
        <v>16</v>
      </c>
      <c r="E158" s="5" t="s">
        <v>171</v>
      </c>
      <c r="F158" s="1">
        <v>2</v>
      </c>
      <c r="G158" s="1">
        <v>3</v>
      </c>
      <c r="H158" s="2"/>
      <c r="I158" s="6" t="str">
        <f>IF(IF(Table442466[[#This Row],[Pre or Post]]="Pre",1,0)+IF(ISNUMBER(Table442466[[#This Row],[Response]])=TRUE,1,0)=2,1,"")</f>
        <v/>
      </c>
      <c r="J158" s="6">
        <f>IF(IF(Table442466[[#This Row],[Pre or Post]]="Post",1,0)+IF(ISNUMBER(Table442466[[#This Row],[Response]])=TRUE,1,0)=2,1,"")</f>
        <v>1</v>
      </c>
      <c r="K158" s="6" t="str">
        <f>IF(IF(Table442466[[#This Row],[Pre or Post]]="Pre",1,0)+IF(ISNUMBER(Table442466[[#This Row],[Response]])=TRUE,1,0)=2,Table442466[[#This Row],[Response]],"")</f>
        <v/>
      </c>
      <c r="L158" s="6">
        <f>IF(IF(Table442466[[#This Row],[Pre or Post]]="Post",1,0)+IF(ISNUMBER(Table442466[[#This Row],[Response]])=TRUE,1,0)=2,Table442466[[#This Row],[Response]],"")</f>
        <v>3</v>
      </c>
      <c r="M158" s="6" t="str">
        <f>IF(IF(ISNUMBER(K158),1,0)+IF(ISNUMBER(L159),1,0)=2,IF(IF(C159=C158,1,0)+IF(B159=B158,1,0)+IF(D159="Post",1,0)+IF(D158="Pre",1,0)=4,Table442466[[#This Row],[Pre Total]],""),"")</f>
        <v/>
      </c>
      <c r="N158" s="6">
        <f>IF(IF(ISNUMBER(K157),1,0)+IF(ISNUMBER(Table442466[[#This Row],[Post Total]]),1,0)=2,IF(IF(Table442466[[#This Row],[Student Number]]=C157,1,0)+IF(Table442466[[#This Row],[Session]]=B157,1,0)+IF(Table442466[[#This Row],[Pre or Post]]="Post",1,0)+IF(D157="Pre",1,0)=4,Table442466[[#This Row],[Post Total]],""),"")</f>
        <v>3</v>
      </c>
      <c r="O158" s="6">
        <f>IF(IF(ISNUMBER(K157),1,0)+IF(ISNUMBER(Table442466[[#This Row],[Post Total]]),1,0)=2,IF(IF(Table442466[[#This Row],[Student Number]]=C157,1,0)+IF(Table442466[[#This Row],[Session]]=B157,1,0)+IF(Table442466[[#This Row],[Pre or Post]]="Post",1,0)+IF(D157="Pre",1,0)=4,Table442466[[#This Row],[Post Total]]-K157,""),"")</f>
        <v>0</v>
      </c>
      <c r="P158" s="6" t="b">
        <f>ISNUMBER(Table442466[[#This Row],[Change]])</f>
        <v>1</v>
      </c>
      <c r="Q158" s="5" t="str">
        <f>IF(E157="Male",Table442466[[#This Row],[Change]],"")</f>
        <v/>
      </c>
      <c r="R158" s="5">
        <f>IF(E157="Female",Table442466[[#This Row],[Change]],"")</f>
        <v>0</v>
      </c>
      <c r="S158" s="5" t="b">
        <f>ISNUMBER(Table442466[[#This Row],[If Male]])</f>
        <v>0</v>
      </c>
      <c r="T158" s="5" t="b">
        <f>ISNUMBER(Table442466[[#This Row],[If Female]])</f>
        <v>1</v>
      </c>
    </row>
    <row r="159" spans="1:20">
      <c r="A159" s="2"/>
      <c r="B159" s="2"/>
      <c r="C159" s="2"/>
      <c r="D159" s="2"/>
      <c r="E159" s="2"/>
      <c r="F159" s="2"/>
      <c r="G159" s="2"/>
      <c r="H159" s="2"/>
      <c r="I159" s="6">
        <f>SUM([Pre Answers])</f>
        <v>61</v>
      </c>
      <c r="J159" s="6">
        <f>SUM([Post Answers])</f>
        <v>96</v>
      </c>
      <c r="K159" s="2">
        <f>SUM([Pre Total])</f>
        <v>177</v>
      </c>
      <c r="L159" s="2">
        <f>SUM([Post Total])</f>
        <v>321.5</v>
      </c>
      <c r="M159" s="2">
        <f>SUM([Pre Total (Pooled)])</f>
        <v>167</v>
      </c>
      <c r="N159" s="2">
        <f>SUM([Post Total (Pooled)])</f>
        <v>185.5</v>
      </c>
      <c r="O159" s="2">
        <f>SUM([Change])</f>
        <v>18.5</v>
      </c>
      <c r="P159" s="2">
        <f>COUNTIF([Number 2 Resp],TRUE)</f>
        <v>58</v>
      </c>
      <c r="Q159" s="2">
        <f>SUM([If Male])</f>
        <v>11.5</v>
      </c>
      <c r="R159" s="2">
        <f>SUM([If Female])</f>
        <v>7</v>
      </c>
      <c r="S159" s="2">
        <f>COUNTIF([Male Answers],"TRUE")</f>
        <v>37</v>
      </c>
      <c r="T159" s="2">
        <f>COUNTIF([Female Answers],"TRUE")</f>
        <v>21</v>
      </c>
    </row>
    <row r="160" spans="1:20">
      <c r="A160" s="2"/>
      <c r="B160" s="2"/>
      <c r="C160" s="2"/>
      <c r="D160" s="2"/>
      <c r="E160" s="2"/>
      <c r="F160" s="2"/>
      <c r="G160" s="2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11">
      <c r="A161" s="1" t="s">
        <v>175</v>
      </c>
    </row>
    <row r="162" spans="1:11" ht="30">
      <c r="A162" s="16" t="s">
        <v>172</v>
      </c>
      <c r="B162" s="16" t="s">
        <v>36</v>
      </c>
      <c r="C162" s="16" t="s">
        <v>37</v>
      </c>
      <c r="D162" s="16" t="s">
        <v>68</v>
      </c>
      <c r="E162" s="16" t="s">
        <v>69</v>
      </c>
      <c r="F162" s="16"/>
      <c r="G162" s="16"/>
      <c r="H162" s="16"/>
      <c r="I162" s="16"/>
      <c r="J162" s="16"/>
      <c r="K162" s="16"/>
    </row>
    <row r="163" spans="1:11">
      <c r="A163" s="1" t="s">
        <v>7</v>
      </c>
      <c r="B163" s="1">
        <f>COUNTIF(Table442466[Gender],"Male")</f>
        <v>39</v>
      </c>
      <c r="C163" s="1">
        <f>Table442466[[#Totals],[Male Answers]]</f>
        <v>37</v>
      </c>
      <c r="D163" s="1">
        <f>Table442466[[#Totals],[If Male]]/Table5122567[[#This Row],[Total Answers]]</f>
        <v>0.3108108108108108</v>
      </c>
      <c r="E163" s="1">
        <f>STDEV(Table442466[If Male])</f>
        <v>0.65987531809837796</v>
      </c>
    </row>
    <row r="164" spans="1:11">
      <c r="A164" s="1" t="s">
        <v>13</v>
      </c>
      <c r="B164" s="1">
        <f>COUNTIF(Table442466[Gender],"Female")</f>
        <v>22</v>
      </c>
      <c r="C164" s="1">
        <f>Table442466[[#Totals],[Female Answers]]</f>
        <v>21</v>
      </c>
      <c r="D164" s="1">
        <f>Table442466[[#Totals],[If Female]]/Table5122567[[#This Row],[Total Answers]]</f>
        <v>0.33333333333333331</v>
      </c>
      <c r="E164" s="1">
        <f>STDEV(Table442466[If Female])</f>
        <v>0.79582242575422146</v>
      </c>
    </row>
    <row r="168" spans="1:11">
      <c r="A168"/>
      <c r="B168" s="16"/>
      <c r="C168" s="16"/>
      <c r="D168" s="16"/>
      <c r="E168" s="16"/>
    </row>
    <row r="169" spans="1:11">
      <c r="A169"/>
      <c r="D169" s="5"/>
    </row>
    <row r="170" spans="1:11">
      <c r="A170"/>
      <c r="D170" s="5"/>
    </row>
  </sheetData>
  <conditionalFormatting sqref="C168 G2:H158 F161 F165:F205 G159:G160">
    <cfRule type="cellIs" dxfId="461" priority="5" operator="equal">
      <formula>"No"</formula>
    </cfRule>
    <cfRule type="cellIs" dxfId="460" priority="6" operator="equal">
      <formula>"Yes"</formula>
    </cfRule>
  </conditionalFormatting>
  <conditionalFormatting sqref="G161 G165:G205 F162:F164 H2:H160">
    <cfRule type="cellIs" dxfId="459" priority="3" operator="equal">
      <formula>"Yes"</formula>
    </cfRule>
    <cfRule type="cellIs" dxfId="458" priority="4" operator="equal">
      <formula>"No"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/>
  </sheetPr>
  <dimension ref="A1:T119"/>
  <sheetViews>
    <sheetView workbookViewId="0">
      <pane ySplit="1" topLeftCell="A76" activePane="bottomLeft" state="frozen"/>
      <selection activeCell="C168" sqref="C168"/>
      <selection pane="bottomLeft" activeCell="C168" sqref="C168"/>
    </sheetView>
  </sheetViews>
  <sheetFormatPr defaultColWidth="16.7109375" defaultRowHeight="15"/>
  <cols>
    <col min="1" max="16384" width="16.7109375" style="1"/>
  </cols>
  <sheetData>
    <row r="1" spans="1:20">
      <c r="A1" s="1" t="s">
        <v>11</v>
      </c>
      <c r="B1" s="1" t="s">
        <v>0</v>
      </c>
      <c r="C1" s="1" t="s">
        <v>1</v>
      </c>
      <c r="D1" s="1" t="s">
        <v>4</v>
      </c>
      <c r="E1" s="1" t="s">
        <v>170</v>
      </c>
      <c r="F1" s="1" t="s">
        <v>2</v>
      </c>
      <c r="G1" s="1" t="s">
        <v>3</v>
      </c>
      <c r="H1" s="1" t="s">
        <v>20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88</v>
      </c>
      <c r="N1" s="1" t="s">
        <v>89</v>
      </c>
      <c r="O1" s="1" t="s">
        <v>72</v>
      </c>
      <c r="P1" s="1" t="s">
        <v>83</v>
      </c>
      <c r="Q1" s="19" t="s">
        <v>168</v>
      </c>
      <c r="R1" s="19" t="s">
        <v>169</v>
      </c>
      <c r="S1" s="19" t="s">
        <v>173</v>
      </c>
      <c r="T1" s="19" t="s">
        <v>174</v>
      </c>
    </row>
    <row r="2" spans="1:20">
      <c r="A2" s="1" t="s">
        <v>12</v>
      </c>
      <c r="B2" s="2" t="s">
        <v>5</v>
      </c>
      <c r="C2" s="1">
        <v>1</v>
      </c>
      <c r="D2" s="2" t="s">
        <v>16</v>
      </c>
      <c r="E2" s="5" t="s">
        <v>171</v>
      </c>
      <c r="F2" s="1">
        <v>2</v>
      </c>
      <c r="G2" s="2">
        <v>3</v>
      </c>
      <c r="I2" s="5" t="str">
        <f>IF(IF(Table4463[[#This Row],[Pre or Post]]="Pre",1,0)+IF(ISNUMBER(Table4463[[#This Row],[Response]])=TRUE,1,0)=2,1,"")</f>
        <v/>
      </c>
      <c r="J2" s="5">
        <f>IF(IF(Table4463[[#This Row],[Pre or Post]]="Post",1,0)+IF(ISNUMBER(Table4463[[#This Row],[Response]])=TRUE,1,0)=2,1,"")</f>
        <v>1</v>
      </c>
      <c r="K2" s="5" t="str">
        <f>IF(IF(Table4463[[#This Row],[Pre or Post]]="Pre",1,0)+IF(ISNUMBER(Table4463[[#This Row],[Response]])=TRUE,1,0)=2,Table4463[[#This Row],[Response]],"")</f>
        <v/>
      </c>
      <c r="L2" s="5">
        <f>IF(IF(Table4463[[#This Row],[Pre or Post]]="Post",1,0)+IF(ISNUMBER(Table4463[[#This Row],[Response]])=TRUE,1,0)=2,Table4463[[#This Row],[Response]],"")</f>
        <v>3</v>
      </c>
      <c r="M2" s="6" t="str">
        <f>IF(IF(ISNUMBER(K2),1,0)+IF(ISNUMBER(L3),1,0)=2,IF(IF(C3=C2,1,0)+IF(B3=B2,1,0)+IF(D3="Post",1,0)+IF(D2="Pre",1,0)=4,Table4463[[#This Row],[Pre Total]],""),"")</f>
        <v/>
      </c>
      <c r="N2" s="6" t="str">
        <f>IF(IF(ISNUMBER(K1),1,0)+IF(ISNUMBER(Table4463[[#This Row],[Post Total]]),1,0)=2,IF(IF(Table4463[[#This Row],[Student Number]]=C1,1,0)+IF(Table4463[[#This Row],[Session]]=B1,1,0)+IF(Table4463[[#This Row],[Pre or Post]]="Post",1,0)+IF(D1="Pre",1,0)=4,Table4463[[#This Row],[Post Total]],""),"")</f>
        <v/>
      </c>
      <c r="O2" s="6" t="str">
        <f>IF(IF(ISNUMBER(K1),1,0)+IF(ISNUMBER(Table4463[[#This Row],[Post Total]]),1,0)=2,IF(IF(Table4463[[#This Row],[Student Number]]=C1,1,0)+IF(Table4463[[#This Row],[Session]]=B1,1,0)+IF(Table4463[[#This Row],[Pre or Post]]="Post",1,0)+IF(D1="Pre",1,0)=4,Table4463[[#This Row],[Post Total]]-K1,""),"")</f>
        <v/>
      </c>
      <c r="P2" s="5" t="b">
        <f>ISNUMBER(Table4463[[#This Row],[Change]])</f>
        <v>0</v>
      </c>
      <c r="Q2" s="5" t="str">
        <f>IF(E1="Male",Table4463[[#This Row],[Change]],"")</f>
        <v/>
      </c>
      <c r="R2" s="5" t="str">
        <f>IF(E1="Female",Table4463[[#This Row],[Change]],"")</f>
        <v/>
      </c>
      <c r="S2" s="5" t="b">
        <f>ISNUMBER(Table4463[[#This Row],[If Male]])</f>
        <v>0</v>
      </c>
      <c r="T2" s="5" t="b">
        <f>ISNUMBER(Table4463[[#This Row],[If Female]])</f>
        <v>0</v>
      </c>
    </row>
    <row r="3" spans="1:20">
      <c r="A3" s="1" t="s">
        <v>12</v>
      </c>
      <c r="B3" s="2" t="s">
        <v>5</v>
      </c>
      <c r="C3" s="1">
        <v>2</v>
      </c>
      <c r="D3" s="2" t="s">
        <v>16</v>
      </c>
      <c r="E3" s="5" t="s">
        <v>171</v>
      </c>
      <c r="F3" s="1">
        <v>2</v>
      </c>
      <c r="G3" s="1">
        <v>3</v>
      </c>
      <c r="I3" s="5" t="str">
        <f>IF(IF(Table4463[[#This Row],[Pre or Post]]="Pre",1,0)+IF(ISNUMBER(Table4463[[#This Row],[Response]])=TRUE,1,0)=2,1,"")</f>
        <v/>
      </c>
      <c r="J3" s="5">
        <f>IF(IF(Table4463[[#This Row],[Pre or Post]]="Post",1,0)+IF(ISNUMBER(Table4463[[#This Row],[Response]])=TRUE,1,0)=2,1,"")</f>
        <v>1</v>
      </c>
      <c r="K3" s="5" t="str">
        <f>IF(IF(Table4463[[#This Row],[Pre or Post]]="Pre",1,0)+IF(ISNUMBER(Table4463[[#This Row],[Response]])=TRUE,1,0)=2,Table4463[[#This Row],[Response]],"")</f>
        <v/>
      </c>
      <c r="L3" s="5">
        <f>IF(IF(Table4463[[#This Row],[Pre or Post]]="Post",1,0)+IF(ISNUMBER(Table4463[[#This Row],[Response]])=TRUE,1,0)=2,Table4463[[#This Row],[Response]],"")</f>
        <v>3</v>
      </c>
      <c r="M3" s="6" t="str">
        <f>IF(IF(ISNUMBER(K3),1,0)+IF(ISNUMBER(L4),1,0)=2,IF(IF(C4=C3,1,0)+IF(B4=B3,1,0)+IF(D4="Post",1,0)+IF(D3="Pre",1,0)=4,Table4463[[#This Row],[Pre Total]],""),"")</f>
        <v/>
      </c>
      <c r="N3" s="6" t="str">
        <f>IF(IF(ISNUMBER(K2),1,0)+IF(ISNUMBER(Table4463[[#This Row],[Post Total]]),1,0)=2,IF(IF(Table4463[[#This Row],[Student Number]]=C2,1,0)+IF(Table4463[[#This Row],[Session]]=B2,1,0)+IF(Table4463[[#This Row],[Pre or Post]]="Post",1,0)+IF(D2="Pre",1,0)=4,Table4463[[#This Row],[Post Total]],""),"")</f>
        <v/>
      </c>
      <c r="O3" s="6" t="str">
        <f>IF(IF(ISNUMBER(K2),1,0)+IF(ISNUMBER(Table4463[[#This Row],[Post Total]]),1,0)=2,IF(IF(Table4463[[#This Row],[Student Number]]=C2,1,0)+IF(Table4463[[#This Row],[Session]]=B2,1,0)+IF(Table4463[[#This Row],[Pre or Post]]="Post",1,0)+IF(D2="Pre",1,0)=4,Table4463[[#This Row],[Post Total]]-K2,""),"")</f>
        <v/>
      </c>
      <c r="P3" s="5" t="b">
        <f>ISNUMBER(Table4463[[#This Row],[Change]])</f>
        <v>0</v>
      </c>
      <c r="Q3" s="5" t="str">
        <f>IF(E2="Male",Table4463[[#This Row],[Change]],"")</f>
        <v/>
      </c>
      <c r="R3" s="5" t="str">
        <f>IF(E2="Female",Table4463[[#This Row],[Change]],"")</f>
        <v/>
      </c>
      <c r="S3" s="5" t="b">
        <f>ISNUMBER(Table4463[[#This Row],[If Male]])</f>
        <v>0</v>
      </c>
      <c r="T3" s="5" t="b">
        <f>ISNUMBER(Table4463[[#This Row],[If Female]])</f>
        <v>0</v>
      </c>
    </row>
    <row r="4" spans="1:20">
      <c r="A4" s="1" t="s">
        <v>12</v>
      </c>
      <c r="B4" s="2" t="s">
        <v>5</v>
      </c>
      <c r="C4" s="1">
        <v>3</v>
      </c>
      <c r="D4" s="2" t="s">
        <v>16</v>
      </c>
      <c r="E4" s="5" t="s">
        <v>171</v>
      </c>
      <c r="F4" s="1">
        <v>2</v>
      </c>
      <c r="G4" s="1">
        <v>3</v>
      </c>
      <c r="I4" s="5" t="str">
        <f>IF(IF(Table4463[[#This Row],[Pre or Post]]="Pre",1,0)+IF(ISNUMBER(Table4463[[#This Row],[Response]])=TRUE,1,0)=2,1,"")</f>
        <v/>
      </c>
      <c r="J4" s="5">
        <f>IF(IF(Table4463[[#This Row],[Pre or Post]]="Post",1,0)+IF(ISNUMBER(Table4463[[#This Row],[Response]])=TRUE,1,0)=2,1,"")</f>
        <v>1</v>
      </c>
      <c r="K4" s="5" t="str">
        <f>IF(IF(Table4463[[#This Row],[Pre or Post]]="Pre",1,0)+IF(ISNUMBER(Table4463[[#This Row],[Response]])=TRUE,1,0)=2,Table4463[[#This Row],[Response]],"")</f>
        <v/>
      </c>
      <c r="L4" s="5">
        <f>IF(IF(Table4463[[#This Row],[Pre or Post]]="Post",1,0)+IF(ISNUMBER(Table4463[[#This Row],[Response]])=TRUE,1,0)=2,Table4463[[#This Row],[Response]],"")</f>
        <v>3</v>
      </c>
      <c r="M4" s="6" t="str">
        <f>IF(IF(ISNUMBER(K4),1,0)+IF(ISNUMBER(L5),1,0)=2,IF(IF(C5=C4,1,0)+IF(B5=B4,1,0)+IF(D5="Post",1,0)+IF(D4="Pre",1,0)=4,Table4463[[#This Row],[Pre Total]],""),"")</f>
        <v/>
      </c>
      <c r="N4" s="6" t="str">
        <f>IF(IF(ISNUMBER(K3),1,0)+IF(ISNUMBER(Table4463[[#This Row],[Post Total]]),1,0)=2,IF(IF(Table4463[[#This Row],[Student Number]]=C3,1,0)+IF(Table4463[[#This Row],[Session]]=B3,1,0)+IF(Table4463[[#This Row],[Pre or Post]]="Post",1,0)+IF(D3="Pre",1,0)=4,Table4463[[#This Row],[Post Total]],""),"")</f>
        <v/>
      </c>
      <c r="O4" s="6" t="str">
        <f>IF(IF(ISNUMBER(K3),1,0)+IF(ISNUMBER(Table4463[[#This Row],[Post Total]]),1,0)=2,IF(IF(Table4463[[#This Row],[Student Number]]=C3,1,0)+IF(Table4463[[#This Row],[Session]]=B3,1,0)+IF(Table4463[[#This Row],[Pre or Post]]="Post",1,0)+IF(D3="Pre",1,0)=4,Table4463[[#This Row],[Post Total]]-K3,""),"")</f>
        <v/>
      </c>
      <c r="P4" s="5" t="b">
        <f>ISNUMBER(Table4463[[#This Row],[Change]])</f>
        <v>0</v>
      </c>
      <c r="Q4" s="5" t="str">
        <f>IF(E3="Male",Table4463[[#This Row],[Change]],"")</f>
        <v/>
      </c>
      <c r="R4" s="5" t="str">
        <f>IF(E3="Female",Table4463[[#This Row],[Change]],"")</f>
        <v/>
      </c>
      <c r="S4" s="5" t="b">
        <f>ISNUMBER(Table4463[[#This Row],[If Male]])</f>
        <v>0</v>
      </c>
      <c r="T4" s="5" t="b">
        <f>ISNUMBER(Table4463[[#This Row],[If Female]])</f>
        <v>0</v>
      </c>
    </row>
    <row r="5" spans="1:20">
      <c r="A5" s="1" t="s">
        <v>12</v>
      </c>
      <c r="B5" s="2" t="s">
        <v>5</v>
      </c>
      <c r="C5" s="1">
        <v>4</v>
      </c>
      <c r="D5" s="2" t="s">
        <v>16</v>
      </c>
      <c r="E5" s="5" t="s">
        <v>171</v>
      </c>
      <c r="F5" s="1">
        <v>2</v>
      </c>
      <c r="G5" s="1">
        <v>3</v>
      </c>
      <c r="I5" s="5" t="str">
        <f>IF(IF(Table4463[[#This Row],[Pre or Post]]="Pre",1,0)+IF(ISNUMBER(Table4463[[#This Row],[Response]])=TRUE,1,0)=2,1,"")</f>
        <v/>
      </c>
      <c r="J5" s="5">
        <f>IF(IF(Table4463[[#This Row],[Pre or Post]]="Post",1,0)+IF(ISNUMBER(Table4463[[#This Row],[Response]])=TRUE,1,0)=2,1,"")</f>
        <v>1</v>
      </c>
      <c r="K5" s="5" t="str">
        <f>IF(IF(Table4463[[#This Row],[Pre or Post]]="Pre",1,0)+IF(ISNUMBER(Table4463[[#This Row],[Response]])=TRUE,1,0)=2,Table4463[[#This Row],[Response]],"")</f>
        <v/>
      </c>
      <c r="L5" s="5">
        <f>IF(IF(Table4463[[#This Row],[Pre or Post]]="Post",1,0)+IF(ISNUMBER(Table4463[[#This Row],[Response]])=TRUE,1,0)=2,Table4463[[#This Row],[Response]],"")</f>
        <v>3</v>
      </c>
      <c r="M5" s="6" t="str">
        <f>IF(IF(ISNUMBER(K5),1,0)+IF(ISNUMBER(L6),1,0)=2,IF(IF(C6=C5,1,0)+IF(B6=B5,1,0)+IF(D6="Post",1,0)+IF(D5="Pre",1,0)=4,Table4463[[#This Row],[Pre Total]],""),"")</f>
        <v/>
      </c>
      <c r="N5" s="6" t="str">
        <f>IF(IF(ISNUMBER(K4),1,0)+IF(ISNUMBER(Table4463[[#This Row],[Post Total]]),1,0)=2,IF(IF(Table4463[[#This Row],[Student Number]]=C4,1,0)+IF(Table4463[[#This Row],[Session]]=B4,1,0)+IF(Table4463[[#This Row],[Pre or Post]]="Post",1,0)+IF(D4="Pre",1,0)=4,Table4463[[#This Row],[Post Total]],""),"")</f>
        <v/>
      </c>
      <c r="O5" s="6" t="str">
        <f>IF(IF(ISNUMBER(K4),1,0)+IF(ISNUMBER(Table4463[[#This Row],[Post Total]]),1,0)=2,IF(IF(Table4463[[#This Row],[Student Number]]=C4,1,0)+IF(Table4463[[#This Row],[Session]]=B4,1,0)+IF(Table4463[[#This Row],[Pre or Post]]="Post",1,0)+IF(D4="Pre",1,0)=4,Table4463[[#This Row],[Post Total]]-K4,""),"")</f>
        <v/>
      </c>
      <c r="P5" s="5" t="b">
        <f>ISNUMBER(Table4463[[#This Row],[Change]])</f>
        <v>0</v>
      </c>
      <c r="Q5" s="5" t="str">
        <f>IF(E4="Male",Table4463[[#This Row],[Change]],"")</f>
        <v/>
      </c>
      <c r="R5" s="5" t="str">
        <f>IF(E4="Female",Table4463[[#This Row],[Change]],"")</f>
        <v/>
      </c>
      <c r="S5" s="5" t="b">
        <f>ISNUMBER(Table4463[[#This Row],[If Male]])</f>
        <v>0</v>
      </c>
      <c r="T5" s="5" t="b">
        <f>ISNUMBER(Table4463[[#This Row],[If Female]])</f>
        <v>0</v>
      </c>
    </row>
    <row r="6" spans="1:20">
      <c r="A6" s="1" t="s">
        <v>12</v>
      </c>
      <c r="B6" s="2" t="s">
        <v>5</v>
      </c>
      <c r="C6" s="1">
        <v>5</v>
      </c>
      <c r="D6" s="2" t="s">
        <v>16</v>
      </c>
      <c r="E6" s="5" t="s">
        <v>171</v>
      </c>
      <c r="F6" s="1">
        <v>2</v>
      </c>
      <c r="G6" s="1">
        <v>3</v>
      </c>
      <c r="I6" s="5" t="str">
        <f>IF(IF(Table4463[[#This Row],[Pre or Post]]="Pre",1,0)+IF(ISNUMBER(Table4463[[#This Row],[Response]])=TRUE,1,0)=2,1,"")</f>
        <v/>
      </c>
      <c r="J6" s="5">
        <f>IF(IF(Table4463[[#This Row],[Pre or Post]]="Post",1,0)+IF(ISNUMBER(Table4463[[#This Row],[Response]])=TRUE,1,0)=2,1,"")</f>
        <v>1</v>
      </c>
      <c r="K6" s="5" t="str">
        <f>IF(IF(Table4463[[#This Row],[Pre or Post]]="Pre",1,0)+IF(ISNUMBER(Table4463[[#This Row],[Response]])=TRUE,1,0)=2,Table4463[[#This Row],[Response]],"")</f>
        <v/>
      </c>
      <c r="L6" s="5">
        <f>IF(IF(Table4463[[#This Row],[Pre or Post]]="Post",1,0)+IF(ISNUMBER(Table4463[[#This Row],[Response]])=TRUE,1,0)=2,Table4463[[#This Row],[Response]],"")</f>
        <v>3</v>
      </c>
      <c r="M6" s="6" t="str">
        <f>IF(IF(ISNUMBER(K6),1,0)+IF(ISNUMBER(L7),1,0)=2,IF(IF(C7=C6,1,0)+IF(B7=B6,1,0)+IF(D7="Post",1,0)+IF(D6="Pre",1,0)=4,Table4463[[#This Row],[Pre Total]],""),"")</f>
        <v/>
      </c>
      <c r="N6" s="6" t="str">
        <f>IF(IF(ISNUMBER(K5),1,0)+IF(ISNUMBER(Table4463[[#This Row],[Post Total]]),1,0)=2,IF(IF(Table4463[[#This Row],[Student Number]]=C5,1,0)+IF(Table4463[[#This Row],[Session]]=B5,1,0)+IF(Table4463[[#This Row],[Pre or Post]]="Post",1,0)+IF(D5="Pre",1,0)=4,Table4463[[#This Row],[Post Total]],""),"")</f>
        <v/>
      </c>
      <c r="O6" s="6" t="str">
        <f>IF(IF(ISNUMBER(K5),1,0)+IF(ISNUMBER(Table4463[[#This Row],[Post Total]]),1,0)=2,IF(IF(Table4463[[#This Row],[Student Number]]=C5,1,0)+IF(Table4463[[#This Row],[Session]]=B5,1,0)+IF(Table4463[[#This Row],[Pre or Post]]="Post",1,0)+IF(D5="Pre",1,0)=4,Table4463[[#This Row],[Post Total]]-K5,""),"")</f>
        <v/>
      </c>
      <c r="P6" s="5" t="b">
        <f>ISNUMBER(Table4463[[#This Row],[Change]])</f>
        <v>0</v>
      </c>
      <c r="Q6" s="5" t="str">
        <f>IF(E5="Male",Table4463[[#This Row],[Change]],"")</f>
        <v/>
      </c>
      <c r="R6" s="5" t="str">
        <f>IF(E5="Female",Table4463[[#This Row],[Change]],"")</f>
        <v/>
      </c>
      <c r="S6" s="5" t="b">
        <f>ISNUMBER(Table4463[[#This Row],[If Male]])</f>
        <v>0</v>
      </c>
      <c r="T6" s="5" t="b">
        <f>ISNUMBER(Table4463[[#This Row],[If Female]])</f>
        <v>0</v>
      </c>
    </row>
    <row r="7" spans="1:20">
      <c r="A7" s="1" t="s">
        <v>12</v>
      </c>
      <c r="B7" s="2" t="s">
        <v>5</v>
      </c>
      <c r="C7" s="1">
        <v>6</v>
      </c>
      <c r="D7" s="2" t="s">
        <v>16</v>
      </c>
      <c r="E7" s="5" t="s">
        <v>171</v>
      </c>
      <c r="F7" s="1">
        <v>2</v>
      </c>
      <c r="G7" s="1">
        <v>3</v>
      </c>
      <c r="I7" s="5" t="str">
        <f>IF(IF(Table4463[[#This Row],[Pre or Post]]="Pre",1,0)+IF(ISNUMBER(Table4463[[#This Row],[Response]])=TRUE,1,0)=2,1,"")</f>
        <v/>
      </c>
      <c r="J7" s="5">
        <f>IF(IF(Table4463[[#This Row],[Pre or Post]]="Post",1,0)+IF(ISNUMBER(Table4463[[#This Row],[Response]])=TRUE,1,0)=2,1,"")</f>
        <v>1</v>
      </c>
      <c r="K7" s="5" t="str">
        <f>IF(IF(Table4463[[#This Row],[Pre or Post]]="Pre",1,0)+IF(ISNUMBER(Table4463[[#This Row],[Response]])=TRUE,1,0)=2,Table4463[[#This Row],[Response]],"")</f>
        <v/>
      </c>
      <c r="L7" s="5">
        <f>IF(IF(Table4463[[#This Row],[Pre or Post]]="Post",1,0)+IF(ISNUMBER(Table4463[[#This Row],[Response]])=TRUE,1,0)=2,Table4463[[#This Row],[Response]],"")</f>
        <v>3</v>
      </c>
      <c r="M7" s="6" t="str">
        <f>IF(IF(ISNUMBER(K7),1,0)+IF(ISNUMBER(L8),1,0)=2,IF(IF(C8=C7,1,0)+IF(B8=B7,1,0)+IF(D8="Post",1,0)+IF(D7="Pre",1,0)=4,Table4463[[#This Row],[Pre Total]],""),"")</f>
        <v/>
      </c>
      <c r="N7" s="6" t="str">
        <f>IF(IF(ISNUMBER(K6),1,0)+IF(ISNUMBER(Table4463[[#This Row],[Post Total]]),1,0)=2,IF(IF(Table4463[[#This Row],[Student Number]]=C6,1,0)+IF(Table4463[[#This Row],[Session]]=B6,1,0)+IF(Table4463[[#This Row],[Pre or Post]]="Post",1,0)+IF(D6="Pre",1,0)=4,Table4463[[#This Row],[Post Total]],""),"")</f>
        <v/>
      </c>
      <c r="O7" s="6" t="str">
        <f>IF(IF(ISNUMBER(K6),1,0)+IF(ISNUMBER(Table4463[[#This Row],[Post Total]]),1,0)=2,IF(IF(Table4463[[#This Row],[Student Number]]=C6,1,0)+IF(Table4463[[#This Row],[Session]]=B6,1,0)+IF(Table4463[[#This Row],[Pre or Post]]="Post",1,0)+IF(D6="Pre",1,0)=4,Table4463[[#This Row],[Post Total]]-K6,""),"")</f>
        <v/>
      </c>
      <c r="P7" s="5" t="b">
        <f>ISNUMBER(Table4463[[#This Row],[Change]])</f>
        <v>0</v>
      </c>
      <c r="Q7" s="5" t="str">
        <f>IF(E6="Male",Table4463[[#This Row],[Change]],"")</f>
        <v/>
      </c>
      <c r="R7" s="5" t="str">
        <f>IF(E6="Female",Table4463[[#This Row],[Change]],"")</f>
        <v/>
      </c>
      <c r="S7" s="5" t="b">
        <f>ISNUMBER(Table4463[[#This Row],[If Male]])</f>
        <v>0</v>
      </c>
      <c r="T7" s="5" t="b">
        <f>ISNUMBER(Table4463[[#This Row],[If Female]])</f>
        <v>0</v>
      </c>
    </row>
    <row r="8" spans="1:20">
      <c r="A8" s="1" t="s">
        <v>12</v>
      </c>
      <c r="B8" s="2" t="s">
        <v>5</v>
      </c>
      <c r="C8" s="1">
        <v>7</v>
      </c>
      <c r="D8" s="2" t="s">
        <v>16</v>
      </c>
      <c r="E8" s="5" t="s">
        <v>171</v>
      </c>
      <c r="F8" s="1">
        <v>2</v>
      </c>
      <c r="G8" s="1">
        <v>3</v>
      </c>
      <c r="I8" s="5" t="str">
        <f>IF(IF(Table4463[[#This Row],[Pre or Post]]="Pre",1,0)+IF(ISNUMBER(Table4463[[#This Row],[Response]])=TRUE,1,0)=2,1,"")</f>
        <v/>
      </c>
      <c r="J8" s="5">
        <f>IF(IF(Table4463[[#This Row],[Pre or Post]]="Post",1,0)+IF(ISNUMBER(Table4463[[#This Row],[Response]])=TRUE,1,0)=2,1,"")</f>
        <v>1</v>
      </c>
      <c r="K8" s="5" t="str">
        <f>IF(IF(Table4463[[#This Row],[Pre or Post]]="Pre",1,0)+IF(ISNUMBER(Table4463[[#This Row],[Response]])=TRUE,1,0)=2,Table4463[[#This Row],[Response]],"")</f>
        <v/>
      </c>
      <c r="L8" s="5">
        <f>IF(IF(Table4463[[#This Row],[Pre or Post]]="Post",1,0)+IF(ISNUMBER(Table4463[[#This Row],[Response]])=TRUE,1,0)=2,Table4463[[#This Row],[Response]],"")</f>
        <v>3</v>
      </c>
      <c r="M8" s="6" t="str">
        <f>IF(IF(ISNUMBER(K8),1,0)+IF(ISNUMBER(L9),1,0)=2,IF(IF(C9=C8,1,0)+IF(B9=B8,1,0)+IF(D9="Post",1,0)+IF(D8="Pre",1,0)=4,Table4463[[#This Row],[Pre Total]],""),"")</f>
        <v/>
      </c>
      <c r="N8" s="6" t="str">
        <f>IF(IF(ISNUMBER(K7),1,0)+IF(ISNUMBER(Table4463[[#This Row],[Post Total]]),1,0)=2,IF(IF(Table4463[[#This Row],[Student Number]]=C7,1,0)+IF(Table4463[[#This Row],[Session]]=B7,1,0)+IF(Table4463[[#This Row],[Pre or Post]]="Post",1,0)+IF(D7="Pre",1,0)=4,Table4463[[#This Row],[Post Total]],""),"")</f>
        <v/>
      </c>
      <c r="O8" s="6" t="str">
        <f>IF(IF(ISNUMBER(K7),1,0)+IF(ISNUMBER(Table4463[[#This Row],[Post Total]]),1,0)=2,IF(IF(Table4463[[#This Row],[Student Number]]=C7,1,0)+IF(Table4463[[#This Row],[Session]]=B7,1,0)+IF(Table4463[[#This Row],[Pre or Post]]="Post",1,0)+IF(D7="Pre",1,0)=4,Table4463[[#This Row],[Post Total]]-K7,""),"")</f>
        <v/>
      </c>
      <c r="P8" s="5" t="b">
        <f>ISNUMBER(Table4463[[#This Row],[Change]])</f>
        <v>0</v>
      </c>
      <c r="Q8" s="5" t="str">
        <f>IF(E7="Male",Table4463[[#This Row],[Change]],"")</f>
        <v/>
      </c>
      <c r="R8" s="5" t="str">
        <f>IF(E7="Female",Table4463[[#This Row],[Change]],"")</f>
        <v/>
      </c>
      <c r="S8" s="5" t="b">
        <f>ISNUMBER(Table4463[[#This Row],[If Male]])</f>
        <v>0</v>
      </c>
      <c r="T8" s="5" t="b">
        <f>ISNUMBER(Table4463[[#This Row],[If Female]])</f>
        <v>0</v>
      </c>
    </row>
    <row r="9" spans="1:20">
      <c r="A9" s="1" t="s">
        <v>12</v>
      </c>
      <c r="B9" s="2" t="s">
        <v>5</v>
      </c>
      <c r="C9" s="1">
        <v>8</v>
      </c>
      <c r="D9" s="2" t="s">
        <v>16</v>
      </c>
      <c r="E9" s="5" t="s">
        <v>171</v>
      </c>
      <c r="F9" s="1">
        <v>2</v>
      </c>
      <c r="G9" s="1">
        <v>3</v>
      </c>
      <c r="I9" s="5" t="str">
        <f>IF(IF(Table4463[[#This Row],[Pre or Post]]="Pre",1,0)+IF(ISNUMBER(Table4463[[#This Row],[Response]])=TRUE,1,0)=2,1,"")</f>
        <v/>
      </c>
      <c r="J9" s="5">
        <f>IF(IF(Table4463[[#This Row],[Pre or Post]]="Post",1,0)+IF(ISNUMBER(Table4463[[#This Row],[Response]])=TRUE,1,0)=2,1,"")</f>
        <v>1</v>
      </c>
      <c r="K9" s="5" t="str">
        <f>IF(IF(Table4463[[#This Row],[Pre or Post]]="Pre",1,0)+IF(ISNUMBER(Table4463[[#This Row],[Response]])=TRUE,1,0)=2,Table4463[[#This Row],[Response]],"")</f>
        <v/>
      </c>
      <c r="L9" s="5">
        <f>IF(IF(Table4463[[#This Row],[Pre or Post]]="Post",1,0)+IF(ISNUMBER(Table4463[[#This Row],[Response]])=TRUE,1,0)=2,Table4463[[#This Row],[Response]],"")</f>
        <v>3</v>
      </c>
      <c r="M9" s="6" t="str">
        <f>IF(IF(ISNUMBER(K9),1,0)+IF(ISNUMBER(L10),1,0)=2,IF(IF(C10=C9,1,0)+IF(B10=B9,1,0)+IF(D10="Post",1,0)+IF(D9="Pre",1,0)=4,Table4463[[#This Row],[Pre Total]],""),"")</f>
        <v/>
      </c>
      <c r="N9" s="6" t="str">
        <f>IF(IF(ISNUMBER(K8),1,0)+IF(ISNUMBER(Table4463[[#This Row],[Post Total]]),1,0)=2,IF(IF(Table4463[[#This Row],[Student Number]]=C8,1,0)+IF(Table4463[[#This Row],[Session]]=B8,1,0)+IF(Table4463[[#This Row],[Pre or Post]]="Post",1,0)+IF(D8="Pre",1,0)=4,Table4463[[#This Row],[Post Total]],""),"")</f>
        <v/>
      </c>
      <c r="O9" s="6" t="str">
        <f>IF(IF(ISNUMBER(K8),1,0)+IF(ISNUMBER(Table4463[[#This Row],[Post Total]]),1,0)=2,IF(IF(Table4463[[#This Row],[Student Number]]=C8,1,0)+IF(Table4463[[#This Row],[Session]]=B8,1,0)+IF(Table4463[[#This Row],[Pre or Post]]="Post",1,0)+IF(D8="Pre",1,0)=4,Table4463[[#This Row],[Post Total]]-K8,""),"")</f>
        <v/>
      </c>
      <c r="P9" s="5" t="b">
        <f>ISNUMBER(Table4463[[#This Row],[Change]])</f>
        <v>0</v>
      </c>
      <c r="Q9" s="5" t="str">
        <f>IF(E8="Male",Table4463[[#This Row],[Change]],"")</f>
        <v/>
      </c>
      <c r="R9" s="5" t="str">
        <f>IF(E8="Female",Table4463[[#This Row],[Change]],"")</f>
        <v/>
      </c>
      <c r="S9" s="5" t="b">
        <f>ISNUMBER(Table4463[[#This Row],[If Male]])</f>
        <v>0</v>
      </c>
      <c r="T9" s="5" t="b">
        <f>ISNUMBER(Table4463[[#This Row],[If Female]])</f>
        <v>0</v>
      </c>
    </row>
    <row r="10" spans="1:20">
      <c r="A10" s="1" t="s">
        <v>12</v>
      </c>
      <c r="B10" s="2" t="s">
        <v>5</v>
      </c>
      <c r="C10" s="1">
        <v>9</v>
      </c>
      <c r="D10" s="2" t="s">
        <v>16</v>
      </c>
      <c r="E10" s="5" t="s">
        <v>171</v>
      </c>
      <c r="F10" s="1">
        <v>2</v>
      </c>
      <c r="G10" s="1">
        <v>4</v>
      </c>
      <c r="I10" s="5" t="str">
        <f>IF(IF(Table4463[[#This Row],[Pre or Post]]="Pre",1,0)+IF(ISNUMBER(Table4463[[#This Row],[Response]])=TRUE,1,0)=2,1,"")</f>
        <v/>
      </c>
      <c r="J10" s="5">
        <f>IF(IF(Table4463[[#This Row],[Pre or Post]]="Post",1,0)+IF(ISNUMBER(Table4463[[#This Row],[Response]])=TRUE,1,0)=2,1,"")</f>
        <v>1</v>
      </c>
      <c r="K10" s="5" t="str">
        <f>IF(IF(Table4463[[#This Row],[Pre or Post]]="Pre",1,0)+IF(ISNUMBER(Table4463[[#This Row],[Response]])=TRUE,1,0)=2,Table4463[[#This Row],[Response]],"")</f>
        <v/>
      </c>
      <c r="L10" s="5">
        <f>IF(IF(Table4463[[#This Row],[Pre or Post]]="Post",1,0)+IF(ISNUMBER(Table4463[[#This Row],[Response]])=TRUE,1,0)=2,Table4463[[#This Row],[Response]],"")</f>
        <v>4</v>
      </c>
      <c r="M10" s="6" t="str">
        <f>IF(IF(ISNUMBER(K10),1,0)+IF(ISNUMBER(L11),1,0)=2,IF(IF(C11=C10,1,0)+IF(B11=B10,1,0)+IF(D11="Post",1,0)+IF(D10="Pre",1,0)=4,Table4463[[#This Row],[Pre Total]],""),"")</f>
        <v/>
      </c>
      <c r="N10" s="6" t="str">
        <f>IF(IF(ISNUMBER(K9),1,0)+IF(ISNUMBER(Table4463[[#This Row],[Post Total]]),1,0)=2,IF(IF(Table4463[[#This Row],[Student Number]]=C9,1,0)+IF(Table4463[[#This Row],[Session]]=B9,1,0)+IF(Table4463[[#This Row],[Pre or Post]]="Post",1,0)+IF(D9="Pre",1,0)=4,Table4463[[#This Row],[Post Total]],""),"")</f>
        <v/>
      </c>
      <c r="O10" s="6" t="str">
        <f>IF(IF(ISNUMBER(K9),1,0)+IF(ISNUMBER(Table4463[[#This Row],[Post Total]]),1,0)=2,IF(IF(Table4463[[#This Row],[Student Number]]=C9,1,0)+IF(Table4463[[#This Row],[Session]]=B9,1,0)+IF(Table4463[[#This Row],[Pre or Post]]="Post",1,0)+IF(D9="Pre",1,0)=4,Table4463[[#This Row],[Post Total]]-K9,""),"")</f>
        <v/>
      </c>
      <c r="P10" s="5" t="b">
        <f>ISNUMBER(Table4463[[#This Row],[Change]])</f>
        <v>0</v>
      </c>
      <c r="Q10" s="5" t="str">
        <f>IF(E9="Male",Table4463[[#This Row],[Change]],"")</f>
        <v/>
      </c>
      <c r="R10" s="5" t="str">
        <f>IF(E9="Female",Table4463[[#This Row],[Change]],"")</f>
        <v/>
      </c>
      <c r="S10" s="5" t="b">
        <f>ISNUMBER(Table4463[[#This Row],[If Male]])</f>
        <v>0</v>
      </c>
      <c r="T10" s="5" t="b">
        <f>ISNUMBER(Table4463[[#This Row],[If Female]])</f>
        <v>0</v>
      </c>
    </row>
    <row r="11" spans="1:20">
      <c r="A11" s="1" t="s">
        <v>12</v>
      </c>
      <c r="B11" s="2" t="s">
        <v>5</v>
      </c>
      <c r="C11" s="1">
        <v>10</v>
      </c>
      <c r="D11" s="2" t="s">
        <v>16</v>
      </c>
      <c r="E11" s="5" t="s">
        <v>171</v>
      </c>
      <c r="F11" s="1">
        <v>2</v>
      </c>
      <c r="G11" s="1">
        <v>4</v>
      </c>
      <c r="I11" s="5" t="str">
        <f>IF(IF(Table4463[[#This Row],[Pre or Post]]="Pre",1,0)+IF(ISNUMBER(Table4463[[#This Row],[Response]])=TRUE,1,0)=2,1,"")</f>
        <v/>
      </c>
      <c r="J11" s="5">
        <f>IF(IF(Table4463[[#This Row],[Pre or Post]]="Post",1,0)+IF(ISNUMBER(Table4463[[#This Row],[Response]])=TRUE,1,0)=2,1,"")</f>
        <v>1</v>
      </c>
      <c r="K11" s="5" t="str">
        <f>IF(IF(Table4463[[#This Row],[Pre or Post]]="Pre",1,0)+IF(ISNUMBER(Table4463[[#This Row],[Response]])=TRUE,1,0)=2,Table4463[[#This Row],[Response]],"")</f>
        <v/>
      </c>
      <c r="L11" s="5">
        <f>IF(IF(Table4463[[#This Row],[Pre or Post]]="Post",1,0)+IF(ISNUMBER(Table4463[[#This Row],[Response]])=TRUE,1,0)=2,Table4463[[#This Row],[Response]],"")</f>
        <v>4</v>
      </c>
      <c r="M11" s="6" t="str">
        <f>IF(IF(ISNUMBER(K11),1,0)+IF(ISNUMBER(L12),1,0)=2,IF(IF(C12=C11,1,0)+IF(B12=B11,1,0)+IF(D12="Post",1,0)+IF(D11="Pre",1,0)=4,Table4463[[#This Row],[Pre Total]],""),"")</f>
        <v/>
      </c>
      <c r="N11" s="6" t="str">
        <f>IF(IF(ISNUMBER(K10),1,0)+IF(ISNUMBER(Table4463[[#This Row],[Post Total]]),1,0)=2,IF(IF(Table4463[[#This Row],[Student Number]]=C10,1,0)+IF(Table4463[[#This Row],[Session]]=B10,1,0)+IF(Table4463[[#This Row],[Pre or Post]]="Post",1,0)+IF(D10="Pre",1,0)=4,Table4463[[#This Row],[Post Total]],""),"")</f>
        <v/>
      </c>
      <c r="O11" s="6" t="str">
        <f>IF(IF(ISNUMBER(K10),1,0)+IF(ISNUMBER(Table4463[[#This Row],[Post Total]]),1,0)=2,IF(IF(Table4463[[#This Row],[Student Number]]=C10,1,0)+IF(Table4463[[#This Row],[Session]]=B10,1,0)+IF(Table4463[[#This Row],[Pre or Post]]="Post",1,0)+IF(D10="Pre",1,0)=4,Table4463[[#This Row],[Post Total]]-K10,""),"")</f>
        <v/>
      </c>
      <c r="P11" s="5" t="b">
        <f>ISNUMBER(Table4463[[#This Row],[Change]])</f>
        <v>0</v>
      </c>
      <c r="Q11" s="5" t="str">
        <f>IF(E10="Male",Table4463[[#This Row],[Change]],"")</f>
        <v/>
      </c>
      <c r="R11" s="5" t="str">
        <f>IF(E10="Female",Table4463[[#This Row],[Change]],"")</f>
        <v/>
      </c>
      <c r="S11" s="5" t="b">
        <f>ISNUMBER(Table4463[[#This Row],[If Male]])</f>
        <v>0</v>
      </c>
      <c r="T11" s="5" t="b">
        <f>ISNUMBER(Table4463[[#This Row],[If Female]])</f>
        <v>0</v>
      </c>
    </row>
    <row r="12" spans="1:20">
      <c r="A12" s="1" t="s">
        <v>12</v>
      </c>
      <c r="B12" s="2" t="s">
        <v>5</v>
      </c>
      <c r="C12" s="1">
        <v>11</v>
      </c>
      <c r="D12" s="2" t="s">
        <v>16</v>
      </c>
      <c r="E12" s="5" t="s">
        <v>171</v>
      </c>
      <c r="F12" s="1">
        <v>2</v>
      </c>
      <c r="G12" s="1">
        <v>4</v>
      </c>
      <c r="I12" s="5" t="str">
        <f>IF(IF(Table4463[[#This Row],[Pre or Post]]="Pre",1,0)+IF(ISNUMBER(Table4463[[#This Row],[Response]])=TRUE,1,0)=2,1,"")</f>
        <v/>
      </c>
      <c r="J12" s="5">
        <f>IF(IF(Table4463[[#This Row],[Pre or Post]]="Post",1,0)+IF(ISNUMBER(Table4463[[#This Row],[Response]])=TRUE,1,0)=2,1,"")</f>
        <v>1</v>
      </c>
      <c r="K12" s="5" t="str">
        <f>IF(IF(Table4463[[#This Row],[Pre or Post]]="Pre",1,0)+IF(ISNUMBER(Table4463[[#This Row],[Response]])=TRUE,1,0)=2,Table4463[[#This Row],[Response]],"")</f>
        <v/>
      </c>
      <c r="L12" s="5">
        <f>IF(IF(Table4463[[#This Row],[Pre or Post]]="Post",1,0)+IF(ISNUMBER(Table4463[[#This Row],[Response]])=TRUE,1,0)=2,Table4463[[#This Row],[Response]],"")</f>
        <v>4</v>
      </c>
      <c r="M12" s="6" t="str">
        <f>IF(IF(ISNUMBER(K12),1,0)+IF(ISNUMBER(L13),1,0)=2,IF(IF(C13=C12,1,0)+IF(B13=B12,1,0)+IF(D13="Post",1,0)+IF(D12="Pre",1,0)=4,Table4463[[#This Row],[Pre Total]],""),"")</f>
        <v/>
      </c>
      <c r="N12" s="6" t="str">
        <f>IF(IF(ISNUMBER(K11),1,0)+IF(ISNUMBER(Table4463[[#This Row],[Post Total]]),1,0)=2,IF(IF(Table4463[[#This Row],[Student Number]]=C11,1,0)+IF(Table4463[[#This Row],[Session]]=B11,1,0)+IF(Table4463[[#This Row],[Pre or Post]]="Post",1,0)+IF(D11="Pre",1,0)=4,Table4463[[#This Row],[Post Total]],""),"")</f>
        <v/>
      </c>
      <c r="O12" s="6" t="str">
        <f>IF(IF(ISNUMBER(K11),1,0)+IF(ISNUMBER(Table4463[[#This Row],[Post Total]]),1,0)=2,IF(IF(Table4463[[#This Row],[Student Number]]=C11,1,0)+IF(Table4463[[#This Row],[Session]]=B11,1,0)+IF(Table4463[[#This Row],[Pre or Post]]="Post",1,0)+IF(D11="Pre",1,0)=4,Table4463[[#This Row],[Post Total]]-K11,""),"")</f>
        <v/>
      </c>
      <c r="P12" s="5" t="b">
        <f>ISNUMBER(Table4463[[#This Row],[Change]])</f>
        <v>0</v>
      </c>
      <c r="Q12" s="5" t="str">
        <f>IF(E11="Male",Table4463[[#This Row],[Change]],"")</f>
        <v/>
      </c>
      <c r="R12" s="5" t="str">
        <f>IF(E11="Female",Table4463[[#This Row],[Change]],"")</f>
        <v/>
      </c>
      <c r="S12" s="5" t="b">
        <f>ISNUMBER(Table4463[[#This Row],[If Male]])</f>
        <v>0</v>
      </c>
      <c r="T12" s="5" t="b">
        <f>ISNUMBER(Table4463[[#This Row],[If Female]])</f>
        <v>0</v>
      </c>
    </row>
    <row r="13" spans="1:20">
      <c r="A13" s="1" t="s">
        <v>12</v>
      </c>
      <c r="B13" s="2" t="s">
        <v>5</v>
      </c>
      <c r="C13" s="1">
        <v>12</v>
      </c>
      <c r="D13" s="2" t="s">
        <v>16</v>
      </c>
      <c r="E13" s="5" t="s">
        <v>171</v>
      </c>
      <c r="F13" s="1">
        <v>2</v>
      </c>
      <c r="G13" s="1">
        <v>3</v>
      </c>
      <c r="I13" s="5" t="str">
        <f>IF(IF(Table4463[[#This Row],[Pre or Post]]="Pre",1,0)+IF(ISNUMBER(Table4463[[#This Row],[Response]])=TRUE,1,0)=2,1,"")</f>
        <v/>
      </c>
      <c r="J13" s="5">
        <f>IF(IF(Table4463[[#This Row],[Pre or Post]]="Post",1,0)+IF(ISNUMBER(Table4463[[#This Row],[Response]])=TRUE,1,0)=2,1,"")</f>
        <v>1</v>
      </c>
      <c r="K13" s="5" t="str">
        <f>IF(IF(Table4463[[#This Row],[Pre or Post]]="Pre",1,0)+IF(ISNUMBER(Table4463[[#This Row],[Response]])=TRUE,1,0)=2,Table4463[[#This Row],[Response]],"")</f>
        <v/>
      </c>
      <c r="L13" s="5">
        <f>IF(IF(Table4463[[#This Row],[Pre or Post]]="Post",1,0)+IF(ISNUMBER(Table4463[[#This Row],[Response]])=TRUE,1,0)=2,Table4463[[#This Row],[Response]],"")</f>
        <v>3</v>
      </c>
      <c r="M13" s="6" t="str">
        <f>IF(IF(ISNUMBER(K13),1,0)+IF(ISNUMBER(L14),1,0)=2,IF(IF(C14=C13,1,0)+IF(B14=B13,1,0)+IF(D14="Post",1,0)+IF(D13="Pre",1,0)=4,Table4463[[#This Row],[Pre Total]],""),"")</f>
        <v/>
      </c>
      <c r="N13" s="6" t="str">
        <f>IF(IF(ISNUMBER(K12),1,0)+IF(ISNUMBER(Table4463[[#This Row],[Post Total]]),1,0)=2,IF(IF(Table4463[[#This Row],[Student Number]]=C12,1,0)+IF(Table4463[[#This Row],[Session]]=B12,1,0)+IF(Table4463[[#This Row],[Pre or Post]]="Post",1,0)+IF(D12="Pre",1,0)=4,Table4463[[#This Row],[Post Total]],""),"")</f>
        <v/>
      </c>
      <c r="O13" s="6" t="str">
        <f>IF(IF(ISNUMBER(K12),1,0)+IF(ISNUMBER(Table4463[[#This Row],[Post Total]]),1,0)=2,IF(IF(Table4463[[#This Row],[Student Number]]=C12,1,0)+IF(Table4463[[#This Row],[Session]]=B12,1,0)+IF(Table4463[[#This Row],[Pre or Post]]="Post",1,0)+IF(D12="Pre",1,0)=4,Table4463[[#This Row],[Post Total]]-K12,""),"")</f>
        <v/>
      </c>
      <c r="P13" s="5" t="b">
        <f>ISNUMBER(Table4463[[#This Row],[Change]])</f>
        <v>0</v>
      </c>
      <c r="Q13" s="5" t="str">
        <f>IF(E12="Male",Table4463[[#This Row],[Change]],"")</f>
        <v/>
      </c>
      <c r="R13" s="5" t="str">
        <f>IF(E12="Female",Table4463[[#This Row],[Change]],"")</f>
        <v/>
      </c>
      <c r="S13" s="5" t="b">
        <f>ISNUMBER(Table4463[[#This Row],[If Male]])</f>
        <v>0</v>
      </c>
      <c r="T13" s="5" t="b">
        <f>ISNUMBER(Table4463[[#This Row],[If Female]])</f>
        <v>0</v>
      </c>
    </row>
    <row r="14" spans="1:20">
      <c r="A14" s="1" t="s">
        <v>12</v>
      </c>
      <c r="B14" s="2" t="s">
        <v>5</v>
      </c>
      <c r="C14" s="1">
        <v>13</v>
      </c>
      <c r="D14" s="2" t="s">
        <v>16</v>
      </c>
      <c r="E14" s="5" t="s">
        <v>171</v>
      </c>
      <c r="F14" s="1">
        <v>2</v>
      </c>
      <c r="G14" s="1">
        <v>3</v>
      </c>
      <c r="I14" s="5" t="str">
        <f>IF(IF(Table4463[[#This Row],[Pre or Post]]="Pre",1,0)+IF(ISNUMBER(Table4463[[#This Row],[Response]])=TRUE,1,0)=2,1,"")</f>
        <v/>
      </c>
      <c r="J14" s="5">
        <f>IF(IF(Table4463[[#This Row],[Pre or Post]]="Post",1,0)+IF(ISNUMBER(Table4463[[#This Row],[Response]])=TRUE,1,0)=2,1,"")</f>
        <v>1</v>
      </c>
      <c r="K14" s="5" t="str">
        <f>IF(IF(Table4463[[#This Row],[Pre or Post]]="Pre",1,0)+IF(ISNUMBER(Table4463[[#This Row],[Response]])=TRUE,1,0)=2,Table4463[[#This Row],[Response]],"")</f>
        <v/>
      </c>
      <c r="L14" s="5">
        <f>IF(IF(Table4463[[#This Row],[Pre or Post]]="Post",1,0)+IF(ISNUMBER(Table4463[[#This Row],[Response]])=TRUE,1,0)=2,Table4463[[#This Row],[Response]],"")</f>
        <v>3</v>
      </c>
      <c r="M14" s="6" t="str">
        <f>IF(IF(ISNUMBER(K14),1,0)+IF(ISNUMBER(L15),1,0)=2,IF(IF(C15=C14,1,0)+IF(B15=B14,1,0)+IF(D15="Post",1,0)+IF(D14="Pre",1,0)=4,Table4463[[#This Row],[Pre Total]],""),"")</f>
        <v/>
      </c>
      <c r="N14" s="6" t="str">
        <f>IF(IF(ISNUMBER(K13),1,0)+IF(ISNUMBER(Table4463[[#This Row],[Post Total]]),1,0)=2,IF(IF(Table4463[[#This Row],[Student Number]]=C13,1,0)+IF(Table4463[[#This Row],[Session]]=B13,1,0)+IF(Table4463[[#This Row],[Pre or Post]]="Post",1,0)+IF(D13="Pre",1,0)=4,Table4463[[#This Row],[Post Total]],""),"")</f>
        <v/>
      </c>
      <c r="O14" s="6" t="str">
        <f>IF(IF(ISNUMBER(K13),1,0)+IF(ISNUMBER(Table4463[[#This Row],[Post Total]]),1,0)=2,IF(IF(Table4463[[#This Row],[Student Number]]=C13,1,0)+IF(Table4463[[#This Row],[Session]]=B13,1,0)+IF(Table4463[[#This Row],[Pre or Post]]="Post",1,0)+IF(D13="Pre",1,0)=4,Table4463[[#This Row],[Post Total]]-K13,""),"")</f>
        <v/>
      </c>
      <c r="P14" s="5" t="b">
        <f>ISNUMBER(Table4463[[#This Row],[Change]])</f>
        <v>0</v>
      </c>
      <c r="Q14" s="5" t="str">
        <f>IF(E13="Male",Table4463[[#This Row],[Change]],"")</f>
        <v/>
      </c>
      <c r="R14" s="5" t="str">
        <f>IF(E13="Female",Table4463[[#This Row],[Change]],"")</f>
        <v/>
      </c>
      <c r="S14" s="5" t="b">
        <f>ISNUMBER(Table4463[[#This Row],[If Male]])</f>
        <v>0</v>
      </c>
      <c r="T14" s="5" t="b">
        <f>ISNUMBER(Table4463[[#This Row],[If Female]])</f>
        <v>0</v>
      </c>
    </row>
    <row r="15" spans="1:20">
      <c r="A15" s="1" t="s">
        <v>12</v>
      </c>
      <c r="B15" s="2" t="s">
        <v>5</v>
      </c>
      <c r="C15" s="1">
        <v>14</v>
      </c>
      <c r="D15" s="2" t="s">
        <v>16</v>
      </c>
      <c r="E15" s="5" t="s">
        <v>171</v>
      </c>
      <c r="F15" s="1">
        <v>2</v>
      </c>
      <c r="G15" s="1">
        <v>2</v>
      </c>
      <c r="I15" s="5" t="str">
        <f>IF(IF(Table4463[[#This Row],[Pre or Post]]="Pre",1,0)+IF(ISNUMBER(Table4463[[#This Row],[Response]])=TRUE,1,0)=2,1,"")</f>
        <v/>
      </c>
      <c r="J15" s="5">
        <f>IF(IF(Table4463[[#This Row],[Pre or Post]]="Post",1,0)+IF(ISNUMBER(Table4463[[#This Row],[Response]])=TRUE,1,0)=2,1,"")</f>
        <v>1</v>
      </c>
      <c r="K15" s="5" t="str">
        <f>IF(IF(Table4463[[#This Row],[Pre or Post]]="Pre",1,0)+IF(ISNUMBER(Table4463[[#This Row],[Response]])=TRUE,1,0)=2,Table4463[[#This Row],[Response]],"")</f>
        <v/>
      </c>
      <c r="L15" s="5">
        <f>IF(IF(Table4463[[#This Row],[Pre or Post]]="Post",1,0)+IF(ISNUMBER(Table4463[[#This Row],[Response]])=TRUE,1,0)=2,Table4463[[#This Row],[Response]],"")</f>
        <v>2</v>
      </c>
      <c r="M15" s="6" t="str">
        <f>IF(IF(ISNUMBER(K15),1,0)+IF(ISNUMBER(L16),1,0)=2,IF(IF(C16=C15,1,0)+IF(B16=B15,1,0)+IF(D16="Post",1,0)+IF(D15="Pre",1,0)=4,Table4463[[#This Row],[Pre Total]],""),"")</f>
        <v/>
      </c>
      <c r="N15" s="6" t="str">
        <f>IF(IF(ISNUMBER(K14),1,0)+IF(ISNUMBER(Table4463[[#This Row],[Post Total]]),1,0)=2,IF(IF(Table4463[[#This Row],[Student Number]]=C14,1,0)+IF(Table4463[[#This Row],[Session]]=B14,1,0)+IF(Table4463[[#This Row],[Pre or Post]]="Post",1,0)+IF(D14="Pre",1,0)=4,Table4463[[#This Row],[Post Total]],""),"")</f>
        <v/>
      </c>
      <c r="O15" s="6" t="str">
        <f>IF(IF(ISNUMBER(K14),1,0)+IF(ISNUMBER(Table4463[[#This Row],[Post Total]]),1,0)=2,IF(IF(Table4463[[#This Row],[Student Number]]=C14,1,0)+IF(Table4463[[#This Row],[Session]]=B14,1,0)+IF(Table4463[[#This Row],[Pre or Post]]="Post",1,0)+IF(D14="Pre",1,0)=4,Table4463[[#This Row],[Post Total]]-K14,""),"")</f>
        <v/>
      </c>
      <c r="P15" s="5" t="b">
        <f>ISNUMBER(Table4463[[#This Row],[Change]])</f>
        <v>0</v>
      </c>
      <c r="Q15" s="5" t="str">
        <f>IF(E14="Male",Table4463[[#This Row],[Change]],"")</f>
        <v/>
      </c>
      <c r="R15" s="5" t="str">
        <f>IF(E14="Female",Table4463[[#This Row],[Change]],"")</f>
        <v/>
      </c>
      <c r="S15" s="5" t="b">
        <f>ISNUMBER(Table4463[[#This Row],[If Male]])</f>
        <v>0</v>
      </c>
      <c r="T15" s="5" t="b">
        <f>ISNUMBER(Table4463[[#This Row],[If Female]])</f>
        <v>0</v>
      </c>
    </row>
    <row r="16" spans="1:20">
      <c r="A16" s="1" t="s">
        <v>12</v>
      </c>
      <c r="B16" s="2" t="s">
        <v>5</v>
      </c>
      <c r="C16" s="1">
        <v>15</v>
      </c>
      <c r="D16" s="2" t="s">
        <v>16</v>
      </c>
      <c r="E16" s="5" t="s">
        <v>171</v>
      </c>
      <c r="F16" s="1">
        <v>2</v>
      </c>
      <c r="G16" s="1">
        <v>4</v>
      </c>
      <c r="I16" s="5" t="str">
        <f>IF(IF(Table4463[[#This Row],[Pre or Post]]="Pre",1,0)+IF(ISNUMBER(Table4463[[#This Row],[Response]])=TRUE,1,0)=2,1,"")</f>
        <v/>
      </c>
      <c r="J16" s="5">
        <f>IF(IF(Table4463[[#This Row],[Pre or Post]]="Post",1,0)+IF(ISNUMBER(Table4463[[#This Row],[Response]])=TRUE,1,0)=2,1,"")</f>
        <v>1</v>
      </c>
      <c r="K16" s="5" t="str">
        <f>IF(IF(Table4463[[#This Row],[Pre or Post]]="Pre",1,0)+IF(ISNUMBER(Table4463[[#This Row],[Response]])=TRUE,1,0)=2,Table4463[[#This Row],[Response]],"")</f>
        <v/>
      </c>
      <c r="L16" s="5">
        <f>IF(IF(Table4463[[#This Row],[Pre or Post]]="Post",1,0)+IF(ISNUMBER(Table4463[[#This Row],[Response]])=TRUE,1,0)=2,Table4463[[#This Row],[Response]],"")</f>
        <v>4</v>
      </c>
      <c r="M16" s="6" t="str">
        <f>IF(IF(ISNUMBER(K16),1,0)+IF(ISNUMBER(L17),1,0)=2,IF(IF(C17=C16,1,0)+IF(B17=B16,1,0)+IF(D17="Post",1,0)+IF(D16="Pre",1,0)=4,Table4463[[#This Row],[Pre Total]],""),"")</f>
        <v/>
      </c>
      <c r="N16" s="6" t="str">
        <f>IF(IF(ISNUMBER(K15),1,0)+IF(ISNUMBER(Table4463[[#This Row],[Post Total]]),1,0)=2,IF(IF(Table4463[[#This Row],[Student Number]]=C15,1,0)+IF(Table4463[[#This Row],[Session]]=B15,1,0)+IF(Table4463[[#This Row],[Pre or Post]]="Post",1,0)+IF(D15="Pre",1,0)=4,Table4463[[#This Row],[Post Total]],""),"")</f>
        <v/>
      </c>
      <c r="O16" s="6" t="str">
        <f>IF(IF(ISNUMBER(K15),1,0)+IF(ISNUMBER(Table4463[[#This Row],[Post Total]]),1,0)=2,IF(IF(Table4463[[#This Row],[Student Number]]=C15,1,0)+IF(Table4463[[#This Row],[Session]]=B15,1,0)+IF(Table4463[[#This Row],[Pre or Post]]="Post",1,0)+IF(D15="Pre",1,0)=4,Table4463[[#This Row],[Post Total]]-K15,""),"")</f>
        <v/>
      </c>
      <c r="P16" s="5" t="b">
        <f>ISNUMBER(Table4463[[#This Row],[Change]])</f>
        <v>0</v>
      </c>
      <c r="Q16" s="5" t="str">
        <f>IF(E15="Male",Table4463[[#This Row],[Change]],"")</f>
        <v/>
      </c>
      <c r="R16" s="5" t="str">
        <f>IF(E15="Female",Table4463[[#This Row],[Change]],"")</f>
        <v/>
      </c>
      <c r="S16" s="5" t="b">
        <f>ISNUMBER(Table4463[[#This Row],[If Male]])</f>
        <v>0</v>
      </c>
      <c r="T16" s="5" t="b">
        <f>ISNUMBER(Table4463[[#This Row],[If Female]])</f>
        <v>0</v>
      </c>
    </row>
    <row r="17" spans="1:20">
      <c r="A17" s="1" t="s">
        <v>12</v>
      </c>
      <c r="B17" s="2" t="s">
        <v>5</v>
      </c>
      <c r="C17" s="1">
        <v>16</v>
      </c>
      <c r="D17" s="2" t="s">
        <v>16</v>
      </c>
      <c r="E17" s="5" t="s">
        <v>171</v>
      </c>
      <c r="F17" s="1">
        <v>2</v>
      </c>
      <c r="G17" s="1">
        <v>4</v>
      </c>
      <c r="I17" s="5" t="str">
        <f>IF(IF(Table4463[[#This Row],[Pre or Post]]="Pre",1,0)+IF(ISNUMBER(Table4463[[#This Row],[Response]])=TRUE,1,0)=2,1,"")</f>
        <v/>
      </c>
      <c r="J17" s="5">
        <f>IF(IF(Table4463[[#This Row],[Pre or Post]]="Post",1,0)+IF(ISNUMBER(Table4463[[#This Row],[Response]])=TRUE,1,0)=2,1,"")</f>
        <v>1</v>
      </c>
      <c r="K17" s="5" t="str">
        <f>IF(IF(Table4463[[#This Row],[Pre or Post]]="Pre",1,0)+IF(ISNUMBER(Table4463[[#This Row],[Response]])=TRUE,1,0)=2,Table4463[[#This Row],[Response]],"")</f>
        <v/>
      </c>
      <c r="L17" s="5">
        <f>IF(IF(Table4463[[#This Row],[Pre or Post]]="Post",1,0)+IF(ISNUMBER(Table4463[[#This Row],[Response]])=TRUE,1,0)=2,Table4463[[#This Row],[Response]],"")</f>
        <v>4</v>
      </c>
      <c r="M17" s="6" t="str">
        <f>IF(IF(ISNUMBER(K17),1,0)+IF(ISNUMBER(L18),1,0)=2,IF(IF(C18=C17,1,0)+IF(B18=B17,1,0)+IF(D18="Post",1,0)+IF(D17="Pre",1,0)=4,Table4463[[#This Row],[Pre Total]],""),"")</f>
        <v/>
      </c>
      <c r="N17" s="6" t="str">
        <f>IF(IF(ISNUMBER(K16),1,0)+IF(ISNUMBER(Table4463[[#This Row],[Post Total]]),1,0)=2,IF(IF(Table4463[[#This Row],[Student Number]]=C16,1,0)+IF(Table4463[[#This Row],[Session]]=B16,1,0)+IF(Table4463[[#This Row],[Pre or Post]]="Post",1,0)+IF(D16="Pre",1,0)=4,Table4463[[#This Row],[Post Total]],""),"")</f>
        <v/>
      </c>
      <c r="O17" s="6" t="str">
        <f>IF(IF(ISNUMBER(K16),1,0)+IF(ISNUMBER(Table4463[[#This Row],[Post Total]]),1,0)=2,IF(IF(Table4463[[#This Row],[Student Number]]=C16,1,0)+IF(Table4463[[#This Row],[Session]]=B16,1,0)+IF(Table4463[[#This Row],[Pre or Post]]="Post",1,0)+IF(D16="Pre",1,0)=4,Table4463[[#This Row],[Post Total]]-K16,""),"")</f>
        <v/>
      </c>
      <c r="P17" s="5" t="b">
        <f>ISNUMBER(Table4463[[#This Row],[Change]])</f>
        <v>0</v>
      </c>
      <c r="Q17" s="5" t="str">
        <f>IF(E16="Male",Table4463[[#This Row],[Change]],"")</f>
        <v/>
      </c>
      <c r="R17" s="5" t="str">
        <f>IF(E16="Female",Table4463[[#This Row],[Change]],"")</f>
        <v/>
      </c>
      <c r="S17" s="5" t="b">
        <f>ISNUMBER(Table4463[[#This Row],[If Male]])</f>
        <v>0</v>
      </c>
      <c r="T17" s="5" t="b">
        <f>ISNUMBER(Table4463[[#This Row],[If Female]])</f>
        <v>0</v>
      </c>
    </row>
    <row r="18" spans="1:20">
      <c r="A18" s="1" t="s">
        <v>12</v>
      </c>
      <c r="B18" s="2" t="s">
        <v>5</v>
      </c>
      <c r="C18" s="1">
        <v>17</v>
      </c>
      <c r="D18" s="2" t="s">
        <v>16</v>
      </c>
      <c r="E18" s="5" t="s">
        <v>171</v>
      </c>
      <c r="F18" s="1">
        <v>2</v>
      </c>
      <c r="G18" s="1">
        <v>3</v>
      </c>
      <c r="I18" s="5" t="str">
        <f>IF(IF(Table4463[[#This Row],[Pre or Post]]="Pre",1,0)+IF(ISNUMBER(Table4463[[#This Row],[Response]])=TRUE,1,0)=2,1,"")</f>
        <v/>
      </c>
      <c r="J18" s="5">
        <f>IF(IF(Table4463[[#This Row],[Pre or Post]]="Post",1,0)+IF(ISNUMBER(Table4463[[#This Row],[Response]])=TRUE,1,0)=2,1,"")</f>
        <v>1</v>
      </c>
      <c r="K18" s="5" t="str">
        <f>IF(IF(Table4463[[#This Row],[Pre or Post]]="Pre",1,0)+IF(ISNUMBER(Table4463[[#This Row],[Response]])=TRUE,1,0)=2,Table4463[[#This Row],[Response]],"")</f>
        <v/>
      </c>
      <c r="L18" s="5">
        <f>IF(IF(Table4463[[#This Row],[Pre or Post]]="Post",1,0)+IF(ISNUMBER(Table4463[[#This Row],[Response]])=TRUE,1,0)=2,Table4463[[#This Row],[Response]],"")</f>
        <v>3</v>
      </c>
      <c r="M18" s="6" t="str">
        <f>IF(IF(ISNUMBER(K18),1,0)+IF(ISNUMBER(L19),1,0)=2,IF(IF(C19=C18,1,0)+IF(B19=B18,1,0)+IF(D19="Post",1,0)+IF(D18="Pre",1,0)=4,Table4463[[#This Row],[Pre Total]],""),"")</f>
        <v/>
      </c>
      <c r="N18" s="6" t="str">
        <f>IF(IF(ISNUMBER(K17),1,0)+IF(ISNUMBER(Table4463[[#This Row],[Post Total]]),1,0)=2,IF(IF(Table4463[[#This Row],[Student Number]]=C17,1,0)+IF(Table4463[[#This Row],[Session]]=B17,1,0)+IF(Table4463[[#This Row],[Pre or Post]]="Post",1,0)+IF(D17="Pre",1,0)=4,Table4463[[#This Row],[Post Total]],""),"")</f>
        <v/>
      </c>
      <c r="O18" s="6" t="str">
        <f>IF(IF(ISNUMBER(K17),1,0)+IF(ISNUMBER(Table4463[[#This Row],[Post Total]]),1,0)=2,IF(IF(Table4463[[#This Row],[Student Number]]=C17,1,0)+IF(Table4463[[#This Row],[Session]]=B17,1,0)+IF(Table4463[[#This Row],[Pre or Post]]="Post",1,0)+IF(D17="Pre",1,0)=4,Table4463[[#This Row],[Post Total]]-K17,""),"")</f>
        <v/>
      </c>
      <c r="P18" s="5" t="b">
        <f>ISNUMBER(Table4463[[#This Row],[Change]])</f>
        <v>0</v>
      </c>
      <c r="Q18" s="5" t="str">
        <f>IF(E17="Male",Table4463[[#This Row],[Change]],"")</f>
        <v/>
      </c>
      <c r="R18" s="5" t="str">
        <f>IF(E17="Female",Table4463[[#This Row],[Change]],"")</f>
        <v/>
      </c>
      <c r="S18" s="5" t="b">
        <f>ISNUMBER(Table4463[[#This Row],[If Male]])</f>
        <v>0</v>
      </c>
      <c r="T18" s="5" t="b">
        <f>ISNUMBER(Table4463[[#This Row],[If Female]])</f>
        <v>0</v>
      </c>
    </row>
    <row r="19" spans="1:20">
      <c r="A19" s="1" t="s">
        <v>12</v>
      </c>
      <c r="B19" s="2" t="s">
        <v>5</v>
      </c>
      <c r="C19" s="1">
        <v>18</v>
      </c>
      <c r="D19" s="2" t="s">
        <v>16</v>
      </c>
      <c r="E19" s="5" t="s">
        <v>171</v>
      </c>
      <c r="F19" s="1">
        <v>2</v>
      </c>
      <c r="G19" s="1">
        <v>4</v>
      </c>
      <c r="I19" s="5" t="str">
        <f>IF(IF(Table4463[[#This Row],[Pre or Post]]="Pre",1,0)+IF(ISNUMBER(Table4463[[#This Row],[Response]])=TRUE,1,0)=2,1,"")</f>
        <v/>
      </c>
      <c r="J19" s="5">
        <f>IF(IF(Table4463[[#This Row],[Pre or Post]]="Post",1,0)+IF(ISNUMBER(Table4463[[#This Row],[Response]])=TRUE,1,0)=2,1,"")</f>
        <v>1</v>
      </c>
      <c r="K19" s="5" t="str">
        <f>IF(IF(Table4463[[#This Row],[Pre or Post]]="Pre",1,0)+IF(ISNUMBER(Table4463[[#This Row],[Response]])=TRUE,1,0)=2,Table4463[[#This Row],[Response]],"")</f>
        <v/>
      </c>
      <c r="L19" s="5">
        <f>IF(IF(Table4463[[#This Row],[Pre or Post]]="Post",1,0)+IF(ISNUMBER(Table4463[[#This Row],[Response]])=TRUE,1,0)=2,Table4463[[#This Row],[Response]],"")</f>
        <v>4</v>
      </c>
      <c r="M19" s="6" t="str">
        <f>IF(IF(ISNUMBER(K19),1,0)+IF(ISNUMBER(L20),1,0)=2,IF(IF(C20=C19,1,0)+IF(B20=B19,1,0)+IF(D20="Post",1,0)+IF(D19="Pre",1,0)=4,Table4463[[#This Row],[Pre Total]],""),"")</f>
        <v/>
      </c>
      <c r="N19" s="6" t="str">
        <f>IF(IF(ISNUMBER(K18),1,0)+IF(ISNUMBER(Table4463[[#This Row],[Post Total]]),1,0)=2,IF(IF(Table4463[[#This Row],[Student Number]]=C18,1,0)+IF(Table4463[[#This Row],[Session]]=B18,1,0)+IF(Table4463[[#This Row],[Pre or Post]]="Post",1,0)+IF(D18="Pre",1,0)=4,Table4463[[#This Row],[Post Total]],""),"")</f>
        <v/>
      </c>
      <c r="O19" s="6" t="str">
        <f>IF(IF(ISNUMBER(K18),1,0)+IF(ISNUMBER(Table4463[[#This Row],[Post Total]]),1,0)=2,IF(IF(Table4463[[#This Row],[Student Number]]=C18,1,0)+IF(Table4463[[#This Row],[Session]]=B18,1,0)+IF(Table4463[[#This Row],[Pre or Post]]="Post",1,0)+IF(D18="Pre",1,0)=4,Table4463[[#This Row],[Post Total]]-K18,""),"")</f>
        <v/>
      </c>
      <c r="P19" s="5" t="b">
        <f>ISNUMBER(Table4463[[#This Row],[Change]])</f>
        <v>0</v>
      </c>
      <c r="Q19" s="5" t="str">
        <f>IF(E18="Male",Table4463[[#This Row],[Change]],"")</f>
        <v/>
      </c>
      <c r="R19" s="5" t="str">
        <f>IF(E18="Female",Table4463[[#This Row],[Change]],"")</f>
        <v/>
      </c>
      <c r="S19" s="5" t="b">
        <f>ISNUMBER(Table4463[[#This Row],[If Male]])</f>
        <v>0</v>
      </c>
      <c r="T19" s="5" t="b">
        <f>ISNUMBER(Table4463[[#This Row],[If Female]])</f>
        <v>0</v>
      </c>
    </row>
    <row r="20" spans="1:20">
      <c r="A20" s="1" t="s">
        <v>12</v>
      </c>
      <c r="B20" s="2" t="s">
        <v>5</v>
      </c>
      <c r="C20" s="2">
        <v>19</v>
      </c>
      <c r="D20" s="2" t="s">
        <v>16</v>
      </c>
      <c r="E20" s="5" t="s">
        <v>171</v>
      </c>
      <c r="F20" s="1">
        <v>2</v>
      </c>
      <c r="G20" s="2">
        <v>4</v>
      </c>
      <c r="I20" s="5" t="str">
        <f>IF(IF(Table4463[[#This Row],[Pre or Post]]="Pre",1,0)+IF(ISNUMBER(Table4463[[#This Row],[Response]])=TRUE,1,0)=2,1,"")</f>
        <v/>
      </c>
      <c r="J20" s="5">
        <f>IF(IF(Table4463[[#This Row],[Pre or Post]]="Post",1,0)+IF(ISNUMBER(Table4463[[#This Row],[Response]])=TRUE,1,0)=2,1,"")</f>
        <v>1</v>
      </c>
      <c r="K20" s="5" t="str">
        <f>IF(IF(Table4463[[#This Row],[Pre or Post]]="Pre",1,0)+IF(ISNUMBER(Table4463[[#This Row],[Response]])=TRUE,1,0)=2,Table4463[[#This Row],[Response]],"")</f>
        <v/>
      </c>
      <c r="L20" s="5">
        <f>IF(IF(Table4463[[#This Row],[Pre or Post]]="Post",1,0)+IF(ISNUMBER(Table4463[[#This Row],[Response]])=TRUE,1,0)=2,Table4463[[#This Row],[Response]],"")</f>
        <v>4</v>
      </c>
      <c r="M20" s="6" t="str">
        <f>IF(IF(ISNUMBER(K20),1,0)+IF(ISNUMBER(L21),1,0)=2,IF(IF(C21=C20,1,0)+IF(B21=B20,1,0)+IF(D21="Post",1,0)+IF(D20="Pre",1,0)=4,Table4463[[#This Row],[Pre Total]],""),"")</f>
        <v/>
      </c>
      <c r="N20" s="6" t="str">
        <f>IF(IF(ISNUMBER(K19),1,0)+IF(ISNUMBER(Table4463[[#This Row],[Post Total]]),1,0)=2,IF(IF(Table4463[[#This Row],[Student Number]]=C19,1,0)+IF(Table4463[[#This Row],[Session]]=B19,1,0)+IF(Table4463[[#This Row],[Pre or Post]]="Post",1,0)+IF(D19="Pre",1,0)=4,Table4463[[#This Row],[Post Total]],""),"")</f>
        <v/>
      </c>
      <c r="O20" s="6" t="str">
        <f>IF(IF(ISNUMBER(K19),1,0)+IF(ISNUMBER(Table4463[[#This Row],[Post Total]]),1,0)=2,IF(IF(Table4463[[#This Row],[Student Number]]=C19,1,0)+IF(Table4463[[#This Row],[Session]]=B19,1,0)+IF(Table4463[[#This Row],[Pre or Post]]="Post",1,0)+IF(D19="Pre",1,0)=4,Table4463[[#This Row],[Post Total]]-K19,""),"")</f>
        <v/>
      </c>
      <c r="P20" s="5" t="b">
        <f>ISNUMBER(Table4463[[#This Row],[Change]])</f>
        <v>0</v>
      </c>
      <c r="Q20" s="5" t="str">
        <f>IF(E19="Male",Table4463[[#This Row],[Change]],"")</f>
        <v/>
      </c>
      <c r="R20" s="5" t="str">
        <f>IF(E19="Female",Table4463[[#This Row],[Change]],"")</f>
        <v/>
      </c>
      <c r="S20" s="5" t="b">
        <f>ISNUMBER(Table4463[[#This Row],[If Male]])</f>
        <v>0</v>
      </c>
      <c r="T20" s="5" t="b">
        <f>ISNUMBER(Table4463[[#This Row],[If Female]])</f>
        <v>0</v>
      </c>
    </row>
    <row r="21" spans="1:20">
      <c r="A21" s="1" t="s">
        <v>12</v>
      </c>
      <c r="B21" s="2" t="s">
        <v>5</v>
      </c>
      <c r="C21" s="2">
        <v>20</v>
      </c>
      <c r="D21" s="2" t="s">
        <v>16</v>
      </c>
      <c r="E21" s="5" t="s">
        <v>171</v>
      </c>
      <c r="F21" s="1">
        <v>2</v>
      </c>
      <c r="G21" s="2">
        <v>4</v>
      </c>
      <c r="I21" s="5" t="str">
        <f>IF(IF(Table4463[[#This Row],[Pre or Post]]="Pre",1,0)+IF(ISNUMBER(Table4463[[#This Row],[Response]])=TRUE,1,0)=2,1,"")</f>
        <v/>
      </c>
      <c r="J21" s="5">
        <f>IF(IF(Table4463[[#This Row],[Pre or Post]]="Post",1,0)+IF(ISNUMBER(Table4463[[#This Row],[Response]])=TRUE,1,0)=2,1,"")</f>
        <v>1</v>
      </c>
      <c r="K21" s="5" t="str">
        <f>IF(IF(Table4463[[#This Row],[Pre or Post]]="Pre",1,0)+IF(ISNUMBER(Table4463[[#This Row],[Response]])=TRUE,1,0)=2,Table4463[[#This Row],[Response]],"")</f>
        <v/>
      </c>
      <c r="L21" s="5">
        <f>IF(IF(Table4463[[#This Row],[Pre or Post]]="Post",1,0)+IF(ISNUMBER(Table4463[[#This Row],[Response]])=TRUE,1,0)=2,Table4463[[#This Row],[Response]],"")</f>
        <v>4</v>
      </c>
      <c r="M21" s="6" t="str">
        <f>IF(IF(ISNUMBER(K21),1,0)+IF(ISNUMBER(L22),1,0)=2,IF(IF(C22=C21,1,0)+IF(B22=B21,1,0)+IF(D22="Post",1,0)+IF(D21="Pre",1,0)=4,Table4463[[#This Row],[Pre Total]],""),"")</f>
        <v/>
      </c>
      <c r="N21" s="6" t="str">
        <f>IF(IF(ISNUMBER(K20),1,0)+IF(ISNUMBER(Table4463[[#This Row],[Post Total]]),1,0)=2,IF(IF(Table4463[[#This Row],[Student Number]]=C20,1,0)+IF(Table4463[[#This Row],[Session]]=B20,1,0)+IF(Table4463[[#This Row],[Pre or Post]]="Post",1,0)+IF(D20="Pre",1,0)=4,Table4463[[#This Row],[Post Total]],""),"")</f>
        <v/>
      </c>
      <c r="O21" s="6" t="str">
        <f>IF(IF(ISNUMBER(K20),1,0)+IF(ISNUMBER(Table4463[[#This Row],[Post Total]]),1,0)=2,IF(IF(Table4463[[#This Row],[Student Number]]=C20,1,0)+IF(Table4463[[#This Row],[Session]]=B20,1,0)+IF(Table4463[[#This Row],[Pre or Post]]="Post",1,0)+IF(D20="Pre",1,0)=4,Table4463[[#This Row],[Post Total]]-K20,""),"")</f>
        <v/>
      </c>
      <c r="P21" s="5" t="b">
        <f>ISNUMBER(Table4463[[#This Row],[Change]])</f>
        <v>0</v>
      </c>
      <c r="Q21" s="5" t="str">
        <f>IF(E20="Male",Table4463[[#This Row],[Change]],"")</f>
        <v/>
      </c>
      <c r="R21" s="5" t="str">
        <f>IF(E20="Female",Table4463[[#This Row],[Change]],"")</f>
        <v/>
      </c>
      <c r="S21" s="5" t="b">
        <f>ISNUMBER(Table4463[[#This Row],[If Male]])</f>
        <v>0</v>
      </c>
      <c r="T21" s="5" t="b">
        <f>ISNUMBER(Table4463[[#This Row],[If Female]])</f>
        <v>0</v>
      </c>
    </row>
    <row r="22" spans="1:20">
      <c r="A22" s="1" t="s">
        <v>12</v>
      </c>
      <c r="B22" s="2" t="s">
        <v>5</v>
      </c>
      <c r="C22" s="2">
        <v>21</v>
      </c>
      <c r="D22" s="2" t="s">
        <v>16</v>
      </c>
      <c r="E22" s="5" t="s">
        <v>171</v>
      </c>
      <c r="F22" s="1">
        <v>2</v>
      </c>
      <c r="G22" s="2">
        <v>4</v>
      </c>
      <c r="I22" s="5" t="str">
        <f>IF(IF(Table4463[[#This Row],[Pre or Post]]="Pre",1,0)+IF(ISNUMBER(Table4463[[#This Row],[Response]])=TRUE,1,0)=2,1,"")</f>
        <v/>
      </c>
      <c r="J22" s="5">
        <f>IF(IF(Table4463[[#This Row],[Pre or Post]]="Post",1,0)+IF(ISNUMBER(Table4463[[#This Row],[Response]])=TRUE,1,0)=2,1,"")</f>
        <v>1</v>
      </c>
      <c r="K22" s="5" t="str">
        <f>IF(IF(Table4463[[#This Row],[Pre or Post]]="Pre",1,0)+IF(ISNUMBER(Table4463[[#This Row],[Response]])=TRUE,1,0)=2,Table4463[[#This Row],[Response]],"")</f>
        <v/>
      </c>
      <c r="L22" s="5">
        <f>IF(IF(Table4463[[#This Row],[Pre or Post]]="Post",1,0)+IF(ISNUMBER(Table4463[[#This Row],[Response]])=TRUE,1,0)=2,Table4463[[#This Row],[Response]],"")</f>
        <v>4</v>
      </c>
      <c r="M22" s="6" t="str">
        <f>IF(IF(ISNUMBER(K22),1,0)+IF(ISNUMBER(L23),1,0)=2,IF(IF(C23=C22,1,0)+IF(B23=B22,1,0)+IF(D23="Post",1,0)+IF(D22="Pre",1,0)=4,Table4463[[#This Row],[Pre Total]],""),"")</f>
        <v/>
      </c>
      <c r="N22" s="6" t="str">
        <f>IF(IF(ISNUMBER(K21),1,0)+IF(ISNUMBER(Table4463[[#This Row],[Post Total]]),1,0)=2,IF(IF(Table4463[[#This Row],[Student Number]]=C21,1,0)+IF(Table4463[[#This Row],[Session]]=B21,1,0)+IF(Table4463[[#This Row],[Pre or Post]]="Post",1,0)+IF(D21="Pre",1,0)=4,Table4463[[#This Row],[Post Total]],""),"")</f>
        <v/>
      </c>
      <c r="O22" s="6" t="str">
        <f>IF(IF(ISNUMBER(K21),1,0)+IF(ISNUMBER(Table4463[[#This Row],[Post Total]]),1,0)=2,IF(IF(Table4463[[#This Row],[Student Number]]=C21,1,0)+IF(Table4463[[#This Row],[Session]]=B21,1,0)+IF(Table4463[[#This Row],[Pre or Post]]="Post",1,0)+IF(D21="Pre",1,0)=4,Table4463[[#This Row],[Post Total]]-K21,""),"")</f>
        <v/>
      </c>
      <c r="P22" s="5" t="b">
        <f>ISNUMBER(Table4463[[#This Row],[Change]])</f>
        <v>0</v>
      </c>
      <c r="Q22" s="5" t="str">
        <f>IF(E21="Male",Table4463[[#This Row],[Change]],"")</f>
        <v/>
      </c>
      <c r="R22" s="5" t="str">
        <f>IF(E21="Female",Table4463[[#This Row],[Change]],"")</f>
        <v/>
      </c>
      <c r="S22" s="5" t="b">
        <f>ISNUMBER(Table4463[[#This Row],[If Male]])</f>
        <v>0</v>
      </c>
      <c r="T22" s="5" t="b">
        <f>ISNUMBER(Table4463[[#This Row],[If Female]])</f>
        <v>0</v>
      </c>
    </row>
    <row r="23" spans="1:20">
      <c r="A23" s="1" t="s">
        <v>12</v>
      </c>
      <c r="B23" s="2" t="s">
        <v>5</v>
      </c>
      <c r="C23" s="2">
        <v>22</v>
      </c>
      <c r="D23" s="2" t="s">
        <v>16</v>
      </c>
      <c r="E23" s="5" t="s">
        <v>171</v>
      </c>
      <c r="F23" s="1">
        <v>2</v>
      </c>
      <c r="G23" s="2">
        <v>4</v>
      </c>
      <c r="I23" s="5" t="str">
        <f>IF(IF(Table4463[[#This Row],[Pre or Post]]="Pre",1,0)+IF(ISNUMBER(Table4463[[#This Row],[Response]])=TRUE,1,0)=2,1,"")</f>
        <v/>
      </c>
      <c r="J23" s="5">
        <f>IF(IF(Table4463[[#This Row],[Pre or Post]]="Post",1,0)+IF(ISNUMBER(Table4463[[#This Row],[Response]])=TRUE,1,0)=2,1,"")</f>
        <v>1</v>
      </c>
      <c r="K23" s="5" t="str">
        <f>IF(IF(Table4463[[#This Row],[Pre or Post]]="Pre",1,0)+IF(ISNUMBER(Table4463[[#This Row],[Response]])=TRUE,1,0)=2,Table4463[[#This Row],[Response]],"")</f>
        <v/>
      </c>
      <c r="L23" s="5">
        <f>IF(IF(Table4463[[#This Row],[Pre or Post]]="Post",1,0)+IF(ISNUMBER(Table4463[[#This Row],[Response]])=TRUE,1,0)=2,Table4463[[#This Row],[Response]],"")</f>
        <v>4</v>
      </c>
      <c r="M23" s="6" t="str">
        <f>IF(IF(ISNUMBER(K23),1,0)+IF(ISNUMBER(L24),1,0)=2,IF(IF(C24=C23,1,0)+IF(B24=B23,1,0)+IF(D24="Post",1,0)+IF(D23="Pre",1,0)=4,Table4463[[#This Row],[Pre Total]],""),"")</f>
        <v/>
      </c>
      <c r="N23" s="6" t="str">
        <f>IF(IF(ISNUMBER(K22),1,0)+IF(ISNUMBER(Table4463[[#This Row],[Post Total]]),1,0)=2,IF(IF(Table4463[[#This Row],[Student Number]]=C22,1,0)+IF(Table4463[[#This Row],[Session]]=B22,1,0)+IF(Table4463[[#This Row],[Pre or Post]]="Post",1,0)+IF(D22="Pre",1,0)=4,Table4463[[#This Row],[Post Total]],""),"")</f>
        <v/>
      </c>
      <c r="O23" s="6" t="str">
        <f>IF(IF(ISNUMBER(K22),1,0)+IF(ISNUMBER(Table4463[[#This Row],[Post Total]]),1,0)=2,IF(IF(Table4463[[#This Row],[Student Number]]=C22,1,0)+IF(Table4463[[#This Row],[Session]]=B22,1,0)+IF(Table4463[[#This Row],[Pre or Post]]="Post",1,0)+IF(D22="Pre",1,0)=4,Table4463[[#This Row],[Post Total]]-K22,""),"")</f>
        <v/>
      </c>
      <c r="P23" s="5" t="b">
        <f>ISNUMBER(Table4463[[#This Row],[Change]])</f>
        <v>0</v>
      </c>
      <c r="Q23" s="5" t="str">
        <f>IF(E22="Male",Table4463[[#This Row],[Change]],"")</f>
        <v/>
      </c>
      <c r="R23" s="5" t="str">
        <f>IF(E22="Female",Table4463[[#This Row],[Change]],"")</f>
        <v/>
      </c>
      <c r="S23" s="5" t="b">
        <f>ISNUMBER(Table4463[[#This Row],[If Male]])</f>
        <v>0</v>
      </c>
      <c r="T23" s="5" t="b">
        <f>ISNUMBER(Table4463[[#This Row],[If Female]])</f>
        <v>0</v>
      </c>
    </row>
    <row r="24" spans="1:20">
      <c r="A24" s="1" t="s">
        <v>12</v>
      </c>
      <c r="B24" s="2" t="s">
        <v>5</v>
      </c>
      <c r="C24" s="2">
        <v>23</v>
      </c>
      <c r="D24" s="2" t="s">
        <v>16</v>
      </c>
      <c r="E24" s="5" t="s">
        <v>171</v>
      </c>
      <c r="F24" s="1">
        <v>2</v>
      </c>
      <c r="G24" s="2">
        <v>4</v>
      </c>
      <c r="I24" s="5" t="str">
        <f>IF(IF(Table4463[[#This Row],[Pre or Post]]="Pre",1,0)+IF(ISNUMBER(Table4463[[#This Row],[Response]])=TRUE,1,0)=2,1,"")</f>
        <v/>
      </c>
      <c r="J24" s="5">
        <f>IF(IF(Table4463[[#This Row],[Pre or Post]]="Post",1,0)+IF(ISNUMBER(Table4463[[#This Row],[Response]])=TRUE,1,0)=2,1,"")</f>
        <v>1</v>
      </c>
      <c r="K24" s="5" t="str">
        <f>IF(IF(Table4463[[#This Row],[Pre or Post]]="Pre",1,0)+IF(ISNUMBER(Table4463[[#This Row],[Response]])=TRUE,1,0)=2,Table4463[[#This Row],[Response]],"")</f>
        <v/>
      </c>
      <c r="L24" s="5">
        <f>IF(IF(Table4463[[#This Row],[Pre or Post]]="Post",1,0)+IF(ISNUMBER(Table4463[[#This Row],[Response]])=TRUE,1,0)=2,Table4463[[#This Row],[Response]],"")</f>
        <v>4</v>
      </c>
      <c r="M24" s="6" t="str">
        <f>IF(IF(ISNUMBER(K24),1,0)+IF(ISNUMBER(L25),1,0)=2,IF(IF(C25=C24,1,0)+IF(B25=B24,1,0)+IF(D25="Post",1,0)+IF(D24="Pre",1,0)=4,Table4463[[#This Row],[Pre Total]],""),"")</f>
        <v/>
      </c>
      <c r="N24" s="6" t="str">
        <f>IF(IF(ISNUMBER(K23),1,0)+IF(ISNUMBER(Table4463[[#This Row],[Post Total]]),1,0)=2,IF(IF(Table4463[[#This Row],[Student Number]]=C23,1,0)+IF(Table4463[[#This Row],[Session]]=B23,1,0)+IF(Table4463[[#This Row],[Pre or Post]]="Post",1,0)+IF(D23="Pre",1,0)=4,Table4463[[#This Row],[Post Total]],""),"")</f>
        <v/>
      </c>
      <c r="O24" s="6" t="str">
        <f>IF(IF(ISNUMBER(K23),1,0)+IF(ISNUMBER(Table4463[[#This Row],[Post Total]]),1,0)=2,IF(IF(Table4463[[#This Row],[Student Number]]=C23,1,0)+IF(Table4463[[#This Row],[Session]]=B23,1,0)+IF(Table4463[[#This Row],[Pre or Post]]="Post",1,0)+IF(D23="Pre",1,0)=4,Table4463[[#This Row],[Post Total]]-K23,""),"")</f>
        <v/>
      </c>
      <c r="P24" s="5" t="b">
        <f>ISNUMBER(Table4463[[#This Row],[Change]])</f>
        <v>0</v>
      </c>
      <c r="Q24" s="5" t="str">
        <f>IF(E23="Male",Table4463[[#This Row],[Change]],"")</f>
        <v/>
      </c>
      <c r="R24" s="5" t="str">
        <f>IF(E23="Female",Table4463[[#This Row],[Change]],"")</f>
        <v/>
      </c>
      <c r="S24" s="5" t="b">
        <f>ISNUMBER(Table4463[[#This Row],[If Male]])</f>
        <v>0</v>
      </c>
      <c r="T24" s="5" t="b">
        <f>ISNUMBER(Table4463[[#This Row],[If Female]])</f>
        <v>0</v>
      </c>
    </row>
    <row r="25" spans="1:20">
      <c r="A25" s="1" t="s">
        <v>12</v>
      </c>
      <c r="B25" s="2" t="s">
        <v>5</v>
      </c>
      <c r="C25" s="2">
        <v>24</v>
      </c>
      <c r="D25" s="2" t="s">
        <v>16</v>
      </c>
      <c r="E25" s="5" t="s">
        <v>171</v>
      </c>
      <c r="F25" s="1">
        <v>2</v>
      </c>
      <c r="G25" s="2">
        <v>3</v>
      </c>
      <c r="I25" s="5" t="str">
        <f>IF(IF(Table4463[[#This Row],[Pre or Post]]="Pre",1,0)+IF(ISNUMBER(Table4463[[#This Row],[Response]])=TRUE,1,0)=2,1,"")</f>
        <v/>
      </c>
      <c r="J25" s="5">
        <f>IF(IF(Table4463[[#This Row],[Pre or Post]]="Post",1,0)+IF(ISNUMBER(Table4463[[#This Row],[Response]])=TRUE,1,0)=2,1,"")</f>
        <v>1</v>
      </c>
      <c r="K25" s="5" t="str">
        <f>IF(IF(Table4463[[#This Row],[Pre or Post]]="Pre",1,0)+IF(ISNUMBER(Table4463[[#This Row],[Response]])=TRUE,1,0)=2,Table4463[[#This Row],[Response]],"")</f>
        <v/>
      </c>
      <c r="L25" s="5">
        <f>IF(IF(Table4463[[#This Row],[Pre or Post]]="Post",1,0)+IF(ISNUMBER(Table4463[[#This Row],[Response]])=TRUE,1,0)=2,Table4463[[#This Row],[Response]],"")</f>
        <v>3</v>
      </c>
      <c r="M25" s="6" t="str">
        <f>IF(IF(ISNUMBER(K25),1,0)+IF(ISNUMBER(L26),1,0)=2,IF(IF(C26=C25,1,0)+IF(B26=B25,1,0)+IF(D26="Post",1,0)+IF(D25="Pre",1,0)=4,Table4463[[#This Row],[Pre Total]],""),"")</f>
        <v/>
      </c>
      <c r="N25" s="6" t="str">
        <f>IF(IF(ISNUMBER(K24),1,0)+IF(ISNUMBER(Table4463[[#This Row],[Post Total]]),1,0)=2,IF(IF(Table4463[[#This Row],[Student Number]]=C24,1,0)+IF(Table4463[[#This Row],[Session]]=B24,1,0)+IF(Table4463[[#This Row],[Pre or Post]]="Post",1,0)+IF(D24="Pre",1,0)=4,Table4463[[#This Row],[Post Total]],""),"")</f>
        <v/>
      </c>
      <c r="O25" s="6" t="str">
        <f>IF(IF(ISNUMBER(K24),1,0)+IF(ISNUMBER(Table4463[[#This Row],[Post Total]]),1,0)=2,IF(IF(Table4463[[#This Row],[Student Number]]=C24,1,0)+IF(Table4463[[#This Row],[Session]]=B24,1,0)+IF(Table4463[[#This Row],[Pre or Post]]="Post",1,0)+IF(D24="Pre",1,0)=4,Table4463[[#This Row],[Post Total]]-K24,""),"")</f>
        <v/>
      </c>
      <c r="P25" s="5" t="b">
        <f>ISNUMBER(Table4463[[#This Row],[Change]])</f>
        <v>0</v>
      </c>
      <c r="Q25" s="5" t="str">
        <f>IF(E24="Male",Table4463[[#This Row],[Change]],"")</f>
        <v/>
      </c>
      <c r="R25" s="5" t="str">
        <f>IF(E24="Female",Table4463[[#This Row],[Change]],"")</f>
        <v/>
      </c>
      <c r="S25" s="5" t="b">
        <f>ISNUMBER(Table4463[[#This Row],[If Male]])</f>
        <v>0</v>
      </c>
      <c r="T25" s="5" t="b">
        <f>ISNUMBER(Table4463[[#This Row],[If Female]])</f>
        <v>0</v>
      </c>
    </row>
    <row r="26" spans="1:20">
      <c r="A26" s="1" t="s">
        <v>12</v>
      </c>
      <c r="B26" s="2" t="s">
        <v>21</v>
      </c>
      <c r="C26" s="1">
        <v>1</v>
      </c>
      <c r="D26" s="2" t="s">
        <v>6</v>
      </c>
      <c r="E26" s="5" t="s">
        <v>13</v>
      </c>
      <c r="F26" s="1">
        <v>9</v>
      </c>
      <c r="G26" s="1">
        <v>3</v>
      </c>
      <c r="H26" s="2"/>
      <c r="I26" s="5">
        <f>IF(IF(Table4463[[#This Row],[Pre or Post]]="Pre",1,0)+IF(ISNUMBER(Table4463[[#This Row],[Response]])=TRUE,1,0)=2,1,"")</f>
        <v>1</v>
      </c>
      <c r="J26" s="5" t="str">
        <f>IF(IF(Table4463[[#This Row],[Pre or Post]]="Post",1,0)+IF(ISNUMBER(Table4463[[#This Row],[Response]])=TRUE,1,0)=2,1,"")</f>
        <v/>
      </c>
      <c r="K26" s="5">
        <f>IF(IF(Table4463[[#This Row],[Pre or Post]]="Pre",1,0)+IF(ISNUMBER(Table4463[[#This Row],[Response]])=TRUE,1,0)=2,Table4463[[#This Row],[Response]],"")</f>
        <v>3</v>
      </c>
      <c r="L26" s="5" t="str">
        <f>IF(IF(Table4463[[#This Row],[Pre or Post]]="Post",1,0)+IF(ISNUMBER(Table4463[[#This Row],[Response]])=TRUE,1,0)=2,Table4463[[#This Row],[Response]],"")</f>
        <v/>
      </c>
      <c r="M26" s="6">
        <f>IF(IF(ISNUMBER(K26),1,0)+IF(ISNUMBER(L27),1,0)=2,IF(IF(C27=C26,1,0)+IF(B27=B26,1,0)+IF(D27="Post",1,0)+IF(D26="Pre",1,0)=4,Table4463[[#This Row],[Pre Total]],""),"")</f>
        <v>3</v>
      </c>
      <c r="N26" s="6" t="str">
        <f>IF(IF(ISNUMBER(K25),1,0)+IF(ISNUMBER(Table4463[[#This Row],[Post Total]]),1,0)=2,IF(IF(Table4463[[#This Row],[Student Number]]=C25,1,0)+IF(Table4463[[#This Row],[Session]]=B25,1,0)+IF(Table4463[[#This Row],[Pre or Post]]="Post",1,0)+IF(D25="Pre",1,0)=4,Table4463[[#This Row],[Post Total]],""),"")</f>
        <v/>
      </c>
      <c r="O26" s="6" t="str">
        <f>IF(IF(ISNUMBER(K25),1,0)+IF(ISNUMBER(Table4463[[#This Row],[Post Total]]),1,0)=2,IF(IF(Table4463[[#This Row],[Student Number]]=C25,1,0)+IF(Table4463[[#This Row],[Session]]=B25,1,0)+IF(Table4463[[#This Row],[Pre or Post]]="Post",1,0)+IF(D25="Pre",1,0)=4,Table4463[[#This Row],[Post Total]]-K25,""),"")</f>
        <v/>
      </c>
      <c r="P26" s="5" t="b">
        <f>ISNUMBER(Table4463[[#This Row],[Change]])</f>
        <v>0</v>
      </c>
      <c r="Q26" s="5" t="str">
        <f>IF(E25="Male",Table4463[[#This Row],[Change]],"")</f>
        <v/>
      </c>
      <c r="R26" s="5" t="str">
        <f>IF(E25="Female",Table4463[[#This Row],[Change]],"")</f>
        <v/>
      </c>
      <c r="S26" s="5" t="b">
        <f>ISNUMBER(Table4463[[#This Row],[If Male]])</f>
        <v>0</v>
      </c>
      <c r="T26" s="5" t="b">
        <f>ISNUMBER(Table4463[[#This Row],[If Female]])</f>
        <v>0</v>
      </c>
    </row>
    <row r="27" spans="1:20">
      <c r="A27" s="1" t="s">
        <v>12</v>
      </c>
      <c r="B27" s="2" t="s">
        <v>21</v>
      </c>
      <c r="C27" s="1">
        <v>1</v>
      </c>
      <c r="D27" s="2" t="s">
        <v>16</v>
      </c>
      <c r="E27" s="5" t="s">
        <v>171</v>
      </c>
      <c r="F27" s="1">
        <v>2</v>
      </c>
      <c r="G27" s="2">
        <v>4</v>
      </c>
      <c r="H27" s="2"/>
      <c r="I27" s="5" t="str">
        <f>IF(IF(Table4463[[#This Row],[Pre or Post]]="Pre",1,0)+IF(ISNUMBER(Table4463[[#This Row],[Response]])=TRUE,1,0)=2,1,"")</f>
        <v/>
      </c>
      <c r="J27" s="5">
        <f>IF(IF(Table4463[[#This Row],[Pre or Post]]="Post",1,0)+IF(ISNUMBER(Table4463[[#This Row],[Response]])=TRUE,1,0)=2,1,"")</f>
        <v>1</v>
      </c>
      <c r="K27" s="5" t="str">
        <f>IF(IF(Table4463[[#This Row],[Pre or Post]]="Pre",1,0)+IF(ISNUMBER(Table4463[[#This Row],[Response]])=TRUE,1,0)=2,Table4463[[#This Row],[Response]],"")</f>
        <v/>
      </c>
      <c r="L27" s="5">
        <f>IF(IF(Table4463[[#This Row],[Pre or Post]]="Post",1,0)+IF(ISNUMBER(Table4463[[#This Row],[Response]])=TRUE,1,0)=2,Table4463[[#This Row],[Response]],"")</f>
        <v>4</v>
      </c>
      <c r="M27" s="6" t="str">
        <f>IF(IF(ISNUMBER(K27),1,0)+IF(ISNUMBER(L28),1,0)=2,IF(IF(C28=C27,1,0)+IF(B28=B27,1,0)+IF(D28="Post",1,0)+IF(D27="Pre",1,0)=4,Table4463[[#This Row],[Pre Total]],""),"")</f>
        <v/>
      </c>
      <c r="N27" s="6">
        <f>IF(IF(ISNUMBER(K26),1,0)+IF(ISNUMBER(Table4463[[#This Row],[Post Total]]),1,0)=2,IF(IF(Table4463[[#This Row],[Student Number]]=C26,1,0)+IF(Table4463[[#This Row],[Session]]=B26,1,0)+IF(Table4463[[#This Row],[Pre or Post]]="Post",1,0)+IF(D26="Pre",1,0)=4,Table4463[[#This Row],[Post Total]],""),"")</f>
        <v>4</v>
      </c>
      <c r="O27" s="6">
        <f>IF(IF(ISNUMBER(K26),1,0)+IF(ISNUMBER(Table4463[[#This Row],[Post Total]]),1,0)=2,IF(IF(Table4463[[#This Row],[Student Number]]=C26,1,0)+IF(Table4463[[#This Row],[Session]]=B26,1,0)+IF(Table4463[[#This Row],[Pre or Post]]="Post",1,0)+IF(D26="Pre",1,0)=4,Table4463[[#This Row],[Post Total]]-K26,""),"")</f>
        <v>1</v>
      </c>
      <c r="P27" s="5" t="b">
        <f>ISNUMBER(Table4463[[#This Row],[Change]])</f>
        <v>1</v>
      </c>
      <c r="Q27" s="5" t="str">
        <f>IF(E26="Male",Table4463[[#This Row],[Change]],"")</f>
        <v/>
      </c>
      <c r="R27" s="5">
        <f>IF(E26="Female",Table4463[[#This Row],[Change]],"")</f>
        <v>1</v>
      </c>
      <c r="S27" s="5" t="b">
        <f>ISNUMBER(Table4463[[#This Row],[If Male]])</f>
        <v>0</v>
      </c>
      <c r="T27" s="5" t="b">
        <f>ISNUMBER(Table4463[[#This Row],[If Female]])</f>
        <v>1</v>
      </c>
    </row>
    <row r="28" spans="1:20">
      <c r="A28" s="1" t="s">
        <v>12</v>
      </c>
      <c r="B28" s="2" t="s">
        <v>21</v>
      </c>
      <c r="C28" s="1">
        <v>2</v>
      </c>
      <c r="D28" s="2" t="s">
        <v>6</v>
      </c>
      <c r="E28" s="5" t="s">
        <v>7</v>
      </c>
      <c r="F28" s="1">
        <v>9</v>
      </c>
      <c r="G28" s="1">
        <v>2</v>
      </c>
      <c r="H28" s="2"/>
      <c r="I28" s="5">
        <f>IF(IF(Table4463[[#This Row],[Pre or Post]]="Pre",1,0)+IF(ISNUMBER(Table4463[[#This Row],[Response]])=TRUE,1,0)=2,1,"")</f>
        <v>1</v>
      </c>
      <c r="J28" s="5" t="str">
        <f>IF(IF(Table4463[[#This Row],[Pre or Post]]="Post",1,0)+IF(ISNUMBER(Table4463[[#This Row],[Response]])=TRUE,1,0)=2,1,"")</f>
        <v/>
      </c>
      <c r="K28" s="5">
        <f>IF(IF(Table4463[[#This Row],[Pre or Post]]="Pre",1,0)+IF(ISNUMBER(Table4463[[#This Row],[Response]])=TRUE,1,0)=2,Table4463[[#This Row],[Response]],"")</f>
        <v>2</v>
      </c>
      <c r="L28" s="5" t="str">
        <f>IF(IF(Table4463[[#This Row],[Pre or Post]]="Post",1,0)+IF(ISNUMBER(Table4463[[#This Row],[Response]])=TRUE,1,0)=2,Table4463[[#This Row],[Response]],"")</f>
        <v/>
      </c>
      <c r="M28" s="6">
        <f>IF(IF(ISNUMBER(K28),1,0)+IF(ISNUMBER(L29),1,0)=2,IF(IF(C29=C28,1,0)+IF(B29=B28,1,0)+IF(D29="Post",1,0)+IF(D28="Pre",1,0)=4,Table4463[[#This Row],[Pre Total]],""),"")</f>
        <v>2</v>
      </c>
      <c r="N28" s="6" t="str">
        <f>IF(IF(ISNUMBER(K27),1,0)+IF(ISNUMBER(Table4463[[#This Row],[Post Total]]),1,0)=2,IF(IF(Table4463[[#This Row],[Student Number]]=C27,1,0)+IF(Table4463[[#This Row],[Session]]=B27,1,0)+IF(Table4463[[#This Row],[Pre or Post]]="Post",1,0)+IF(D27="Pre",1,0)=4,Table4463[[#This Row],[Post Total]],""),"")</f>
        <v/>
      </c>
      <c r="O28" s="6" t="str">
        <f>IF(IF(ISNUMBER(K27),1,0)+IF(ISNUMBER(Table4463[[#This Row],[Post Total]]),1,0)=2,IF(IF(Table4463[[#This Row],[Student Number]]=C27,1,0)+IF(Table4463[[#This Row],[Session]]=B27,1,0)+IF(Table4463[[#This Row],[Pre or Post]]="Post",1,0)+IF(D27="Pre",1,0)=4,Table4463[[#This Row],[Post Total]]-K27,""),"")</f>
        <v/>
      </c>
      <c r="P28" s="5" t="b">
        <f>ISNUMBER(Table4463[[#This Row],[Change]])</f>
        <v>0</v>
      </c>
      <c r="Q28" s="5" t="str">
        <f>IF(E27="Male",Table4463[[#This Row],[Change]],"")</f>
        <v/>
      </c>
      <c r="R28" s="5" t="str">
        <f>IF(E27="Female",Table4463[[#This Row],[Change]],"")</f>
        <v/>
      </c>
      <c r="S28" s="5" t="b">
        <f>ISNUMBER(Table4463[[#This Row],[If Male]])</f>
        <v>0</v>
      </c>
      <c r="T28" s="5" t="b">
        <f>ISNUMBER(Table4463[[#This Row],[If Female]])</f>
        <v>0</v>
      </c>
    </row>
    <row r="29" spans="1:20">
      <c r="A29" s="1" t="s">
        <v>12</v>
      </c>
      <c r="B29" s="2" t="s">
        <v>21</v>
      </c>
      <c r="C29" s="1">
        <v>2</v>
      </c>
      <c r="D29" s="2" t="s">
        <v>16</v>
      </c>
      <c r="E29" s="5" t="s">
        <v>171</v>
      </c>
      <c r="F29" s="1">
        <v>2</v>
      </c>
      <c r="G29" s="1">
        <v>3</v>
      </c>
      <c r="H29" s="2"/>
      <c r="I29" s="5" t="str">
        <f>IF(IF(Table4463[[#This Row],[Pre or Post]]="Pre",1,0)+IF(ISNUMBER(Table4463[[#This Row],[Response]])=TRUE,1,0)=2,1,"")</f>
        <v/>
      </c>
      <c r="J29" s="5">
        <f>IF(IF(Table4463[[#This Row],[Pre or Post]]="Post",1,0)+IF(ISNUMBER(Table4463[[#This Row],[Response]])=TRUE,1,0)=2,1,"")</f>
        <v>1</v>
      </c>
      <c r="K29" s="5" t="str">
        <f>IF(IF(Table4463[[#This Row],[Pre or Post]]="Pre",1,0)+IF(ISNUMBER(Table4463[[#This Row],[Response]])=TRUE,1,0)=2,Table4463[[#This Row],[Response]],"")</f>
        <v/>
      </c>
      <c r="L29" s="5">
        <f>IF(IF(Table4463[[#This Row],[Pre or Post]]="Post",1,0)+IF(ISNUMBER(Table4463[[#This Row],[Response]])=TRUE,1,0)=2,Table4463[[#This Row],[Response]],"")</f>
        <v>3</v>
      </c>
      <c r="M29" s="6" t="str">
        <f>IF(IF(ISNUMBER(K29),1,0)+IF(ISNUMBER(L30),1,0)=2,IF(IF(C30=C29,1,0)+IF(B30=B29,1,0)+IF(D30="Post",1,0)+IF(D29="Pre",1,0)=4,Table4463[[#This Row],[Pre Total]],""),"")</f>
        <v/>
      </c>
      <c r="N29" s="6">
        <f>IF(IF(ISNUMBER(K28),1,0)+IF(ISNUMBER(Table4463[[#This Row],[Post Total]]),1,0)=2,IF(IF(Table4463[[#This Row],[Student Number]]=C28,1,0)+IF(Table4463[[#This Row],[Session]]=B28,1,0)+IF(Table4463[[#This Row],[Pre or Post]]="Post",1,0)+IF(D28="Pre",1,0)=4,Table4463[[#This Row],[Post Total]],""),"")</f>
        <v>3</v>
      </c>
      <c r="O29" s="6">
        <f>IF(IF(ISNUMBER(K28),1,0)+IF(ISNUMBER(Table4463[[#This Row],[Post Total]]),1,0)=2,IF(IF(Table4463[[#This Row],[Student Number]]=C28,1,0)+IF(Table4463[[#This Row],[Session]]=B28,1,0)+IF(Table4463[[#This Row],[Pre or Post]]="Post",1,0)+IF(D28="Pre",1,0)=4,Table4463[[#This Row],[Post Total]]-K28,""),"")</f>
        <v>1</v>
      </c>
      <c r="P29" s="5" t="b">
        <f>ISNUMBER(Table4463[[#This Row],[Change]])</f>
        <v>1</v>
      </c>
      <c r="Q29" s="5">
        <f>IF(E28="Male",Table4463[[#This Row],[Change]],"")</f>
        <v>1</v>
      </c>
      <c r="R29" s="5" t="str">
        <f>IF(E28="Female",Table4463[[#This Row],[Change]],"")</f>
        <v/>
      </c>
      <c r="S29" s="5" t="b">
        <f>ISNUMBER(Table4463[[#This Row],[If Male]])</f>
        <v>1</v>
      </c>
      <c r="T29" s="5" t="b">
        <f>ISNUMBER(Table4463[[#This Row],[If Female]])</f>
        <v>0</v>
      </c>
    </row>
    <row r="30" spans="1:20">
      <c r="A30" s="1" t="s">
        <v>12</v>
      </c>
      <c r="B30" s="2" t="s">
        <v>21</v>
      </c>
      <c r="C30" s="1">
        <v>3</v>
      </c>
      <c r="D30" s="2" t="s">
        <v>6</v>
      </c>
      <c r="E30" s="5" t="s">
        <v>7</v>
      </c>
      <c r="F30" s="1">
        <v>9</v>
      </c>
      <c r="G30" s="1">
        <v>3</v>
      </c>
      <c r="H30" s="2"/>
      <c r="I30" s="5">
        <f>IF(IF(Table4463[[#This Row],[Pre or Post]]="Pre",1,0)+IF(ISNUMBER(Table4463[[#This Row],[Response]])=TRUE,1,0)=2,1,"")</f>
        <v>1</v>
      </c>
      <c r="J30" s="5" t="str">
        <f>IF(IF(Table4463[[#This Row],[Pre or Post]]="Post",1,0)+IF(ISNUMBER(Table4463[[#This Row],[Response]])=TRUE,1,0)=2,1,"")</f>
        <v/>
      </c>
      <c r="K30" s="5">
        <f>IF(IF(Table4463[[#This Row],[Pre or Post]]="Pre",1,0)+IF(ISNUMBER(Table4463[[#This Row],[Response]])=TRUE,1,0)=2,Table4463[[#This Row],[Response]],"")</f>
        <v>3</v>
      </c>
      <c r="L30" s="5" t="str">
        <f>IF(IF(Table4463[[#This Row],[Pre or Post]]="Post",1,0)+IF(ISNUMBER(Table4463[[#This Row],[Response]])=TRUE,1,0)=2,Table4463[[#This Row],[Response]],"")</f>
        <v/>
      </c>
      <c r="M30" s="6">
        <f>IF(IF(ISNUMBER(K30),1,0)+IF(ISNUMBER(L31),1,0)=2,IF(IF(C31=C30,1,0)+IF(B31=B30,1,0)+IF(D31="Post",1,0)+IF(D30="Pre",1,0)=4,Table4463[[#This Row],[Pre Total]],""),"")</f>
        <v>3</v>
      </c>
      <c r="N30" s="6" t="str">
        <f>IF(IF(ISNUMBER(K29),1,0)+IF(ISNUMBER(Table4463[[#This Row],[Post Total]]),1,0)=2,IF(IF(Table4463[[#This Row],[Student Number]]=C29,1,0)+IF(Table4463[[#This Row],[Session]]=B29,1,0)+IF(Table4463[[#This Row],[Pre or Post]]="Post",1,0)+IF(D29="Pre",1,0)=4,Table4463[[#This Row],[Post Total]],""),"")</f>
        <v/>
      </c>
      <c r="O30" s="6" t="str">
        <f>IF(IF(ISNUMBER(K29),1,0)+IF(ISNUMBER(Table4463[[#This Row],[Post Total]]),1,0)=2,IF(IF(Table4463[[#This Row],[Student Number]]=C29,1,0)+IF(Table4463[[#This Row],[Session]]=B29,1,0)+IF(Table4463[[#This Row],[Pre or Post]]="Post",1,0)+IF(D29="Pre",1,0)=4,Table4463[[#This Row],[Post Total]]-K29,""),"")</f>
        <v/>
      </c>
      <c r="P30" s="5" t="b">
        <f>ISNUMBER(Table4463[[#This Row],[Change]])</f>
        <v>0</v>
      </c>
      <c r="Q30" s="5" t="str">
        <f>IF(E29="Male",Table4463[[#This Row],[Change]],"")</f>
        <v/>
      </c>
      <c r="R30" s="5" t="str">
        <f>IF(E29="Female",Table4463[[#This Row],[Change]],"")</f>
        <v/>
      </c>
      <c r="S30" s="5" t="b">
        <f>ISNUMBER(Table4463[[#This Row],[If Male]])</f>
        <v>0</v>
      </c>
      <c r="T30" s="5" t="b">
        <f>ISNUMBER(Table4463[[#This Row],[If Female]])</f>
        <v>0</v>
      </c>
    </row>
    <row r="31" spans="1:20">
      <c r="A31" s="1" t="s">
        <v>12</v>
      </c>
      <c r="B31" s="2" t="s">
        <v>21</v>
      </c>
      <c r="C31" s="1">
        <v>3</v>
      </c>
      <c r="D31" s="2" t="s">
        <v>16</v>
      </c>
      <c r="E31" s="5" t="s">
        <v>171</v>
      </c>
      <c r="F31" s="1">
        <v>2</v>
      </c>
      <c r="G31" s="1">
        <v>3</v>
      </c>
      <c r="H31" s="2"/>
      <c r="I31" s="5" t="str">
        <f>IF(IF(Table4463[[#This Row],[Pre or Post]]="Pre",1,0)+IF(ISNUMBER(Table4463[[#This Row],[Response]])=TRUE,1,0)=2,1,"")</f>
        <v/>
      </c>
      <c r="J31" s="5">
        <f>IF(IF(Table4463[[#This Row],[Pre or Post]]="Post",1,0)+IF(ISNUMBER(Table4463[[#This Row],[Response]])=TRUE,1,0)=2,1,"")</f>
        <v>1</v>
      </c>
      <c r="K31" s="5" t="str">
        <f>IF(IF(Table4463[[#This Row],[Pre or Post]]="Pre",1,0)+IF(ISNUMBER(Table4463[[#This Row],[Response]])=TRUE,1,0)=2,Table4463[[#This Row],[Response]],"")</f>
        <v/>
      </c>
      <c r="L31" s="5">
        <f>IF(IF(Table4463[[#This Row],[Pre or Post]]="Post",1,0)+IF(ISNUMBER(Table4463[[#This Row],[Response]])=TRUE,1,0)=2,Table4463[[#This Row],[Response]],"")</f>
        <v>3</v>
      </c>
      <c r="M31" s="6" t="str">
        <f>IF(IF(ISNUMBER(K31),1,0)+IF(ISNUMBER(L32),1,0)=2,IF(IF(C32=C31,1,0)+IF(B32=B31,1,0)+IF(D32="Post",1,0)+IF(D31="Pre",1,0)=4,Table4463[[#This Row],[Pre Total]],""),"")</f>
        <v/>
      </c>
      <c r="N31" s="6">
        <f>IF(IF(ISNUMBER(K30),1,0)+IF(ISNUMBER(Table4463[[#This Row],[Post Total]]),1,0)=2,IF(IF(Table4463[[#This Row],[Student Number]]=C30,1,0)+IF(Table4463[[#This Row],[Session]]=B30,1,0)+IF(Table4463[[#This Row],[Pre or Post]]="Post",1,0)+IF(D30="Pre",1,0)=4,Table4463[[#This Row],[Post Total]],""),"")</f>
        <v>3</v>
      </c>
      <c r="O31" s="6">
        <f>IF(IF(ISNUMBER(K30),1,0)+IF(ISNUMBER(Table4463[[#This Row],[Post Total]]),1,0)=2,IF(IF(Table4463[[#This Row],[Student Number]]=C30,1,0)+IF(Table4463[[#This Row],[Session]]=B30,1,0)+IF(Table4463[[#This Row],[Pre or Post]]="Post",1,0)+IF(D30="Pre",1,0)=4,Table4463[[#This Row],[Post Total]]-K30,""),"")</f>
        <v>0</v>
      </c>
      <c r="P31" s="5" t="b">
        <f>ISNUMBER(Table4463[[#This Row],[Change]])</f>
        <v>1</v>
      </c>
      <c r="Q31" s="5">
        <f>IF(E30="Male",Table4463[[#This Row],[Change]],"")</f>
        <v>0</v>
      </c>
      <c r="R31" s="5" t="str">
        <f>IF(E30="Female",Table4463[[#This Row],[Change]],"")</f>
        <v/>
      </c>
      <c r="S31" s="5" t="b">
        <f>ISNUMBER(Table4463[[#This Row],[If Male]])</f>
        <v>1</v>
      </c>
      <c r="T31" s="5" t="b">
        <f>ISNUMBER(Table4463[[#This Row],[If Female]])</f>
        <v>0</v>
      </c>
    </row>
    <row r="32" spans="1:20">
      <c r="A32" s="1" t="s">
        <v>12</v>
      </c>
      <c r="B32" s="2" t="s">
        <v>21</v>
      </c>
      <c r="C32" s="1">
        <v>4</v>
      </c>
      <c r="D32" s="2" t="s">
        <v>6</v>
      </c>
      <c r="E32" s="5" t="s">
        <v>7</v>
      </c>
      <c r="F32" s="1">
        <v>9</v>
      </c>
      <c r="G32" s="1">
        <v>4</v>
      </c>
      <c r="H32" s="2"/>
      <c r="I32" s="5">
        <f>IF(IF(Table4463[[#This Row],[Pre or Post]]="Pre",1,0)+IF(ISNUMBER(Table4463[[#This Row],[Response]])=TRUE,1,0)=2,1,"")</f>
        <v>1</v>
      </c>
      <c r="J32" s="5" t="str">
        <f>IF(IF(Table4463[[#This Row],[Pre or Post]]="Post",1,0)+IF(ISNUMBER(Table4463[[#This Row],[Response]])=TRUE,1,0)=2,1,"")</f>
        <v/>
      </c>
      <c r="K32" s="5">
        <f>IF(IF(Table4463[[#This Row],[Pre or Post]]="Pre",1,0)+IF(ISNUMBER(Table4463[[#This Row],[Response]])=TRUE,1,0)=2,Table4463[[#This Row],[Response]],"")</f>
        <v>4</v>
      </c>
      <c r="L32" s="5" t="str">
        <f>IF(IF(Table4463[[#This Row],[Pre or Post]]="Post",1,0)+IF(ISNUMBER(Table4463[[#This Row],[Response]])=TRUE,1,0)=2,Table4463[[#This Row],[Response]],"")</f>
        <v/>
      </c>
      <c r="M32" s="6">
        <f>IF(IF(ISNUMBER(K32),1,0)+IF(ISNUMBER(L33),1,0)=2,IF(IF(C33=C32,1,0)+IF(B33=B32,1,0)+IF(D33="Post",1,0)+IF(D32="Pre",1,0)=4,Table4463[[#This Row],[Pre Total]],""),"")</f>
        <v>4</v>
      </c>
      <c r="N32" s="6" t="str">
        <f>IF(IF(ISNUMBER(K31),1,0)+IF(ISNUMBER(Table4463[[#This Row],[Post Total]]),1,0)=2,IF(IF(Table4463[[#This Row],[Student Number]]=C31,1,0)+IF(Table4463[[#This Row],[Session]]=B31,1,0)+IF(Table4463[[#This Row],[Pre or Post]]="Post",1,0)+IF(D31="Pre",1,0)=4,Table4463[[#This Row],[Post Total]],""),"")</f>
        <v/>
      </c>
      <c r="O32" s="6" t="str">
        <f>IF(IF(ISNUMBER(K31),1,0)+IF(ISNUMBER(Table4463[[#This Row],[Post Total]]),1,0)=2,IF(IF(Table4463[[#This Row],[Student Number]]=C31,1,0)+IF(Table4463[[#This Row],[Session]]=B31,1,0)+IF(Table4463[[#This Row],[Pre or Post]]="Post",1,0)+IF(D31="Pre",1,0)=4,Table4463[[#This Row],[Post Total]]-K31,""),"")</f>
        <v/>
      </c>
      <c r="P32" s="5" t="b">
        <f>ISNUMBER(Table4463[[#This Row],[Change]])</f>
        <v>0</v>
      </c>
      <c r="Q32" s="5" t="str">
        <f>IF(E31="Male",Table4463[[#This Row],[Change]],"")</f>
        <v/>
      </c>
      <c r="R32" s="5" t="str">
        <f>IF(E31="Female",Table4463[[#This Row],[Change]],"")</f>
        <v/>
      </c>
      <c r="S32" s="5" t="b">
        <f>ISNUMBER(Table4463[[#This Row],[If Male]])</f>
        <v>0</v>
      </c>
      <c r="T32" s="5" t="b">
        <f>ISNUMBER(Table4463[[#This Row],[If Female]])</f>
        <v>0</v>
      </c>
    </row>
    <row r="33" spans="1:20">
      <c r="A33" s="1" t="s">
        <v>12</v>
      </c>
      <c r="B33" s="2" t="s">
        <v>21</v>
      </c>
      <c r="C33" s="1">
        <v>4</v>
      </c>
      <c r="D33" s="2" t="s">
        <v>16</v>
      </c>
      <c r="E33" s="5" t="s">
        <v>171</v>
      </c>
      <c r="F33" s="1">
        <v>2</v>
      </c>
      <c r="G33" s="1">
        <v>3</v>
      </c>
      <c r="H33" s="2"/>
      <c r="I33" s="5" t="str">
        <f>IF(IF(Table4463[[#This Row],[Pre or Post]]="Pre",1,0)+IF(ISNUMBER(Table4463[[#This Row],[Response]])=TRUE,1,0)=2,1,"")</f>
        <v/>
      </c>
      <c r="J33" s="5">
        <f>IF(IF(Table4463[[#This Row],[Pre or Post]]="Post",1,0)+IF(ISNUMBER(Table4463[[#This Row],[Response]])=TRUE,1,0)=2,1,"")</f>
        <v>1</v>
      </c>
      <c r="K33" s="5" t="str">
        <f>IF(IF(Table4463[[#This Row],[Pre or Post]]="Pre",1,0)+IF(ISNUMBER(Table4463[[#This Row],[Response]])=TRUE,1,0)=2,Table4463[[#This Row],[Response]],"")</f>
        <v/>
      </c>
      <c r="L33" s="5">
        <f>IF(IF(Table4463[[#This Row],[Pre or Post]]="Post",1,0)+IF(ISNUMBER(Table4463[[#This Row],[Response]])=TRUE,1,0)=2,Table4463[[#This Row],[Response]],"")</f>
        <v>3</v>
      </c>
      <c r="M33" s="6" t="str">
        <f>IF(IF(ISNUMBER(K33),1,0)+IF(ISNUMBER(L34),1,0)=2,IF(IF(C34=C33,1,0)+IF(B34=B33,1,0)+IF(D34="Post",1,0)+IF(D33="Pre",1,0)=4,Table4463[[#This Row],[Pre Total]],""),"")</f>
        <v/>
      </c>
      <c r="N33" s="6">
        <f>IF(IF(ISNUMBER(K32),1,0)+IF(ISNUMBER(Table4463[[#This Row],[Post Total]]),1,0)=2,IF(IF(Table4463[[#This Row],[Student Number]]=C32,1,0)+IF(Table4463[[#This Row],[Session]]=B32,1,0)+IF(Table4463[[#This Row],[Pre or Post]]="Post",1,0)+IF(D32="Pre",1,0)=4,Table4463[[#This Row],[Post Total]],""),"")</f>
        <v>3</v>
      </c>
      <c r="O33" s="6">
        <f>IF(IF(ISNUMBER(K32),1,0)+IF(ISNUMBER(Table4463[[#This Row],[Post Total]]),1,0)=2,IF(IF(Table4463[[#This Row],[Student Number]]=C32,1,0)+IF(Table4463[[#This Row],[Session]]=B32,1,0)+IF(Table4463[[#This Row],[Pre or Post]]="Post",1,0)+IF(D32="Pre",1,0)=4,Table4463[[#This Row],[Post Total]]-K32,""),"")</f>
        <v>-1</v>
      </c>
      <c r="P33" s="5" t="b">
        <f>ISNUMBER(Table4463[[#This Row],[Change]])</f>
        <v>1</v>
      </c>
      <c r="Q33" s="5">
        <f>IF(E32="Male",Table4463[[#This Row],[Change]],"")</f>
        <v>-1</v>
      </c>
      <c r="R33" s="5" t="str">
        <f>IF(E32="Female",Table4463[[#This Row],[Change]],"")</f>
        <v/>
      </c>
      <c r="S33" s="5" t="b">
        <f>ISNUMBER(Table4463[[#This Row],[If Male]])</f>
        <v>1</v>
      </c>
      <c r="T33" s="5" t="b">
        <f>ISNUMBER(Table4463[[#This Row],[If Female]])</f>
        <v>0</v>
      </c>
    </row>
    <row r="34" spans="1:20">
      <c r="A34" s="1" t="s">
        <v>12</v>
      </c>
      <c r="B34" s="2" t="s">
        <v>21</v>
      </c>
      <c r="C34" s="1">
        <v>5</v>
      </c>
      <c r="D34" s="2" t="s">
        <v>6</v>
      </c>
      <c r="E34" s="5" t="s">
        <v>13</v>
      </c>
      <c r="F34" s="1">
        <v>9</v>
      </c>
      <c r="G34" s="1">
        <v>3</v>
      </c>
      <c r="H34" s="2"/>
      <c r="I34" s="5">
        <f>IF(IF(Table4463[[#This Row],[Pre or Post]]="Pre",1,0)+IF(ISNUMBER(Table4463[[#This Row],[Response]])=TRUE,1,0)=2,1,"")</f>
        <v>1</v>
      </c>
      <c r="J34" s="5" t="str">
        <f>IF(IF(Table4463[[#This Row],[Pre or Post]]="Post",1,0)+IF(ISNUMBER(Table4463[[#This Row],[Response]])=TRUE,1,0)=2,1,"")</f>
        <v/>
      </c>
      <c r="K34" s="5">
        <f>IF(IF(Table4463[[#This Row],[Pre or Post]]="Pre",1,0)+IF(ISNUMBER(Table4463[[#This Row],[Response]])=TRUE,1,0)=2,Table4463[[#This Row],[Response]],"")</f>
        <v>3</v>
      </c>
      <c r="L34" s="5" t="str">
        <f>IF(IF(Table4463[[#This Row],[Pre or Post]]="Post",1,0)+IF(ISNUMBER(Table4463[[#This Row],[Response]])=TRUE,1,0)=2,Table4463[[#This Row],[Response]],"")</f>
        <v/>
      </c>
      <c r="M34" s="6">
        <f>IF(IF(ISNUMBER(K34),1,0)+IF(ISNUMBER(L35),1,0)=2,IF(IF(C35=C34,1,0)+IF(B35=B34,1,0)+IF(D35="Post",1,0)+IF(D34="Pre",1,0)=4,Table4463[[#This Row],[Pre Total]],""),"")</f>
        <v>3</v>
      </c>
      <c r="N34" s="6" t="str">
        <f>IF(IF(ISNUMBER(K33),1,0)+IF(ISNUMBER(Table4463[[#This Row],[Post Total]]),1,0)=2,IF(IF(Table4463[[#This Row],[Student Number]]=C33,1,0)+IF(Table4463[[#This Row],[Session]]=B33,1,0)+IF(Table4463[[#This Row],[Pre or Post]]="Post",1,0)+IF(D33="Pre",1,0)=4,Table4463[[#This Row],[Post Total]],""),"")</f>
        <v/>
      </c>
      <c r="O34" s="6" t="str">
        <f>IF(IF(ISNUMBER(K33),1,0)+IF(ISNUMBER(Table4463[[#This Row],[Post Total]]),1,0)=2,IF(IF(Table4463[[#This Row],[Student Number]]=C33,1,0)+IF(Table4463[[#This Row],[Session]]=B33,1,0)+IF(Table4463[[#This Row],[Pre or Post]]="Post",1,0)+IF(D33="Pre",1,0)=4,Table4463[[#This Row],[Post Total]]-K33,""),"")</f>
        <v/>
      </c>
      <c r="P34" s="5" t="b">
        <f>ISNUMBER(Table4463[[#This Row],[Change]])</f>
        <v>0</v>
      </c>
      <c r="Q34" s="5" t="str">
        <f>IF(E33="Male",Table4463[[#This Row],[Change]],"")</f>
        <v/>
      </c>
      <c r="R34" s="5" t="str">
        <f>IF(E33="Female",Table4463[[#This Row],[Change]],"")</f>
        <v/>
      </c>
      <c r="S34" s="5" t="b">
        <f>ISNUMBER(Table4463[[#This Row],[If Male]])</f>
        <v>0</v>
      </c>
      <c r="T34" s="5" t="b">
        <f>ISNUMBER(Table4463[[#This Row],[If Female]])</f>
        <v>0</v>
      </c>
    </row>
    <row r="35" spans="1:20">
      <c r="A35" s="1" t="s">
        <v>12</v>
      </c>
      <c r="B35" s="2" t="s">
        <v>21</v>
      </c>
      <c r="C35" s="1">
        <v>5</v>
      </c>
      <c r="D35" s="2" t="s">
        <v>16</v>
      </c>
      <c r="E35" s="5" t="s">
        <v>171</v>
      </c>
      <c r="F35" s="1">
        <v>2</v>
      </c>
      <c r="G35" s="1">
        <v>3</v>
      </c>
      <c r="H35" s="2"/>
      <c r="I35" s="5" t="str">
        <f>IF(IF(Table4463[[#This Row],[Pre or Post]]="Pre",1,0)+IF(ISNUMBER(Table4463[[#This Row],[Response]])=TRUE,1,0)=2,1,"")</f>
        <v/>
      </c>
      <c r="J35" s="5">
        <f>IF(IF(Table4463[[#This Row],[Pre or Post]]="Post",1,0)+IF(ISNUMBER(Table4463[[#This Row],[Response]])=TRUE,1,0)=2,1,"")</f>
        <v>1</v>
      </c>
      <c r="K35" s="5" t="str">
        <f>IF(IF(Table4463[[#This Row],[Pre or Post]]="Pre",1,0)+IF(ISNUMBER(Table4463[[#This Row],[Response]])=TRUE,1,0)=2,Table4463[[#This Row],[Response]],"")</f>
        <v/>
      </c>
      <c r="L35" s="5">
        <f>IF(IF(Table4463[[#This Row],[Pre or Post]]="Post",1,0)+IF(ISNUMBER(Table4463[[#This Row],[Response]])=TRUE,1,0)=2,Table4463[[#This Row],[Response]],"")</f>
        <v>3</v>
      </c>
      <c r="M35" s="6" t="str">
        <f>IF(IF(ISNUMBER(K35),1,0)+IF(ISNUMBER(L36),1,0)=2,IF(IF(C36=C35,1,0)+IF(B36=B35,1,0)+IF(D36="Post",1,0)+IF(D35="Pre",1,0)=4,Table4463[[#This Row],[Pre Total]],""),"")</f>
        <v/>
      </c>
      <c r="N35" s="6">
        <f>IF(IF(ISNUMBER(K34),1,0)+IF(ISNUMBER(Table4463[[#This Row],[Post Total]]),1,0)=2,IF(IF(Table4463[[#This Row],[Student Number]]=C34,1,0)+IF(Table4463[[#This Row],[Session]]=B34,1,0)+IF(Table4463[[#This Row],[Pre or Post]]="Post",1,0)+IF(D34="Pre",1,0)=4,Table4463[[#This Row],[Post Total]],""),"")</f>
        <v>3</v>
      </c>
      <c r="O35" s="6">
        <f>IF(IF(ISNUMBER(K34),1,0)+IF(ISNUMBER(Table4463[[#This Row],[Post Total]]),1,0)=2,IF(IF(Table4463[[#This Row],[Student Number]]=C34,1,0)+IF(Table4463[[#This Row],[Session]]=B34,1,0)+IF(Table4463[[#This Row],[Pre or Post]]="Post",1,0)+IF(D34="Pre",1,0)=4,Table4463[[#This Row],[Post Total]]-K34,""),"")</f>
        <v>0</v>
      </c>
      <c r="P35" s="5" t="b">
        <f>ISNUMBER(Table4463[[#This Row],[Change]])</f>
        <v>1</v>
      </c>
      <c r="Q35" s="5" t="str">
        <f>IF(E34="Male",Table4463[[#This Row],[Change]],"")</f>
        <v/>
      </c>
      <c r="R35" s="5">
        <f>IF(E34="Female",Table4463[[#This Row],[Change]],"")</f>
        <v>0</v>
      </c>
      <c r="S35" s="5" t="b">
        <f>ISNUMBER(Table4463[[#This Row],[If Male]])</f>
        <v>0</v>
      </c>
      <c r="T35" s="5" t="b">
        <f>ISNUMBER(Table4463[[#This Row],[If Female]])</f>
        <v>1</v>
      </c>
    </row>
    <row r="36" spans="1:20">
      <c r="A36" s="1" t="s">
        <v>12</v>
      </c>
      <c r="B36" s="2" t="s">
        <v>21</v>
      </c>
      <c r="C36" s="1">
        <v>6</v>
      </c>
      <c r="D36" s="2" t="s">
        <v>6</v>
      </c>
      <c r="E36" s="5" t="s">
        <v>7</v>
      </c>
      <c r="F36" s="1">
        <v>9</v>
      </c>
      <c r="G36" s="1">
        <v>3</v>
      </c>
      <c r="H36" s="2"/>
      <c r="I36" s="5">
        <f>IF(IF(Table4463[[#This Row],[Pre or Post]]="Pre",1,0)+IF(ISNUMBER(Table4463[[#This Row],[Response]])=TRUE,1,0)=2,1,"")</f>
        <v>1</v>
      </c>
      <c r="J36" s="5" t="str">
        <f>IF(IF(Table4463[[#This Row],[Pre or Post]]="Post",1,0)+IF(ISNUMBER(Table4463[[#This Row],[Response]])=TRUE,1,0)=2,1,"")</f>
        <v/>
      </c>
      <c r="K36" s="5">
        <f>IF(IF(Table4463[[#This Row],[Pre or Post]]="Pre",1,0)+IF(ISNUMBER(Table4463[[#This Row],[Response]])=TRUE,1,0)=2,Table4463[[#This Row],[Response]],"")</f>
        <v>3</v>
      </c>
      <c r="L36" s="5" t="str">
        <f>IF(IF(Table4463[[#This Row],[Pre or Post]]="Post",1,0)+IF(ISNUMBER(Table4463[[#This Row],[Response]])=TRUE,1,0)=2,Table4463[[#This Row],[Response]],"")</f>
        <v/>
      </c>
      <c r="M36" s="6">
        <f>IF(IF(ISNUMBER(K36),1,0)+IF(ISNUMBER(L37),1,0)=2,IF(IF(C37=C36,1,0)+IF(B37=B36,1,0)+IF(D37="Post",1,0)+IF(D36="Pre",1,0)=4,Table4463[[#This Row],[Pre Total]],""),"")</f>
        <v>3</v>
      </c>
      <c r="N36" s="6" t="str">
        <f>IF(IF(ISNUMBER(K35),1,0)+IF(ISNUMBER(Table4463[[#This Row],[Post Total]]),1,0)=2,IF(IF(Table4463[[#This Row],[Student Number]]=C35,1,0)+IF(Table4463[[#This Row],[Session]]=B35,1,0)+IF(Table4463[[#This Row],[Pre or Post]]="Post",1,0)+IF(D35="Pre",1,0)=4,Table4463[[#This Row],[Post Total]],""),"")</f>
        <v/>
      </c>
      <c r="O36" s="6" t="str">
        <f>IF(IF(ISNUMBER(K35),1,0)+IF(ISNUMBER(Table4463[[#This Row],[Post Total]]),1,0)=2,IF(IF(Table4463[[#This Row],[Student Number]]=C35,1,0)+IF(Table4463[[#This Row],[Session]]=B35,1,0)+IF(Table4463[[#This Row],[Pre or Post]]="Post",1,0)+IF(D35="Pre",1,0)=4,Table4463[[#This Row],[Post Total]]-K35,""),"")</f>
        <v/>
      </c>
      <c r="P36" s="5" t="b">
        <f>ISNUMBER(Table4463[[#This Row],[Change]])</f>
        <v>0</v>
      </c>
      <c r="Q36" s="5" t="str">
        <f>IF(E35="Male",Table4463[[#This Row],[Change]],"")</f>
        <v/>
      </c>
      <c r="R36" s="5" t="str">
        <f>IF(E35="Female",Table4463[[#This Row],[Change]],"")</f>
        <v/>
      </c>
      <c r="S36" s="5" t="b">
        <f>ISNUMBER(Table4463[[#This Row],[If Male]])</f>
        <v>0</v>
      </c>
      <c r="T36" s="5" t="b">
        <f>ISNUMBER(Table4463[[#This Row],[If Female]])</f>
        <v>0</v>
      </c>
    </row>
    <row r="37" spans="1:20">
      <c r="A37" s="1" t="s">
        <v>12</v>
      </c>
      <c r="B37" s="2" t="s">
        <v>21</v>
      </c>
      <c r="C37" s="1">
        <v>6</v>
      </c>
      <c r="D37" s="2" t="s">
        <v>16</v>
      </c>
      <c r="E37" s="5" t="s">
        <v>171</v>
      </c>
      <c r="F37" s="1">
        <v>2</v>
      </c>
      <c r="G37" s="1">
        <v>4</v>
      </c>
      <c r="H37" s="2"/>
      <c r="I37" s="5" t="str">
        <f>IF(IF(Table4463[[#This Row],[Pre or Post]]="Pre",1,0)+IF(ISNUMBER(Table4463[[#This Row],[Response]])=TRUE,1,0)=2,1,"")</f>
        <v/>
      </c>
      <c r="J37" s="5">
        <f>IF(IF(Table4463[[#This Row],[Pre or Post]]="Post",1,0)+IF(ISNUMBER(Table4463[[#This Row],[Response]])=TRUE,1,0)=2,1,"")</f>
        <v>1</v>
      </c>
      <c r="K37" s="5" t="str">
        <f>IF(IF(Table4463[[#This Row],[Pre or Post]]="Pre",1,0)+IF(ISNUMBER(Table4463[[#This Row],[Response]])=TRUE,1,0)=2,Table4463[[#This Row],[Response]],"")</f>
        <v/>
      </c>
      <c r="L37" s="5">
        <f>IF(IF(Table4463[[#This Row],[Pre or Post]]="Post",1,0)+IF(ISNUMBER(Table4463[[#This Row],[Response]])=TRUE,1,0)=2,Table4463[[#This Row],[Response]],"")</f>
        <v>4</v>
      </c>
      <c r="M37" s="6" t="str">
        <f>IF(IF(ISNUMBER(K37),1,0)+IF(ISNUMBER(L38),1,0)=2,IF(IF(C38=C37,1,0)+IF(B38=B37,1,0)+IF(D38="Post",1,0)+IF(D37="Pre",1,0)=4,Table4463[[#This Row],[Pre Total]],""),"")</f>
        <v/>
      </c>
      <c r="N37" s="6">
        <f>IF(IF(ISNUMBER(K36),1,0)+IF(ISNUMBER(Table4463[[#This Row],[Post Total]]),1,0)=2,IF(IF(Table4463[[#This Row],[Student Number]]=C36,1,0)+IF(Table4463[[#This Row],[Session]]=B36,1,0)+IF(Table4463[[#This Row],[Pre or Post]]="Post",1,0)+IF(D36="Pre",1,0)=4,Table4463[[#This Row],[Post Total]],""),"")</f>
        <v>4</v>
      </c>
      <c r="O37" s="6">
        <f>IF(IF(ISNUMBER(K36),1,0)+IF(ISNUMBER(Table4463[[#This Row],[Post Total]]),1,0)=2,IF(IF(Table4463[[#This Row],[Student Number]]=C36,1,0)+IF(Table4463[[#This Row],[Session]]=B36,1,0)+IF(Table4463[[#This Row],[Pre or Post]]="Post",1,0)+IF(D36="Pre",1,0)=4,Table4463[[#This Row],[Post Total]]-K36,""),"")</f>
        <v>1</v>
      </c>
      <c r="P37" s="5" t="b">
        <f>ISNUMBER(Table4463[[#This Row],[Change]])</f>
        <v>1</v>
      </c>
      <c r="Q37" s="5">
        <f>IF(E36="Male",Table4463[[#This Row],[Change]],"")</f>
        <v>1</v>
      </c>
      <c r="R37" s="5" t="str">
        <f>IF(E36="Female",Table4463[[#This Row],[Change]],"")</f>
        <v/>
      </c>
      <c r="S37" s="5" t="b">
        <f>ISNUMBER(Table4463[[#This Row],[If Male]])</f>
        <v>1</v>
      </c>
      <c r="T37" s="5" t="b">
        <f>ISNUMBER(Table4463[[#This Row],[If Female]])</f>
        <v>0</v>
      </c>
    </row>
    <row r="38" spans="1:20">
      <c r="A38" s="1" t="s">
        <v>12</v>
      </c>
      <c r="B38" s="2" t="s">
        <v>21</v>
      </c>
      <c r="C38" s="1">
        <v>7</v>
      </c>
      <c r="D38" s="2" t="s">
        <v>6</v>
      </c>
      <c r="E38" s="5" t="s">
        <v>7</v>
      </c>
      <c r="F38" s="1">
        <v>9</v>
      </c>
      <c r="G38" s="1">
        <v>4</v>
      </c>
      <c r="H38" s="2"/>
      <c r="I38" s="5">
        <f>IF(IF(Table4463[[#This Row],[Pre or Post]]="Pre",1,0)+IF(ISNUMBER(Table4463[[#This Row],[Response]])=TRUE,1,0)=2,1,"")</f>
        <v>1</v>
      </c>
      <c r="J38" s="5" t="str">
        <f>IF(IF(Table4463[[#This Row],[Pre or Post]]="Post",1,0)+IF(ISNUMBER(Table4463[[#This Row],[Response]])=TRUE,1,0)=2,1,"")</f>
        <v/>
      </c>
      <c r="K38" s="5">
        <f>IF(IF(Table4463[[#This Row],[Pre or Post]]="Pre",1,0)+IF(ISNUMBER(Table4463[[#This Row],[Response]])=TRUE,1,0)=2,Table4463[[#This Row],[Response]],"")</f>
        <v>4</v>
      </c>
      <c r="L38" s="5" t="str">
        <f>IF(IF(Table4463[[#This Row],[Pre or Post]]="Post",1,0)+IF(ISNUMBER(Table4463[[#This Row],[Response]])=TRUE,1,0)=2,Table4463[[#This Row],[Response]],"")</f>
        <v/>
      </c>
      <c r="M38" s="6">
        <f>IF(IF(ISNUMBER(K38),1,0)+IF(ISNUMBER(L39),1,0)=2,IF(IF(C39=C38,1,0)+IF(B39=B38,1,0)+IF(D39="Post",1,0)+IF(D38="Pre",1,0)=4,Table4463[[#This Row],[Pre Total]],""),"")</f>
        <v>4</v>
      </c>
      <c r="N38" s="6" t="str">
        <f>IF(IF(ISNUMBER(K37),1,0)+IF(ISNUMBER(Table4463[[#This Row],[Post Total]]),1,0)=2,IF(IF(Table4463[[#This Row],[Student Number]]=C37,1,0)+IF(Table4463[[#This Row],[Session]]=B37,1,0)+IF(Table4463[[#This Row],[Pre or Post]]="Post",1,0)+IF(D37="Pre",1,0)=4,Table4463[[#This Row],[Post Total]],""),"")</f>
        <v/>
      </c>
      <c r="O38" s="6" t="str">
        <f>IF(IF(ISNUMBER(K37),1,0)+IF(ISNUMBER(Table4463[[#This Row],[Post Total]]),1,0)=2,IF(IF(Table4463[[#This Row],[Student Number]]=C37,1,0)+IF(Table4463[[#This Row],[Session]]=B37,1,0)+IF(Table4463[[#This Row],[Pre or Post]]="Post",1,0)+IF(D37="Pre",1,0)=4,Table4463[[#This Row],[Post Total]]-K37,""),"")</f>
        <v/>
      </c>
      <c r="P38" s="5" t="b">
        <f>ISNUMBER(Table4463[[#This Row],[Change]])</f>
        <v>0</v>
      </c>
      <c r="Q38" s="5" t="str">
        <f>IF(E37="Male",Table4463[[#This Row],[Change]],"")</f>
        <v/>
      </c>
      <c r="R38" s="5" t="str">
        <f>IF(E37="Female",Table4463[[#This Row],[Change]],"")</f>
        <v/>
      </c>
      <c r="S38" s="5" t="b">
        <f>ISNUMBER(Table4463[[#This Row],[If Male]])</f>
        <v>0</v>
      </c>
      <c r="T38" s="5" t="b">
        <f>ISNUMBER(Table4463[[#This Row],[If Female]])</f>
        <v>0</v>
      </c>
    </row>
    <row r="39" spans="1:20">
      <c r="A39" s="1" t="s">
        <v>12</v>
      </c>
      <c r="B39" s="2" t="s">
        <v>21</v>
      </c>
      <c r="C39" s="1">
        <v>7</v>
      </c>
      <c r="D39" s="2" t="s">
        <v>16</v>
      </c>
      <c r="E39" s="5" t="s">
        <v>171</v>
      </c>
      <c r="F39" s="1">
        <v>2</v>
      </c>
      <c r="G39" s="1">
        <v>4</v>
      </c>
      <c r="H39" s="2"/>
      <c r="I39" s="5" t="str">
        <f>IF(IF(Table4463[[#This Row],[Pre or Post]]="Pre",1,0)+IF(ISNUMBER(Table4463[[#This Row],[Response]])=TRUE,1,0)=2,1,"")</f>
        <v/>
      </c>
      <c r="J39" s="5">
        <f>IF(IF(Table4463[[#This Row],[Pre or Post]]="Post",1,0)+IF(ISNUMBER(Table4463[[#This Row],[Response]])=TRUE,1,0)=2,1,"")</f>
        <v>1</v>
      </c>
      <c r="K39" s="5" t="str">
        <f>IF(IF(Table4463[[#This Row],[Pre or Post]]="Pre",1,0)+IF(ISNUMBER(Table4463[[#This Row],[Response]])=TRUE,1,0)=2,Table4463[[#This Row],[Response]],"")</f>
        <v/>
      </c>
      <c r="L39" s="5">
        <f>IF(IF(Table4463[[#This Row],[Pre or Post]]="Post",1,0)+IF(ISNUMBER(Table4463[[#This Row],[Response]])=TRUE,1,0)=2,Table4463[[#This Row],[Response]],"")</f>
        <v>4</v>
      </c>
      <c r="M39" s="6" t="str">
        <f>IF(IF(ISNUMBER(K39),1,0)+IF(ISNUMBER(L40),1,0)=2,IF(IF(C40=C39,1,0)+IF(B40=B39,1,0)+IF(D40="Post",1,0)+IF(D39="Pre",1,0)=4,Table4463[[#This Row],[Pre Total]],""),"")</f>
        <v/>
      </c>
      <c r="N39" s="6">
        <f>IF(IF(ISNUMBER(K38),1,0)+IF(ISNUMBER(Table4463[[#This Row],[Post Total]]),1,0)=2,IF(IF(Table4463[[#This Row],[Student Number]]=C38,1,0)+IF(Table4463[[#This Row],[Session]]=B38,1,0)+IF(Table4463[[#This Row],[Pre or Post]]="Post",1,0)+IF(D38="Pre",1,0)=4,Table4463[[#This Row],[Post Total]],""),"")</f>
        <v>4</v>
      </c>
      <c r="O39" s="6">
        <f>IF(IF(ISNUMBER(K38),1,0)+IF(ISNUMBER(Table4463[[#This Row],[Post Total]]),1,0)=2,IF(IF(Table4463[[#This Row],[Student Number]]=C38,1,0)+IF(Table4463[[#This Row],[Session]]=B38,1,0)+IF(Table4463[[#This Row],[Pre or Post]]="Post",1,0)+IF(D38="Pre",1,0)=4,Table4463[[#This Row],[Post Total]]-K38,""),"")</f>
        <v>0</v>
      </c>
      <c r="P39" s="5" t="b">
        <f>ISNUMBER(Table4463[[#This Row],[Change]])</f>
        <v>1</v>
      </c>
      <c r="Q39" s="5">
        <f>IF(E38="Male",Table4463[[#This Row],[Change]],"")</f>
        <v>0</v>
      </c>
      <c r="R39" s="5" t="str">
        <f>IF(E38="Female",Table4463[[#This Row],[Change]],"")</f>
        <v/>
      </c>
      <c r="S39" s="5" t="b">
        <f>ISNUMBER(Table4463[[#This Row],[If Male]])</f>
        <v>1</v>
      </c>
      <c r="T39" s="5" t="b">
        <f>ISNUMBER(Table4463[[#This Row],[If Female]])</f>
        <v>0</v>
      </c>
    </row>
    <row r="40" spans="1:20">
      <c r="A40" s="1" t="s">
        <v>12</v>
      </c>
      <c r="B40" s="2" t="s">
        <v>21</v>
      </c>
      <c r="C40" s="1">
        <v>8</v>
      </c>
      <c r="D40" s="2" t="s">
        <v>6</v>
      </c>
      <c r="E40" s="5" t="s">
        <v>13</v>
      </c>
      <c r="F40" s="1">
        <v>9</v>
      </c>
      <c r="G40" s="1">
        <v>4</v>
      </c>
      <c r="H40" s="2"/>
      <c r="I40" s="5">
        <f>IF(IF(Table4463[[#This Row],[Pre or Post]]="Pre",1,0)+IF(ISNUMBER(Table4463[[#This Row],[Response]])=TRUE,1,0)=2,1,"")</f>
        <v>1</v>
      </c>
      <c r="J40" s="5" t="str">
        <f>IF(IF(Table4463[[#This Row],[Pre or Post]]="Post",1,0)+IF(ISNUMBER(Table4463[[#This Row],[Response]])=TRUE,1,0)=2,1,"")</f>
        <v/>
      </c>
      <c r="K40" s="5">
        <f>IF(IF(Table4463[[#This Row],[Pre or Post]]="Pre",1,0)+IF(ISNUMBER(Table4463[[#This Row],[Response]])=TRUE,1,0)=2,Table4463[[#This Row],[Response]],"")</f>
        <v>4</v>
      </c>
      <c r="L40" s="5" t="str">
        <f>IF(IF(Table4463[[#This Row],[Pre or Post]]="Post",1,0)+IF(ISNUMBER(Table4463[[#This Row],[Response]])=TRUE,1,0)=2,Table4463[[#This Row],[Response]],"")</f>
        <v/>
      </c>
      <c r="M40" s="6">
        <f>IF(IF(ISNUMBER(K40),1,0)+IF(ISNUMBER(L41),1,0)=2,IF(IF(C41=C40,1,0)+IF(B41=B40,1,0)+IF(D41="Post",1,0)+IF(D40="Pre",1,0)=4,Table4463[[#This Row],[Pre Total]],""),"")</f>
        <v>4</v>
      </c>
      <c r="N40" s="6" t="str">
        <f>IF(IF(ISNUMBER(K39),1,0)+IF(ISNUMBER(Table4463[[#This Row],[Post Total]]),1,0)=2,IF(IF(Table4463[[#This Row],[Student Number]]=C39,1,0)+IF(Table4463[[#This Row],[Session]]=B39,1,0)+IF(Table4463[[#This Row],[Pre or Post]]="Post",1,0)+IF(D39="Pre",1,0)=4,Table4463[[#This Row],[Post Total]],""),"")</f>
        <v/>
      </c>
      <c r="O40" s="6" t="str">
        <f>IF(IF(ISNUMBER(K39),1,0)+IF(ISNUMBER(Table4463[[#This Row],[Post Total]]),1,0)=2,IF(IF(Table4463[[#This Row],[Student Number]]=C39,1,0)+IF(Table4463[[#This Row],[Session]]=B39,1,0)+IF(Table4463[[#This Row],[Pre or Post]]="Post",1,0)+IF(D39="Pre",1,0)=4,Table4463[[#This Row],[Post Total]]-K39,""),"")</f>
        <v/>
      </c>
      <c r="P40" s="5" t="b">
        <f>ISNUMBER(Table4463[[#This Row],[Change]])</f>
        <v>0</v>
      </c>
      <c r="Q40" s="5" t="str">
        <f>IF(E39="Male",Table4463[[#This Row],[Change]],"")</f>
        <v/>
      </c>
      <c r="R40" s="5" t="str">
        <f>IF(E39="Female",Table4463[[#This Row],[Change]],"")</f>
        <v/>
      </c>
      <c r="S40" s="5" t="b">
        <f>ISNUMBER(Table4463[[#This Row],[If Male]])</f>
        <v>0</v>
      </c>
      <c r="T40" s="5" t="b">
        <f>ISNUMBER(Table4463[[#This Row],[If Female]])</f>
        <v>0</v>
      </c>
    </row>
    <row r="41" spans="1:20">
      <c r="A41" s="1" t="s">
        <v>12</v>
      </c>
      <c r="B41" s="2" t="s">
        <v>21</v>
      </c>
      <c r="C41" s="1">
        <v>8</v>
      </c>
      <c r="D41" s="2" t="s">
        <v>16</v>
      </c>
      <c r="E41" s="5" t="s">
        <v>171</v>
      </c>
      <c r="F41" s="1">
        <v>2</v>
      </c>
      <c r="G41" s="1">
        <v>4</v>
      </c>
      <c r="H41" s="2"/>
      <c r="I41" s="5" t="str">
        <f>IF(IF(Table4463[[#This Row],[Pre or Post]]="Pre",1,0)+IF(ISNUMBER(Table4463[[#This Row],[Response]])=TRUE,1,0)=2,1,"")</f>
        <v/>
      </c>
      <c r="J41" s="5">
        <f>IF(IF(Table4463[[#This Row],[Pre or Post]]="Post",1,0)+IF(ISNUMBER(Table4463[[#This Row],[Response]])=TRUE,1,0)=2,1,"")</f>
        <v>1</v>
      </c>
      <c r="K41" s="5" t="str">
        <f>IF(IF(Table4463[[#This Row],[Pre or Post]]="Pre",1,0)+IF(ISNUMBER(Table4463[[#This Row],[Response]])=TRUE,1,0)=2,Table4463[[#This Row],[Response]],"")</f>
        <v/>
      </c>
      <c r="L41" s="5">
        <f>IF(IF(Table4463[[#This Row],[Pre or Post]]="Post",1,0)+IF(ISNUMBER(Table4463[[#This Row],[Response]])=TRUE,1,0)=2,Table4463[[#This Row],[Response]],"")</f>
        <v>4</v>
      </c>
      <c r="M41" s="6" t="str">
        <f>IF(IF(ISNUMBER(K41),1,0)+IF(ISNUMBER(L42),1,0)=2,IF(IF(C42=C41,1,0)+IF(B42=B41,1,0)+IF(D42="Post",1,0)+IF(D41="Pre",1,0)=4,Table4463[[#This Row],[Pre Total]],""),"")</f>
        <v/>
      </c>
      <c r="N41" s="6">
        <f>IF(IF(ISNUMBER(K40),1,0)+IF(ISNUMBER(Table4463[[#This Row],[Post Total]]),1,0)=2,IF(IF(Table4463[[#This Row],[Student Number]]=C40,1,0)+IF(Table4463[[#This Row],[Session]]=B40,1,0)+IF(Table4463[[#This Row],[Pre or Post]]="Post",1,0)+IF(D40="Pre",1,0)=4,Table4463[[#This Row],[Post Total]],""),"")</f>
        <v>4</v>
      </c>
      <c r="O41" s="6">
        <f>IF(IF(ISNUMBER(K40),1,0)+IF(ISNUMBER(Table4463[[#This Row],[Post Total]]),1,0)=2,IF(IF(Table4463[[#This Row],[Student Number]]=C40,1,0)+IF(Table4463[[#This Row],[Session]]=B40,1,0)+IF(Table4463[[#This Row],[Pre or Post]]="Post",1,0)+IF(D40="Pre",1,0)=4,Table4463[[#This Row],[Post Total]]-K40,""),"")</f>
        <v>0</v>
      </c>
      <c r="P41" s="5" t="b">
        <f>ISNUMBER(Table4463[[#This Row],[Change]])</f>
        <v>1</v>
      </c>
      <c r="Q41" s="5" t="str">
        <f>IF(E40="Male",Table4463[[#This Row],[Change]],"")</f>
        <v/>
      </c>
      <c r="R41" s="5">
        <f>IF(E40="Female",Table4463[[#This Row],[Change]],"")</f>
        <v>0</v>
      </c>
      <c r="S41" s="5" t="b">
        <f>ISNUMBER(Table4463[[#This Row],[If Male]])</f>
        <v>0</v>
      </c>
      <c r="T41" s="5" t="b">
        <f>ISNUMBER(Table4463[[#This Row],[If Female]])</f>
        <v>1</v>
      </c>
    </row>
    <row r="42" spans="1:20">
      <c r="A42" s="1" t="s">
        <v>12</v>
      </c>
      <c r="B42" s="2" t="s">
        <v>21</v>
      </c>
      <c r="C42" s="1">
        <v>9</v>
      </c>
      <c r="D42" s="2" t="s">
        <v>6</v>
      </c>
      <c r="E42" s="5" t="s">
        <v>13</v>
      </c>
      <c r="F42" s="1">
        <v>9</v>
      </c>
      <c r="G42" s="1">
        <v>5</v>
      </c>
      <c r="H42" s="2"/>
      <c r="I42" s="5">
        <f>IF(IF(Table4463[[#This Row],[Pre or Post]]="Pre",1,0)+IF(ISNUMBER(Table4463[[#This Row],[Response]])=TRUE,1,0)=2,1,"")</f>
        <v>1</v>
      </c>
      <c r="J42" s="5" t="str">
        <f>IF(IF(Table4463[[#This Row],[Pre or Post]]="Post",1,0)+IF(ISNUMBER(Table4463[[#This Row],[Response]])=TRUE,1,0)=2,1,"")</f>
        <v/>
      </c>
      <c r="K42" s="5">
        <f>IF(IF(Table4463[[#This Row],[Pre or Post]]="Pre",1,0)+IF(ISNUMBER(Table4463[[#This Row],[Response]])=TRUE,1,0)=2,Table4463[[#This Row],[Response]],"")</f>
        <v>5</v>
      </c>
      <c r="L42" s="5" t="str">
        <f>IF(IF(Table4463[[#This Row],[Pre or Post]]="Post",1,0)+IF(ISNUMBER(Table4463[[#This Row],[Response]])=TRUE,1,0)=2,Table4463[[#This Row],[Response]],"")</f>
        <v/>
      </c>
      <c r="M42" s="6">
        <f>IF(IF(ISNUMBER(K42),1,0)+IF(ISNUMBER(L43),1,0)=2,IF(IF(C43=C42,1,0)+IF(B43=B42,1,0)+IF(D43="Post",1,0)+IF(D42="Pre",1,0)=4,Table4463[[#This Row],[Pre Total]],""),"")</f>
        <v>5</v>
      </c>
      <c r="N42" s="6" t="str">
        <f>IF(IF(ISNUMBER(K41),1,0)+IF(ISNUMBER(Table4463[[#This Row],[Post Total]]),1,0)=2,IF(IF(Table4463[[#This Row],[Student Number]]=C41,1,0)+IF(Table4463[[#This Row],[Session]]=B41,1,0)+IF(Table4463[[#This Row],[Pre or Post]]="Post",1,0)+IF(D41="Pre",1,0)=4,Table4463[[#This Row],[Post Total]],""),"")</f>
        <v/>
      </c>
      <c r="O42" s="6" t="str">
        <f>IF(IF(ISNUMBER(K41),1,0)+IF(ISNUMBER(Table4463[[#This Row],[Post Total]]),1,0)=2,IF(IF(Table4463[[#This Row],[Student Number]]=C41,1,0)+IF(Table4463[[#This Row],[Session]]=B41,1,0)+IF(Table4463[[#This Row],[Pre or Post]]="Post",1,0)+IF(D41="Pre",1,0)=4,Table4463[[#This Row],[Post Total]]-K41,""),"")</f>
        <v/>
      </c>
      <c r="P42" s="5" t="b">
        <f>ISNUMBER(Table4463[[#This Row],[Change]])</f>
        <v>0</v>
      </c>
      <c r="Q42" s="5" t="str">
        <f>IF(E41="Male",Table4463[[#This Row],[Change]],"")</f>
        <v/>
      </c>
      <c r="R42" s="5" t="str">
        <f>IF(E41="Female",Table4463[[#This Row],[Change]],"")</f>
        <v/>
      </c>
      <c r="S42" s="5" t="b">
        <f>ISNUMBER(Table4463[[#This Row],[If Male]])</f>
        <v>0</v>
      </c>
      <c r="T42" s="5" t="b">
        <f>ISNUMBER(Table4463[[#This Row],[If Female]])</f>
        <v>0</v>
      </c>
    </row>
    <row r="43" spans="1:20">
      <c r="A43" s="1" t="s">
        <v>12</v>
      </c>
      <c r="B43" s="2" t="s">
        <v>21</v>
      </c>
      <c r="C43" s="1">
        <v>9</v>
      </c>
      <c r="D43" s="2" t="s">
        <v>16</v>
      </c>
      <c r="E43" s="5" t="s">
        <v>171</v>
      </c>
      <c r="F43" s="1">
        <v>2</v>
      </c>
      <c r="G43" s="1">
        <v>4</v>
      </c>
      <c r="H43" s="2"/>
      <c r="I43" s="5" t="str">
        <f>IF(IF(Table4463[[#This Row],[Pre or Post]]="Pre",1,0)+IF(ISNUMBER(Table4463[[#This Row],[Response]])=TRUE,1,0)=2,1,"")</f>
        <v/>
      </c>
      <c r="J43" s="5">
        <f>IF(IF(Table4463[[#This Row],[Pre or Post]]="Post",1,0)+IF(ISNUMBER(Table4463[[#This Row],[Response]])=TRUE,1,0)=2,1,"")</f>
        <v>1</v>
      </c>
      <c r="K43" s="5" t="str">
        <f>IF(IF(Table4463[[#This Row],[Pre or Post]]="Pre",1,0)+IF(ISNUMBER(Table4463[[#This Row],[Response]])=TRUE,1,0)=2,Table4463[[#This Row],[Response]],"")</f>
        <v/>
      </c>
      <c r="L43" s="5">
        <f>IF(IF(Table4463[[#This Row],[Pre or Post]]="Post",1,0)+IF(ISNUMBER(Table4463[[#This Row],[Response]])=TRUE,1,0)=2,Table4463[[#This Row],[Response]],"")</f>
        <v>4</v>
      </c>
      <c r="M43" s="6" t="str">
        <f>IF(IF(ISNUMBER(K43),1,0)+IF(ISNUMBER(L44),1,0)=2,IF(IF(C44=C43,1,0)+IF(B44=B43,1,0)+IF(D44="Post",1,0)+IF(D43="Pre",1,0)=4,Table4463[[#This Row],[Pre Total]],""),"")</f>
        <v/>
      </c>
      <c r="N43" s="6">
        <f>IF(IF(ISNUMBER(K42),1,0)+IF(ISNUMBER(Table4463[[#This Row],[Post Total]]),1,0)=2,IF(IF(Table4463[[#This Row],[Student Number]]=C42,1,0)+IF(Table4463[[#This Row],[Session]]=B42,1,0)+IF(Table4463[[#This Row],[Pre or Post]]="Post",1,0)+IF(D42="Pre",1,0)=4,Table4463[[#This Row],[Post Total]],""),"")</f>
        <v>4</v>
      </c>
      <c r="O43" s="6">
        <f>IF(IF(ISNUMBER(K42),1,0)+IF(ISNUMBER(Table4463[[#This Row],[Post Total]]),1,0)=2,IF(IF(Table4463[[#This Row],[Student Number]]=C42,1,0)+IF(Table4463[[#This Row],[Session]]=B42,1,0)+IF(Table4463[[#This Row],[Pre or Post]]="Post",1,0)+IF(D42="Pre",1,0)=4,Table4463[[#This Row],[Post Total]]-K42,""),"")</f>
        <v>-1</v>
      </c>
      <c r="P43" s="5" t="b">
        <f>ISNUMBER(Table4463[[#This Row],[Change]])</f>
        <v>1</v>
      </c>
      <c r="Q43" s="5" t="str">
        <f>IF(E42="Male",Table4463[[#This Row],[Change]],"")</f>
        <v/>
      </c>
      <c r="R43" s="5">
        <f>IF(E42="Female",Table4463[[#This Row],[Change]],"")</f>
        <v>-1</v>
      </c>
      <c r="S43" s="5" t="b">
        <f>ISNUMBER(Table4463[[#This Row],[If Male]])</f>
        <v>0</v>
      </c>
      <c r="T43" s="5" t="b">
        <f>ISNUMBER(Table4463[[#This Row],[If Female]])</f>
        <v>1</v>
      </c>
    </row>
    <row r="44" spans="1:20">
      <c r="A44" s="1" t="s">
        <v>12</v>
      </c>
      <c r="B44" s="2" t="s">
        <v>21</v>
      </c>
      <c r="C44" s="1">
        <v>10</v>
      </c>
      <c r="D44" s="2" t="s">
        <v>6</v>
      </c>
      <c r="E44" s="5" t="s">
        <v>13</v>
      </c>
      <c r="F44" s="1">
        <v>9</v>
      </c>
      <c r="G44" s="1">
        <v>3</v>
      </c>
      <c r="H44" s="2"/>
      <c r="I44" s="5">
        <f>IF(IF(Table4463[[#This Row],[Pre or Post]]="Pre",1,0)+IF(ISNUMBER(Table4463[[#This Row],[Response]])=TRUE,1,0)=2,1,"")</f>
        <v>1</v>
      </c>
      <c r="J44" s="5" t="str">
        <f>IF(IF(Table4463[[#This Row],[Pre or Post]]="Post",1,0)+IF(ISNUMBER(Table4463[[#This Row],[Response]])=TRUE,1,0)=2,1,"")</f>
        <v/>
      </c>
      <c r="K44" s="5">
        <f>IF(IF(Table4463[[#This Row],[Pre or Post]]="Pre",1,0)+IF(ISNUMBER(Table4463[[#This Row],[Response]])=TRUE,1,0)=2,Table4463[[#This Row],[Response]],"")</f>
        <v>3</v>
      </c>
      <c r="L44" s="5" t="str">
        <f>IF(IF(Table4463[[#This Row],[Pre or Post]]="Post",1,0)+IF(ISNUMBER(Table4463[[#This Row],[Response]])=TRUE,1,0)=2,Table4463[[#This Row],[Response]],"")</f>
        <v/>
      </c>
      <c r="M44" s="6">
        <f>IF(IF(ISNUMBER(K44),1,0)+IF(ISNUMBER(L45),1,0)=2,IF(IF(C45=C44,1,0)+IF(B45=B44,1,0)+IF(D45="Post",1,0)+IF(D44="Pre",1,0)=4,Table4463[[#This Row],[Pre Total]],""),"")</f>
        <v>3</v>
      </c>
      <c r="N44" s="6" t="str">
        <f>IF(IF(ISNUMBER(K43),1,0)+IF(ISNUMBER(Table4463[[#This Row],[Post Total]]),1,0)=2,IF(IF(Table4463[[#This Row],[Student Number]]=C43,1,0)+IF(Table4463[[#This Row],[Session]]=B43,1,0)+IF(Table4463[[#This Row],[Pre or Post]]="Post",1,0)+IF(D43="Pre",1,0)=4,Table4463[[#This Row],[Post Total]],""),"")</f>
        <v/>
      </c>
      <c r="O44" s="6" t="str">
        <f>IF(IF(ISNUMBER(K43),1,0)+IF(ISNUMBER(Table4463[[#This Row],[Post Total]]),1,0)=2,IF(IF(Table4463[[#This Row],[Student Number]]=C43,1,0)+IF(Table4463[[#This Row],[Session]]=B43,1,0)+IF(Table4463[[#This Row],[Pre or Post]]="Post",1,0)+IF(D43="Pre",1,0)=4,Table4463[[#This Row],[Post Total]]-K43,""),"")</f>
        <v/>
      </c>
      <c r="P44" s="5" t="b">
        <f>ISNUMBER(Table4463[[#This Row],[Change]])</f>
        <v>0</v>
      </c>
      <c r="Q44" s="5" t="str">
        <f>IF(E43="Male",Table4463[[#This Row],[Change]],"")</f>
        <v/>
      </c>
      <c r="R44" s="5" t="str">
        <f>IF(E43="Female",Table4463[[#This Row],[Change]],"")</f>
        <v/>
      </c>
      <c r="S44" s="5" t="b">
        <f>ISNUMBER(Table4463[[#This Row],[If Male]])</f>
        <v>0</v>
      </c>
      <c r="T44" s="5" t="b">
        <f>ISNUMBER(Table4463[[#This Row],[If Female]])</f>
        <v>0</v>
      </c>
    </row>
    <row r="45" spans="1:20">
      <c r="A45" s="1" t="s">
        <v>12</v>
      </c>
      <c r="B45" s="2" t="s">
        <v>21</v>
      </c>
      <c r="C45" s="1">
        <v>10</v>
      </c>
      <c r="D45" s="2" t="s">
        <v>16</v>
      </c>
      <c r="E45" s="5" t="s">
        <v>171</v>
      </c>
      <c r="F45" s="1">
        <v>2</v>
      </c>
      <c r="G45" s="1">
        <v>2</v>
      </c>
      <c r="H45" s="2"/>
      <c r="I45" s="5" t="str">
        <f>IF(IF(Table4463[[#This Row],[Pre or Post]]="Pre",1,0)+IF(ISNUMBER(Table4463[[#This Row],[Response]])=TRUE,1,0)=2,1,"")</f>
        <v/>
      </c>
      <c r="J45" s="5">
        <f>IF(IF(Table4463[[#This Row],[Pre or Post]]="Post",1,0)+IF(ISNUMBER(Table4463[[#This Row],[Response]])=TRUE,1,0)=2,1,"")</f>
        <v>1</v>
      </c>
      <c r="K45" s="5" t="str">
        <f>IF(IF(Table4463[[#This Row],[Pre or Post]]="Pre",1,0)+IF(ISNUMBER(Table4463[[#This Row],[Response]])=TRUE,1,0)=2,Table4463[[#This Row],[Response]],"")</f>
        <v/>
      </c>
      <c r="L45" s="5">
        <f>IF(IF(Table4463[[#This Row],[Pre or Post]]="Post",1,0)+IF(ISNUMBER(Table4463[[#This Row],[Response]])=TRUE,1,0)=2,Table4463[[#This Row],[Response]],"")</f>
        <v>2</v>
      </c>
      <c r="M45" s="6" t="str">
        <f>IF(IF(ISNUMBER(K45),1,0)+IF(ISNUMBER(L46),1,0)=2,IF(IF(C46=C45,1,0)+IF(B46=B45,1,0)+IF(D46="Post",1,0)+IF(D45="Pre",1,0)=4,Table4463[[#This Row],[Pre Total]],""),"")</f>
        <v/>
      </c>
      <c r="N45" s="6">
        <f>IF(IF(ISNUMBER(K44),1,0)+IF(ISNUMBER(Table4463[[#This Row],[Post Total]]),1,0)=2,IF(IF(Table4463[[#This Row],[Student Number]]=C44,1,0)+IF(Table4463[[#This Row],[Session]]=B44,1,0)+IF(Table4463[[#This Row],[Pre or Post]]="Post",1,0)+IF(D44="Pre",1,0)=4,Table4463[[#This Row],[Post Total]],""),"")</f>
        <v>2</v>
      </c>
      <c r="O45" s="6">
        <f>IF(IF(ISNUMBER(K44),1,0)+IF(ISNUMBER(Table4463[[#This Row],[Post Total]]),1,0)=2,IF(IF(Table4463[[#This Row],[Student Number]]=C44,1,0)+IF(Table4463[[#This Row],[Session]]=B44,1,0)+IF(Table4463[[#This Row],[Pre or Post]]="Post",1,0)+IF(D44="Pre",1,0)=4,Table4463[[#This Row],[Post Total]]-K44,""),"")</f>
        <v>-1</v>
      </c>
      <c r="P45" s="5" t="b">
        <f>ISNUMBER(Table4463[[#This Row],[Change]])</f>
        <v>1</v>
      </c>
      <c r="Q45" s="5" t="str">
        <f>IF(E44="Male",Table4463[[#This Row],[Change]],"")</f>
        <v/>
      </c>
      <c r="R45" s="5">
        <f>IF(E44="Female",Table4463[[#This Row],[Change]],"")</f>
        <v>-1</v>
      </c>
      <c r="S45" s="5" t="b">
        <f>ISNUMBER(Table4463[[#This Row],[If Male]])</f>
        <v>0</v>
      </c>
      <c r="T45" s="5" t="b">
        <f>ISNUMBER(Table4463[[#This Row],[If Female]])</f>
        <v>1</v>
      </c>
    </row>
    <row r="46" spans="1:20">
      <c r="A46" s="1" t="s">
        <v>12</v>
      </c>
      <c r="B46" s="2" t="s">
        <v>21</v>
      </c>
      <c r="C46" s="1">
        <v>11</v>
      </c>
      <c r="D46" s="2" t="s">
        <v>6</v>
      </c>
      <c r="E46" s="5" t="s">
        <v>13</v>
      </c>
      <c r="F46" s="1">
        <v>9</v>
      </c>
      <c r="G46" s="1">
        <v>4</v>
      </c>
      <c r="H46" s="2"/>
      <c r="I46" s="5">
        <f>IF(IF(Table4463[[#This Row],[Pre or Post]]="Pre",1,0)+IF(ISNUMBER(Table4463[[#This Row],[Response]])=TRUE,1,0)=2,1,"")</f>
        <v>1</v>
      </c>
      <c r="J46" s="5" t="str">
        <f>IF(IF(Table4463[[#This Row],[Pre or Post]]="Post",1,0)+IF(ISNUMBER(Table4463[[#This Row],[Response]])=TRUE,1,0)=2,1,"")</f>
        <v/>
      </c>
      <c r="K46" s="5">
        <f>IF(IF(Table4463[[#This Row],[Pre or Post]]="Pre",1,0)+IF(ISNUMBER(Table4463[[#This Row],[Response]])=TRUE,1,0)=2,Table4463[[#This Row],[Response]],"")</f>
        <v>4</v>
      </c>
      <c r="L46" s="5" t="str">
        <f>IF(IF(Table4463[[#This Row],[Pre or Post]]="Post",1,0)+IF(ISNUMBER(Table4463[[#This Row],[Response]])=TRUE,1,0)=2,Table4463[[#This Row],[Response]],"")</f>
        <v/>
      </c>
      <c r="M46" s="6">
        <f>IF(IF(ISNUMBER(K46),1,0)+IF(ISNUMBER(L47),1,0)=2,IF(IF(C47=C46,1,0)+IF(B47=B46,1,0)+IF(D47="Post",1,0)+IF(D46="Pre",1,0)=4,Table4463[[#This Row],[Pre Total]],""),"")</f>
        <v>4</v>
      </c>
      <c r="N46" s="6" t="str">
        <f>IF(IF(ISNUMBER(K45),1,0)+IF(ISNUMBER(Table4463[[#This Row],[Post Total]]),1,0)=2,IF(IF(Table4463[[#This Row],[Student Number]]=C45,1,0)+IF(Table4463[[#This Row],[Session]]=B45,1,0)+IF(Table4463[[#This Row],[Pre or Post]]="Post",1,0)+IF(D45="Pre",1,0)=4,Table4463[[#This Row],[Post Total]],""),"")</f>
        <v/>
      </c>
      <c r="O46" s="6" t="str">
        <f>IF(IF(ISNUMBER(K45),1,0)+IF(ISNUMBER(Table4463[[#This Row],[Post Total]]),1,0)=2,IF(IF(Table4463[[#This Row],[Student Number]]=C45,1,0)+IF(Table4463[[#This Row],[Session]]=B45,1,0)+IF(Table4463[[#This Row],[Pre or Post]]="Post",1,0)+IF(D45="Pre",1,0)=4,Table4463[[#This Row],[Post Total]]-K45,""),"")</f>
        <v/>
      </c>
      <c r="P46" s="5" t="b">
        <f>ISNUMBER(Table4463[[#This Row],[Change]])</f>
        <v>0</v>
      </c>
      <c r="Q46" s="5" t="str">
        <f>IF(E45="Male",Table4463[[#This Row],[Change]],"")</f>
        <v/>
      </c>
      <c r="R46" s="5" t="str">
        <f>IF(E45="Female",Table4463[[#This Row],[Change]],"")</f>
        <v/>
      </c>
      <c r="S46" s="5" t="b">
        <f>ISNUMBER(Table4463[[#This Row],[If Male]])</f>
        <v>0</v>
      </c>
      <c r="T46" s="5" t="b">
        <f>ISNUMBER(Table4463[[#This Row],[If Female]])</f>
        <v>0</v>
      </c>
    </row>
    <row r="47" spans="1:20">
      <c r="A47" s="1" t="s">
        <v>12</v>
      </c>
      <c r="B47" s="2" t="s">
        <v>21</v>
      </c>
      <c r="C47" s="1">
        <v>11</v>
      </c>
      <c r="D47" s="2" t="s">
        <v>16</v>
      </c>
      <c r="E47" s="5" t="s">
        <v>171</v>
      </c>
      <c r="F47" s="1">
        <v>2</v>
      </c>
      <c r="G47" s="1">
        <v>4</v>
      </c>
      <c r="H47" s="2"/>
      <c r="I47" s="5" t="str">
        <f>IF(IF(Table4463[[#This Row],[Pre or Post]]="Pre",1,0)+IF(ISNUMBER(Table4463[[#This Row],[Response]])=TRUE,1,0)=2,1,"")</f>
        <v/>
      </c>
      <c r="J47" s="5">
        <f>IF(IF(Table4463[[#This Row],[Pre or Post]]="Post",1,0)+IF(ISNUMBER(Table4463[[#This Row],[Response]])=TRUE,1,0)=2,1,"")</f>
        <v>1</v>
      </c>
      <c r="K47" s="5" t="str">
        <f>IF(IF(Table4463[[#This Row],[Pre or Post]]="Pre",1,0)+IF(ISNUMBER(Table4463[[#This Row],[Response]])=TRUE,1,0)=2,Table4463[[#This Row],[Response]],"")</f>
        <v/>
      </c>
      <c r="L47" s="5">
        <f>IF(IF(Table4463[[#This Row],[Pre or Post]]="Post",1,0)+IF(ISNUMBER(Table4463[[#This Row],[Response]])=TRUE,1,0)=2,Table4463[[#This Row],[Response]],"")</f>
        <v>4</v>
      </c>
      <c r="M47" s="6" t="str">
        <f>IF(IF(ISNUMBER(K47),1,0)+IF(ISNUMBER(L48),1,0)=2,IF(IF(C48=C47,1,0)+IF(B48=B47,1,0)+IF(D48="Post",1,0)+IF(D47="Pre",1,0)=4,Table4463[[#This Row],[Pre Total]],""),"")</f>
        <v/>
      </c>
      <c r="N47" s="6">
        <f>IF(IF(ISNUMBER(K46),1,0)+IF(ISNUMBER(Table4463[[#This Row],[Post Total]]),1,0)=2,IF(IF(Table4463[[#This Row],[Student Number]]=C46,1,0)+IF(Table4463[[#This Row],[Session]]=B46,1,0)+IF(Table4463[[#This Row],[Pre or Post]]="Post",1,0)+IF(D46="Pre",1,0)=4,Table4463[[#This Row],[Post Total]],""),"")</f>
        <v>4</v>
      </c>
      <c r="O47" s="6">
        <f>IF(IF(ISNUMBER(K46),1,0)+IF(ISNUMBER(Table4463[[#This Row],[Post Total]]),1,0)=2,IF(IF(Table4463[[#This Row],[Student Number]]=C46,1,0)+IF(Table4463[[#This Row],[Session]]=B46,1,0)+IF(Table4463[[#This Row],[Pre or Post]]="Post",1,0)+IF(D46="Pre",1,0)=4,Table4463[[#This Row],[Post Total]]-K46,""),"")</f>
        <v>0</v>
      </c>
      <c r="P47" s="5" t="b">
        <f>ISNUMBER(Table4463[[#This Row],[Change]])</f>
        <v>1</v>
      </c>
      <c r="Q47" s="5" t="str">
        <f>IF(E46="Male",Table4463[[#This Row],[Change]],"")</f>
        <v/>
      </c>
      <c r="R47" s="5">
        <f>IF(E46="Female",Table4463[[#This Row],[Change]],"")</f>
        <v>0</v>
      </c>
      <c r="S47" s="5" t="b">
        <f>ISNUMBER(Table4463[[#This Row],[If Male]])</f>
        <v>0</v>
      </c>
      <c r="T47" s="5" t="b">
        <f>ISNUMBER(Table4463[[#This Row],[If Female]])</f>
        <v>1</v>
      </c>
    </row>
    <row r="48" spans="1:20">
      <c r="A48" s="1" t="s">
        <v>12</v>
      </c>
      <c r="B48" s="2" t="s">
        <v>21</v>
      </c>
      <c r="C48" s="1">
        <v>12</v>
      </c>
      <c r="D48" s="2" t="s">
        <v>6</v>
      </c>
      <c r="E48" s="5" t="s">
        <v>7</v>
      </c>
      <c r="F48" s="1">
        <v>9</v>
      </c>
      <c r="G48" s="1">
        <v>1</v>
      </c>
      <c r="H48" s="2"/>
      <c r="I48" s="5">
        <f>IF(IF(Table4463[[#This Row],[Pre or Post]]="Pre",1,0)+IF(ISNUMBER(Table4463[[#This Row],[Response]])=TRUE,1,0)=2,1,"")</f>
        <v>1</v>
      </c>
      <c r="J48" s="5" t="str">
        <f>IF(IF(Table4463[[#This Row],[Pre or Post]]="Post",1,0)+IF(ISNUMBER(Table4463[[#This Row],[Response]])=TRUE,1,0)=2,1,"")</f>
        <v/>
      </c>
      <c r="K48" s="5">
        <f>IF(IF(Table4463[[#This Row],[Pre or Post]]="Pre",1,0)+IF(ISNUMBER(Table4463[[#This Row],[Response]])=TRUE,1,0)=2,Table4463[[#This Row],[Response]],"")</f>
        <v>1</v>
      </c>
      <c r="L48" s="5" t="str">
        <f>IF(IF(Table4463[[#This Row],[Pre or Post]]="Post",1,0)+IF(ISNUMBER(Table4463[[#This Row],[Response]])=TRUE,1,0)=2,Table4463[[#This Row],[Response]],"")</f>
        <v/>
      </c>
      <c r="M48" s="6">
        <f>IF(IF(ISNUMBER(K48),1,0)+IF(ISNUMBER(L49),1,0)=2,IF(IF(C49=C48,1,0)+IF(B49=B48,1,0)+IF(D49="Post",1,0)+IF(D48="Pre",1,0)=4,Table4463[[#This Row],[Pre Total]],""),"")</f>
        <v>1</v>
      </c>
      <c r="N48" s="6" t="str">
        <f>IF(IF(ISNUMBER(K47),1,0)+IF(ISNUMBER(Table4463[[#This Row],[Post Total]]),1,0)=2,IF(IF(Table4463[[#This Row],[Student Number]]=C47,1,0)+IF(Table4463[[#This Row],[Session]]=B47,1,0)+IF(Table4463[[#This Row],[Pre or Post]]="Post",1,0)+IF(D47="Pre",1,0)=4,Table4463[[#This Row],[Post Total]],""),"")</f>
        <v/>
      </c>
      <c r="O48" s="6" t="str">
        <f>IF(IF(ISNUMBER(K47),1,0)+IF(ISNUMBER(Table4463[[#This Row],[Post Total]]),1,0)=2,IF(IF(Table4463[[#This Row],[Student Number]]=C47,1,0)+IF(Table4463[[#This Row],[Session]]=B47,1,0)+IF(Table4463[[#This Row],[Pre or Post]]="Post",1,0)+IF(D47="Pre",1,0)=4,Table4463[[#This Row],[Post Total]]-K47,""),"")</f>
        <v/>
      </c>
      <c r="P48" s="5" t="b">
        <f>ISNUMBER(Table4463[[#This Row],[Change]])</f>
        <v>0</v>
      </c>
      <c r="Q48" s="5" t="str">
        <f>IF(E47="Male",Table4463[[#This Row],[Change]],"")</f>
        <v/>
      </c>
      <c r="R48" s="5" t="str">
        <f>IF(E47="Female",Table4463[[#This Row],[Change]],"")</f>
        <v/>
      </c>
      <c r="S48" s="5" t="b">
        <f>ISNUMBER(Table4463[[#This Row],[If Male]])</f>
        <v>0</v>
      </c>
      <c r="T48" s="5" t="b">
        <f>ISNUMBER(Table4463[[#This Row],[If Female]])</f>
        <v>0</v>
      </c>
    </row>
    <row r="49" spans="1:20">
      <c r="A49" s="1" t="s">
        <v>12</v>
      </c>
      <c r="B49" s="2" t="s">
        <v>21</v>
      </c>
      <c r="C49" s="1">
        <v>12</v>
      </c>
      <c r="D49" s="2" t="s">
        <v>16</v>
      </c>
      <c r="E49" s="5" t="s">
        <v>171</v>
      </c>
      <c r="F49" s="1">
        <v>2</v>
      </c>
      <c r="G49" s="1">
        <v>1</v>
      </c>
      <c r="H49" s="2"/>
      <c r="I49" s="5" t="str">
        <f>IF(IF(Table4463[[#This Row],[Pre or Post]]="Pre",1,0)+IF(ISNUMBER(Table4463[[#This Row],[Response]])=TRUE,1,0)=2,1,"")</f>
        <v/>
      </c>
      <c r="J49" s="5">
        <f>IF(IF(Table4463[[#This Row],[Pre or Post]]="Post",1,0)+IF(ISNUMBER(Table4463[[#This Row],[Response]])=TRUE,1,0)=2,1,"")</f>
        <v>1</v>
      </c>
      <c r="K49" s="5" t="str">
        <f>IF(IF(Table4463[[#This Row],[Pre or Post]]="Pre",1,0)+IF(ISNUMBER(Table4463[[#This Row],[Response]])=TRUE,1,0)=2,Table4463[[#This Row],[Response]],"")</f>
        <v/>
      </c>
      <c r="L49" s="5">
        <f>IF(IF(Table4463[[#This Row],[Pre or Post]]="Post",1,0)+IF(ISNUMBER(Table4463[[#This Row],[Response]])=TRUE,1,0)=2,Table4463[[#This Row],[Response]],"")</f>
        <v>1</v>
      </c>
      <c r="M49" s="6" t="str">
        <f>IF(IF(ISNUMBER(K49),1,0)+IF(ISNUMBER(L50),1,0)=2,IF(IF(C50=C49,1,0)+IF(B50=B49,1,0)+IF(D50="Post",1,0)+IF(D49="Pre",1,0)=4,Table4463[[#This Row],[Pre Total]],""),"")</f>
        <v/>
      </c>
      <c r="N49" s="6">
        <f>IF(IF(ISNUMBER(K48),1,0)+IF(ISNUMBER(Table4463[[#This Row],[Post Total]]),1,0)=2,IF(IF(Table4463[[#This Row],[Student Number]]=C48,1,0)+IF(Table4463[[#This Row],[Session]]=B48,1,0)+IF(Table4463[[#This Row],[Pre or Post]]="Post",1,0)+IF(D48="Pre",1,0)=4,Table4463[[#This Row],[Post Total]],""),"")</f>
        <v>1</v>
      </c>
      <c r="O49" s="6">
        <f>IF(IF(ISNUMBER(K48),1,0)+IF(ISNUMBER(Table4463[[#This Row],[Post Total]]),1,0)=2,IF(IF(Table4463[[#This Row],[Student Number]]=C48,1,0)+IF(Table4463[[#This Row],[Session]]=B48,1,0)+IF(Table4463[[#This Row],[Pre or Post]]="Post",1,0)+IF(D48="Pre",1,0)=4,Table4463[[#This Row],[Post Total]]-K48,""),"")</f>
        <v>0</v>
      </c>
      <c r="P49" s="5" t="b">
        <f>ISNUMBER(Table4463[[#This Row],[Change]])</f>
        <v>1</v>
      </c>
      <c r="Q49" s="5">
        <f>IF(E48="Male",Table4463[[#This Row],[Change]],"")</f>
        <v>0</v>
      </c>
      <c r="R49" s="5" t="str">
        <f>IF(E48="Female",Table4463[[#This Row],[Change]],"")</f>
        <v/>
      </c>
      <c r="S49" s="5" t="b">
        <f>ISNUMBER(Table4463[[#This Row],[If Male]])</f>
        <v>1</v>
      </c>
      <c r="T49" s="5" t="b">
        <f>ISNUMBER(Table4463[[#This Row],[If Female]])</f>
        <v>0</v>
      </c>
    </row>
    <row r="50" spans="1:20">
      <c r="A50" s="1" t="s">
        <v>12</v>
      </c>
      <c r="B50" s="2" t="s">
        <v>21</v>
      </c>
      <c r="C50" s="1">
        <v>13</v>
      </c>
      <c r="D50" s="2" t="s">
        <v>6</v>
      </c>
      <c r="E50" s="5" t="s">
        <v>13</v>
      </c>
      <c r="F50" s="1">
        <v>9</v>
      </c>
      <c r="G50" s="1">
        <v>4</v>
      </c>
      <c r="H50" s="2"/>
      <c r="I50" s="5">
        <f>IF(IF(Table4463[[#This Row],[Pre or Post]]="Pre",1,0)+IF(ISNUMBER(Table4463[[#This Row],[Response]])=TRUE,1,0)=2,1,"")</f>
        <v>1</v>
      </c>
      <c r="J50" s="5" t="str">
        <f>IF(IF(Table4463[[#This Row],[Pre or Post]]="Post",1,0)+IF(ISNUMBER(Table4463[[#This Row],[Response]])=TRUE,1,0)=2,1,"")</f>
        <v/>
      </c>
      <c r="K50" s="5">
        <f>IF(IF(Table4463[[#This Row],[Pre or Post]]="Pre",1,0)+IF(ISNUMBER(Table4463[[#This Row],[Response]])=TRUE,1,0)=2,Table4463[[#This Row],[Response]],"")</f>
        <v>4</v>
      </c>
      <c r="L50" s="5" t="str">
        <f>IF(IF(Table4463[[#This Row],[Pre or Post]]="Post",1,0)+IF(ISNUMBER(Table4463[[#This Row],[Response]])=TRUE,1,0)=2,Table4463[[#This Row],[Response]],"")</f>
        <v/>
      </c>
      <c r="M50" s="6">
        <f>IF(IF(ISNUMBER(K50),1,0)+IF(ISNUMBER(L51),1,0)=2,IF(IF(C51=C50,1,0)+IF(B51=B50,1,0)+IF(D51="Post",1,0)+IF(D50="Pre",1,0)=4,Table4463[[#This Row],[Pre Total]],""),"")</f>
        <v>4</v>
      </c>
      <c r="N50" s="6" t="str">
        <f>IF(IF(ISNUMBER(K49),1,0)+IF(ISNUMBER(Table4463[[#This Row],[Post Total]]),1,0)=2,IF(IF(Table4463[[#This Row],[Student Number]]=C49,1,0)+IF(Table4463[[#This Row],[Session]]=B49,1,0)+IF(Table4463[[#This Row],[Pre or Post]]="Post",1,0)+IF(D49="Pre",1,0)=4,Table4463[[#This Row],[Post Total]],""),"")</f>
        <v/>
      </c>
      <c r="O50" s="6" t="str">
        <f>IF(IF(ISNUMBER(K49),1,0)+IF(ISNUMBER(Table4463[[#This Row],[Post Total]]),1,0)=2,IF(IF(Table4463[[#This Row],[Student Number]]=C49,1,0)+IF(Table4463[[#This Row],[Session]]=B49,1,0)+IF(Table4463[[#This Row],[Pre or Post]]="Post",1,0)+IF(D49="Pre",1,0)=4,Table4463[[#This Row],[Post Total]]-K49,""),"")</f>
        <v/>
      </c>
      <c r="P50" s="5" t="b">
        <f>ISNUMBER(Table4463[[#This Row],[Change]])</f>
        <v>0</v>
      </c>
      <c r="Q50" s="5" t="str">
        <f>IF(E49="Male",Table4463[[#This Row],[Change]],"")</f>
        <v/>
      </c>
      <c r="R50" s="5" t="str">
        <f>IF(E49="Female",Table4463[[#This Row],[Change]],"")</f>
        <v/>
      </c>
      <c r="S50" s="5" t="b">
        <f>ISNUMBER(Table4463[[#This Row],[If Male]])</f>
        <v>0</v>
      </c>
      <c r="T50" s="5" t="b">
        <f>ISNUMBER(Table4463[[#This Row],[If Female]])</f>
        <v>0</v>
      </c>
    </row>
    <row r="51" spans="1:20">
      <c r="A51" s="1" t="s">
        <v>12</v>
      </c>
      <c r="B51" s="2" t="s">
        <v>21</v>
      </c>
      <c r="C51" s="1">
        <v>13</v>
      </c>
      <c r="D51" s="2" t="s">
        <v>16</v>
      </c>
      <c r="E51" s="5" t="s">
        <v>171</v>
      </c>
      <c r="F51" s="1">
        <v>2</v>
      </c>
      <c r="G51" s="1">
        <v>4</v>
      </c>
      <c r="I51" s="5" t="str">
        <f>IF(IF(Table4463[[#This Row],[Pre or Post]]="Pre",1,0)+IF(ISNUMBER(Table4463[[#This Row],[Response]])=TRUE,1,0)=2,1,"")</f>
        <v/>
      </c>
      <c r="J51" s="5">
        <f>IF(IF(Table4463[[#This Row],[Pre or Post]]="Post",1,0)+IF(ISNUMBER(Table4463[[#This Row],[Response]])=TRUE,1,0)=2,1,"")</f>
        <v>1</v>
      </c>
      <c r="K51" s="5" t="str">
        <f>IF(IF(Table4463[[#This Row],[Pre or Post]]="Pre",1,0)+IF(ISNUMBER(Table4463[[#This Row],[Response]])=TRUE,1,0)=2,Table4463[[#This Row],[Response]],"")</f>
        <v/>
      </c>
      <c r="L51" s="5">
        <f>IF(IF(Table4463[[#This Row],[Pre or Post]]="Post",1,0)+IF(ISNUMBER(Table4463[[#This Row],[Response]])=TRUE,1,0)=2,Table4463[[#This Row],[Response]],"")</f>
        <v>4</v>
      </c>
      <c r="M51" s="6" t="str">
        <f>IF(IF(ISNUMBER(K51),1,0)+IF(ISNUMBER(L52),1,0)=2,IF(IF(C52=C51,1,0)+IF(B52=B51,1,0)+IF(D52="Post",1,0)+IF(D51="Pre",1,0)=4,Table4463[[#This Row],[Pre Total]],""),"")</f>
        <v/>
      </c>
      <c r="N51" s="6">
        <f>IF(IF(ISNUMBER(K50),1,0)+IF(ISNUMBER(Table4463[[#This Row],[Post Total]]),1,0)=2,IF(IF(Table4463[[#This Row],[Student Number]]=C50,1,0)+IF(Table4463[[#This Row],[Session]]=B50,1,0)+IF(Table4463[[#This Row],[Pre or Post]]="Post",1,0)+IF(D50="Pre",1,0)=4,Table4463[[#This Row],[Post Total]],""),"")</f>
        <v>4</v>
      </c>
      <c r="O51" s="6">
        <f>IF(IF(ISNUMBER(K50),1,0)+IF(ISNUMBER(Table4463[[#This Row],[Post Total]]),1,0)=2,IF(IF(Table4463[[#This Row],[Student Number]]=C50,1,0)+IF(Table4463[[#This Row],[Session]]=B50,1,0)+IF(Table4463[[#This Row],[Pre or Post]]="Post",1,0)+IF(D50="Pre",1,0)=4,Table4463[[#This Row],[Post Total]]-K50,""),"")</f>
        <v>0</v>
      </c>
      <c r="P51" s="5" t="b">
        <f>ISNUMBER(Table4463[[#This Row],[Change]])</f>
        <v>1</v>
      </c>
      <c r="Q51" s="5" t="str">
        <f>IF(E50="Male",Table4463[[#This Row],[Change]],"")</f>
        <v/>
      </c>
      <c r="R51" s="5">
        <f>IF(E50="Female",Table4463[[#This Row],[Change]],"")</f>
        <v>0</v>
      </c>
      <c r="S51" s="5" t="b">
        <f>ISNUMBER(Table4463[[#This Row],[If Male]])</f>
        <v>0</v>
      </c>
      <c r="T51" s="5" t="b">
        <f>ISNUMBER(Table4463[[#This Row],[If Female]])</f>
        <v>1</v>
      </c>
    </row>
    <row r="52" spans="1:20">
      <c r="A52" s="1" t="s">
        <v>12</v>
      </c>
      <c r="B52" s="2" t="s">
        <v>21</v>
      </c>
      <c r="C52" s="1">
        <v>14</v>
      </c>
      <c r="D52" s="2" t="s">
        <v>6</v>
      </c>
      <c r="E52" s="5" t="s">
        <v>13</v>
      </c>
      <c r="F52" s="1">
        <v>9</v>
      </c>
      <c r="G52" s="1">
        <v>3</v>
      </c>
      <c r="H52" s="2"/>
      <c r="I52" s="5">
        <f>IF(IF(Table4463[[#This Row],[Pre or Post]]="Pre",1,0)+IF(ISNUMBER(Table4463[[#This Row],[Response]])=TRUE,1,0)=2,1,"")</f>
        <v>1</v>
      </c>
      <c r="J52" s="5" t="str">
        <f>IF(IF(Table4463[[#This Row],[Pre or Post]]="Post",1,0)+IF(ISNUMBER(Table4463[[#This Row],[Response]])=TRUE,1,0)=2,1,"")</f>
        <v/>
      </c>
      <c r="K52" s="5">
        <f>IF(IF(Table4463[[#This Row],[Pre or Post]]="Pre",1,0)+IF(ISNUMBER(Table4463[[#This Row],[Response]])=TRUE,1,0)=2,Table4463[[#This Row],[Response]],"")</f>
        <v>3</v>
      </c>
      <c r="L52" s="5" t="str">
        <f>IF(IF(Table4463[[#This Row],[Pre or Post]]="Post",1,0)+IF(ISNUMBER(Table4463[[#This Row],[Response]])=TRUE,1,0)=2,Table4463[[#This Row],[Response]],"")</f>
        <v/>
      </c>
      <c r="M52" s="6">
        <f>IF(IF(ISNUMBER(K52),1,0)+IF(ISNUMBER(L53),1,0)=2,IF(IF(C53=C52,1,0)+IF(B53=B52,1,0)+IF(D53="Post",1,0)+IF(D52="Pre",1,0)=4,Table4463[[#This Row],[Pre Total]],""),"")</f>
        <v>3</v>
      </c>
      <c r="N52" s="6" t="str">
        <f>IF(IF(ISNUMBER(K51),1,0)+IF(ISNUMBER(Table4463[[#This Row],[Post Total]]),1,0)=2,IF(IF(Table4463[[#This Row],[Student Number]]=C51,1,0)+IF(Table4463[[#This Row],[Session]]=B51,1,0)+IF(Table4463[[#This Row],[Pre or Post]]="Post",1,0)+IF(D51="Pre",1,0)=4,Table4463[[#This Row],[Post Total]],""),"")</f>
        <v/>
      </c>
      <c r="O52" s="6" t="str">
        <f>IF(IF(ISNUMBER(K51),1,0)+IF(ISNUMBER(Table4463[[#This Row],[Post Total]]),1,0)=2,IF(IF(Table4463[[#This Row],[Student Number]]=C51,1,0)+IF(Table4463[[#This Row],[Session]]=B51,1,0)+IF(Table4463[[#This Row],[Pre or Post]]="Post",1,0)+IF(D51="Pre",1,0)=4,Table4463[[#This Row],[Post Total]]-K51,""),"")</f>
        <v/>
      </c>
      <c r="P52" s="5" t="b">
        <f>ISNUMBER(Table4463[[#This Row],[Change]])</f>
        <v>0</v>
      </c>
      <c r="Q52" s="5" t="str">
        <f>IF(E51="Male",Table4463[[#This Row],[Change]],"")</f>
        <v/>
      </c>
      <c r="R52" s="5" t="str">
        <f>IF(E51="Female",Table4463[[#This Row],[Change]],"")</f>
        <v/>
      </c>
      <c r="S52" s="5" t="b">
        <f>ISNUMBER(Table4463[[#This Row],[If Male]])</f>
        <v>0</v>
      </c>
      <c r="T52" s="5" t="b">
        <f>ISNUMBER(Table4463[[#This Row],[If Female]])</f>
        <v>0</v>
      </c>
    </row>
    <row r="53" spans="1:20">
      <c r="A53" s="1" t="s">
        <v>12</v>
      </c>
      <c r="B53" s="2" t="s">
        <v>21</v>
      </c>
      <c r="C53" s="1">
        <v>14</v>
      </c>
      <c r="D53" s="2" t="s">
        <v>16</v>
      </c>
      <c r="E53" s="5" t="s">
        <v>171</v>
      </c>
      <c r="F53" s="1">
        <v>2</v>
      </c>
      <c r="G53" s="1">
        <v>3</v>
      </c>
      <c r="I53" s="5" t="str">
        <f>IF(IF(Table4463[[#This Row],[Pre or Post]]="Pre",1,0)+IF(ISNUMBER(Table4463[[#This Row],[Response]])=TRUE,1,0)=2,1,"")</f>
        <v/>
      </c>
      <c r="J53" s="5">
        <f>IF(IF(Table4463[[#This Row],[Pre or Post]]="Post",1,0)+IF(ISNUMBER(Table4463[[#This Row],[Response]])=TRUE,1,0)=2,1,"")</f>
        <v>1</v>
      </c>
      <c r="K53" s="5" t="str">
        <f>IF(IF(Table4463[[#This Row],[Pre or Post]]="Pre",1,0)+IF(ISNUMBER(Table4463[[#This Row],[Response]])=TRUE,1,0)=2,Table4463[[#This Row],[Response]],"")</f>
        <v/>
      </c>
      <c r="L53" s="5">
        <f>IF(IF(Table4463[[#This Row],[Pre or Post]]="Post",1,0)+IF(ISNUMBER(Table4463[[#This Row],[Response]])=TRUE,1,0)=2,Table4463[[#This Row],[Response]],"")</f>
        <v>3</v>
      </c>
      <c r="M53" s="6" t="str">
        <f>IF(IF(ISNUMBER(K53),1,0)+IF(ISNUMBER(L54),1,0)=2,IF(IF(C54=C53,1,0)+IF(B54=B53,1,0)+IF(D54="Post",1,0)+IF(D53="Pre",1,0)=4,Table4463[[#This Row],[Pre Total]],""),"")</f>
        <v/>
      </c>
      <c r="N53" s="6">
        <f>IF(IF(ISNUMBER(K52),1,0)+IF(ISNUMBER(Table4463[[#This Row],[Post Total]]),1,0)=2,IF(IF(Table4463[[#This Row],[Student Number]]=C52,1,0)+IF(Table4463[[#This Row],[Session]]=B52,1,0)+IF(Table4463[[#This Row],[Pre or Post]]="Post",1,0)+IF(D52="Pre",1,0)=4,Table4463[[#This Row],[Post Total]],""),"")</f>
        <v>3</v>
      </c>
      <c r="O53" s="6">
        <f>IF(IF(ISNUMBER(K52),1,0)+IF(ISNUMBER(Table4463[[#This Row],[Post Total]]),1,0)=2,IF(IF(Table4463[[#This Row],[Student Number]]=C52,1,0)+IF(Table4463[[#This Row],[Session]]=B52,1,0)+IF(Table4463[[#This Row],[Pre or Post]]="Post",1,0)+IF(D52="Pre",1,0)=4,Table4463[[#This Row],[Post Total]]-K52,""),"")</f>
        <v>0</v>
      </c>
      <c r="P53" s="5" t="b">
        <f>ISNUMBER(Table4463[[#This Row],[Change]])</f>
        <v>1</v>
      </c>
      <c r="Q53" s="5" t="str">
        <f>IF(E52="Male",Table4463[[#This Row],[Change]],"")</f>
        <v/>
      </c>
      <c r="R53" s="5">
        <f>IF(E52="Female",Table4463[[#This Row],[Change]],"")</f>
        <v>0</v>
      </c>
      <c r="S53" s="5" t="b">
        <f>ISNUMBER(Table4463[[#This Row],[If Male]])</f>
        <v>0</v>
      </c>
      <c r="T53" s="5" t="b">
        <f>ISNUMBER(Table4463[[#This Row],[If Female]])</f>
        <v>1</v>
      </c>
    </row>
    <row r="54" spans="1:20">
      <c r="A54" s="1" t="s">
        <v>12</v>
      </c>
      <c r="B54" s="2" t="s">
        <v>21</v>
      </c>
      <c r="C54" s="1">
        <v>15</v>
      </c>
      <c r="D54" s="2" t="s">
        <v>6</v>
      </c>
      <c r="E54" s="5" t="s">
        <v>13</v>
      </c>
      <c r="F54" s="1">
        <v>9</v>
      </c>
      <c r="G54" s="1">
        <v>3</v>
      </c>
      <c r="H54" s="2"/>
      <c r="I54" s="5">
        <f>IF(IF(Table4463[[#This Row],[Pre or Post]]="Pre",1,0)+IF(ISNUMBER(Table4463[[#This Row],[Response]])=TRUE,1,0)=2,1,"")</f>
        <v>1</v>
      </c>
      <c r="J54" s="5" t="str">
        <f>IF(IF(Table4463[[#This Row],[Pre or Post]]="Post",1,0)+IF(ISNUMBER(Table4463[[#This Row],[Response]])=TRUE,1,0)=2,1,"")</f>
        <v/>
      </c>
      <c r="K54" s="5">
        <f>IF(IF(Table4463[[#This Row],[Pre or Post]]="Pre",1,0)+IF(ISNUMBER(Table4463[[#This Row],[Response]])=TRUE,1,0)=2,Table4463[[#This Row],[Response]],"")</f>
        <v>3</v>
      </c>
      <c r="L54" s="5" t="str">
        <f>IF(IF(Table4463[[#This Row],[Pre or Post]]="Post",1,0)+IF(ISNUMBER(Table4463[[#This Row],[Response]])=TRUE,1,0)=2,Table4463[[#This Row],[Response]],"")</f>
        <v/>
      </c>
      <c r="M54" s="6">
        <f>IF(IF(ISNUMBER(K54),1,0)+IF(ISNUMBER(L55),1,0)=2,IF(IF(C55=C54,1,0)+IF(B55=B54,1,0)+IF(D55="Post",1,0)+IF(D54="Pre",1,0)=4,Table4463[[#This Row],[Pre Total]],""),"")</f>
        <v>3</v>
      </c>
      <c r="N54" s="6" t="str">
        <f>IF(IF(ISNUMBER(K53),1,0)+IF(ISNUMBER(Table4463[[#This Row],[Post Total]]),1,0)=2,IF(IF(Table4463[[#This Row],[Student Number]]=C53,1,0)+IF(Table4463[[#This Row],[Session]]=B53,1,0)+IF(Table4463[[#This Row],[Pre or Post]]="Post",1,0)+IF(D53="Pre",1,0)=4,Table4463[[#This Row],[Post Total]],""),"")</f>
        <v/>
      </c>
      <c r="O54" s="6" t="str">
        <f>IF(IF(ISNUMBER(K53),1,0)+IF(ISNUMBER(Table4463[[#This Row],[Post Total]]),1,0)=2,IF(IF(Table4463[[#This Row],[Student Number]]=C53,1,0)+IF(Table4463[[#This Row],[Session]]=B53,1,0)+IF(Table4463[[#This Row],[Pre or Post]]="Post",1,0)+IF(D53="Pre",1,0)=4,Table4463[[#This Row],[Post Total]]-K53,""),"")</f>
        <v/>
      </c>
      <c r="P54" s="5" t="b">
        <f>ISNUMBER(Table4463[[#This Row],[Change]])</f>
        <v>0</v>
      </c>
      <c r="Q54" s="5" t="str">
        <f>IF(E53="Male",Table4463[[#This Row],[Change]],"")</f>
        <v/>
      </c>
      <c r="R54" s="5" t="str">
        <f>IF(E53="Female",Table4463[[#This Row],[Change]],"")</f>
        <v/>
      </c>
      <c r="S54" s="5" t="b">
        <f>ISNUMBER(Table4463[[#This Row],[If Male]])</f>
        <v>0</v>
      </c>
      <c r="T54" s="5" t="b">
        <f>ISNUMBER(Table4463[[#This Row],[If Female]])</f>
        <v>0</v>
      </c>
    </row>
    <row r="55" spans="1:20">
      <c r="A55" s="1" t="s">
        <v>12</v>
      </c>
      <c r="B55" s="2" t="s">
        <v>21</v>
      </c>
      <c r="C55" s="1">
        <v>15</v>
      </c>
      <c r="D55" s="2" t="s">
        <v>16</v>
      </c>
      <c r="E55" s="5" t="s">
        <v>171</v>
      </c>
      <c r="F55" s="1">
        <v>2</v>
      </c>
      <c r="G55" s="1">
        <v>3</v>
      </c>
      <c r="I55" s="5" t="str">
        <f>IF(IF(Table4463[[#This Row],[Pre or Post]]="Pre",1,0)+IF(ISNUMBER(Table4463[[#This Row],[Response]])=TRUE,1,0)=2,1,"")</f>
        <v/>
      </c>
      <c r="J55" s="5">
        <f>IF(IF(Table4463[[#This Row],[Pre or Post]]="Post",1,0)+IF(ISNUMBER(Table4463[[#This Row],[Response]])=TRUE,1,0)=2,1,"")</f>
        <v>1</v>
      </c>
      <c r="K55" s="5" t="str">
        <f>IF(IF(Table4463[[#This Row],[Pre or Post]]="Pre",1,0)+IF(ISNUMBER(Table4463[[#This Row],[Response]])=TRUE,1,0)=2,Table4463[[#This Row],[Response]],"")</f>
        <v/>
      </c>
      <c r="L55" s="5">
        <f>IF(IF(Table4463[[#This Row],[Pre or Post]]="Post",1,0)+IF(ISNUMBER(Table4463[[#This Row],[Response]])=TRUE,1,0)=2,Table4463[[#This Row],[Response]],"")</f>
        <v>3</v>
      </c>
      <c r="M55" s="6" t="str">
        <f>IF(IF(ISNUMBER(K55),1,0)+IF(ISNUMBER(L56),1,0)=2,IF(IF(C56=C55,1,0)+IF(B56=B55,1,0)+IF(D56="Post",1,0)+IF(D55="Pre",1,0)=4,Table4463[[#This Row],[Pre Total]],""),"")</f>
        <v/>
      </c>
      <c r="N55" s="6">
        <f>IF(IF(ISNUMBER(K54),1,0)+IF(ISNUMBER(Table4463[[#This Row],[Post Total]]),1,0)=2,IF(IF(Table4463[[#This Row],[Student Number]]=C54,1,0)+IF(Table4463[[#This Row],[Session]]=B54,1,0)+IF(Table4463[[#This Row],[Pre or Post]]="Post",1,0)+IF(D54="Pre",1,0)=4,Table4463[[#This Row],[Post Total]],""),"")</f>
        <v>3</v>
      </c>
      <c r="O55" s="6">
        <f>IF(IF(ISNUMBER(K54),1,0)+IF(ISNUMBER(Table4463[[#This Row],[Post Total]]),1,0)=2,IF(IF(Table4463[[#This Row],[Student Number]]=C54,1,0)+IF(Table4463[[#This Row],[Session]]=B54,1,0)+IF(Table4463[[#This Row],[Pre or Post]]="Post",1,0)+IF(D54="Pre",1,0)=4,Table4463[[#This Row],[Post Total]]-K54,""),"")</f>
        <v>0</v>
      </c>
      <c r="P55" s="5" t="b">
        <f>ISNUMBER(Table4463[[#This Row],[Change]])</f>
        <v>1</v>
      </c>
      <c r="Q55" s="5" t="str">
        <f>IF(E54="Male",Table4463[[#This Row],[Change]],"")</f>
        <v/>
      </c>
      <c r="R55" s="5">
        <f>IF(E54="Female",Table4463[[#This Row],[Change]],"")</f>
        <v>0</v>
      </c>
      <c r="S55" s="5" t="b">
        <f>ISNUMBER(Table4463[[#This Row],[If Male]])</f>
        <v>0</v>
      </c>
      <c r="T55" s="5" t="b">
        <f>ISNUMBER(Table4463[[#This Row],[If Female]])</f>
        <v>1</v>
      </c>
    </row>
    <row r="56" spans="1:20">
      <c r="A56" s="1" t="s">
        <v>12</v>
      </c>
      <c r="B56" s="2" t="s">
        <v>21</v>
      </c>
      <c r="C56" s="1">
        <v>16</v>
      </c>
      <c r="D56" s="2" t="s">
        <v>6</v>
      </c>
      <c r="E56" s="5" t="s">
        <v>13</v>
      </c>
      <c r="F56" s="1">
        <v>9</v>
      </c>
      <c r="G56" s="1">
        <v>3</v>
      </c>
      <c r="H56" s="2"/>
      <c r="I56" s="5">
        <f>IF(IF(Table4463[[#This Row],[Pre or Post]]="Pre",1,0)+IF(ISNUMBER(Table4463[[#This Row],[Response]])=TRUE,1,0)=2,1,"")</f>
        <v>1</v>
      </c>
      <c r="J56" s="5" t="str">
        <f>IF(IF(Table4463[[#This Row],[Pre or Post]]="Post",1,0)+IF(ISNUMBER(Table4463[[#This Row],[Response]])=TRUE,1,0)=2,1,"")</f>
        <v/>
      </c>
      <c r="K56" s="5">
        <f>IF(IF(Table4463[[#This Row],[Pre or Post]]="Pre",1,0)+IF(ISNUMBER(Table4463[[#This Row],[Response]])=TRUE,1,0)=2,Table4463[[#This Row],[Response]],"")</f>
        <v>3</v>
      </c>
      <c r="L56" s="5" t="str">
        <f>IF(IF(Table4463[[#This Row],[Pre or Post]]="Post",1,0)+IF(ISNUMBER(Table4463[[#This Row],[Response]])=TRUE,1,0)=2,Table4463[[#This Row],[Response]],"")</f>
        <v/>
      </c>
      <c r="M56" s="6">
        <f>IF(IF(ISNUMBER(K56),1,0)+IF(ISNUMBER(L57),1,0)=2,IF(IF(C57=C56,1,0)+IF(B57=B56,1,0)+IF(D57="Post",1,0)+IF(D56="Pre",1,0)=4,Table4463[[#This Row],[Pre Total]],""),"")</f>
        <v>3</v>
      </c>
      <c r="N56" s="6" t="str">
        <f>IF(IF(ISNUMBER(K55),1,0)+IF(ISNUMBER(Table4463[[#This Row],[Post Total]]),1,0)=2,IF(IF(Table4463[[#This Row],[Student Number]]=C55,1,0)+IF(Table4463[[#This Row],[Session]]=B55,1,0)+IF(Table4463[[#This Row],[Pre or Post]]="Post",1,0)+IF(D55="Pre",1,0)=4,Table4463[[#This Row],[Post Total]],""),"")</f>
        <v/>
      </c>
      <c r="O56" s="6" t="str">
        <f>IF(IF(ISNUMBER(K55),1,0)+IF(ISNUMBER(Table4463[[#This Row],[Post Total]]),1,0)=2,IF(IF(Table4463[[#This Row],[Student Number]]=C55,1,0)+IF(Table4463[[#This Row],[Session]]=B55,1,0)+IF(Table4463[[#This Row],[Pre or Post]]="Post",1,0)+IF(D55="Pre",1,0)=4,Table4463[[#This Row],[Post Total]]-K55,""),"")</f>
        <v/>
      </c>
      <c r="P56" s="5" t="b">
        <f>ISNUMBER(Table4463[[#This Row],[Change]])</f>
        <v>0</v>
      </c>
      <c r="Q56" s="5" t="str">
        <f>IF(E55="Male",Table4463[[#This Row],[Change]],"")</f>
        <v/>
      </c>
      <c r="R56" s="5" t="str">
        <f>IF(E55="Female",Table4463[[#This Row],[Change]],"")</f>
        <v/>
      </c>
      <c r="S56" s="5" t="b">
        <f>ISNUMBER(Table4463[[#This Row],[If Male]])</f>
        <v>0</v>
      </c>
      <c r="T56" s="5" t="b">
        <f>ISNUMBER(Table4463[[#This Row],[If Female]])</f>
        <v>0</v>
      </c>
    </row>
    <row r="57" spans="1:20">
      <c r="A57" s="1" t="s">
        <v>12</v>
      </c>
      <c r="B57" s="2" t="s">
        <v>21</v>
      </c>
      <c r="C57" s="1">
        <v>16</v>
      </c>
      <c r="D57" s="2" t="s">
        <v>16</v>
      </c>
      <c r="E57" s="5" t="s">
        <v>171</v>
      </c>
      <c r="F57" s="1">
        <v>2</v>
      </c>
      <c r="G57" s="1">
        <v>3</v>
      </c>
      <c r="I57" s="5" t="str">
        <f>IF(IF(Table4463[[#This Row],[Pre or Post]]="Pre",1,0)+IF(ISNUMBER(Table4463[[#This Row],[Response]])=TRUE,1,0)=2,1,"")</f>
        <v/>
      </c>
      <c r="J57" s="5">
        <f>IF(IF(Table4463[[#This Row],[Pre or Post]]="Post",1,0)+IF(ISNUMBER(Table4463[[#This Row],[Response]])=TRUE,1,0)=2,1,"")</f>
        <v>1</v>
      </c>
      <c r="K57" s="5" t="str">
        <f>IF(IF(Table4463[[#This Row],[Pre or Post]]="Pre",1,0)+IF(ISNUMBER(Table4463[[#This Row],[Response]])=TRUE,1,0)=2,Table4463[[#This Row],[Response]],"")</f>
        <v/>
      </c>
      <c r="L57" s="5">
        <f>IF(IF(Table4463[[#This Row],[Pre or Post]]="Post",1,0)+IF(ISNUMBER(Table4463[[#This Row],[Response]])=TRUE,1,0)=2,Table4463[[#This Row],[Response]],"")</f>
        <v>3</v>
      </c>
      <c r="M57" s="6" t="str">
        <f>IF(IF(ISNUMBER(K57),1,0)+IF(ISNUMBER(L58),1,0)=2,IF(IF(C58=C57,1,0)+IF(B58=B57,1,0)+IF(D58="Post",1,0)+IF(D57="Pre",1,0)=4,Table4463[[#This Row],[Pre Total]],""),"")</f>
        <v/>
      </c>
      <c r="N57" s="6">
        <f>IF(IF(ISNUMBER(K56),1,0)+IF(ISNUMBER(Table4463[[#This Row],[Post Total]]),1,0)=2,IF(IF(Table4463[[#This Row],[Student Number]]=C56,1,0)+IF(Table4463[[#This Row],[Session]]=B56,1,0)+IF(Table4463[[#This Row],[Pre or Post]]="Post",1,0)+IF(D56="Pre",1,0)=4,Table4463[[#This Row],[Post Total]],""),"")</f>
        <v>3</v>
      </c>
      <c r="O57" s="6">
        <f>IF(IF(ISNUMBER(K56),1,0)+IF(ISNUMBER(Table4463[[#This Row],[Post Total]]),1,0)=2,IF(IF(Table4463[[#This Row],[Student Number]]=C56,1,0)+IF(Table4463[[#This Row],[Session]]=B56,1,0)+IF(Table4463[[#This Row],[Pre or Post]]="Post",1,0)+IF(D56="Pre",1,0)=4,Table4463[[#This Row],[Post Total]]-K56,""),"")</f>
        <v>0</v>
      </c>
      <c r="P57" s="5" t="b">
        <f>ISNUMBER(Table4463[[#This Row],[Change]])</f>
        <v>1</v>
      </c>
      <c r="Q57" s="5" t="str">
        <f>IF(E56="Male",Table4463[[#This Row],[Change]],"")</f>
        <v/>
      </c>
      <c r="R57" s="5">
        <f>IF(E56="Female",Table4463[[#This Row],[Change]],"")</f>
        <v>0</v>
      </c>
      <c r="S57" s="5" t="b">
        <f>ISNUMBER(Table4463[[#This Row],[If Male]])</f>
        <v>0</v>
      </c>
      <c r="T57" s="5" t="b">
        <f>ISNUMBER(Table4463[[#This Row],[If Female]])</f>
        <v>1</v>
      </c>
    </row>
    <row r="58" spans="1:20">
      <c r="A58" s="1" t="s">
        <v>12</v>
      </c>
      <c r="B58" s="2" t="s">
        <v>21</v>
      </c>
      <c r="C58" s="1">
        <v>17</v>
      </c>
      <c r="D58" s="2" t="s">
        <v>6</v>
      </c>
      <c r="E58" s="5" t="s">
        <v>13</v>
      </c>
      <c r="F58" s="1">
        <v>9</v>
      </c>
      <c r="G58" s="1">
        <v>1</v>
      </c>
      <c r="H58" s="2"/>
      <c r="I58" s="5">
        <f>IF(IF(Table4463[[#This Row],[Pre or Post]]="Pre",1,0)+IF(ISNUMBER(Table4463[[#This Row],[Response]])=TRUE,1,0)=2,1,"")</f>
        <v>1</v>
      </c>
      <c r="J58" s="5" t="str">
        <f>IF(IF(Table4463[[#This Row],[Pre or Post]]="Post",1,0)+IF(ISNUMBER(Table4463[[#This Row],[Response]])=TRUE,1,0)=2,1,"")</f>
        <v/>
      </c>
      <c r="K58" s="5">
        <f>IF(IF(Table4463[[#This Row],[Pre or Post]]="Pre",1,0)+IF(ISNUMBER(Table4463[[#This Row],[Response]])=TRUE,1,0)=2,Table4463[[#This Row],[Response]],"")</f>
        <v>1</v>
      </c>
      <c r="L58" s="5" t="str">
        <f>IF(IF(Table4463[[#This Row],[Pre or Post]]="Post",1,0)+IF(ISNUMBER(Table4463[[#This Row],[Response]])=TRUE,1,0)=2,Table4463[[#This Row],[Response]],"")</f>
        <v/>
      </c>
      <c r="M58" s="6">
        <f>IF(IF(ISNUMBER(K58),1,0)+IF(ISNUMBER(L59),1,0)=2,IF(IF(C59=C58,1,0)+IF(B59=B58,1,0)+IF(D59="Post",1,0)+IF(D58="Pre",1,0)=4,Table4463[[#This Row],[Pre Total]],""),"")</f>
        <v>1</v>
      </c>
      <c r="N58" s="6" t="str">
        <f>IF(IF(ISNUMBER(K57),1,0)+IF(ISNUMBER(Table4463[[#This Row],[Post Total]]),1,0)=2,IF(IF(Table4463[[#This Row],[Student Number]]=C57,1,0)+IF(Table4463[[#This Row],[Session]]=B57,1,0)+IF(Table4463[[#This Row],[Pre or Post]]="Post",1,0)+IF(D57="Pre",1,0)=4,Table4463[[#This Row],[Post Total]],""),"")</f>
        <v/>
      </c>
      <c r="O58" s="6" t="str">
        <f>IF(IF(ISNUMBER(K57),1,0)+IF(ISNUMBER(Table4463[[#This Row],[Post Total]]),1,0)=2,IF(IF(Table4463[[#This Row],[Student Number]]=C57,1,0)+IF(Table4463[[#This Row],[Session]]=B57,1,0)+IF(Table4463[[#This Row],[Pre or Post]]="Post",1,0)+IF(D57="Pre",1,0)=4,Table4463[[#This Row],[Post Total]]-K57,""),"")</f>
        <v/>
      </c>
      <c r="P58" s="5" t="b">
        <f>ISNUMBER(Table4463[[#This Row],[Change]])</f>
        <v>0</v>
      </c>
      <c r="Q58" s="5" t="str">
        <f>IF(E57="Male",Table4463[[#This Row],[Change]],"")</f>
        <v/>
      </c>
      <c r="R58" s="5" t="str">
        <f>IF(E57="Female",Table4463[[#This Row],[Change]],"")</f>
        <v/>
      </c>
      <c r="S58" s="5" t="b">
        <f>ISNUMBER(Table4463[[#This Row],[If Male]])</f>
        <v>0</v>
      </c>
      <c r="T58" s="5" t="b">
        <f>ISNUMBER(Table4463[[#This Row],[If Female]])</f>
        <v>0</v>
      </c>
    </row>
    <row r="59" spans="1:20">
      <c r="A59" s="1" t="s">
        <v>12</v>
      </c>
      <c r="B59" s="2" t="s">
        <v>21</v>
      </c>
      <c r="C59" s="1">
        <v>17</v>
      </c>
      <c r="D59" s="2" t="s">
        <v>16</v>
      </c>
      <c r="E59" s="5" t="s">
        <v>171</v>
      </c>
      <c r="F59" s="1">
        <v>2</v>
      </c>
      <c r="G59" s="1">
        <v>1</v>
      </c>
      <c r="I59" s="5" t="str">
        <f>IF(IF(Table4463[[#This Row],[Pre or Post]]="Pre",1,0)+IF(ISNUMBER(Table4463[[#This Row],[Response]])=TRUE,1,0)=2,1,"")</f>
        <v/>
      </c>
      <c r="J59" s="5">
        <f>IF(IF(Table4463[[#This Row],[Pre or Post]]="Post",1,0)+IF(ISNUMBER(Table4463[[#This Row],[Response]])=TRUE,1,0)=2,1,"")</f>
        <v>1</v>
      </c>
      <c r="K59" s="5" t="str">
        <f>IF(IF(Table4463[[#This Row],[Pre or Post]]="Pre",1,0)+IF(ISNUMBER(Table4463[[#This Row],[Response]])=TRUE,1,0)=2,Table4463[[#This Row],[Response]],"")</f>
        <v/>
      </c>
      <c r="L59" s="5">
        <f>IF(IF(Table4463[[#This Row],[Pre or Post]]="Post",1,0)+IF(ISNUMBER(Table4463[[#This Row],[Response]])=TRUE,1,0)=2,Table4463[[#This Row],[Response]],"")</f>
        <v>1</v>
      </c>
      <c r="M59" s="6" t="str">
        <f>IF(IF(ISNUMBER(K59),1,0)+IF(ISNUMBER(L60),1,0)=2,IF(IF(C60=C59,1,0)+IF(B60=B59,1,0)+IF(D60="Post",1,0)+IF(D59="Pre",1,0)=4,Table4463[[#This Row],[Pre Total]],""),"")</f>
        <v/>
      </c>
      <c r="N59" s="6">
        <f>IF(IF(ISNUMBER(K58),1,0)+IF(ISNUMBER(Table4463[[#This Row],[Post Total]]),1,0)=2,IF(IF(Table4463[[#This Row],[Student Number]]=C58,1,0)+IF(Table4463[[#This Row],[Session]]=B58,1,0)+IF(Table4463[[#This Row],[Pre or Post]]="Post",1,0)+IF(D58="Pre",1,0)=4,Table4463[[#This Row],[Post Total]],""),"")</f>
        <v>1</v>
      </c>
      <c r="O59" s="6">
        <f>IF(IF(ISNUMBER(K58),1,0)+IF(ISNUMBER(Table4463[[#This Row],[Post Total]]),1,0)=2,IF(IF(Table4463[[#This Row],[Student Number]]=C58,1,0)+IF(Table4463[[#This Row],[Session]]=B58,1,0)+IF(Table4463[[#This Row],[Pre or Post]]="Post",1,0)+IF(D58="Pre",1,0)=4,Table4463[[#This Row],[Post Total]]-K58,""),"")</f>
        <v>0</v>
      </c>
      <c r="P59" s="5" t="b">
        <f>ISNUMBER(Table4463[[#This Row],[Change]])</f>
        <v>1</v>
      </c>
      <c r="Q59" s="5" t="str">
        <f>IF(E58="Male",Table4463[[#This Row],[Change]],"")</f>
        <v/>
      </c>
      <c r="R59" s="5">
        <f>IF(E58="Female",Table4463[[#This Row],[Change]],"")</f>
        <v>0</v>
      </c>
      <c r="S59" s="5" t="b">
        <f>ISNUMBER(Table4463[[#This Row],[If Male]])</f>
        <v>0</v>
      </c>
      <c r="T59" s="5" t="b">
        <f>ISNUMBER(Table4463[[#This Row],[If Female]])</f>
        <v>1</v>
      </c>
    </row>
    <row r="60" spans="1:20">
      <c r="A60" s="1" t="s">
        <v>12</v>
      </c>
      <c r="B60" s="2" t="s">
        <v>21</v>
      </c>
      <c r="C60" s="1">
        <v>18</v>
      </c>
      <c r="D60" s="2" t="s">
        <v>6</v>
      </c>
      <c r="E60" s="5" t="s">
        <v>7</v>
      </c>
      <c r="F60" s="1">
        <v>9</v>
      </c>
      <c r="G60" s="1">
        <v>4</v>
      </c>
      <c r="H60" s="2"/>
      <c r="I60" s="5">
        <f>IF(IF(Table4463[[#This Row],[Pre or Post]]="Pre",1,0)+IF(ISNUMBER(Table4463[[#This Row],[Response]])=TRUE,1,0)=2,1,"")</f>
        <v>1</v>
      </c>
      <c r="J60" s="5" t="str">
        <f>IF(IF(Table4463[[#This Row],[Pre or Post]]="Post",1,0)+IF(ISNUMBER(Table4463[[#This Row],[Response]])=TRUE,1,0)=2,1,"")</f>
        <v/>
      </c>
      <c r="K60" s="5">
        <f>IF(IF(Table4463[[#This Row],[Pre or Post]]="Pre",1,0)+IF(ISNUMBER(Table4463[[#This Row],[Response]])=TRUE,1,0)=2,Table4463[[#This Row],[Response]],"")</f>
        <v>4</v>
      </c>
      <c r="L60" s="5" t="str">
        <f>IF(IF(Table4463[[#This Row],[Pre or Post]]="Post",1,0)+IF(ISNUMBER(Table4463[[#This Row],[Response]])=TRUE,1,0)=2,Table4463[[#This Row],[Response]],"")</f>
        <v/>
      </c>
      <c r="M60" s="6">
        <f>IF(IF(ISNUMBER(K60),1,0)+IF(ISNUMBER(L61),1,0)=2,IF(IF(C61=C60,1,0)+IF(B61=B60,1,0)+IF(D61="Post",1,0)+IF(D60="Pre",1,0)=4,Table4463[[#This Row],[Pre Total]],""),"")</f>
        <v>4</v>
      </c>
      <c r="N60" s="6" t="str">
        <f>IF(IF(ISNUMBER(K59),1,0)+IF(ISNUMBER(Table4463[[#This Row],[Post Total]]),1,0)=2,IF(IF(Table4463[[#This Row],[Student Number]]=C59,1,0)+IF(Table4463[[#This Row],[Session]]=B59,1,0)+IF(Table4463[[#This Row],[Pre or Post]]="Post",1,0)+IF(D59="Pre",1,0)=4,Table4463[[#This Row],[Post Total]],""),"")</f>
        <v/>
      </c>
      <c r="O60" s="6" t="str">
        <f>IF(IF(ISNUMBER(K59),1,0)+IF(ISNUMBER(Table4463[[#This Row],[Post Total]]),1,0)=2,IF(IF(Table4463[[#This Row],[Student Number]]=C59,1,0)+IF(Table4463[[#This Row],[Session]]=B59,1,0)+IF(Table4463[[#This Row],[Pre or Post]]="Post",1,0)+IF(D59="Pre",1,0)=4,Table4463[[#This Row],[Post Total]]-K59,""),"")</f>
        <v/>
      </c>
      <c r="P60" s="5" t="b">
        <f>ISNUMBER(Table4463[[#This Row],[Change]])</f>
        <v>0</v>
      </c>
      <c r="Q60" s="5" t="str">
        <f>IF(E59="Male",Table4463[[#This Row],[Change]],"")</f>
        <v/>
      </c>
      <c r="R60" s="5" t="str">
        <f>IF(E59="Female",Table4463[[#This Row],[Change]],"")</f>
        <v/>
      </c>
      <c r="S60" s="5" t="b">
        <f>ISNUMBER(Table4463[[#This Row],[If Male]])</f>
        <v>0</v>
      </c>
      <c r="T60" s="5" t="b">
        <f>ISNUMBER(Table4463[[#This Row],[If Female]])</f>
        <v>0</v>
      </c>
    </row>
    <row r="61" spans="1:20">
      <c r="A61" s="1" t="s">
        <v>12</v>
      </c>
      <c r="B61" s="2" t="s">
        <v>21</v>
      </c>
      <c r="C61" s="1">
        <v>18</v>
      </c>
      <c r="D61" s="2" t="s">
        <v>16</v>
      </c>
      <c r="E61" s="5" t="s">
        <v>171</v>
      </c>
      <c r="F61" s="1">
        <v>2</v>
      </c>
      <c r="G61" s="1">
        <v>4</v>
      </c>
      <c r="I61" s="5" t="str">
        <f>IF(IF(Table4463[[#This Row],[Pre or Post]]="Pre",1,0)+IF(ISNUMBER(Table4463[[#This Row],[Response]])=TRUE,1,0)=2,1,"")</f>
        <v/>
      </c>
      <c r="J61" s="5">
        <f>IF(IF(Table4463[[#This Row],[Pre or Post]]="Post",1,0)+IF(ISNUMBER(Table4463[[#This Row],[Response]])=TRUE,1,0)=2,1,"")</f>
        <v>1</v>
      </c>
      <c r="K61" s="5" t="str">
        <f>IF(IF(Table4463[[#This Row],[Pre or Post]]="Pre",1,0)+IF(ISNUMBER(Table4463[[#This Row],[Response]])=TRUE,1,0)=2,Table4463[[#This Row],[Response]],"")</f>
        <v/>
      </c>
      <c r="L61" s="5">
        <f>IF(IF(Table4463[[#This Row],[Pre or Post]]="Post",1,0)+IF(ISNUMBER(Table4463[[#This Row],[Response]])=TRUE,1,0)=2,Table4463[[#This Row],[Response]],"")</f>
        <v>4</v>
      </c>
      <c r="M61" s="6" t="str">
        <f>IF(IF(ISNUMBER(K61),1,0)+IF(ISNUMBER(L62),1,0)=2,IF(IF(C62=C61,1,0)+IF(B62=B61,1,0)+IF(D62="Post",1,0)+IF(D61="Pre",1,0)=4,Table4463[[#This Row],[Pre Total]],""),"")</f>
        <v/>
      </c>
      <c r="N61" s="6">
        <f>IF(IF(ISNUMBER(K60),1,0)+IF(ISNUMBER(Table4463[[#This Row],[Post Total]]),1,0)=2,IF(IF(Table4463[[#This Row],[Student Number]]=C60,1,0)+IF(Table4463[[#This Row],[Session]]=B60,1,0)+IF(Table4463[[#This Row],[Pre or Post]]="Post",1,0)+IF(D60="Pre",1,0)=4,Table4463[[#This Row],[Post Total]],""),"")</f>
        <v>4</v>
      </c>
      <c r="O61" s="6">
        <f>IF(IF(ISNUMBER(K60),1,0)+IF(ISNUMBER(Table4463[[#This Row],[Post Total]]),1,0)=2,IF(IF(Table4463[[#This Row],[Student Number]]=C60,1,0)+IF(Table4463[[#This Row],[Session]]=B60,1,0)+IF(Table4463[[#This Row],[Pre or Post]]="Post",1,0)+IF(D60="Pre",1,0)=4,Table4463[[#This Row],[Post Total]]-K60,""),"")</f>
        <v>0</v>
      </c>
      <c r="P61" s="5" t="b">
        <f>ISNUMBER(Table4463[[#This Row],[Change]])</f>
        <v>1</v>
      </c>
      <c r="Q61" s="5">
        <f>IF(E60="Male",Table4463[[#This Row],[Change]],"")</f>
        <v>0</v>
      </c>
      <c r="R61" s="5" t="str">
        <f>IF(E60="Female",Table4463[[#This Row],[Change]],"")</f>
        <v/>
      </c>
      <c r="S61" s="5" t="b">
        <f>ISNUMBER(Table4463[[#This Row],[If Male]])</f>
        <v>1</v>
      </c>
      <c r="T61" s="5" t="b">
        <f>ISNUMBER(Table4463[[#This Row],[If Female]])</f>
        <v>0</v>
      </c>
    </row>
    <row r="62" spans="1:20">
      <c r="A62" s="1" t="s">
        <v>12</v>
      </c>
      <c r="B62" s="2" t="s">
        <v>21</v>
      </c>
      <c r="C62" s="1">
        <v>19</v>
      </c>
      <c r="D62" s="2" t="s">
        <v>6</v>
      </c>
      <c r="E62" s="5" t="s">
        <v>13</v>
      </c>
      <c r="F62" s="1">
        <v>9</v>
      </c>
      <c r="G62" s="1">
        <v>2</v>
      </c>
      <c r="H62" s="2"/>
      <c r="I62" s="5">
        <f>IF(IF(Table4463[[#This Row],[Pre or Post]]="Pre",1,0)+IF(ISNUMBER(Table4463[[#This Row],[Response]])=TRUE,1,0)=2,1,"")</f>
        <v>1</v>
      </c>
      <c r="J62" s="5" t="str">
        <f>IF(IF(Table4463[[#This Row],[Pre or Post]]="Post",1,0)+IF(ISNUMBER(Table4463[[#This Row],[Response]])=TRUE,1,0)=2,1,"")</f>
        <v/>
      </c>
      <c r="K62" s="5">
        <f>IF(IF(Table4463[[#This Row],[Pre or Post]]="Pre",1,0)+IF(ISNUMBER(Table4463[[#This Row],[Response]])=TRUE,1,0)=2,Table4463[[#This Row],[Response]],"")</f>
        <v>2</v>
      </c>
      <c r="L62" s="5" t="str">
        <f>IF(IF(Table4463[[#This Row],[Pre or Post]]="Post",1,0)+IF(ISNUMBER(Table4463[[#This Row],[Response]])=TRUE,1,0)=2,Table4463[[#This Row],[Response]],"")</f>
        <v/>
      </c>
      <c r="M62" s="6">
        <f>IF(IF(ISNUMBER(K62),1,0)+IF(ISNUMBER(L63),1,0)=2,IF(IF(C63=C62,1,0)+IF(B63=B62,1,0)+IF(D63="Post",1,0)+IF(D62="Pre",1,0)=4,Table4463[[#This Row],[Pre Total]],""),"")</f>
        <v>2</v>
      </c>
      <c r="N62" s="6" t="str">
        <f>IF(IF(ISNUMBER(K61),1,0)+IF(ISNUMBER(Table4463[[#This Row],[Post Total]]),1,0)=2,IF(IF(Table4463[[#This Row],[Student Number]]=C61,1,0)+IF(Table4463[[#This Row],[Session]]=B61,1,0)+IF(Table4463[[#This Row],[Pre or Post]]="Post",1,0)+IF(D61="Pre",1,0)=4,Table4463[[#This Row],[Post Total]],""),"")</f>
        <v/>
      </c>
      <c r="O62" s="6" t="str">
        <f>IF(IF(ISNUMBER(K61),1,0)+IF(ISNUMBER(Table4463[[#This Row],[Post Total]]),1,0)=2,IF(IF(Table4463[[#This Row],[Student Number]]=C61,1,0)+IF(Table4463[[#This Row],[Session]]=B61,1,0)+IF(Table4463[[#This Row],[Pre or Post]]="Post",1,0)+IF(D61="Pre",1,0)=4,Table4463[[#This Row],[Post Total]]-K61,""),"")</f>
        <v/>
      </c>
      <c r="P62" s="5" t="b">
        <f>ISNUMBER(Table4463[[#This Row],[Change]])</f>
        <v>0</v>
      </c>
      <c r="Q62" s="5" t="str">
        <f>IF(E61="Male",Table4463[[#This Row],[Change]],"")</f>
        <v/>
      </c>
      <c r="R62" s="5" t="str">
        <f>IF(E61="Female",Table4463[[#This Row],[Change]],"")</f>
        <v/>
      </c>
      <c r="S62" s="5" t="b">
        <f>ISNUMBER(Table4463[[#This Row],[If Male]])</f>
        <v>0</v>
      </c>
      <c r="T62" s="5" t="b">
        <f>ISNUMBER(Table4463[[#This Row],[If Female]])</f>
        <v>0</v>
      </c>
    </row>
    <row r="63" spans="1:20">
      <c r="A63" s="1" t="s">
        <v>12</v>
      </c>
      <c r="B63" s="2" t="s">
        <v>21</v>
      </c>
      <c r="C63" s="1">
        <v>19</v>
      </c>
      <c r="D63" s="2" t="s">
        <v>16</v>
      </c>
      <c r="E63" s="5" t="s">
        <v>171</v>
      </c>
      <c r="F63" s="1">
        <v>2</v>
      </c>
      <c r="G63" s="1">
        <v>2</v>
      </c>
      <c r="I63" s="5" t="str">
        <f>IF(IF(Table4463[[#This Row],[Pre or Post]]="Pre",1,0)+IF(ISNUMBER(Table4463[[#This Row],[Response]])=TRUE,1,0)=2,1,"")</f>
        <v/>
      </c>
      <c r="J63" s="5">
        <f>IF(IF(Table4463[[#This Row],[Pre or Post]]="Post",1,0)+IF(ISNUMBER(Table4463[[#This Row],[Response]])=TRUE,1,0)=2,1,"")</f>
        <v>1</v>
      </c>
      <c r="K63" s="5" t="str">
        <f>IF(IF(Table4463[[#This Row],[Pre or Post]]="Pre",1,0)+IF(ISNUMBER(Table4463[[#This Row],[Response]])=TRUE,1,0)=2,Table4463[[#This Row],[Response]],"")</f>
        <v/>
      </c>
      <c r="L63" s="5">
        <f>IF(IF(Table4463[[#This Row],[Pre or Post]]="Post",1,0)+IF(ISNUMBER(Table4463[[#This Row],[Response]])=TRUE,1,0)=2,Table4463[[#This Row],[Response]],"")</f>
        <v>2</v>
      </c>
      <c r="M63" s="6" t="str">
        <f>IF(IF(ISNUMBER(K63),1,0)+IF(ISNUMBER(L64),1,0)=2,IF(IF(C64=C63,1,0)+IF(B64=B63,1,0)+IF(D64="Post",1,0)+IF(D63="Pre",1,0)=4,Table4463[[#This Row],[Pre Total]],""),"")</f>
        <v/>
      </c>
      <c r="N63" s="6">
        <f>IF(IF(ISNUMBER(K62),1,0)+IF(ISNUMBER(Table4463[[#This Row],[Post Total]]),1,0)=2,IF(IF(Table4463[[#This Row],[Student Number]]=C62,1,0)+IF(Table4463[[#This Row],[Session]]=B62,1,0)+IF(Table4463[[#This Row],[Pre or Post]]="Post",1,0)+IF(D62="Pre",1,0)=4,Table4463[[#This Row],[Post Total]],""),"")</f>
        <v>2</v>
      </c>
      <c r="O63" s="6">
        <f>IF(IF(ISNUMBER(K62),1,0)+IF(ISNUMBER(Table4463[[#This Row],[Post Total]]),1,0)=2,IF(IF(Table4463[[#This Row],[Student Number]]=C62,1,0)+IF(Table4463[[#This Row],[Session]]=B62,1,0)+IF(Table4463[[#This Row],[Pre or Post]]="Post",1,0)+IF(D62="Pre",1,0)=4,Table4463[[#This Row],[Post Total]]-K62,""),"")</f>
        <v>0</v>
      </c>
      <c r="P63" s="5" t="b">
        <f>ISNUMBER(Table4463[[#This Row],[Change]])</f>
        <v>1</v>
      </c>
      <c r="Q63" s="5" t="str">
        <f>IF(E62="Male",Table4463[[#This Row],[Change]],"")</f>
        <v/>
      </c>
      <c r="R63" s="5">
        <f>IF(E62="Female",Table4463[[#This Row],[Change]],"")</f>
        <v>0</v>
      </c>
      <c r="S63" s="5" t="b">
        <f>ISNUMBER(Table4463[[#This Row],[If Male]])</f>
        <v>0</v>
      </c>
      <c r="T63" s="5" t="b">
        <f>ISNUMBER(Table4463[[#This Row],[If Female]])</f>
        <v>1</v>
      </c>
    </row>
    <row r="64" spans="1:20">
      <c r="A64" s="1" t="s">
        <v>12</v>
      </c>
      <c r="B64" s="2" t="s">
        <v>21</v>
      </c>
      <c r="C64" s="1">
        <v>20</v>
      </c>
      <c r="D64" s="2" t="s">
        <v>6</v>
      </c>
      <c r="E64" s="5" t="s">
        <v>13</v>
      </c>
      <c r="F64" s="1">
        <v>9</v>
      </c>
      <c r="G64" s="1">
        <v>4</v>
      </c>
      <c r="H64" s="2"/>
      <c r="I64" s="5">
        <f>IF(IF(Table4463[[#This Row],[Pre or Post]]="Pre",1,0)+IF(ISNUMBER(Table4463[[#This Row],[Response]])=TRUE,1,0)=2,1,"")</f>
        <v>1</v>
      </c>
      <c r="J64" s="5" t="str">
        <f>IF(IF(Table4463[[#This Row],[Pre or Post]]="Post",1,0)+IF(ISNUMBER(Table4463[[#This Row],[Response]])=TRUE,1,0)=2,1,"")</f>
        <v/>
      </c>
      <c r="K64" s="5">
        <f>IF(IF(Table4463[[#This Row],[Pre or Post]]="Pre",1,0)+IF(ISNUMBER(Table4463[[#This Row],[Response]])=TRUE,1,0)=2,Table4463[[#This Row],[Response]],"")</f>
        <v>4</v>
      </c>
      <c r="L64" s="5" t="str">
        <f>IF(IF(Table4463[[#This Row],[Pre or Post]]="Post",1,0)+IF(ISNUMBER(Table4463[[#This Row],[Response]])=TRUE,1,0)=2,Table4463[[#This Row],[Response]],"")</f>
        <v/>
      </c>
      <c r="M64" s="6">
        <f>IF(IF(ISNUMBER(K64),1,0)+IF(ISNUMBER(L65),1,0)=2,IF(IF(C65=C64,1,0)+IF(B65=B64,1,0)+IF(D65="Post",1,0)+IF(D64="Pre",1,0)=4,Table4463[[#This Row],[Pre Total]],""),"")</f>
        <v>4</v>
      </c>
      <c r="N64" s="6" t="str">
        <f>IF(IF(ISNUMBER(K63),1,0)+IF(ISNUMBER(Table4463[[#This Row],[Post Total]]),1,0)=2,IF(IF(Table4463[[#This Row],[Student Number]]=C63,1,0)+IF(Table4463[[#This Row],[Session]]=B63,1,0)+IF(Table4463[[#This Row],[Pre or Post]]="Post",1,0)+IF(D63="Pre",1,0)=4,Table4463[[#This Row],[Post Total]],""),"")</f>
        <v/>
      </c>
      <c r="O64" s="6" t="str">
        <f>IF(IF(ISNUMBER(K63),1,0)+IF(ISNUMBER(Table4463[[#This Row],[Post Total]]),1,0)=2,IF(IF(Table4463[[#This Row],[Student Number]]=C63,1,0)+IF(Table4463[[#This Row],[Session]]=B63,1,0)+IF(Table4463[[#This Row],[Pre or Post]]="Post",1,0)+IF(D63="Pre",1,0)=4,Table4463[[#This Row],[Post Total]]-K63,""),"")</f>
        <v/>
      </c>
      <c r="P64" s="5" t="b">
        <f>ISNUMBER(Table4463[[#This Row],[Change]])</f>
        <v>0</v>
      </c>
      <c r="Q64" s="5" t="str">
        <f>IF(E63="Male",Table4463[[#This Row],[Change]],"")</f>
        <v/>
      </c>
      <c r="R64" s="5" t="str">
        <f>IF(E63="Female",Table4463[[#This Row],[Change]],"")</f>
        <v/>
      </c>
      <c r="S64" s="5" t="b">
        <f>ISNUMBER(Table4463[[#This Row],[If Male]])</f>
        <v>0</v>
      </c>
      <c r="T64" s="5" t="b">
        <f>ISNUMBER(Table4463[[#This Row],[If Female]])</f>
        <v>0</v>
      </c>
    </row>
    <row r="65" spans="1:20">
      <c r="A65" s="1" t="s">
        <v>12</v>
      </c>
      <c r="B65" s="2" t="s">
        <v>21</v>
      </c>
      <c r="C65" s="1">
        <v>20</v>
      </c>
      <c r="D65" s="2" t="s">
        <v>16</v>
      </c>
      <c r="E65" s="5" t="s">
        <v>171</v>
      </c>
      <c r="F65" s="1">
        <v>2</v>
      </c>
      <c r="G65" s="1">
        <v>3</v>
      </c>
      <c r="I65" s="5" t="str">
        <f>IF(IF(Table4463[[#This Row],[Pre or Post]]="Pre",1,0)+IF(ISNUMBER(Table4463[[#This Row],[Response]])=TRUE,1,0)=2,1,"")</f>
        <v/>
      </c>
      <c r="J65" s="5">
        <f>IF(IF(Table4463[[#This Row],[Pre or Post]]="Post",1,0)+IF(ISNUMBER(Table4463[[#This Row],[Response]])=TRUE,1,0)=2,1,"")</f>
        <v>1</v>
      </c>
      <c r="K65" s="5" t="str">
        <f>IF(IF(Table4463[[#This Row],[Pre or Post]]="Pre",1,0)+IF(ISNUMBER(Table4463[[#This Row],[Response]])=TRUE,1,0)=2,Table4463[[#This Row],[Response]],"")</f>
        <v/>
      </c>
      <c r="L65" s="5">
        <f>IF(IF(Table4463[[#This Row],[Pre or Post]]="Post",1,0)+IF(ISNUMBER(Table4463[[#This Row],[Response]])=TRUE,1,0)=2,Table4463[[#This Row],[Response]],"")</f>
        <v>3</v>
      </c>
      <c r="M65" s="6" t="str">
        <f>IF(IF(ISNUMBER(K65),1,0)+IF(ISNUMBER(L66),1,0)=2,IF(IF(C66=C65,1,0)+IF(B66=B65,1,0)+IF(D66="Post",1,0)+IF(D65="Pre",1,0)=4,Table4463[[#This Row],[Pre Total]],""),"")</f>
        <v/>
      </c>
      <c r="N65" s="6">
        <f>IF(IF(ISNUMBER(K64),1,0)+IF(ISNUMBER(Table4463[[#This Row],[Post Total]]),1,0)=2,IF(IF(Table4463[[#This Row],[Student Number]]=C64,1,0)+IF(Table4463[[#This Row],[Session]]=B64,1,0)+IF(Table4463[[#This Row],[Pre or Post]]="Post",1,0)+IF(D64="Pre",1,0)=4,Table4463[[#This Row],[Post Total]],""),"")</f>
        <v>3</v>
      </c>
      <c r="O65" s="6">
        <f>IF(IF(ISNUMBER(K64),1,0)+IF(ISNUMBER(Table4463[[#This Row],[Post Total]]),1,0)=2,IF(IF(Table4463[[#This Row],[Student Number]]=C64,1,0)+IF(Table4463[[#This Row],[Session]]=B64,1,0)+IF(Table4463[[#This Row],[Pre or Post]]="Post",1,0)+IF(D64="Pre",1,0)=4,Table4463[[#This Row],[Post Total]]-K64,""),"")</f>
        <v>-1</v>
      </c>
      <c r="P65" s="5" t="b">
        <f>ISNUMBER(Table4463[[#This Row],[Change]])</f>
        <v>1</v>
      </c>
      <c r="Q65" s="5" t="str">
        <f>IF(E64="Male",Table4463[[#This Row],[Change]],"")</f>
        <v/>
      </c>
      <c r="R65" s="5">
        <f>IF(E64="Female",Table4463[[#This Row],[Change]],"")</f>
        <v>-1</v>
      </c>
      <c r="S65" s="5" t="b">
        <f>ISNUMBER(Table4463[[#This Row],[If Male]])</f>
        <v>0</v>
      </c>
      <c r="T65" s="5" t="b">
        <f>ISNUMBER(Table4463[[#This Row],[If Female]])</f>
        <v>1</v>
      </c>
    </row>
    <row r="66" spans="1:20">
      <c r="A66" s="1" t="s">
        <v>12</v>
      </c>
      <c r="B66" s="2" t="s">
        <v>21</v>
      </c>
      <c r="C66" s="1">
        <v>21</v>
      </c>
      <c r="D66" s="2" t="s">
        <v>6</v>
      </c>
      <c r="E66" s="5" t="s">
        <v>13</v>
      </c>
      <c r="F66" s="1">
        <v>9</v>
      </c>
      <c r="G66" s="1">
        <v>1</v>
      </c>
      <c r="H66" s="2"/>
      <c r="I66" s="5">
        <f>IF(IF(Table4463[[#This Row],[Pre or Post]]="Pre",1,0)+IF(ISNUMBER(Table4463[[#This Row],[Response]])=TRUE,1,0)=2,1,"")</f>
        <v>1</v>
      </c>
      <c r="J66" s="5" t="str">
        <f>IF(IF(Table4463[[#This Row],[Pre or Post]]="Post",1,0)+IF(ISNUMBER(Table4463[[#This Row],[Response]])=TRUE,1,0)=2,1,"")</f>
        <v/>
      </c>
      <c r="K66" s="5">
        <f>IF(IF(Table4463[[#This Row],[Pre or Post]]="Pre",1,0)+IF(ISNUMBER(Table4463[[#This Row],[Response]])=TRUE,1,0)=2,Table4463[[#This Row],[Response]],"")</f>
        <v>1</v>
      </c>
      <c r="L66" s="5" t="str">
        <f>IF(IF(Table4463[[#This Row],[Pre or Post]]="Post",1,0)+IF(ISNUMBER(Table4463[[#This Row],[Response]])=TRUE,1,0)=2,Table4463[[#This Row],[Response]],"")</f>
        <v/>
      </c>
      <c r="M66" s="6">
        <f>IF(IF(ISNUMBER(K66),1,0)+IF(ISNUMBER(L67),1,0)=2,IF(IF(C67=C66,1,0)+IF(B67=B66,1,0)+IF(D67="Post",1,0)+IF(D66="Pre",1,0)=4,Table4463[[#This Row],[Pre Total]],""),"")</f>
        <v>1</v>
      </c>
      <c r="N66" s="6" t="str">
        <f>IF(IF(ISNUMBER(K65),1,0)+IF(ISNUMBER(Table4463[[#This Row],[Post Total]]),1,0)=2,IF(IF(Table4463[[#This Row],[Student Number]]=C65,1,0)+IF(Table4463[[#This Row],[Session]]=B65,1,0)+IF(Table4463[[#This Row],[Pre or Post]]="Post",1,0)+IF(D65="Pre",1,0)=4,Table4463[[#This Row],[Post Total]],""),"")</f>
        <v/>
      </c>
      <c r="O66" s="6" t="str">
        <f>IF(IF(ISNUMBER(K65),1,0)+IF(ISNUMBER(Table4463[[#This Row],[Post Total]]),1,0)=2,IF(IF(Table4463[[#This Row],[Student Number]]=C65,1,0)+IF(Table4463[[#This Row],[Session]]=B65,1,0)+IF(Table4463[[#This Row],[Pre or Post]]="Post",1,0)+IF(D65="Pre",1,0)=4,Table4463[[#This Row],[Post Total]]-K65,""),"")</f>
        <v/>
      </c>
      <c r="P66" s="5" t="b">
        <f>ISNUMBER(Table4463[[#This Row],[Change]])</f>
        <v>0</v>
      </c>
      <c r="Q66" s="5" t="str">
        <f>IF(E65="Male",Table4463[[#This Row],[Change]],"")</f>
        <v/>
      </c>
      <c r="R66" s="5" t="str">
        <f>IF(E65="Female",Table4463[[#This Row],[Change]],"")</f>
        <v/>
      </c>
      <c r="S66" s="5" t="b">
        <f>ISNUMBER(Table4463[[#This Row],[If Male]])</f>
        <v>0</v>
      </c>
      <c r="T66" s="5" t="b">
        <f>ISNUMBER(Table4463[[#This Row],[If Female]])</f>
        <v>0</v>
      </c>
    </row>
    <row r="67" spans="1:20">
      <c r="A67" s="1" t="s">
        <v>12</v>
      </c>
      <c r="B67" s="2" t="s">
        <v>21</v>
      </c>
      <c r="C67" s="1">
        <v>21</v>
      </c>
      <c r="D67" s="2" t="s">
        <v>16</v>
      </c>
      <c r="E67" s="5" t="s">
        <v>171</v>
      </c>
      <c r="F67" s="1">
        <v>2</v>
      </c>
      <c r="G67" s="1">
        <v>2</v>
      </c>
      <c r="I67" s="5" t="str">
        <f>IF(IF(Table4463[[#This Row],[Pre or Post]]="Pre",1,0)+IF(ISNUMBER(Table4463[[#This Row],[Response]])=TRUE,1,0)=2,1,"")</f>
        <v/>
      </c>
      <c r="J67" s="5">
        <f>IF(IF(Table4463[[#This Row],[Pre or Post]]="Post",1,0)+IF(ISNUMBER(Table4463[[#This Row],[Response]])=TRUE,1,0)=2,1,"")</f>
        <v>1</v>
      </c>
      <c r="K67" s="5" t="str">
        <f>IF(IF(Table4463[[#This Row],[Pre or Post]]="Pre",1,0)+IF(ISNUMBER(Table4463[[#This Row],[Response]])=TRUE,1,0)=2,Table4463[[#This Row],[Response]],"")</f>
        <v/>
      </c>
      <c r="L67" s="5">
        <f>IF(IF(Table4463[[#This Row],[Pre or Post]]="Post",1,0)+IF(ISNUMBER(Table4463[[#This Row],[Response]])=TRUE,1,0)=2,Table4463[[#This Row],[Response]],"")</f>
        <v>2</v>
      </c>
      <c r="M67" s="6" t="str">
        <f>IF(IF(ISNUMBER(K67),1,0)+IF(ISNUMBER(L68),1,0)=2,IF(IF(C68=C67,1,0)+IF(B68=B67,1,0)+IF(D68="Post",1,0)+IF(D67="Pre",1,0)=4,Table4463[[#This Row],[Pre Total]],""),"")</f>
        <v/>
      </c>
      <c r="N67" s="6">
        <f>IF(IF(ISNUMBER(K66),1,0)+IF(ISNUMBER(Table4463[[#This Row],[Post Total]]),1,0)=2,IF(IF(Table4463[[#This Row],[Student Number]]=C66,1,0)+IF(Table4463[[#This Row],[Session]]=B66,1,0)+IF(Table4463[[#This Row],[Pre or Post]]="Post",1,0)+IF(D66="Pre",1,0)=4,Table4463[[#This Row],[Post Total]],""),"")</f>
        <v>2</v>
      </c>
      <c r="O67" s="6">
        <f>IF(IF(ISNUMBER(K66),1,0)+IF(ISNUMBER(Table4463[[#This Row],[Post Total]]),1,0)=2,IF(IF(Table4463[[#This Row],[Student Number]]=C66,1,0)+IF(Table4463[[#This Row],[Session]]=B66,1,0)+IF(Table4463[[#This Row],[Pre or Post]]="Post",1,0)+IF(D66="Pre",1,0)=4,Table4463[[#This Row],[Post Total]]-K66,""),"")</f>
        <v>1</v>
      </c>
      <c r="P67" s="5" t="b">
        <f>ISNUMBER(Table4463[[#This Row],[Change]])</f>
        <v>1</v>
      </c>
      <c r="Q67" s="5" t="str">
        <f>IF(E66="Male",Table4463[[#This Row],[Change]],"")</f>
        <v/>
      </c>
      <c r="R67" s="5">
        <f>IF(E66="Female",Table4463[[#This Row],[Change]],"")</f>
        <v>1</v>
      </c>
      <c r="S67" s="5" t="b">
        <f>ISNUMBER(Table4463[[#This Row],[If Male]])</f>
        <v>0</v>
      </c>
      <c r="T67" s="5" t="b">
        <f>ISNUMBER(Table4463[[#This Row],[If Female]])</f>
        <v>1</v>
      </c>
    </row>
    <row r="68" spans="1:20">
      <c r="A68" s="1" t="s">
        <v>12</v>
      </c>
      <c r="B68" s="2" t="s">
        <v>21</v>
      </c>
      <c r="C68" s="1">
        <v>22</v>
      </c>
      <c r="D68" s="2" t="s">
        <v>6</v>
      </c>
      <c r="E68" s="5" t="s">
        <v>7</v>
      </c>
      <c r="F68" s="1">
        <v>9</v>
      </c>
      <c r="G68" s="1">
        <v>2</v>
      </c>
      <c r="H68" s="2"/>
      <c r="I68" s="5">
        <f>IF(IF(Table4463[[#This Row],[Pre or Post]]="Pre",1,0)+IF(ISNUMBER(Table4463[[#This Row],[Response]])=TRUE,1,0)=2,1,"")</f>
        <v>1</v>
      </c>
      <c r="J68" s="5" t="str">
        <f>IF(IF(Table4463[[#This Row],[Pre or Post]]="Post",1,0)+IF(ISNUMBER(Table4463[[#This Row],[Response]])=TRUE,1,0)=2,1,"")</f>
        <v/>
      </c>
      <c r="K68" s="5">
        <f>IF(IF(Table4463[[#This Row],[Pre or Post]]="Pre",1,0)+IF(ISNUMBER(Table4463[[#This Row],[Response]])=TRUE,1,0)=2,Table4463[[#This Row],[Response]],"")</f>
        <v>2</v>
      </c>
      <c r="L68" s="5" t="str">
        <f>IF(IF(Table4463[[#This Row],[Pre or Post]]="Post",1,0)+IF(ISNUMBER(Table4463[[#This Row],[Response]])=TRUE,1,0)=2,Table4463[[#This Row],[Response]],"")</f>
        <v/>
      </c>
      <c r="M68" s="6">
        <f>IF(IF(ISNUMBER(K68),1,0)+IF(ISNUMBER(L69),1,0)=2,IF(IF(C69=C68,1,0)+IF(B69=B68,1,0)+IF(D69="Post",1,0)+IF(D68="Pre",1,0)=4,Table4463[[#This Row],[Pre Total]],""),"")</f>
        <v>2</v>
      </c>
      <c r="N68" s="6" t="str">
        <f>IF(IF(ISNUMBER(K67),1,0)+IF(ISNUMBER(Table4463[[#This Row],[Post Total]]),1,0)=2,IF(IF(Table4463[[#This Row],[Student Number]]=C67,1,0)+IF(Table4463[[#This Row],[Session]]=B67,1,0)+IF(Table4463[[#This Row],[Pre or Post]]="Post",1,0)+IF(D67="Pre",1,0)=4,Table4463[[#This Row],[Post Total]],""),"")</f>
        <v/>
      </c>
      <c r="O68" s="6" t="str">
        <f>IF(IF(ISNUMBER(K67),1,0)+IF(ISNUMBER(Table4463[[#This Row],[Post Total]]),1,0)=2,IF(IF(Table4463[[#This Row],[Student Number]]=C67,1,0)+IF(Table4463[[#This Row],[Session]]=B67,1,0)+IF(Table4463[[#This Row],[Pre or Post]]="Post",1,0)+IF(D67="Pre",1,0)=4,Table4463[[#This Row],[Post Total]]-K67,""),"")</f>
        <v/>
      </c>
      <c r="P68" s="5" t="b">
        <f>ISNUMBER(Table4463[[#This Row],[Change]])</f>
        <v>0</v>
      </c>
      <c r="Q68" s="5" t="str">
        <f>IF(E67="Male",Table4463[[#This Row],[Change]],"")</f>
        <v/>
      </c>
      <c r="R68" s="5" t="str">
        <f>IF(E67="Female",Table4463[[#This Row],[Change]],"")</f>
        <v/>
      </c>
      <c r="S68" s="5" t="b">
        <f>ISNUMBER(Table4463[[#This Row],[If Male]])</f>
        <v>0</v>
      </c>
      <c r="T68" s="5" t="b">
        <f>ISNUMBER(Table4463[[#This Row],[If Female]])</f>
        <v>0</v>
      </c>
    </row>
    <row r="69" spans="1:20">
      <c r="A69" s="1" t="s">
        <v>12</v>
      </c>
      <c r="B69" s="2" t="s">
        <v>21</v>
      </c>
      <c r="C69" s="1">
        <v>22</v>
      </c>
      <c r="D69" s="2" t="s">
        <v>16</v>
      </c>
      <c r="E69" s="5" t="s">
        <v>171</v>
      </c>
      <c r="F69" s="1">
        <v>2</v>
      </c>
      <c r="G69" s="1">
        <v>3</v>
      </c>
      <c r="I69" s="5" t="str">
        <f>IF(IF(Table4463[[#This Row],[Pre or Post]]="Pre",1,0)+IF(ISNUMBER(Table4463[[#This Row],[Response]])=TRUE,1,0)=2,1,"")</f>
        <v/>
      </c>
      <c r="J69" s="5">
        <f>IF(IF(Table4463[[#This Row],[Pre or Post]]="Post",1,0)+IF(ISNUMBER(Table4463[[#This Row],[Response]])=TRUE,1,0)=2,1,"")</f>
        <v>1</v>
      </c>
      <c r="K69" s="5" t="str">
        <f>IF(IF(Table4463[[#This Row],[Pre or Post]]="Pre",1,0)+IF(ISNUMBER(Table4463[[#This Row],[Response]])=TRUE,1,0)=2,Table4463[[#This Row],[Response]],"")</f>
        <v/>
      </c>
      <c r="L69" s="5">
        <f>IF(IF(Table4463[[#This Row],[Pre or Post]]="Post",1,0)+IF(ISNUMBER(Table4463[[#This Row],[Response]])=TRUE,1,0)=2,Table4463[[#This Row],[Response]],"")</f>
        <v>3</v>
      </c>
      <c r="M69" s="6" t="str">
        <f>IF(IF(ISNUMBER(K69),1,0)+IF(ISNUMBER(L70),1,0)=2,IF(IF(C70=C69,1,0)+IF(B70=B69,1,0)+IF(D70="Post",1,0)+IF(D69="Pre",1,0)=4,Table4463[[#This Row],[Pre Total]],""),"")</f>
        <v/>
      </c>
      <c r="N69" s="6">
        <f>IF(IF(ISNUMBER(K68),1,0)+IF(ISNUMBER(Table4463[[#This Row],[Post Total]]),1,0)=2,IF(IF(Table4463[[#This Row],[Student Number]]=C68,1,0)+IF(Table4463[[#This Row],[Session]]=B68,1,0)+IF(Table4463[[#This Row],[Pre or Post]]="Post",1,0)+IF(D68="Pre",1,0)=4,Table4463[[#This Row],[Post Total]],""),"")</f>
        <v>3</v>
      </c>
      <c r="O69" s="6">
        <f>IF(IF(ISNUMBER(K68),1,0)+IF(ISNUMBER(Table4463[[#This Row],[Post Total]]),1,0)=2,IF(IF(Table4463[[#This Row],[Student Number]]=C68,1,0)+IF(Table4463[[#This Row],[Session]]=B68,1,0)+IF(Table4463[[#This Row],[Pre or Post]]="Post",1,0)+IF(D68="Pre",1,0)=4,Table4463[[#This Row],[Post Total]]-K68,""),"")</f>
        <v>1</v>
      </c>
      <c r="P69" s="5" t="b">
        <f>ISNUMBER(Table4463[[#This Row],[Change]])</f>
        <v>1</v>
      </c>
      <c r="Q69" s="5">
        <f>IF(E68="Male",Table4463[[#This Row],[Change]],"")</f>
        <v>1</v>
      </c>
      <c r="R69" s="5" t="str">
        <f>IF(E68="Female",Table4463[[#This Row],[Change]],"")</f>
        <v/>
      </c>
      <c r="S69" s="5" t="b">
        <f>ISNUMBER(Table4463[[#This Row],[If Male]])</f>
        <v>1</v>
      </c>
      <c r="T69" s="5" t="b">
        <f>ISNUMBER(Table4463[[#This Row],[If Female]])</f>
        <v>0</v>
      </c>
    </row>
    <row r="70" spans="1:20">
      <c r="A70" s="1" t="s">
        <v>12</v>
      </c>
      <c r="B70" s="2" t="s">
        <v>21</v>
      </c>
      <c r="C70" s="1">
        <v>23</v>
      </c>
      <c r="D70" s="2" t="s">
        <v>6</v>
      </c>
      <c r="E70" s="5" t="s">
        <v>13</v>
      </c>
      <c r="F70" s="1">
        <v>9</v>
      </c>
      <c r="G70" s="1">
        <v>3</v>
      </c>
      <c r="H70" s="2"/>
      <c r="I70" s="5">
        <f>IF(IF(Table4463[[#This Row],[Pre or Post]]="Pre",1,0)+IF(ISNUMBER(Table4463[[#This Row],[Response]])=TRUE,1,0)=2,1,"")</f>
        <v>1</v>
      </c>
      <c r="J70" s="5" t="str">
        <f>IF(IF(Table4463[[#This Row],[Pre or Post]]="Post",1,0)+IF(ISNUMBER(Table4463[[#This Row],[Response]])=TRUE,1,0)=2,1,"")</f>
        <v/>
      </c>
      <c r="K70" s="5">
        <f>IF(IF(Table4463[[#This Row],[Pre or Post]]="Pre",1,0)+IF(ISNUMBER(Table4463[[#This Row],[Response]])=TRUE,1,0)=2,Table4463[[#This Row],[Response]],"")</f>
        <v>3</v>
      </c>
      <c r="L70" s="5" t="str">
        <f>IF(IF(Table4463[[#This Row],[Pre or Post]]="Post",1,0)+IF(ISNUMBER(Table4463[[#This Row],[Response]])=TRUE,1,0)=2,Table4463[[#This Row],[Response]],"")</f>
        <v/>
      </c>
      <c r="M70" s="6">
        <f>IF(IF(ISNUMBER(K70),1,0)+IF(ISNUMBER(L71),1,0)=2,IF(IF(C71=C70,1,0)+IF(B71=B70,1,0)+IF(D71="Post",1,0)+IF(D70="Pre",1,0)=4,Table4463[[#This Row],[Pre Total]],""),"")</f>
        <v>3</v>
      </c>
      <c r="N70" s="6" t="str">
        <f>IF(IF(ISNUMBER(K69),1,0)+IF(ISNUMBER(Table4463[[#This Row],[Post Total]]),1,0)=2,IF(IF(Table4463[[#This Row],[Student Number]]=C69,1,0)+IF(Table4463[[#This Row],[Session]]=B69,1,0)+IF(Table4463[[#This Row],[Pre or Post]]="Post",1,0)+IF(D69="Pre",1,0)=4,Table4463[[#This Row],[Post Total]],""),"")</f>
        <v/>
      </c>
      <c r="O70" s="6" t="str">
        <f>IF(IF(ISNUMBER(K69),1,0)+IF(ISNUMBER(Table4463[[#This Row],[Post Total]]),1,0)=2,IF(IF(Table4463[[#This Row],[Student Number]]=C69,1,0)+IF(Table4463[[#This Row],[Session]]=B69,1,0)+IF(Table4463[[#This Row],[Pre or Post]]="Post",1,0)+IF(D69="Pre",1,0)=4,Table4463[[#This Row],[Post Total]]-K69,""),"")</f>
        <v/>
      </c>
      <c r="P70" s="5" t="b">
        <f>ISNUMBER(Table4463[[#This Row],[Change]])</f>
        <v>0</v>
      </c>
      <c r="Q70" s="5" t="str">
        <f>IF(E69="Male",Table4463[[#This Row],[Change]],"")</f>
        <v/>
      </c>
      <c r="R70" s="5" t="str">
        <f>IF(E69="Female",Table4463[[#This Row],[Change]],"")</f>
        <v/>
      </c>
      <c r="S70" s="5" t="b">
        <f>ISNUMBER(Table4463[[#This Row],[If Male]])</f>
        <v>0</v>
      </c>
      <c r="T70" s="5" t="b">
        <f>ISNUMBER(Table4463[[#This Row],[If Female]])</f>
        <v>0</v>
      </c>
    </row>
    <row r="71" spans="1:20">
      <c r="A71" s="1" t="s">
        <v>12</v>
      </c>
      <c r="B71" s="2" t="s">
        <v>21</v>
      </c>
      <c r="C71" s="1">
        <v>23</v>
      </c>
      <c r="D71" s="2" t="s">
        <v>16</v>
      </c>
      <c r="E71" s="5" t="s">
        <v>171</v>
      </c>
      <c r="F71" s="1">
        <v>2</v>
      </c>
      <c r="G71" s="1">
        <v>1</v>
      </c>
      <c r="I71" s="5" t="str">
        <f>IF(IF(Table4463[[#This Row],[Pre or Post]]="Pre",1,0)+IF(ISNUMBER(Table4463[[#This Row],[Response]])=TRUE,1,0)=2,1,"")</f>
        <v/>
      </c>
      <c r="J71" s="5">
        <f>IF(IF(Table4463[[#This Row],[Pre or Post]]="Post",1,0)+IF(ISNUMBER(Table4463[[#This Row],[Response]])=TRUE,1,0)=2,1,"")</f>
        <v>1</v>
      </c>
      <c r="K71" s="5" t="str">
        <f>IF(IF(Table4463[[#This Row],[Pre or Post]]="Pre",1,0)+IF(ISNUMBER(Table4463[[#This Row],[Response]])=TRUE,1,0)=2,Table4463[[#This Row],[Response]],"")</f>
        <v/>
      </c>
      <c r="L71" s="5">
        <f>IF(IF(Table4463[[#This Row],[Pre or Post]]="Post",1,0)+IF(ISNUMBER(Table4463[[#This Row],[Response]])=TRUE,1,0)=2,Table4463[[#This Row],[Response]],"")</f>
        <v>1</v>
      </c>
      <c r="M71" s="6" t="str">
        <f>IF(IF(ISNUMBER(K71),1,0)+IF(ISNUMBER(L72),1,0)=2,IF(IF(C72=C71,1,0)+IF(B72=B71,1,0)+IF(D72="Post",1,0)+IF(D71="Pre",1,0)=4,Table4463[[#This Row],[Pre Total]],""),"")</f>
        <v/>
      </c>
      <c r="N71" s="6">
        <f>IF(IF(ISNUMBER(K70),1,0)+IF(ISNUMBER(Table4463[[#This Row],[Post Total]]),1,0)=2,IF(IF(Table4463[[#This Row],[Student Number]]=C70,1,0)+IF(Table4463[[#This Row],[Session]]=B70,1,0)+IF(Table4463[[#This Row],[Pre or Post]]="Post",1,0)+IF(D70="Pre",1,0)=4,Table4463[[#This Row],[Post Total]],""),"")</f>
        <v>1</v>
      </c>
      <c r="O71" s="6">
        <f>IF(IF(ISNUMBER(K70),1,0)+IF(ISNUMBER(Table4463[[#This Row],[Post Total]]),1,0)=2,IF(IF(Table4463[[#This Row],[Student Number]]=C70,1,0)+IF(Table4463[[#This Row],[Session]]=B70,1,0)+IF(Table4463[[#This Row],[Pre or Post]]="Post",1,0)+IF(D70="Pre",1,0)=4,Table4463[[#This Row],[Post Total]]-K70,""),"")</f>
        <v>-2</v>
      </c>
      <c r="P71" s="5" t="b">
        <f>ISNUMBER(Table4463[[#This Row],[Change]])</f>
        <v>1</v>
      </c>
      <c r="Q71" s="5" t="str">
        <f>IF(E70="Male",Table4463[[#This Row],[Change]],"")</f>
        <v/>
      </c>
      <c r="R71" s="5">
        <f>IF(E70="Female",Table4463[[#This Row],[Change]],"")</f>
        <v>-2</v>
      </c>
      <c r="S71" s="5" t="b">
        <f>ISNUMBER(Table4463[[#This Row],[If Male]])</f>
        <v>0</v>
      </c>
      <c r="T71" s="5" t="b">
        <f>ISNUMBER(Table4463[[#This Row],[If Female]])</f>
        <v>1</v>
      </c>
    </row>
    <row r="72" spans="1:20">
      <c r="A72" s="1" t="s">
        <v>12</v>
      </c>
      <c r="B72" s="1" t="s">
        <v>10</v>
      </c>
      <c r="C72" s="1">
        <v>1</v>
      </c>
      <c r="D72" s="1" t="s">
        <v>6</v>
      </c>
      <c r="E72" s="5" t="s">
        <v>7</v>
      </c>
      <c r="F72" s="1">
        <v>9</v>
      </c>
      <c r="G72" s="1">
        <v>3</v>
      </c>
      <c r="H72" s="2"/>
      <c r="I72" s="5">
        <f>IF(IF(Table4463[[#This Row],[Pre or Post]]="Pre",1,0)+IF(ISNUMBER(Table4463[[#This Row],[Response]])=TRUE,1,0)=2,1,"")</f>
        <v>1</v>
      </c>
      <c r="J72" s="5" t="str">
        <f>IF(IF(Table4463[[#This Row],[Pre or Post]]="Post",1,0)+IF(ISNUMBER(Table4463[[#This Row],[Response]])=TRUE,1,0)=2,1,"")</f>
        <v/>
      </c>
      <c r="K72" s="5">
        <f>IF(IF(Table4463[[#This Row],[Pre or Post]]="Pre",1,0)+IF(ISNUMBER(Table4463[[#This Row],[Response]])=TRUE,1,0)=2,Table4463[[#This Row],[Response]],"")</f>
        <v>3</v>
      </c>
      <c r="L72" s="5" t="str">
        <f>IF(IF(Table4463[[#This Row],[Pre or Post]]="Post",1,0)+IF(ISNUMBER(Table4463[[#This Row],[Response]])=TRUE,1,0)=2,Table4463[[#This Row],[Response]],"")</f>
        <v/>
      </c>
      <c r="M72" s="6">
        <f>IF(IF(ISNUMBER(K72),1,0)+IF(ISNUMBER(L73),1,0)=2,IF(IF(C73=C72,1,0)+IF(B73=B72,1,0)+IF(D73="Post",1,0)+IF(D72="Pre",1,0)=4,Table4463[[#This Row],[Pre Total]],""),"")</f>
        <v>3</v>
      </c>
      <c r="N72" s="6" t="str">
        <f>IF(IF(ISNUMBER(K71),1,0)+IF(ISNUMBER(Table4463[[#This Row],[Post Total]]),1,0)=2,IF(IF(Table4463[[#This Row],[Student Number]]=C71,1,0)+IF(Table4463[[#This Row],[Session]]=B71,1,0)+IF(Table4463[[#This Row],[Pre or Post]]="Post",1,0)+IF(D71="Pre",1,0)=4,Table4463[[#This Row],[Post Total]],""),"")</f>
        <v/>
      </c>
      <c r="O72" s="6" t="str">
        <f>IF(IF(ISNUMBER(K71),1,0)+IF(ISNUMBER(Table4463[[#This Row],[Post Total]]),1,0)=2,IF(IF(Table4463[[#This Row],[Student Number]]=C71,1,0)+IF(Table4463[[#This Row],[Session]]=B71,1,0)+IF(Table4463[[#This Row],[Pre or Post]]="Post",1,0)+IF(D71="Pre",1,0)=4,Table4463[[#This Row],[Post Total]]-K71,""),"")</f>
        <v/>
      </c>
      <c r="P72" s="6" t="b">
        <f>ISNUMBER(Table4463[[#This Row],[Change]])</f>
        <v>0</v>
      </c>
      <c r="Q72" s="5" t="str">
        <f>IF(E71="Male",Table4463[[#This Row],[Change]],"")</f>
        <v/>
      </c>
      <c r="R72" s="5" t="str">
        <f>IF(E71="Female",Table4463[[#This Row],[Change]],"")</f>
        <v/>
      </c>
      <c r="S72" s="5" t="b">
        <f>ISNUMBER(Table4463[[#This Row],[If Male]])</f>
        <v>0</v>
      </c>
      <c r="T72" s="5" t="b">
        <f>ISNUMBER(Table4463[[#This Row],[If Female]])</f>
        <v>0</v>
      </c>
    </row>
    <row r="73" spans="1:20">
      <c r="A73" s="1" t="s">
        <v>12</v>
      </c>
      <c r="B73" s="1" t="s">
        <v>10</v>
      </c>
      <c r="C73" s="1">
        <v>1</v>
      </c>
      <c r="D73" s="1" t="s">
        <v>16</v>
      </c>
      <c r="E73" s="5" t="s">
        <v>171</v>
      </c>
      <c r="F73" s="1">
        <v>2</v>
      </c>
      <c r="G73" s="1">
        <v>3</v>
      </c>
      <c r="H73" s="2"/>
      <c r="I73" s="5" t="str">
        <f>IF(IF(Table4463[[#This Row],[Pre or Post]]="Pre",1,0)+IF(ISNUMBER(Table4463[[#This Row],[Response]])=TRUE,1,0)=2,1,"")</f>
        <v/>
      </c>
      <c r="J73" s="5">
        <f>IF(IF(Table4463[[#This Row],[Pre or Post]]="Post",1,0)+IF(ISNUMBER(Table4463[[#This Row],[Response]])=TRUE,1,0)=2,1,"")</f>
        <v>1</v>
      </c>
      <c r="K73" s="5" t="str">
        <f>IF(IF(Table4463[[#This Row],[Pre or Post]]="Pre",1,0)+IF(ISNUMBER(Table4463[[#This Row],[Response]])=TRUE,1,0)=2,Table4463[[#This Row],[Response]],"")</f>
        <v/>
      </c>
      <c r="L73" s="5">
        <f>IF(IF(Table4463[[#This Row],[Pre or Post]]="Post",1,0)+IF(ISNUMBER(Table4463[[#This Row],[Response]])=TRUE,1,0)=2,Table4463[[#This Row],[Response]],"")</f>
        <v>3</v>
      </c>
      <c r="M73" s="6" t="str">
        <f>IF(IF(ISNUMBER(K73),1,0)+IF(ISNUMBER(L74),1,0)=2,IF(IF(C74=C73,1,0)+IF(B74=B73,1,0)+IF(D74="Post",1,0)+IF(D73="Pre",1,0)=4,Table4463[[#This Row],[Pre Total]],""),"")</f>
        <v/>
      </c>
      <c r="N73" s="6">
        <f>IF(IF(ISNUMBER(K72),1,0)+IF(ISNUMBER(Table4463[[#This Row],[Post Total]]),1,0)=2,IF(IF(Table4463[[#This Row],[Student Number]]=C72,1,0)+IF(Table4463[[#This Row],[Session]]=B72,1,0)+IF(Table4463[[#This Row],[Pre or Post]]="Post",1,0)+IF(D72="Pre",1,0)=4,Table4463[[#This Row],[Post Total]],""),"")</f>
        <v>3</v>
      </c>
      <c r="O73" s="6">
        <f>IF(IF(ISNUMBER(K72),1,0)+IF(ISNUMBER(Table4463[[#This Row],[Post Total]]),1,0)=2,IF(IF(Table4463[[#This Row],[Student Number]]=C72,1,0)+IF(Table4463[[#This Row],[Session]]=B72,1,0)+IF(Table4463[[#This Row],[Pre or Post]]="Post",1,0)+IF(D72="Pre",1,0)=4,Table4463[[#This Row],[Post Total]]-K72,""),"")</f>
        <v>0</v>
      </c>
      <c r="P73" s="5" t="b">
        <f>ISNUMBER(Table4463[[#This Row],[Change]])</f>
        <v>1</v>
      </c>
      <c r="Q73" s="5">
        <f>IF(E72="Male",Table4463[[#This Row],[Change]],"")</f>
        <v>0</v>
      </c>
      <c r="R73" s="5" t="str">
        <f>IF(E72="Female",Table4463[[#This Row],[Change]],"")</f>
        <v/>
      </c>
      <c r="S73" s="5" t="b">
        <f>ISNUMBER(Table4463[[#This Row],[If Male]])</f>
        <v>1</v>
      </c>
      <c r="T73" s="5" t="b">
        <f>ISNUMBER(Table4463[[#This Row],[If Female]])</f>
        <v>0</v>
      </c>
    </row>
    <row r="74" spans="1:20">
      <c r="A74" s="1" t="s">
        <v>12</v>
      </c>
      <c r="B74" s="1" t="s">
        <v>10</v>
      </c>
      <c r="C74" s="1">
        <v>2</v>
      </c>
      <c r="D74" s="1" t="s">
        <v>6</v>
      </c>
      <c r="E74" s="5" t="s">
        <v>13</v>
      </c>
      <c r="F74" s="1">
        <v>9</v>
      </c>
      <c r="G74" s="1">
        <v>2</v>
      </c>
      <c r="H74" s="2"/>
      <c r="I74" s="5">
        <f>IF(IF(Table4463[[#This Row],[Pre or Post]]="Pre",1,0)+IF(ISNUMBER(Table4463[[#This Row],[Response]])=TRUE,1,0)=2,1,"")</f>
        <v>1</v>
      </c>
      <c r="J74" s="5" t="str">
        <f>IF(IF(Table4463[[#This Row],[Pre or Post]]="Post",1,0)+IF(ISNUMBER(Table4463[[#This Row],[Response]])=TRUE,1,0)=2,1,"")</f>
        <v/>
      </c>
      <c r="K74" s="5">
        <f>IF(IF(Table4463[[#This Row],[Pre or Post]]="Pre",1,0)+IF(ISNUMBER(Table4463[[#This Row],[Response]])=TRUE,1,0)=2,Table4463[[#This Row],[Response]],"")</f>
        <v>2</v>
      </c>
      <c r="L74" s="5" t="str">
        <f>IF(IF(Table4463[[#This Row],[Pre or Post]]="Post",1,0)+IF(ISNUMBER(Table4463[[#This Row],[Response]])=TRUE,1,0)=2,Table4463[[#This Row],[Response]],"")</f>
        <v/>
      </c>
      <c r="M74" s="6">
        <f>IF(IF(ISNUMBER(K74),1,0)+IF(ISNUMBER(L75),1,0)=2,IF(IF(C75=C74,1,0)+IF(B75=B74,1,0)+IF(D75="Post",1,0)+IF(D74="Pre",1,0)=4,Table4463[[#This Row],[Pre Total]],""),"")</f>
        <v>2</v>
      </c>
      <c r="N74" s="6" t="str">
        <f>IF(IF(ISNUMBER(K73),1,0)+IF(ISNUMBER(Table4463[[#This Row],[Post Total]]),1,0)=2,IF(IF(Table4463[[#This Row],[Student Number]]=C73,1,0)+IF(Table4463[[#This Row],[Session]]=B73,1,0)+IF(Table4463[[#This Row],[Pre or Post]]="Post",1,0)+IF(D73="Pre",1,0)=4,Table4463[[#This Row],[Post Total]],""),"")</f>
        <v/>
      </c>
      <c r="O74" s="6" t="str">
        <f>IF(IF(ISNUMBER(K73),1,0)+IF(ISNUMBER(Table4463[[#This Row],[Post Total]]),1,0)=2,IF(IF(Table4463[[#This Row],[Student Number]]=C73,1,0)+IF(Table4463[[#This Row],[Session]]=B73,1,0)+IF(Table4463[[#This Row],[Pre or Post]]="Post",1,0)+IF(D73="Pre",1,0)=4,Table4463[[#This Row],[Post Total]]-K73,""),"")</f>
        <v/>
      </c>
      <c r="P74" s="5" t="b">
        <f>ISNUMBER(Table4463[[#This Row],[Change]])</f>
        <v>0</v>
      </c>
      <c r="Q74" s="5" t="str">
        <f>IF(E73="Male",Table4463[[#This Row],[Change]],"")</f>
        <v/>
      </c>
      <c r="R74" s="5" t="str">
        <f>IF(E73="Female",Table4463[[#This Row],[Change]],"")</f>
        <v/>
      </c>
      <c r="S74" s="5" t="b">
        <f>ISNUMBER(Table4463[[#This Row],[If Male]])</f>
        <v>0</v>
      </c>
      <c r="T74" s="5" t="b">
        <f>ISNUMBER(Table4463[[#This Row],[If Female]])</f>
        <v>0</v>
      </c>
    </row>
    <row r="75" spans="1:20">
      <c r="A75" s="1" t="s">
        <v>12</v>
      </c>
      <c r="B75" s="1" t="s">
        <v>10</v>
      </c>
      <c r="C75" s="1">
        <v>2</v>
      </c>
      <c r="D75" s="1" t="s">
        <v>16</v>
      </c>
      <c r="E75" s="5" t="s">
        <v>171</v>
      </c>
      <c r="F75" s="1">
        <v>2</v>
      </c>
      <c r="G75" s="1">
        <v>2</v>
      </c>
      <c r="H75" s="2"/>
      <c r="I75" s="5" t="str">
        <f>IF(IF(Table4463[[#This Row],[Pre or Post]]="Pre",1,0)+IF(ISNUMBER(Table4463[[#This Row],[Response]])=TRUE,1,0)=2,1,"")</f>
        <v/>
      </c>
      <c r="J75" s="5">
        <f>IF(IF(Table4463[[#This Row],[Pre or Post]]="Post",1,0)+IF(ISNUMBER(Table4463[[#This Row],[Response]])=TRUE,1,0)=2,1,"")</f>
        <v>1</v>
      </c>
      <c r="K75" s="5" t="str">
        <f>IF(IF(Table4463[[#This Row],[Pre or Post]]="Pre",1,0)+IF(ISNUMBER(Table4463[[#This Row],[Response]])=TRUE,1,0)=2,Table4463[[#This Row],[Response]],"")</f>
        <v/>
      </c>
      <c r="L75" s="5">
        <f>IF(IF(Table4463[[#This Row],[Pre or Post]]="Post",1,0)+IF(ISNUMBER(Table4463[[#This Row],[Response]])=TRUE,1,0)=2,Table4463[[#This Row],[Response]],"")</f>
        <v>2</v>
      </c>
      <c r="M75" s="6" t="str">
        <f>IF(IF(ISNUMBER(K75),1,0)+IF(ISNUMBER(L76),1,0)=2,IF(IF(C76=C75,1,0)+IF(B76=B75,1,0)+IF(D76="Post",1,0)+IF(D75="Pre",1,0)=4,Table4463[[#This Row],[Pre Total]],""),"")</f>
        <v/>
      </c>
      <c r="N75" s="6">
        <f>IF(IF(ISNUMBER(K74),1,0)+IF(ISNUMBER(Table4463[[#This Row],[Post Total]]),1,0)=2,IF(IF(Table4463[[#This Row],[Student Number]]=C74,1,0)+IF(Table4463[[#This Row],[Session]]=B74,1,0)+IF(Table4463[[#This Row],[Pre or Post]]="Post",1,0)+IF(D74="Pre",1,0)=4,Table4463[[#This Row],[Post Total]],""),"")</f>
        <v>2</v>
      </c>
      <c r="O75" s="6">
        <f>IF(IF(ISNUMBER(K74),1,0)+IF(ISNUMBER(Table4463[[#This Row],[Post Total]]),1,0)=2,IF(IF(Table4463[[#This Row],[Student Number]]=C74,1,0)+IF(Table4463[[#This Row],[Session]]=B74,1,0)+IF(Table4463[[#This Row],[Pre or Post]]="Post",1,0)+IF(D74="Pre",1,0)=4,Table4463[[#This Row],[Post Total]]-K74,""),"")</f>
        <v>0</v>
      </c>
      <c r="P75" s="5" t="b">
        <f>ISNUMBER(Table4463[[#This Row],[Change]])</f>
        <v>1</v>
      </c>
      <c r="Q75" s="5" t="str">
        <f>IF(E74="Male",Table4463[[#This Row],[Change]],"")</f>
        <v/>
      </c>
      <c r="R75" s="5">
        <f>IF(E74="Female",Table4463[[#This Row],[Change]],"")</f>
        <v>0</v>
      </c>
      <c r="S75" s="5" t="b">
        <f>ISNUMBER(Table4463[[#This Row],[If Male]])</f>
        <v>0</v>
      </c>
      <c r="T75" s="5" t="b">
        <f>ISNUMBER(Table4463[[#This Row],[If Female]])</f>
        <v>1</v>
      </c>
    </row>
    <row r="76" spans="1:20">
      <c r="A76" s="1" t="s">
        <v>12</v>
      </c>
      <c r="B76" s="1" t="s">
        <v>10</v>
      </c>
      <c r="C76" s="1">
        <v>3</v>
      </c>
      <c r="D76" s="1" t="s">
        <v>6</v>
      </c>
      <c r="E76" s="5" t="s">
        <v>7</v>
      </c>
      <c r="F76" s="1">
        <v>9</v>
      </c>
      <c r="G76" s="1">
        <v>5</v>
      </c>
      <c r="H76" s="2"/>
      <c r="I76" s="5">
        <f>IF(IF(Table4463[[#This Row],[Pre or Post]]="Pre",1,0)+IF(ISNUMBER(Table4463[[#This Row],[Response]])=TRUE,1,0)=2,1,"")</f>
        <v>1</v>
      </c>
      <c r="J76" s="5" t="str">
        <f>IF(IF(Table4463[[#This Row],[Pre or Post]]="Post",1,0)+IF(ISNUMBER(Table4463[[#This Row],[Response]])=TRUE,1,0)=2,1,"")</f>
        <v/>
      </c>
      <c r="K76" s="5">
        <f>IF(IF(Table4463[[#This Row],[Pre or Post]]="Pre",1,0)+IF(ISNUMBER(Table4463[[#This Row],[Response]])=TRUE,1,0)=2,Table4463[[#This Row],[Response]],"")</f>
        <v>5</v>
      </c>
      <c r="L76" s="5" t="str">
        <f>IF(IF(Table4463[[#This Row],[Pre or Post]]="Post",1,0)+IF(ISNUMBER(Table4463[[#This Row],[Response]])=TRUE,1,0)=2,Table4463[[#This Row],[Response]],"")</f>
        <v/>
      </c>
      <c r="M76" s="6">
        <f>IF(IF(ISNUMBER(K76),1,0)+IF(ISNUMBER(L77),1,0)=2,IF(IF(C77=C76,1,0)+IF(B77=B76,1,0)+IF(D77="Post",1,0)+IF(D76="Pre",1,0)=4,Table4463[[#This Row],[Pre Total]],""),"")</f>
        <v>5</v>
      </c>
      <c r="N76" s="6" t="str">
        <f>IF(IF(ISNUMBER(K75),1,0)+IF(ISNUMBER(Table4463[[#This Row],[Post Total]]),1,0)=2,IF(IF(Table4463[[#This Row],[Student Number]]=C75,1,0)+IF(Table4463[[#This Row],[Session]]=B75,1,0)+IF(Table4463[[#This Row],[Pre or Post]]="Post",1,0)+IF(D75="Pre",1,0)=4,Table4463[[#This Row],[Post Total]],""),"")</f>
        <v/>
      </c>
      <c r="O76" s="6" t="str">
        <f>IF(IF(ISNUMBER(K75),1,0)+IF(ISNUMBER(Table4463[[#This Row],[Post Total]]),1,0)=2,IF(IF(Table4463[[#This Row],[Student Number]]=C75,1,0)+IF(Table4463[[#This Row],[Session]]=B75,1,0)+IF(Table4463[[#This Row],[Pre or Post]]="Post",1,0)+IF(D75="Pre",1,0)=4,Table4463[[#This Row],[Post Total]]-K75,""),"")</f>
        <v/>
      </c>
      <c r="P76" s="5" t="b">
        <f>ISNUMBER(Table4463[[#This Row],[Change]])</f>
        <v>0</v>
      </c>
      <c r="Q76" s="5" t="str">
        <f>IF(E75="Male",Table4463[[#This Row],[Change]],"")</f>
        <v/>
      </c>
      <c r="R76" s="5" t="str">
        <f>IF(E75="Female",Table4463[[#This Row],[Change]],"")</f>
        <v/>
      </c>
      <c r="S76" s="5" t="b">
        <f>ISNUMBER(Table4463[[#This Row],[If Male]])</f>
        <v>0</v>
      </c>
      <c r="T76" s="5" t="b">
        <f>ISNUMBER(Table4463[[#This Row],[If Female]])</f>
        <v>0</v>
      </c>
    </row>
    <row r="77" spans="1:20">
      <c r="A77" s="1" t="s">
        <v>12</v>
      </c>
      <c r="B77" s="1" t="s">
        <v>10</v>
      </c>
      <c r="C77" s="1">
        <v>3</v>
      </c>
      <c r="D77" s="1" t="s">
        <v>16</v>
      </c>
      <c r="E77" s="5" t="s">
        <v>171</v>
      </c>
      <c r="F77" s="1">
        <v>2</v>
      </c>
      <c r="G77" s="1">
        <v>5</v>
      </c>
      <c r="H77" s="2"/>
      <c r="I77" s="5" t="str">
        <f>IF(IF(Table4463[[#This Row],[Pre or Post]]="Pre",1,0)+IF(ISNUMBER(Table4463[[#This Row],[Response]])=TRUE,1,0)=2,1,"")</f>
        <v/>
      </c>
      <c r="J77" s="5">
        <f>IF(IF(Table4463[[#This Row],[Pre or Post]]="Post",1,0)+IF(ISNUMBER(Table4463[[#This Row],[Response]])=TRUE,1,0)=2,1,"")</f>
        <v>1</v>
      </c>
      <c r="K77" s="5" t="str">
        <f>IF(IF(Table4463[[#This Row],[Pre or Post]]="Pre",1,0)+IF(ISNUMBER(Table4463[[#This Row],[Response]])=TRUE,1,0)=2,Table4463[[#This Row],[Response]],"")</f>
        <v/>
      </c>
      <c r="L77" s="5">
        <f>IF(IF(Table4463[[#This Row],[Pre or Post]]="Post",1,0)+IF(ISNUMBER(Table4463[[#This Row],[Response]])=TRUE,1,0)=2,Table4463[[#This Row],[Response]],"")</f>
        <v>5</v>
      </c>
      <c r="M77" s="6" t="str">
        <f>IF(IF(ISNUMBER(K77),1,0)+IF(ISNUMBER(L78),1,0)=2,IF(IF(C78=C77,1,0)+IF(B78=B77,1,0)+IF(D78="Post",1,0)+IF(D77="Pre",1,0)=4,Table4463[[#This Row],[Pre Total]],""),"")</f>
        <v/>
      </c>
      <c r="N77" s="6">
        <f>IF(IF(ISNUMBER(K76),1,0)+IF(ISNUMBER(Table4463[[#This Row],[Post Total]]),1,0)=2,IF(IF(Table4463[[#This Row],[Student Number]]=C76,1,0)+IF(Table4463[[#This Row],[Session]]=B76,1,0)+IF(Table4463[[#This Row],[Pre or Post]]="Post",1,0)+IF(D76="Pre",1,0)=4,Table4463[[#This Row],[Post Total]],""),"")</f>
        <v>5</v>
      </c>
      <c r="O77" s="6">
        <f>IF(IF(ISNUMBER(K76),1,0)+IF(ISNUMBER(Table4463[[#This Row],[Post Total]]),1,0)=2,IF(IF(Table4463[[#This Row],[Student Number]]=C76,1,0)+IF(Table4463[[#This Row],[Session]]=B76,1,0)+IF(Table4463[[#This Row],[Pre or Post]]="Post",1,0)+IF(D76="Pre",1,0)=4,Table4463[[#This Row],[Post Total]]-K76,""),"")</f>
        <v>0</v>
      </c>
      <c r="P77" s="5" t="b">
        <f>ISNUMBER(Table4463[[#This Row],[Change]])</f>
        <v>1</v>
      </c>
      <c r="Q77" s="5">
        <f>IF(E76="Male",Table4463[[#This Row],[Change]],"")</f>
        <v>0</v>
      </c>
      <c r="R77" s="5" t="str">
        <f>IF(E76="Female",Table4463[[#This Row],[Change]],"")</f>
        <v/>
      </c>
      <c r="S77" s="5" t="b">
        <f>ISNUMBER(Table4463[[#This Row],[If Male]])</f>
        <v>1</v>
      </c>
      <c r="T77" s="5" t="b">
        <f>ISNUMBER(Table4463[[#This Row],[If Female]])</f>
        <v>0</v>
      </c>
    </row>
    <row r="78" spans="1:20">
      <c r="A78" s="1" t="s">
        <v>12</v>
      </c>
      <c r="B78" s="1" t="s">
        <v>10</v>
      </c>
      <c r="C78" s="1">
        <v>4</v>
      </c>
      <c r="D78" s="1" t="s">
        <v>6</v>
      </c>
      <c r="E78" s="5" t="s">
        <v>13</v>
      </c>
      <c r="F78" s="1">
        <v>9</v>
      </c>
      <c r="G78" s="1">
        <v>4</v>
      </c>
      <c r="H78" s="2"/>
      <c r="I78" s="5">
        <f>IF(IF(Table4463[[#This Row],[Pre or Post]]="Pre",1,0)+IF(ISNUMBER(Table4463[[#This Row],[Response]])=TRUE,1,0)=2,1,"")</f>
        <v>1</v>
      </c>
      <c r="J78" s="5" t="str">
        <f>IF(IF(Table4463[[#This Row],[Pre or Post]]="Post",1,0)+IF(ISNUMBER(Table4463[[#This Row],[Response]])=TRUE,1,0)=2,1,"")</f>
        <v/>
      </c>
      <c r="K78" s="5">
        <f>IF(IF(Table4463[[#This Row],[Pre or Post]]="Pre",1,0)+IF(ISNUMBER(Table4463[[#This Row],[Response]])=TRUE,1,0)=2,Table4463[[#This Row],[Response]],"")</f>
        <v>4</v>
      </c>
      <c r="L78" s="5" t="str">
        <f>IF(IF(Table4463[[#This Row],[Pre or Post]]="Post",1,0)+IF(ISNUMBER(Table4463[[#This Row],[Response]])=TRUE,1,0)=2,Table4463[[#This Row],[Response]],"")</f>
        <v/>
      </c>
      <c r="M78" s="6">
        <f>IF(IF(ISNUMBER(K78),1,0)+IF(ISNUMBER(L79),1,0)=2,IF(IF(C79=C78,1,0)+IF(B79=B78,1,0)+IF(D79="Post",1,0)+IF(D78="Pre",1,0)=4,Table4463[[#This Row],[Pre Total]],""),"")</f>
        <v>4</v>
      </c>
      <c r="N78" s="6" t="str">
        <f>IF(IF(ISNUMBER(K77),1,0)+IF(ISNUMBER(Table4463[[#This Row],[Post Total]]),1,0)=2,IF(IF(Table4463[[#This Row],[Student Number]]=C77,1,0)+IF(Table4463[[#This Row],[Session]]=B77,1,0)+IF(Table4463[[#This Row],[Pre or Post]]="Post",1,0)+IF(D77="Pre",1,0)=4,Table4463[[#This Row],[Post Total]],""),"")</f>
        <v/>
      </c>
      <c r="O78" s="6" t="str">
        <f>IF(IF(ISNUMBER(K77),1,0)+IF(ISNUMBER(Table4463[[#This Row],[Post Total]]),1,0)=2,IF(IF(Table4463[[#This Row],[Student Number]]=C77,1,0)+IF(Table4463[[#This Row],[Session]]=B77,1,0)+IF(Table4463[[#This Row],[Pre or Post]]="Post",1,0)+IF(D77="Pre",1,0)=4,Table4463[[#This Row],[Post Total]]-K77,""),"")</f>
        <v/>
      </c>
      <c r="P78" s="5" t="b">
        <f>ISNUMBER(Table4463[[#This Row],[Change]])</f>
        <v>0</v>
      </c>
      <c r="Q78" s="5" t="str">
        <f>IF(E77="Male",Table4463[[#This Row],[Change]],"")</f>
        <v/>
      </c>
      <c r="R78" s="5" t="str">
        <f>IF(E77="Female",Table4463[[#This Row],[Change]],"")</f>
        <v/>
      </c>
      <c r="S78" s="5" t="b">
        <f>ISNUMBER(Table4463[[#This Row],[If Male]])</f>
        <v>0</v>
      </c>
      <c r="T78" s="5" t="b">
        <f>ISNUMBER(Table4463[[#This Row],[If Female]])</f>
        <v>0</v>
      </c>
    </row>
    <row r="79" spans="1:20">
      <c r="A79" s="1" t="s">
        <v>12</v>
      </c>
      <c r="B79" s="1" t="s">
        <v>10</v>
      </c>
      <c r="C79" s="1">
        <v>4</v>
      </c>
      <c r="D79" s="1" t="s">
        <v>16</v>
      </c>
      <c r="E79" s="5" t="s">
        <v>171</v>
      </c>
      <c r="F79" s="1">
        <v>2</v>
      </c>
      <c r="G79" s="1">
        <v>4</v>
      </c>
      <c r="H79" s="2"/>
      <c r="I79" s="5" t="str">
        <f>IF(IF(Table4463[[#This Row],[Pre or Post]]="Pre",1,0)+IF(ISNUMBER(Table4463[[#This Row],[Response]])=TRUE,1,0)=2,1,"")</f>
        <v/>
      </c>
      <c r="J79" s="5">
        <f>IF(IF(Table4463[[#This Row],[Pre or Post]]="Post",1,0)+IF(ISNUMBER(Table4463[[#This Row],[Response]])=TRUE,1,0)=2,1,"")</f>
        <v>1</v>
      </c>
      <c r="K79" s="5" t="str">
        <f>IF(IF(Table4463[[#This Row],[Pre or Post]]="Pre",1,0)+IF(ISNUMBER(Table4463[[#This Row],[Response]])=TRUE,1,0)=2,Table4463[[#This Row],[Response]],"")</f>
        <v/>
      </c>
      <c r="L79" s="5">
        <f>IF(IF(Table4463[[#This Row],[Pre or Post]]="Post",1,0)+IF(ISNUMBER(Table4463[[#This Row],[Response]])=TRUE,1,0)=2,Table4463[[#This Row],[Response]],"")</f>
        <v>4</v>
      </c>
      <c r="M79" s="6" t="str">
        <f>IF(IF(ISNUMBER(K79),1,0)+IF(ISNUMBER(L80),1,0)=2,IF(IF(C80=C79,1,0)+IF(B80=B79,1,0)+IF(D80="Post",1,0)+IF(D79="Pre",1,0)=4,Table4463[[#This Row],[Pre Total]],""),"")</f>
        <v/>
      </c>
      <c r="N79" s="6">
        <f>IF(IF(ISNUMBER(K78),1,0)+IF(ISNUMBER(Table4463[[#This Row],[Post Total]]),1,0)=2,IF(IF(Table4463[[#This Row],[Student Number]]=C78,1,0)+IF(Table4463[[#This Row],[Session]]=B78,1,0)+IF(Table4463[[#This Row],[Pre or Post]]="Post",1,0)+IF(D78="Pre",1,0)=4,Table4463[[#This Row],[Post Total]],""),"")</f>
        <v>4</v>
      </c>
      <c r="O79" s="6">
        <f>IF(IF(ISNUMBER(K78),1,0)+IF(ISNUMBER(Table4463[[#This Row],[Post Total]]),1,0)=2,IF(IF(Table4463[[#This Row],[Student Number]]=C78,1,0)+IF(Table4463[[#This Row],[Session]]=B78,1,0)+IF(Table4463[[#This Row],[Pre or Post]]="Post",1,0)+IF(D78="Pre",1,0)=4,Table4463[[#This Row],[Post Total]]-K78,""),"")</f>
        <v>0</v>
      </c>
      <c r="P79" s="5" t="b">
        <f>ISNUMBER(Table4463[[#This Row],[Change]])</f>
        <v>1</v>
      </c>
      <c r="Q79" s="5" t="str">
        <f>IF(E78="Male",Table4463[[#This Row],[Change]],"")</f>
        <v/>
      </c>
      <c r="R79" s="5">
        <f>IF(E78="Female",Table4463[[#This Row],[Change]],"")</f>
        <v>0</v>
      </c>
      <c r="S79" s="5" t="b">
        <f>ISNUMBER(Table4463[[#This Row],[If Male]])</f>
        <v>0</v>
      </c>
      <c r="T79" s="5" t="b">
        <f>ISNUMBER(Table4463[[#This Row],[If Female]])</f>
        <v>1</v>
      </c>
    </row>
    <row r="80" spans="1:20">
      <c r="A80" s="1" t="s">
        <v>12</v>
      </c>
      <c r="B80" s="1" t="s">
        <v>10</v>
      </c>
      <c r="C80" s="1">
        <v>5</v>
      </c>
      <c r="D80" s="1" t="s">
        <v>6</v>
      </c>
      <c r="E80" s="5" t="s">
        <v>7</v>
      </c>
      <c r="F80" s="1">
        <v>9</v>
      </c>
      <c r="G80" s="1">
        <v>3</v>
      </c>
      <c r="H80" s="2"/>
      <c r="I80" s="5">
        <f>IF(IF(Table4463[[#This Row],[Pre or Post]]="Pre",1,0)+IF(ISNUMBER(Table4463[[#This Row],[Response]])=TRUE,1,0)=2,1,"")</f>
        <v>1</v>
      </c>
      <c r="J80" s="5" t="str">
        <f>IF(IF(Table4463[[#This Row],[Pre or Post]]="Post",1,0)+IF(ISNUMBER(Table4463[[#This Row],[Response]])=TRUE,1,0)=2,1,"")</f>
        <v/>
      </c>
      <c r="K80" s="5">
        <f>IF(IF(Table4463[[#This Row],[Pre or Post]]="Pre",1,0)+IF(ISNUMBER(Table4463[[#This Row],[Response]])=TRUE,1,0)=2,Table4463[[#This Row],[Response]],"")</f>
        <v>3</v>
      </c>
      <c r="L80" s="5" t="str">
        <f>IF(IF(Table4463[[#This Row],[Pre or Post]]="Post",1,0)+IF(ISNUMBER(Table4463[[#This Row],[Response]])=TRUE,1,0)=2,Table4463[[#This Row],[Response]],"")</f>
        <v/>
      </c>
      <c r="M80" s="6">
        <f>IF(IF(ISNUMBER(K80),1,0)+IF(ISNUMBER(L81),1,0)=2,IF(IF(C81=C80,1,0)+IF(B81=B80,1,0)+IF(D81="Post",1,0)+IF(D80="Pre",1,0)=4,Table4463[[#This Row],[Pre Total]],""),"")</f>
        <v>3</v>
      </c>
      <c r="N80" s="6" t="str">
        <f>IF(IF(ISNUMBER(K79),1,0)+IF(ISNUMBER(Table4463[[#This Row],[Post Total]]),1,0)=2,IF(IF(Table4463[[#This Row],[Student Number]]=C79,1,0)+IF(Table4463[[#This Row],[Session]]=B79,1,0)+IF(Table4463[[#This Row],[Pre or Post]]="Post",1,0)+IF(D79="Pre",1,0)=4,Table4463[[#This Row],[Post Total]],""),"")</f>
        <v/>
      </c>
      <c r="O80" s="6" t="str">
        <f>IF(IF(ISNUMBER(K79),1,0)+IF(ISNUMBER(Table4463[[#This Row],[Post Total]]),1,0)=2,IF(IF(Table4463[[#This Row],[Student Number]]=C79,1,0)+IF(Table4463[[#This Row],[Session]]=B79,1,0)+IF(Table4463[[#This Row],[Pre or Post]]="Post",1,0)+IF(D79="Pre",1,0)=4,Table4463[[#This Row],[Post Total]]-K79,""),"")</f>
        <v/>
      </c>
      <c r="P80" s="5" t="b">
        <f>ISNUMBER(Table4463[[#This Row],[Change]])</f>
        <v>0</v>
      </c>
      <c r="Q80" s="5" t="str">
        <f>IF(E79="Male",Table4463[[#This Row],[Change]],"")</f>
        <v/>
      </c>
      <c r="R80" s="5" t="str">
        <f>IF(E79="Female",Table4463[[#This Row],[Change]],"")</f>
        <v/>
      </c>
      <c r="S80" s="5" t="b">
        <f>ISNUMBER(Table4463[[#This Row],[If Male]])</f>
        <v>0</v>
      </c>
      <c r="T80" s="5" t="b">
        <f>ISNUMBER(Table4463[[#This Row],[If Female]])</f>
        <v>0</v>
      </c>
    </row>
    <row r="81" spans="1:20">
      <c r="A81" s="1" t="s">
        <v>12</v>
      </c>
      <c r="B81" s="1" t="s">
        <v>10</v>
      </c>
      <c r="C81" s="1">
        <v>5</v>
      </c>
      <c r="D81" s="1" t="s">
        <v>16</v>
      </c>
      <c r="E81" s="5" t="s">
        <v>171</v>
      </c>
      <c r="F81" s="1">
        <v>2</v>
      </c>
      <c r="G81" s="1">
        <v>3</v>
      </c>
      <c r="H81" s="2"/>
      <c r="I81" s="5" t="str">
        <f>IF(IF(Table4463[[#This Row],[Pre or Post]]="Pre",1,0)+IF(ISNUMBER(Table4463[[#This Row],[Response]])=TRUE,1,0)=2,1,"")</f>
        <v/>
      </c>
      <c r="J81" s="5">
        <f>IF(IF(Table4463[[#This Row],[Pre or Post]]="Post",1,0)+IF(ISNUMBER(Table4463[[#This Row],[Response]])=TRUE,1,0)=2,1,"")</f>
        <v>1</v>
      </c>
      <c r="K81" s="5" t="str">
        <f>IF(IF(Table4463[[#This Row],[Pre or Post]]="Pre",1,0)+IF(ISNUMBER(Table4463[[#This Row],[Response]])=TRUE,1,0)=2,Table4463[[#This Row],[Response]],"")</f>
        <v/>
      </c>
      <c r="L81" s="5">
        <f>IF(IF(Table4463[[#This Row],[Pre or Post]]="Post",1,0)+IF(ISNUMBER(Table4463[[#This Row],[Response]])=TRUE,1,0)=2,Table4463[[#This Row],[Response]],"")</f>
        <v>3</v>
      </c>
      <c r="M81" s="6" t="str">
        <f>IF(IF(ISNUMBER(K81),1,0)+IF(ISNUMBER(L82),1,0)=2,IF(IF(C82=C81,1,0)+IF(B82=B81,1,0)+IF(D82="Post",1,0)+IF(D81="Pre",1,0)=4,Table4463[[#This Row],[Pre Total]],""),"")</f>
        <v/>
      </c>
      <c r="N81" s="6">
        <f>IF(IF(ISNUMBER(K80),1,0)+IF(ISNUMBER(Table4463[[#This Row],[Post Total]]),1,0)=2,IF(IF(Table4463[[#This Row],[Student Number]]=C80,1,0)+IF(Table4463[[#This Row],[Session]]=B80,1,0)+IF(Table4463[[#This Row],[Pre or Post]]="Post",1,0)+IF(D80="Pre",1,0)=4,Table4463[[#This Row],[Post Total]],""),"")</f>
        <v>3</v>
      </c>
      <c r="O81" s="6">
        <f>IF(IF(ISNUMBER(K80),1,0)+IF(ISNUMBER(Table4463[[#This Row],[Post Total]]),1,0)=2,IF(IF(Table4463[[#This Row],[Student Number]]=C80,1,0)+IF(Table4463[[#This Row],[Session]]=B80,1,0)+IF(Table4463[[#This Row],[Pre or Post]]="Post",1,0)+IF(D80="Pre",1,0)=4,Table4463[[#This Row],[Post Total]]-K80,""),"")</f>
        <v>0</v>
      </c>
      <c r="P81" s="5" t="b">
        <f>ISNUMBER(Table4463[[#This Row],[Change]])</f>
        <v>1</v>
      </c>
      <c r="Q81" s="5">
        <f>IF(E80="Male",Table4463[[#This Row],[Change]],"")</f>
        <v>0</v>
      </c>
      <c r="R81" s="5" t="str">
        <f>IF(E80="Female",Table4463[[#This Row],[Change]],"")</f>
        <v/>
      </c>
      <c r="S81" s="5" t="b">
        <f>ISNUMBER(Table4463[[#This Row],[If Male]])</f>
        <v>1</v>
      </c>
      <c r="T81" s="5" t="b">
        <f>ISNUMBER(Table4463[[#This Row],[If Female]])</f>
        <v>0</v>
      </c>
    </row>
    <row r="82" spans="1:20">
      <c r="A82" s="1" t="s">
        <v>12</v>
      </c>
      <c r="B82" s="1" t="s">
        <v>10</v>
      </c>
      <c r="C82" s="1">
        <v>6</v>
      </c>
      <c r="D82" s="1" t="s">
        <v>6</v>
      </c>
      <c r="E82" s="5" t="s">
        <v>13</v>
      </c>
      <c r="F82" s="1">
        <v>9</v>
      </c>
      <c r="G82" s="1">
        <v>4</v>
      </c>
      <c r="H82" s="2"/>
      <c r="I82" s="5">
        <f>IF(IF(Table4463[[#This Row],[Pre or Post]]="Pre",1,0)+IF(ISNUMBER(Table4463[[#This Row],[Response]])=TRUE,1,0)=2,1,"")</f>
        <v>1</v>
      </c>
      <c r="J82" s="5" t="str">
        <f>IF(IF(Table4463[[#This Row],[Pre or Post]]="Post",1,0)+IF(ISNUMBER(Table4463[[#This Row],[Response]])=TRUE,1,0)=2,1,"")</f>
        <v/>
      </c>
      <c r="K82" s="5"/>
      <c r="L82" s="5" t="str">
        <f>IF(IF(Table4463[[#This Row],[Pre or Post]]="Post",1,0)+IF(ISNUMBER(Table4463[[#This Row],[Response]])=TRUE,1,0)=2,Table4463[[#This Row],[Response]],"")</f>
        <v/>
      </c>
      <c r="M82" s="6" t="str">
        <f>IF(IF(ISNUMBER(K82),1,0)+IF(ISNUMBER(L83),1,0)=2,IF(IF(C83=C82,1,0)+IF(B83=B82,1,0)+IF(D83="Post",1,0)+IF(D82="Pre",1,0)=4,Table4463[[#This Row],[Pre Total]],""),"")</f>
        <v/>
      </c>
      <c r="N82" s="6" t="str">
        <f>IF(IF(ISNUMBER(K81),1,0)+IF(ISNUMBER(Table4463[[#This Row],[Post Total]]),1,0)=2,IF(IF(Table4463[[#This Row],[Student Number]]=C81,1,0)+IF(Table4463[[#This Row],[Session]]=B81,1,0)+IF(Table4463[[#This Row],[Pre or Post]]="Post",1,0)+IF(D81="Pre",1,0)=4,Table4463[[#This Row],[Post Total]],""),"")</f>
        <v/>
      </c>
      <c r="O82" s="6" t="str">
        <f>IF(IF(ISNUMBER(K81),1,0)+IF(ISNUMBER(Table4463[[#This Row],[Post Total]]),1,0)=2,IF(IF(Table4463[[#This Row],[Student Number]]=C81,1,0)+IF(Table4463[[#This Row],[Session]]=B81,1,0)+IF(Table4463[[#This Row],[Pre or Post]]="Post",1,0)+IF(D81="Pre",1,0)=4,Table4463[[#This Row],[Post Total]]-K81,""),"")</f>
        <v/>
      </c>
      <c r="P82" s="5" t="b">
        <f>ISNUMBER(Table4463[[#This Row],[Change]])</f>
        <v>0</v>
      </c>
      <c r="Q82" s="5" t="str">
        <f>IF(E81="Male",Table4463[[#This Row],[Change]],"")</f>
        <v/>
      </c>
      <c r="R82" s="5" t="str">
        <f>IF(E81="Female",Table4463[[#This Row],[Change]],"")</f>
        <v/>
      </c>
      <c r="S82" s="5" t="b">
        <f>ISNUMBER(Table4463[[#This Row],[If Male]])</f>
        <v>0</v>
      </c>
      <c r="T82" s="5" t="b">
        <f>ISNUMBER(Table4463[[#This Row],[If Female]])</f>
        <v>0</v>
      </c>
    </row>
    <row r="83" spans="1:20">
      <c r="A83" s="1" t="s">
        <v>12</v>
      </c>
      <c r="B83" s="1" t="s">
        <v>10</v>
      </c>
      <c r="C83" s="1">
        <v>6</v>
      </c>
      <c r="D83" s="1" t="s">
        <v>16</v>
      </c>
      <c r="E83" s="5" t="s">
        <v>171</v>
      </c>
      <c r="F83" s="1">
        <v>2</v>
      </c>
      <c r="G83" s="1">
        <v>4</v>
      </c>
      <c r="H83" s="2"/>
      <c r="I83" s="5" t="str">
        <f>IF(IF(Table4463[[#This Row],[Pre or Post]]="Pre",1,0)+IF(ISNUMBER(Table4463[[#This Row],[Response]])=TRUE,1,0)=2,1,"")</f>
        <v/>
      </c>
      <c r="J83" s="5">
        <f>IF(IF(Table4463[[#This Row],[Pre or Post]]="Post",1,0)+IF(ISNUMBER(Table4463[[#This Row],[Response]])=TRUE,1,0)=2,1,"")</f>
        <v>1</v>
      </c>
      <c r="K83" s="5" t="str">
        <f>IF(IF(Table4463[[#This Row],[Pre or Post]]="Pre",1,0)+IF(ISNUMBER(Table4463[[#This Row],[Response]])=TRUE,1,0)=2,Table4463[[#This Row],[Response]],"")</f>
        <v/>
      </c>
      <c r="L83" s="5">
        <f>IF(IF(Table4463[[#This Row],[Pre or Post]]="Post",1,0)+IF(ISNUMBER(Table4463[[#This Row],[Response]])=TRUE,1,0)=2,Table4463[[#This Row],[Response]],"")</f>
        <v>4</v>
      </c>
      <c r="M83" s="6" t="str">
        <f>IF(IF(ISNUMBER(K83),1,0)+IF(ISNUMBER(L84),1,0)=2,IF(IF(C84=C83,1,0)+IF(B84=B83,1,0)+IF(D84="Post",1,0)+IF(D83="Pre",1,0)=4,Table4463[[#This Row],[Pre Total]],""),"")</f>
        <v/>
      </c>
      <c r="N83" s="6" t="str">
        <f>IF(IF(ISNUMBER(K82),1,0)+IF(ISNUMBER(Table4463[[#This Row],[Post Total]]),1,0)=2,IF(IF(Table4463[[#This Row],[Student Number]]=C82,1,0)+IF(Table4463[[#This Row],[Session]]=B82,1,0)+IF(Table4463[[#This Row],[Pre or Post]]="Post",1,0)+IF(D82="Pre",1,0)=4,Table4463[[#This Row],[Post Total]],""),"")</f>
        <v/>
      </c>
      <c r="O83" s="6" t="str">
        <f>IF(IF(ISNUMBER(K82),1,0)+IF(ISNUMBER(Table4463[[#This Row],[Post Total]]),1,0)=2,IF(IF(Table4463[[#This Row],[Student Number]]=C82,1,0)+IF(Table4463[[#This Row],[Session]]=B82,1,0)+IF(Table4463[[#This Row],[Pre or Post]]="Post",1,0)+IF(D82="Pre",1,0)=4,Table4463[[#This Row],[Post Total]]-K82,""),"")</f>
        <v/>
      </c>
      <c r="P83" s="5" t="b">
        <f>ISNUMBER(Table4463[[#This Row],[Change]])</f>
        <v>0</v>
      </c>
      <c r="Q83" s="5" t="str">
        <f>IF(E82="Male",Table4463[[#This Row],[Change]],"")</f>
        <v/>
      </c>
      <c r="R83" s="5" t="str">
        <f>IF(E82="Female",Table4463[[#This Row],[Change]],"")</f>
        <v/>
      </c>
      <c r="S83" s="5" t="b">
        <f>ISNUMBER(Table4463[[#This Row],[If Male]])</f>
        <v>0</v>
      </c>
      <c r="T83" s="5" t="b">
        <f>ISNUMBER(Table4463[[#This Row],[If Female]])</f>
        <v>0</v>
      </c>
    </row>
    <row r="84" spans="1:20">
      <c r="A84" s="1" t="s">
        <v>12</v>
      </c>
      <c r="B84" s="1" t="s">
        <v>10</v>
      </c>
      <c r="C84" s="1">
        <v>7</v>
      </c>
      <c r="D84" s="1" t="s">
        <v>6</v>
      </c>
      <c r="E84" s="5" t="s">
        <v>13</v>
      </c>
      <c r="F84" s="1">
        <v>9</v>
      </c>
      <c r="G84" s="1">
        <v>3</v>
      </c>
      <c r="H84" s="2"/>
      <c r="I84" s="5">
        <f>IF(IF(Table4463[[#This Row],[Pre or Post]]="Pre",1,0)+IF(ISNUMBER(Table4463[[#This Row],[Response]])=TRUE,1,0)=2,1,"")</f>
        <v>1</v>
      </c>
      <c r="J84" s="5" t="str">
        <f>IF(IF(Table4463[[#This Row],[Pre or Post]]="Post",1,0)+IF(ISNUMBER(Table4463[[#This Row],[Response]])=TRUE,1,0)=2,1,"")</f>
        <v/>
      </c>
      <c r="K84" s="5"/>
      <c r="L84" s="5" t="str">
        <f>IF(IF(Table4463[[#This Row],[Pre or Post]]="Post",1,0)+IF(ISNUMBER(Table4463[[#This Row],[Response]])=TRUE,1,0)=2,Table4463[[#This Row],[Response]],"")</f>
        <v/>
      </c>
      <c r="M84" s="6" t="str">
        <f>IF(IF(ISNUMBER(K84),1,0)+IF(ISNUMBER(L85),1,0)=2,IF(IF(C85=C84,1,0)+IF(B85=B84,1,0)+IF(D85="Post",1,0)+IF(D84="Pre",1,0)=4,Table4463[[#This Row],[Pre Total]],""),"")</f>
        <v/>
      </c>
      <c r="N84" s="6" t="str">
        <f>IF(IF(ISNUMBER(K83),1,0)+IF(ISNUMBER(Table4463[[#This Row],[Post Total]]),1,0)=2,IF(IF(Table4463[[#This Row],[Student Number]]=C83,1,0)+IF(Table4463[[#This Row],[Session]]=B83,1,0)+IF(Table4463[[#This Row],[Pre or Post]]="Post",1,0)+IF(D83="Pre",1,0)=4,Table4463[[#This Row],[Post Total]],""),"")</f>
        <v/>
      </c>
      <c r="O84" s="6" t="str">
        <f>IF(IF(ISNUMBER(K83),1,0)+IF(ISNUMBER(Table4463[[#This Row],[Post Total]]),1,0)=2,IF(IF(Table4463[[#This Row],[Student Number]]=C83,1,0)+IF(Table4463[[#This Row],[Session]]=B83,1,0)+IF(Table4463[[#This Row],[Pre or Post]]="Post",1,0)+IF(D83="Pre",1,0)=4,Table4463[[#This Row],[Post Total]]-K83,""),"")</f>
        <v/>
      </c>
      <c r="P84" s="5" t="b">
        <f>ISNUMBER(Table4463[[#This Row],[Change]])</f>
        <v>0</v>
      </c>
      <c r="Q84" s="5" t="str">
        <f>IF(E83="Male",Table4463[[#This Row],[Change]],"")</f>
        <v/>
      </c>
      <c r="R84" s="5" t="str">
        <f>IF(E83="Female",Table4463[[#This Row],[Change]],"")</f>
        <v/>
      </c>
      <c r="S84" s="5" t="b">
        <f>ISNUMBER(Table4463[[#This Row],[If Male]])</f>
        <v>0</v>
      </c>
      <c r="T84" s="5" t="b">
        <f>ISNUMBER(Table4463[[#This Row],[If Female]])</f>
        <v>0</v>
      </c>
    </row>
    <row r="85" spans="1:20">
      <c r="A85" s="1" t="s">
        <v>12</v>
      </c>
      <c r="B85" s="1" t="s">
        <v>10</v>
      </c>
      <c r="C85" s="1">
        <v>7</v>
      </c>
      <c r="D85" s="1" t="s">
        <v>16</v>
      </c>
      <c r="E85" s="5" t="s">
        <v>171</v>
      </c>
      <c r="F85" s="1">
        <v>2</v>
      </c>
      <c r="G85" s="1">
        <v>3</v>
      </c>
      <c r="H85" s="2"/>
      <c r="I85" s="5" t="str">
        <f>IF(IF(Table4463[[#This Row],[Pre or Post]]="Pre",1,0)+IF(ISNUMBER(Table4463[[#This Row],[Response]])=TRUE,1,0)=2,1,"")</f>
        <v/>
      </c>
      <c r="J85" s="5">
        <f>IF(IF(Table4463[[#This Row],[Pre or Post]]="Post",1,0)+IF(ISNUMBER(Table4463[[#This Row],[Response]])=TRUE,1,0)=2,1,"")</f>
        <v>1</v>
      </c>
      <c r="K85" s="5" t="str">
        <f>IF(IF(Table4463[[#This Row],[Pre or Post]]="Pre",1,0)+IF(ISNUMBER(Table4463[[#This Row],[Response]])=TRUE,1,0)=2,Table4463[[#This Row],[Response]],"")</f>
        <v/>
      </c>
      <c r="L85" s="5">
        <f>IF(IF(Table4463[[#This Row],[Pre or Post]]="Post",1,0)+IF(ISNUMBER(Table4463[[#This Row],[Response]])=TRUE,1,0)=2,Table4463[[#This Row],[Response]],"")</f>
        <v>3</v>
      </c>
      <c r="M85" s="6" t="str">
        <f>IF(IF(ISNUMBER(K85),1,0)+IF(ISNUMBER(L86),1,0)=2,IF(IF(C86=C85,1,0)+IF(B86=B85,1,0)+IF(D86="Post",1,0)+IF(D85="Pre",1,0)=4,Table4463[[#This Row],[Pre Total]],""),"")</f>
        <v/>
      </c>
      <c r="N85" s="6" t="str">
        <f>IF(IF(ISNUMBER(K84),1,0)+IF(ISNUMBER(Table4463[[#This Row],[Post Total]]),1,0)=2,IF(IF(Table4463[[#This Row],[Student Number]]=C84,1,0)+IF(Table4463[[#This Row],[Session]]=B84,1,0)+IF(Table4463[[#This Row],[Pre or Post]]="Post",1,0)+IF(D84="Pre",1,0)=4,Table4463[[#This Row],[Post Total]],""),"")</f>
        <v/>
      </c>
      <c r="O85" s="6" t="str">
        <f>IF(IF(ISNUMBER(K84),1,0)+IF(ISNUMBER(Table4463[[#This Row],[Post Total]]),1,0)=2,IF(IF(Table4463[[#This Row],[Student Number]]=C84,1,0)+IF(Table4463[[#This Row],[Session]]=B84,1,0)+IF(Table4463[[#This Row],[Pre or Post]]="Post",1,0)+IF(D84="Pre",1,0)=4,Table4463[[#This Row],[Post Total]]-K84,""),"")</f>
        <v/>
      </c>
      <c r="P85" s="5" t="b">
        <f>ISNUMBER(Table4463[[#This Row],[Change]])</f>
        <v>0</v>
      </c>
      <c r="Q85" s="5" t="str">
        <f>IF(E84="Male",Table4463[[#This Row],[Change]],"")</f>
        <v/>
      </c>
      <c r="R85" s="5" t="str">
        <f>IF(E84="Female",Table4463[[#This Row],[Change]],"")</f>
        <v/>
      </c>
      <c r="S85" s="5" t="b">
        <f>ISNUMBER(Table4463[[#This Row],[If Male]])</f>
        <v>0</v>
      </c>
      <c r="T85" s="5" t="b">
        <f>ISNUMBER(Table4463[[#This Row],[If Female]])</f>
        <v>0</v>
      </c>
    </row>
    <row r="86" spans="1:20">
      <c r="A86" s="1" t="s">
        <v>12</v>
      </c>
      <c r="B86" s="1" t="s">
        <v>10</v>
      </c>
      <c r="C86" s="1">
        <v>8</v>
      </c>
      <c r="D86" s="1" t="s">
        <v>6</v>
      </c>
      <c r="E86" s="5" t="s">
        <v>13</v>
      </c>
      <c r="F86" s="1">
        <v>9</v>
      </c>
      <c r="G86" s="1">
        <v>4</v>
      </c>
      <c r="H86" s="2"/>
      <c r="I86" s="5">
        <f>IF(IF(Table4463[[#This Row],[Pre or Post]]="Pre",1,0)+IF(ISNUMBER(Table4463[[#This Row],[Response]])=TRUE,1,0)=2,1,"")</f>
        <v>1</v>
      </c>
      <c r="J86" s="5" t="str">
        <f>IF(IF(Table4463[[#This Row],[Pre or Post]]="Post",1,0)+IF(ISNUMBER(Table4463[[#This Row],[Response]])=TRUE,1,0)=2,1,"")</f>
        <v/>
      </c>
      <c r="K86" s="5"/>
      <c r="L86" s="5" t="str">
        <f>IF(IF(Table4463[[#This Row],[Pre or Post]]="Post",1,0)+IF(ISNUMBER(Table4463[[#This Row],[Response]])=TRUE,1,0)=2,Table4463[[#This Row],[Response]],"")</f>
        <v/>
      </c>
      <c r="M86" s="6" t="str">
        <f>IF(IF(ISNUMBER(K86),1,0)+IF(ISNUMBER(L87),1,0)=2,IF(IF(C87=C86,1,0)+IF(B87=B86,1,0)+IF(D87="Post",1,0)+IF(D86="Pre",1,0)=4,Table4463[[#This Row],[Pre Total]],""),"")</f>
        <v/>
      </c>
      <c r="N86" s="6" t="str">
        <f>IF(IF(ISNUMBER(K85),1,0)+IF(ISNUMBER(Table4463[[#This Row],[Post Total]]),1,0)=2,IF(IF(Table4463[[#This Row],[Student Number]]=C85,1,0)+IF(Table4463[[#This Row],[Session]]=B85,1,0)+IF(Table4463[[#This Row],[Pre or Post]]="Post",1,0)+IF(D85="Pre",1,0)=4,Table4463[[#This Row],[Post Total]],""),"")</f>
        <v/>
      </c>
      <c r="O86" s="6" t="str">
        <f>IF(IF(ISNUMBER(K85),1,0)+IF(ISNUMBER(Table4463[[#This Row],[Post Total]]),1,0)=2,IF(IF(Table4463[[#This Row],[Student Number]]=C85,1,0)+IF(Table4463[[#This Row],[Session]]=B85,1,0)+IF(Table4463[[#This Row],[Pre or Post]]="Post",1,0)+IF(D85="Pre",1,0)=4,Table4463[[#This Row],[Post Total]]-K85,""),"")</f>
        <v/>
      </c>
      <c r="P86" s="5" t="b">
        <f>ISNUMBER(Table4463[[#This Row],[Change]])</f>
        <v>0</v>
      </c>
      <c r="Q86" s="5" t="str">
        <f>IF(E85="Male",Table4463[[#This Row],[Change]],"")</f>
        <v/>
      </c>
      <c r="R86" s="5" t="str">
        <f>IF(E85="Female",Table4463[[#This Row],[Change]],"")</f>
        <v/>
      </c>
      <c r="S86" s="5" t="b">
        <f>ISNUMBER(Table4463[[#This Row],[If Male]])</f>
        <v>0</v>
      </c>
      <c r="T86" s="5" t="b">
        <f>ISNUMBER(Table4463[[#This Row],[If Female]])</f>
        <v>0</v>
      </c>
    </row>
    <row r="87" spans="1:20">
      <c r="A87" s="1" t="s">
        <v>12</v>
      </c>
      <c r="B87" s="1" t="s">
        <v>10</v>
      </c>
      <c r="C87" s="1">
        <v>8</v>
      </c>
      <c r="D87" s="1" t="s">
        <v>16</v>
      </c>
      <c r="E87" s="5" t="s">
        <v>171</v>
      </c>
      <c r="F87" s="1">
        <v>2</v>
      </c>
      <c r="G87" s="1">
        <v>4</v>
      </c>
      <c r="H87" s="2"/>
      <c r="I87" s="5" t="str">
        <f>IF(IF(Table4463[[#This Row],[Pre or Post]]="Pre",1,0)+IF(ISNUMBER(Table4463[[#This Row],[Response]])=TRUE,1,0)=2,1,"")</f>
        <v/>
      </c>
      <c r="J87" s="5">
        <f>IF(IF(Table4463[[#This Row],[Pre or Post]]="Post",1,0)+IF(ISNUMBER(Table4463[[#This Row],[Response]])=TRUE,1,0)=2,1,"")</f>
        <v>1</v>
      </c>
      <c r="K87" s="5" t="str">
        <f>IF(IF(Table4463[[#This Row],[Pre or Post]]="Pre",1,0)+IF(ISNUMBER(Table4463[[#This Row],[Response]])=TRUE,1,0)=2,Table4463[[#This Row],[Response]],"")</f>
        <v/>
      </c>
      <c r="L87" s="5">
        <f>IF(IF(Table4463[[#This Row],[Pre or Post]]="Post",1,0)+IF(ISNUMBER(Table4463[[#This Row],[Response]])=TRUE,1,0)=2,Table4463[[#This Row],[Response]],"")</f>
        <v>4</v>
      </c>
      <c r="M87" s="6" t="str">
        <f>IF(IF(ISNUMBER(K87),1,0)+IF(ISNUMBER(L88),1,0)=2,IF(IF(C88=C87,1,0)+IF(B88=B87,1,0)+IF(D88="Post",1,0)+IF(D87="Pre",1,0)=4,Table4463[[#This Row],[Pre Total]],""),"")</f>
        <v/>
      </c>
      <c r="N87" s="6" t="str">
        <f>IF(IF(ISNUMBER(K86),1,0)+IF(ISNUMBER(Table4463[[#This Row],[Post Total]]),1,0)=2,IF(IF(Table4463[[#This Row],[Student Number]]=C86,1,0)+IF(Table4463[[#This Row],[Session]]=B86,1,0)+IF(Table4463[[#This Row],[Pre or Post]]="Post",1,0)+IF(D86="Pre",1,0)=4,Table4463[[#This Row],[Post Total]],""),"")</f>
        <v/>
      </c>
      <c r="O87" s="6" t="str">
        <f>IF(IF(ISNUMBER(K86),1,0)+IF(ISNUMBER(Table4463[[#This Row],[Post Total]]),1,0)=2,IF(IF(Table4463[[#This Row],[Student Number]]=C86,1,0)+IF(Table4463[[#This Row],[Session]]=B86,1,0)+IF(Table4463[[#This Row],[Pre or Post]]="Post",1,0)+IF(D86="Pre",1,0)=4,Table4463[[#This Row],[Post Total]]-K86,""),"")</f>
        <v/>
      </c>
      <c r="P87" s="5" t="b">
        <f>ISNUMBER(Table4463[[#This Row],[Change]])</f>
        <v>0</v>
      </c>
      <c r="Q87" s="5" t="str">
        <f>IF(E86="Male",Table4463[[#This Row],[Change]],"")</f>
        <v/>
      </c>
      <c r="R87" s="5" t="str">
        <f>IF(E86="Female",Table4463[[#This Row],[Change]],"")</f>
        <v/>
      </c>
      <c r="S87" s="5" t="b">
        <f>ISNUMBER(Table4463[[#This Row],[If Male]])</f>
        <v>0</v>
      </c>
      <c r="T87" s="5" t="b">
        <f>ISNUMBER(Table4463[[#This Row],[If Female]])</f>
        <v>0</v>
      </c>
    </row>
    <row r="88" spans="1:20">
      <c r="A88" s="1" t="s">
        <v>12</v>
      </c>
      <c r="B88" s="1" t="s">
        <v>10</v>
      </c>
      <c r="C88" s="1">
        <v>9</v>
      </c>
      <c r="D88" s="1" t="s">
        <v>6</v>
      </c>
      <c r="E88" s="5" t="s">
        <v>13</v>
      </c>
      <c r="F88" s="1">
        <v>9</v>
      </c>
      <c r="G88" s="1">
        <v>4</v>
      </c>
      <c r="H88" s="2"/>
      <c r="I88" s="5">
        <f>IF(IF(Table4463[[#This Row],[Pre or Post]]="Pre",1,0)+IF(ISNUMBER(Table4463[[#This Row],[Response]])=TRUE,1,0)=2,1,"")</f>
        <v>1</v>
      </c>
      <c r="J88" s="5" t="str">
        <f>IF(IF(Table4463[[#This Row],[Pre or Post]]="Post",1,0)+IF(ISNUMBER(Table4463[[#This Row],[Response]])=TRUE,1,0)=2,1,"")</f>
        <v/>
      </c>
      <c r="K88" s="5"/>
      <c r="L88" s="5" t="str">
        <f>IF(IF(Table4463[[#This Row],[Pre or Post]]="Post",1,0)+IF(ISNUMBER(Table4463[[#This Row],[Response]])=TRUE,1,0)=2,Table4463[[#This Row],[Response]],"")</f>
        <v/>
      </c>
      <c r="M88" s="6" t="str">
        <f>IF(IF(ISNUMBER(K88),1,0)+IF(ISNUMBER(L89),1,0)=2,IF(IF(C89=C88,1,0)+IF(B89=B88,1,0)+IF(D89="Post",1,0)+IF(D88="Pre",1,0)=4,Table4463[[#This Row],[Pre Total]],""),"")</f>
        <v/>
      </c>
      <c r="N88" s="6" t="str">
        <f>IF(IF(ISNUMBER(K87),1,0)+IF(ISNUMBER(Table4463[[#This Row],[Post Total]]),1,0)=2,IF(IF(Table4463[[#This Row],[Student Number]]=C87,1,0)+IF(Table4463[[#This Row],[Session]]=B87,1,0)+IF(Table4463[[#This Row],[Pre or Post]]="Post",1,0)+IF(D87="Pre",1,0)=4,Table4463[[#This Row],[Post Total]],""),"")</f>
        <v/>
      </c>
      <c r="O88" s="6" t="str">
        <f>IF(IF(ISNUMBER(K87),1,0)+IF(ISNUMBER(Table4463[[#This Row],[Post Total]]),1,0)=2,IF(IF(Table4463[[#This Row],[Student Number]]=C87,1,0)+IF(Table4463[[#This Row],[Session]]=B87,1,0)+IF(Table4463[[#This Row],[Pre or Post]]="Post",1,0)+IF(D87="Pre",1,0)=4,Table4463[[#This Row],[Post Total]]-K87,""),"")</f>
        <v/>
      </c>
      <c r="P88" s="5" t="b">
        <f>ISNUMBER(Table4463[[#This Row],[Change]])</f>
        <v>0</v>
      </c>
      <c r="Q88" s="5" t="str">
        <f>IF(E87="Male",Table4463[[#This Row],[Change]],"")</f>
        <v/>
      </c>
      <c r="R88" s="5" t="str">
        <f>IF(E87="Female",Table4463[[#This Row],[Change]],"")</f>
        <v/>
      </c>
      <c r="S88" s="5" t="b">
        <f>ISNUMBER(Table4463[[#This Row],[If Male]])</f>
        <v>0</v>
      </c>
      <c r="T88" s="5" t="b">
        <f>ISNUMBER(Table4463[[#This Row],[If Female]])</f>
        <v>0</v>
      </c>
    </row>
    <row r="89" spans="1:20">
      <c r="A89" s="1" t="s">
        <v>12</v>
      </c>
      <c r="B89" s="1" t="s">
        <v>10</v>
      </c>
      <c r="C89" s="1">
        <v>9</v>
      </c>
      <c r="D89" s="1" t="s">
        <v>16</v>
      </c>
      <c r="E89" s="5" t="s">
        <v>171</v>
      </c>
      <c r="F89" s="1">
        <v>2</v>
      </c>
      <c r="G89" s="1">
        <v>4</v>
      </c>
      <c r="H89" s="2"/>
      <c r="I89" s="5" t="str">
        <f>IF(IF(Table4463[[#This Row],[Pre or Post]]="Pre",1,0)+IF(ISNUMBER(Table4463[[#This Row],[Response]])=TRUE,1,0)=2,1,"")</f>
        <v/>
      </c>
      <c r="J89" s="5">
        <f>IF(IF(Table4463[[#This Row],[Pre or Post]]="Post",1,0)+IF(ISNUMBER(Table4463[[#This Row],[Response]])=TRUE,1,0)=2,1,"")</f>
        <v>1</v>
      </c>
      <c r="K89" s="5" t="str">
        <f>IF(IF(Table4463[[#This Row],[Pre or Post]]="Pre",1,0)+IF(ISNUMBER(Table4463[[#This Row],[Response]])=TRUE,1,0)=2,Table4463[[#This Row],[Response]],"")</f>
        <v/>
      </c>
      <c r="L89" s="5">
        <f>IF(IF(Table4463[[#This Row],[Pre or Post]]="Post",1,0)+IF(ISNUMBER(Table4463[[#This Row],[Response]])=TRUE,1,0)=2,Table4463[[#This Row],[Response]],"")</f>
        <v>4</v>
      </c>
      <c r="M89" s="6" t="str">
        <f>IF(IF(ISNUMBER(K89),1,0)+IF(ISNUMBER(L90),1,0)=2,IF(IF(C90=C89,1,0)+IF(B90=B89,1,0)+IF(D90="Post",1,0)+IF(D89="Pre",1,0)=4,Table4463[[#This Row],[Pre Total]],""),"")</f>
        <v/>
      </c>
      <c r="N89" s="6" t="str">
        <f>IF(IF(ISNUMBER(K88),1,0)+IF(ISNUMBER(Table4463[[#This Row],[Post Total]]),1,0)=2,IF(IF(Table4463[[#This Row],[Student Number]]=C88,1,0)+IF(Table4463[[#This Row],[Session]]=B88,1,0)+IF(Table4463[[#This Row],[Pre or Post]]="Post",1,0)+IF(D88="Pre",1,0)=4,Table4463[[#This Row],[Post Total]],""),"")</f>
        <v/>
      </c>
      <c r="O89" s="6" t="str">
        <f>IF(IF(ISNUMBER(K88),1,0)+IF(ISNUMBER(Table4463[[#This Row],[Post Total]]),1,0)=2,IF(IF(Table4463[[#This Row],[Student Number]]=C88,1,0)+IF(Table4463[[#This Row],[Session]]=B88,1,0)+IF(Table4463[[#This Row],[Pre or Post]]="Post",1,0)+IF(D88="Pre",1,0)=4,Table4463[[#This Row],[Post Total]]-K88,""),"")</f>
        <v/>
      </c>
      <c r="P89" s="5" t="b">
        <f>ISNUMBER(Table4463[[#This Row],[Change]])</f>
        <v>0</v>
      </c>
      <c r="Q89" s="5" t="str">
        <f>IF(E88="Male",Table4463[[#This Row],[Change]],"")</f>
        <v/>
      </c>
      <c r="R89" s="5" t="str">
        <f>IF(E88="Female",Table4463[[#This Row],[Change]],"")</f>
        <v/>
      </c>
      <c r="S89" s="5" t="b">
        <f>ISNUMBER(Table4463[[#This Row],[If Male]])</f>
        <v>0</v>
      </c>
      <c r="T89" s="5" t="b">
        <f>ISNUMBER(Table4463[[#This Row],[If Female]])</f>
        <v>0</v>
      </c>
    </row>
    <row r="90" spans="1:20">
      <c r="A90" s="1" t="s">
        <v>12</v>
      </c>
      <c r="B90" s="1" t="s">
        <v>10</v>
      </c>
      <c r="C90" s="1">
        <v>10</v>
      </c>
      <c r="D90" s="1" t="s">
        <v>6</v>
      </c>
      <c r="E90" s="5" t="s">
        <v>13</v>
      </c>
      <c r="F90" s="1">
        <v>9</v>
      </c>
      <c r="G90" s="1">
        <v>4</v>
      </c>
      <c r="H90" s="2"/>
      <c r="I90" s="5">
        <f>IF(IF(Table4463[[#This Row],[Pre or Post]]="Pre",1,0)+IF(ISNUMBER(Table4463[[#This Row],[Response]])=TRUE,1,0)=2,1,"")</f>
        <v>1</v>
      </c>
      <c r="J90" s="5" t="str">
        <f>IF(IF(Table4463[[#This Row],[Pre or Post]]="Post",1,0)+IF(ISNUMBER(Table4463[[#This Row],[Response]])=TRUE,1,0)=2,1,"")</f>
        <v/>
      </c>
      <c r="K90" s="5"/>
      <c r="L90" s="5" t="str">
        <f>IF(IF(Table4463[[#This Row],[Pre or Post]]="Post",1,0)+IF(ISNUMBER(Table4463[[#This Row],[Response]])=TRUE,1,0)=2,Table4463[[#This Row],[Response]],"")</f>
        <v/>
      </c>
      <c r="M90" s="6" t="str">
        <f>IF(IF(ISNUMBER(K90),1,0)+IF(ISNUMBER(L91),1,0)=2,IF(IF(C91=C90,1,0)+IF(B91=B90,1,0)+IF(D91="Post",1,0)+IF(D90="Pre",1,0)=4,Table4463[[#This Row],[Pre Total]],""),"")</f>
        <v/>
      </c>
      <c r="N90" s="6" t="str">
        <f>IF(IF(ISNUMBER(K89),1,0)+IF(ISNUMBER(Table4463[[#This Row],[Post Total]]),1,0)=2,IF(IF(Table4463[[#This Row],[Student Number]]=C89,1,0)+IF(Table4463[[#This Row],[Session]]=B89,1,0)+IF(Table4463[[#This Row],[Pre or Post]]="Post",1,0)+IF(D89="Pre",1,0)=4,Table4463[[#This Row],[Post Total]],""),"")</f>
        <v/>
      </c>
      <c r="O90" s="6" t="str">
        <f>IF(IF(ISNUMBER(K89),1,0)+IF(ISNUMBER(Table4463[[#This Row],[Post Total]]),1,0)=2,IF(IF(Table4463[[#This Row],[Student Number]]=C89,1,0)+IF(Table4463[[#This Row],[Session]]=B89,1,0)+IF(Table4463[[#This Row],[Pre or Post]]="Post",1,0)+IF(D89="Pre",1,0)=4,Table4463[[#This Row],[Post Total]]-K89,""),"")</f>
        <v/>
      </c>
      <c r="P90" s="5" t="b">
        <f>ISNUMBER(Table4463[[#This Row],[Change]])</f>
        <v>0</v>
      </c>
      <c r="Q90" s="5" t="str">
        <f>IF(E89="Male",Table4463[[#This Row],[Change]],"")</f>
        <v/>
      </c>
      <c r="R90" s="5" t="str">
        <f>IF(E89="Female",Table4463[[#This Row],[Change]],"")</f>
        <v/>
      </c>
      <c r="S90" s="5" t="b">
        <f>ISNUMBER(Table4463[[#This Row],[If Male]])</f>
        <v>0</v>
      </c>
      <c r="T90" s="5" t="b">
        <f>ISNUMBER(Table4463[[#This Row],[If Female]])</f>
        <v>0</v>
      </c>
    </row>
    <row r="91" spans="1:20">
      <c r="A91" s="1" t="s">
        <v>12</v>
      </c>
      <c r="B91" s="1" t="s">
        <v>10</v>
      </c>
      <c r="C91" s="1">
        <v>10</v>
      </c>
      <c r="D91" s="1" t="s">
        <v>16</v>
      </c>
      <c r="E91" s="5" t="s">
        <v>171</v>
      </c>
      <c r="F91" s="1">
        <v>2</v>
      </c>
      <c r="G91" s="1">
        <v>4</v>
      </c>
      <c r="H91" s="2"/>
      <c r="I91" s="5" t="str">
        <f>IF(IF(Table4463[[#This Row],[Pre or Post]]="Pre",1,0)+IF(ISNUMBER(Table4463[[#This Row],[Response]])=TRUE,1,0)=2,1,"")</f>
        <v/>
      </c>
      <c r="J91" s="5">
        <f>IF(IF(Table4463[[#This Row],[Pre or Post]]="Post",1,0)+IF(ISNUMBER(Table4463[[#This Row],[Response]])=TRUE,1,0)=2,1,"")</f>
        <v>1</v>
      </c>
      <c r="K91" s="5" t="str">
        <f>IF(IF(Table4463[[#This Row],[Pre or Post]]="Pre",1,0)+IF(ISNUMBER(Table4463[[#This Row],[Response]])=TRUE,1,0)=2,Table4463[[#This Row],[Response]],"")</f>
        <v/>
      </c>
      <c r="L91" s="5">
        <f>IF(IF(Table4463[[#This Row],[Pre or Post]]="Post",1,0)+IF(ISNUMBER(Table4463[[#This Row],[Response]])=TRUE,1,0)=2,Table4463[[#This Row],[Response]],"")</f>
        <v>4</v>
      </c>
      <c r="M91" s="6" t="str">
        <f>IF(IF(ISNUMBER(K91),1,0)+IF(ISNUMBER(L92),1,0)=2,IF(IF(C92=C91,1,0)+IF(B92=B91,1,0)+IF(D92="Post",1,0)+IF(D91="Pre",1,0)=4,Table4463[[#This Row],[Pre Total]],""),"")</f>
        <v/>
      </c>
      <c r="N91" s="6" t="str">
        <f>IF(IF(ISNUMBER(K90),1,0)+IF(ISNUMBER(Table4463[[#This Row],[Post Total]]),1,0)=2,IF(IF(Table4463[[#This Row],[Student Number]]=C90,1,0)+IF(Table4463[[#This Row],[Session]]=B90,1,0)+IF(Table4463[[#This Row],[Pre or Post]]="Post",1,0)+IF(D90="Pre",1,0)=4,Table4463[[#This Row],[Post Total]],""),"")</f>
        <v/>
      </c>
      <c r="O91" s="6" t="str">
        <f>IF(IF(ISNUMBER(K90),1,0)+IF(ISNUMBER(Table4463[[#This Row],[Post Total]]),1,0)=2,IF(IF(Table4463[[#This Row],[Student Number]]=C90,1,0)+IF(Table4463[[#This Row],[Session]]=B90,1,0)+IF(Table4463[[#This Row],[Pre or Post]]="Post",1,0)+IF(D90="Pre",1,0)=4,Table4463[[#This Row],[Post Total]]-K90,""),"")</f>
        <v/>
      </c>
      <c r="P91" s="5" t="b">
        <f>ISNUMBER(Table4463[[#This Row],[Change]])</f>
        <v>0</v>
      </c>
      <c r="Q91" s="5" t="str">
        <f>IF(E90="Male",Table4463[[#This Row],[Change]],"")</f>
        <v/>
      </c>
      <c r="R91" s="5" t="str">
        <f>IF(E90="Female",Table4463[[#This Row],[Change]],"")</f>
        <v/>
      </c>
      <c r="S91" s="5" t="b">
        <f>ISNUMBER(Table4463[[#This Row],[If Male]])</f>
        <v>0</v>
      </c>
      <c r="T91" s="5" t="b">
        <f>ISNUMBER(Table4463[[#This Row],[If Female]])</f>
        <v>0</v>
      </c>
    </row>
    <row r="92" spans="1:20">
      <c r="A92" s="1" t="s">
        <v>12</v>
      </c>
      <c r="B92" s="1" t="s">
        <v>10</v>
      </c>
      <c r="C92" s="1">
        <v>11</v>
      </c>
      <c r="D92" s="1" t="s">
        <v>6</v>
      </c>
      <c r="E92" s="5" t="s">
        <v>7</v>
      </c>
      <c r="F92" s="1">
        <v>9</v>
      </c>
      <c r="G92" s="1">
        <v>2</v>
      </c>
      <c r="H92" s="2"/>
      <c r="I92" s="5">
        <f>IF(IF(Table4463[[#This Row],[Pre or Post]]="Pre",1,0)+IF(ISNUMBER(Table4463[[#This Row],[Response]])=TRUE,1,0)=2,1,"")</f>
        <v>1</v>
      </c>
      <c r="J92" s="5" t="str">
        <f>IF(IF(Table4463[[#This Row],[Pre or Post]]="Post",1,0)+IF(ISNUMBER(Table4463[[#This Row],[Response]])=TRUE,1,0)=2,1,"")</f>
        <v/>
      </c>
      <c r="K92" s="5"/>
      <c r="L92" s="5" t="str">
        <f>IF(IF(Table4463[[#This Row],[Pre or Post]]="Post",1,0)+IF(ISNUMBER(Table4463[[#This Row],[Response]])=TRUE,1,0)=2,Table4463[[#This Row],[Response]],"")</f>
        <v/>
      </c>
      <c r="M92" s="6" t="str">
        <f>IF(IF(ISNUMBER(K92),1,0)+IF(ISNUMBER(L93),1,0)=2,IF(IF(C93=C92,1,0)+IF(B93=B92,1,0)+IF(D93="Post",1,0)+IF(D92="Pre",1,0)=4,Table4463[[#This Row],[Pre Total]],""),"")</f>
        <v/>
      </c>
      <c r="N92" s="6" t="str">
        <f>IF(IF(ISNUMBER(K91),1,0)+IF(ISNUMBER(Table4463[[#This Row],[Post Total]]),1,0)=2,IF(IF(Table4463[[#This Row],[Student Number]]=C91,1,0)+IF(Table4463[[#This Row],[Session]]=B91,1,0)+IF(Table4463[[#This Row],[Pre or Post]]="Post",1,0)+IF(D91="Pre",1,0)=4,Table4463[[#This Row],[Post Total]],""),"")</f>
        <v/>
      </c>
      <c r="O92" s="6" t="str">
        <f>IF(IF(ISNUMBER(K91),1,0)+IF(ISNUMBER(Table4463[[#This Row],[Post Total]]),1,0)=2,IF(IF(Table4463[[#This Row],[Student Number]]=C91,1,0)+IF(Table4463[[#This Row],[Session]]=B91,1,0)+IF(Table4463[[#This Row],[Pre or Post]]="Post",1,0)+IF(D91="Pre",1,0)=4,Table4463[[#This Row],[Post Total]]-K91,""),"")</f>
        <v/>
      </c>
      <c r="P92" s="5" t="b">
        <f>ISNUMBER(Table4463[[#This Row],[Change]])</f>
        <v>0</v>
      </c>
      <c r="Q92" s="5" t="str">
        <f>IF(E91="Male",Table4463[[#This Row],[Change]],"")</f>
        <v/>
      </c>
      <c r="R92" s="5" t="str">
        <f>IF(E91="Female",Table4463[[#This Row],[Change]],"")</f>
        <v/>
      </c>
      <c r="S92" s="5" t="b">
        <f>ISNUMBER(Table4463[[#This Row],[If Male]])</f>
        <v>0</v>
      </c>
      <c r="T92" s="5" t="b">
        <f>ISNUMBER(Table4463[[#This Row],[If Female]])</f>
        <v>0</v>
      </c>
    </row>
    <row r="93" spans="1:20">
      <c r="A93" s="1" t="s">
        <v>12</v>
      </c>
      <c r="B93" s="1" t="s">
        <v>10</v>
      </c>
      <c r="C93" s="1">
        <v>11</v>
      </c>
      <c r="D93" s="1" t="s">
        <v>16</v>
      </c>
      <c r="E93" s="5" t="s">
        <v>171</v>
      </c>
      <c r="F93" s="1">
        <v>2</v>
      </c>
      <c r="G93" s="1">
        <v>2</v>
      </c>
      <c r="H93" s="2"/>
      <c r="I93" s="5" t="str">
        <f>IF(IF(Table4463[[#This Row],[Pre or Post]]="Pre",1,0)+IF(ISNUMBER(Table4463[[#This Row],[Response]])=TRUE,1,0)=2,1,"")</f>
        <v/>
      </c>
      <c r="J93" s="5">
        <f>IF(IF(Table4463[[#This Row],[Pre or Post]]="Post",1,0)+IF(ISNUMBER(Table4463[[#This Row],[Response]])=TRUE,1,0)=2,1,"")</f>
        <v>1</v>
      </c>
      <c r="K93" s="5" t="str">
        <f>IF(IF(Table4463[[#This Row],[Pre or Post]]="Pre",1,0)+IF(ISNUMBER(Table4463[[#This Row],[Response]])=TRUE,1,0)=2,Table4463[[#This Row],[Response]],"")</f>
        <v/>
      </c>
      <c r="L93" s="5">
        <f>IF(IF(Table4463[[#This Row],[Pre or Post]]="Post",1,0)+IF(ISNUMBER(Table4463[[#This Row],[Response]])=TRUE,1,0)=2,Table4463[[#This Row],[Response]],"")</f>
        <v>2</v>
      </c>
      <c r="M93" s="6" t="str">
        <f>IF(IF(ISNUMBER(K93),1,0)+IF(ISNUMBER(L94),1,0)=2,IF(IF(C94=C93,1,0)+IF(B94=B93,1,0)+IF(D94="Post",1,0)+IF(D93="Pre",1,0)=4,Table4463[[#This Row],[Pre Total]],""),"")</f>
        <v/>
      </c>
      <c r="N93" s="6" t="str">
        <f>IF(IF(ISNUMBER(K92),1,0)+IF(ISNUMBER(Table4463[[#This Row],[Post Total]]),1,0)=2,IF(IF(Table4463[[#This Row],[Student Number]]=C92,1,0)+IF(Table4463[[#This Row],[Session]]=B92,1,0)+IF(Table4463[[#This Row],[Pre or Post]]="Post",1,0)+IF(D92="Pre",1,0)=4,Table4463[[#This Row],[Post Total]],""),"")</f>
        <v/>
      </c>
      <c r="O93" s="6" t="str">
        <f>IF(IF(ISNUMBER(K92),1,0)+IF(ISNUMBER(Table4463[[#This Row],[Post Total]]),1,0)=2,IF(IF(Table4463[[#This Row],[Student Number]]=C92,1,0)+IF(Table4463[[#This Row],[Session]]=B92,1,0)+IF(Table4463[[#This Row],[Pre or Post]]="Post",1,0)+IF(D92="Pre",1,0)=4,Table4463[[#This Row],[Post Total]]-K92,""),"")</f>
        <v/>
      </c>
      <c r="P93" s="5" t="b">
        <f>ISNUMBER(Table4463[[#This Row],[Change]])</f>
        <v>0</v>
      </c>
      <c r="Q93" s="5" t="str">
        <f>IF(E92="Male",Table4463[[#This Row],[Change]],"")</f>
        <v/>
      </c>
      <c r="R93" s="5" t="str">
        <f>IF(E92="Female",Table4463[[#This Row],[Change]],"")</f>
        <v/>
      </c>
      <c r="S93" s="5" t="b">
        <f>ISNUMBER(Table4463[[#This Row],[If Male]])</f>
        <v>0</v>
      </c>
      <c r="T93" s="5" t="b">
        <f>ISNUMBER(Table4463[[#This Row],[If Female]])</f>
        <v>0</v>
      </c>
    </row>
    <row r="94" spans="1:20">
      <c r="A94" s="1" t="s">
        <v>12</v>
      </c>
      <c r="B94" s="1" t="s">
        <v>10</v>
      </c>
      <c r="C94" s="1">
        <v>12</v>
      </c>
      <c r="D94" s="1" t="s">
        <v>6</v>
      </c>
      <c r="E94" s="5" t="s">
        <v>13</v>
      </c>
      <c r="F94" s="1">
        <v>9</v>
      </c>
      <c r="G94" s="1">
        <v>4</v>
      </c>
      <c r="H94" s="2"/>
      <c r="I94" s="5">
        <f>IF(IF(Table4463[[#This Row],[Pre or Post]]="Pre",1,0)+IF(ISNUMBER(Table4463[[#This Row],[Response]])=TRUE,1,0)=2,1,"")</f>
        <v>1</v>
      </c>
      <c r="J94" s="5" t="str">
        <f>IF(IF(Table4463[[#This Row],[Pre or Post]]="Post",1,0)+IF(ISNUMBER(Table4463[[#This Row],[Response]])=TRUE,1,0)=2,1,"")</f>
        <v/>
      </c>
      <c r="K94" s="5"/>
      <c r="L94" s="5" t="str">
        <f>IF(IF(Table4463[[#This Row],[Pre or Post]]="Post",1,0)+IF(ISNUMBER(Table4463[[#This Row],[Response]])=TRUE,1,0)=2,Table4463[[#This Row],[Response]],"")</f>
        <v/>
      </c>
      <c r="M94" s="6" t="str">
        <f>IF(IF(ISNUMBER(K94),1,0)+IF(ISNUMBER(L95),1,0)=2,IF(IF(C95=C94,1,0)+IF(B95=B94,1,0)+IF(D95="Post",1,0)+IF(D94="Pre",1,0)=4,Table4463[[#This Row],[Pre Total]],""),"")</f>
        <v/>
      </c>
      <c r="N94" s="6" t="str">
        <f>IF(IF(ISNUMBER(K93),1,0)+IF(ISNUMBER(Table4463[[#This Row],[Post Total]]),1,0)=2,IF(IF(Table4463[[#This Row],[Student Number]]=C93,1,0)+IF(Table4463[[#This Row],[Session]]=B93,1,0)+IF(Table4463[[#This Row],[Pre or Post]]="Post",1,0)+IF(D93="Pre",1,0)=4,Table4463[[#This Row],[Post Total]],""),"")</f>
        <v/>
      </c>
      <c r="O94" s="6" t="str">
        <f>IF(IF(ISNUMBER(K93),1,0)+IF(ISNUMBER(Table4463[[#This Row],[Post Total]]),1,0)=2,IF(IF(Table4463[[#This Row],[Student Number]]=C93,1,0)+IF(Table4463[[#This Row],[Session]]=B93,1,0)+IF(Table4463[[#This Row],[Pre or Post]]="Post",1,0)+IF(D93="Pre",1,0)=4,Table4463[[#This Row],[Post Total]]-K93,""),"")</f>
        <v/>
      </c>
      <c r="P94" s="5" t="b">
        <f>ISNUMBER(Table4463[[#This Row],[Change]])</f>
        <v>0</v>
      </c>
      <c r="Q94" s="5" t="str">
        <f>IF(E93="Male",Table4463[[#This Row],[Change]],"")</f>
        <v/>
      </c>
      <c r="R94" s="5" t="str">
        <f>IF(E93="Female",Table4463[[#This Row],[Change]],"")</f>
        <v/>
      </c>
      <c r="S94" s="5" t="b">
        <f>ISNUMBER(Table4463[[#This Row],[If Male]])</f>
        <v>0</v>
      </c>
      <c r="T94" s="5" t="b">
        <f>ISNUMBER(Table4463[[#This Row],[If Female]])</f>
        <v>0</v>
      </c>
    </row>
    <row r="95" spans="1:20">
      <c r="A95" s="1" t="s">
        <v>12</v>
      </c>
      <c r="B95" s="1" t="s">
        <v>10</v>
      </c>
      <c r="C95" s="1">
        <v>12</v>
      </c>
      <c r="D95" s="1" t="s">
        <v>16</v>
      </c>
      <c r="E95" s="5" t="s">
        <v>171</v>
      </c>
      <c r="F95" s="1">
        <v>2</v>
      </c>
      <c r="G95" s="1">
        <v>5</v>
      </c>
      <c r="H95" s="2"/>
      <c r="I95" s="5" t="str">
        <f>IF(IF(Table4463[[#This Row],[Pre or Post]]="Pre",1,0)+IF(ISNUMBER(Table4463[[#This Row],[Response]])=TRUE,1,0)=2,1,"")</f>
        <v/>
      </c>
      <c r="J95" s="5">
        <f>IF(IF(Table4463[[#This Row],[Pre or Post]]="Post",1,0)+IF(ISNUMBER(Table4463[[#This Row],[Response]])=TRUE,1,0)=2,1,"")</f>
        <v>1</v>
      </c>
      <c r="K95" s="5" t="str">
        <f>IF(IF(Table4463[[#This Row],[Pre or Post]]="Pre",1,0)+IF(ISNUMBER(Table4463[[#This Row],[Response]])=TRUE,1,0)=2,Table4463[[#This Row],[Response]],"")</f>
        <v/>
      </c>
      <c r="L95" s="5">
        <f>IF(IF(Table4463[[#This Row],[Pre or Post]]="Post",1,0)+IF(ISNUMBER(Table4463[[#This Row],[Response]])=TRUE,1,0)=2,Table4463[[#This Row],[Response]],"")</f>
        <v>5</v>
      </c>
      <c r="M95" s="6" t="str">
        <f>IF(IF(ISNUMBER(K95),1,0)+IF(ISNUMBER(L96),1,0)=2,IF(IF(C96=C95,1,0)+IF(B96=B95,1,0)+IF(D96="Post",1,0)+IF(D95="Pre",1,0)=4,Table4463[[#This Row],[Pre Total]],""),"")</f>
        <v/>
      </c>
      <c r="N95" s="6" t="str">
        <f>IF(IF(ISNUMBER(K94),1,0)+IF(ISNUMBER(Table4463[[#This Row],[Post Total]]),1,0)=2,IF(IF(Table4463[[#This Row],[Student Number]]=C94,1,0)+IF(Table4463[[#This Row],[Session]]=B94,1,0)+IF(Table4463[[#This Row],[Pre or Post]]="Post",1,0)+IF(D94="Pre",1,0)=4,Table4463[[#This Row],[Post Total]],""),"")</f>
        <v/>
      </c>
      <c r="O95" s="6" t="str">
        <f>IF(IF(ISNUMBER(K94),1,0)+IF(ISNUMBER(Table4463[[#This Row],[Post Total]]),1,0)=2,IF(IF(Table4463[[#This Row],[Student Number]]=C94,1,0)+IF(Table4463[[#This Row],[Session]]=B94,1,0)+IF(Table4463[[#This Row],[Pre or Post]]="Post",1,0)+IF(D94="Pre",1,0)=4,Table4463[[#This Row],[Post Total]]-K94,""),"")</f>
        <v/>
      </c>
      <c r="P95" s="5" t="b">
        <f>ISNUMBER(Table4463[[#This Row],[Change]])</f>
        <v>0</v>
      </c>
      <c r="Q95" s="5" t="str">
        <f>IF(E94="Male",Table4463[[#This Row],[Change]],"")</f>
        <v/>
      </c>
      <c r="R95" s="5" t="str">
        <f>IF(E94="Female",Table4463[[#This Row],[Change]],"")</f>
        <v/>
      </c>
      <c r="S95" s="5" t="b">
        <f>ISNUMBER(Table4463[[#This Row],[If Male]])</f>
        <v>0</v>
      </c>
      <c r="T95" s="5" t="b">
        <f>ISNUMBER(Table4463[[#This Row],[If Female]])</f>
        <v>0</v>
      </c>
    </row>
    <row r="96" spans="1:20">
      <c r="A96" s="1" t="s">
        <v>12</v>
      </c>
      <c r="B96" s="1" t="s">
        <v>10</v>
      </c>
      <c r="C96" s="1">
        <v>13</v>
      </c>
      <c r="D96" s="1" t="s">
        <v>6</v>
      </c>
      <c r="E96" s="5" t="s">
        <v>7</v>
      </c>
      <c r="F96" s="1">
        <v>9</v>
      </c>
      <c r="G96" s="1">
        <v>3</v>
      </c>
      <c r="H96" s="2"/>
      <c r="I96" s="5">
        <f>IF(IF(Table4463[[#This Row],[Pre or Post]]="Pre",1,0)+IF(ISNUMBER(Table4463[[#This Row],[Response]])=TRUE,1,0)=2,1,"")</f>
        <v>1</v>
      </c>
      <c r="J96" s="5" t="str">
        <f>IF(IF(Table4463[[#This Row],[Pre or Post]]="Post",1,0)+IF(ISNUMBER(Table4463[[#This Row],[Response]])=TRUE,1,0)=2,1,"")</f>
        <v/>
      </c>
      <c r="K96" s="5"/>
      <c r="L96" s="5" t="str">
        <f>IF(IF(Table4463[[#This Row],[Pre or Post]]="Post",1,0)+IF(ISNUMBER(Table4463[[#This Row],[Response]])=TRUE,1,0)=2,Table4463[[#This Row],[Response]],"")</f>
        <v/>
      </c>
      <c r="M96" s="6" t="str">
        <f>IF(IF(ISNUMBER(K96),1,0)+IF(ISNUMBER(L97),1,0)=2,IF(IF(C97=C96,1,0)+IF(B97=B96,1,0)+IF(D97="Post",1,0)+IF(D96="Pre",1,0)=4,Table4463[[#This Row],[Pre Total]],""),"")</f>
        <v/>
      </c>
      <c r="N96" s="6" t="str">
        <f>IF(IF(ISNUMBER(K95),1,0)+IF(ISNUMBER(Table4463[[#This Row],[Post Total]]),1,0)=2,IF(IF(Table4463[[#This Row],[Student Number]]=C95,1,0)+IF(Table4463[[#This Row],[Session]]=B95,1,0)+IF(Table4463[[#This Row],[Pre or Post]]="Post",1,0)+IF(D95="Pre",1,0)=4,Table4463[[#This Row],[Post Total]],""),"")</f>
        <v/>
      </c>
      <c r="O96" s="6" t="str">
        <f>IF(IF(ISNUMBER(K95),1,0)+IF(ISNUMBER(Table4463[[#This Row],[Post Total]]),1,0)=2,IF(IF(Table4463[[#This Row],[Student Number]]=C95,1,0)+IF(Table4463[[#This Row],[Session]]=B95,1,0)+IF(Table4463[[#This Row],[Pre or Post]]="Post",1,0)+IF(D95="Pre",1,0)=4,Table4463[[#This Row],[Post Total]]-K95,""),"")</f>
        <v/>
      </c>
      <c r="P96" s="5" t="b">
        <f>ISNUMBER(Table4463[[#This Row],[Change]])</f>
        <v>0</v>
      </c>
      <c r="Q96" s="5" t="str">
        <f>IF(E95="Male",Table4463[[#This Row],[Change]],"")</f>
        <v/>
      </c>
      <c r="R96" s="5" t="str">
        <f>IF(E95="Female",Table4463[[#This Row],[Change]],"")</f>
        <v/>
      </c>
      <c r="S96" s="5" t="b">
        <f>ISNUMBER(Table4463[[#This Row],[If Male]])</f>
        <v>0</v>
      </c>
      <c r="T96" s="5" t="b">
        <f>ISNUMBER(Table4463[[#This Row],[If Female]])</f>
        <v>0</v>
      </c>
    </row>
    <row r="97" spans="1:20">
      <c r="A97" s="1" t="s">
        <v>12</v>
      </c>
      <c r="B97" s="1" t="s">
        <v>10</v>
      </c>
      <c r="C97" s="1">
        <v>13</v>
      </c>
      <c r="D97" s="1" t="s">
        <v>16</v>
      </c>
      <c r="E97" s="5" t="s">
        <v>171</v>
      </c>
      <c r="F97" s="1">
        <v>2</v>
      </c>
      <c r="G97" s="1">
        <v>4</v>
      </c>
      <c r="H97" s="2"/>
      <c r="I97" s="5" t="str">
        <f>IF(IF(Table4463[[#This Row],[Pre or Post]]="Pre",1,0)+IF(ISNUMBER(Table4463[[#This Row],[Response]])=TRUE,1,0)=2,1,"")</f>
        <v/>
      </c>
      <c r="J97" s="5">
        <f>IF(IF(Table4463[[#This Row],[Pre or Post]]="Post",1,0)+IF(ISNUMBER(Table4463[[#This Row],[Response]])=TRUE,1,0)=2,1,"")</f>
        <v>1</v>
      </c>
      <c r="K97" s="5" t="str">
        <f>IF(IF(Table4463[[#This Row],[Pre or Post]]="Pre",1,0)+IF(ISNUMBER(Table4463[[#This Row],[Response]])=TRUE,1,0)=2,Table4463[[#This Row],[Response]],"")</f>
        <v/>
      </c>
      <c r="L97" s="5">
        <f>IF(IF(Table4463[[#This Row],[Pre or Post]]="Post",1,0)+IF(ISNUMBER(Table4463[[#This Row],[Response]])=TRUE,1,0)=2,Table4463[[#This Row],[Response]],"")</f>
        <v>4</v>
      </c>
      <c r="M97" s="6" t="str">
        <f>IF(IF(ISNUMBER(K97),1,0)+IF(ISNUMBER(L98),1,0)=2,IF(IF(C98=C97,1,0)+IF(B98=B97,1,0)+IF(D98="Post",1,0)+IF(D97="Pre",1,0)=4,Table4463[[#This Row],[Pre Total]],""),"")</f>
        <v/>
      </c>
      <c r="N97" s="6" t="str">
        <f>IF(IF(ISNUMBER(K96),1,0)+IF(ISNUMBER(Table4463[[#This Row],[Post Total]]),1,0)=2,IF(IF(Table4463[[#This Row],[Student Number]]=C96,1,0)+IF(Table4463[[#This Row],[Session]]=B96,1,0)+IF(Table4463[[#This Row],[Pre or Post]]="Post",1,0)+IF(D96="Pre",1,0)=4,Table4463[[#This Row],[Post Total]],""),"")</f>
        <v/>
      </c>
      <c r="O97" s="6" t="str">
        <f>IF(IF(ISNUMBER(K96),1,0)+IF(ISNUMBER(Table4463[[#This Row],[Post Total]]),1,0)=2,IF(IF(Table4463[[#This Row],[Student Number]]=C96,1,0)+IF(Table4463[[#This Row],[Session]]=B96,1,0)+IF(Table4463[[#This Row],[Pre or Post]]="Post",1,0)+IF(D96="Pre",1,0)=4,Table4463[[#This Row],[Post Total]]-K96,""),"")</f>
        <v/>
      </c>
      <c r="P97" s="5" t="b">
        <f>ISNUMBER(Table4463[[#This Row],[Change]])</f>
        <v>0</v>
      </c>
      <c r="Q97" s="5" t="str">
        <f>IF(E96="Male",Table4463[[#This Row],[Change]],"")</f>
        <v/>
      </c>
      <c r="R97" s="5" t="str">
        <f>IF(E96="Female",Table4463[[#This Row],[Change]],"")</f>
        <v/>
      </c>
      <c r="S97" s="5" t="b">
        <f>ISNUMBER(Table4463[[#This Row],[If Male]])</f>
        <v>0</v>
      </c>
      <c r="T97" s="5" t="b">
        <f>ISNUMBER(Table4463[[#This Row],[If Female]])</f>
        <v>0</v>
      </c>
    </row>
    <row r="98" spans="1:20">
      <c r="A98" s="1" t="s">
        <v>12</v>
      </c>
      <c r="B98" s="1" t="s">
        <v>10</v>
      </c>
      <c r="C98" s="1">
        <v>14</v>
      </c>
      <c r="D98" s="1" t="s">
        <v>6</v>
      </c>
      <c r="E98" s="5" t="s">
        <v>13</v>
      </c>
      <c r="F98" s="1">
        <v>9</v>
      </c>
      <c r="G98" s="1">
        <v>4</v>
      </c>
      <c r="H98" s="2"/>
      <c r="I98" s="5">
        <f>IF(IF(Table4463[[#This Row],[Pre or Post]]="Pre",1,0)+IF(ISNUMBER(Table4463[[#This Row],[Response]])=TRUE,1,0)=2,1,"")</f>
        <v>1</v>
      </c>
      <c r="J98" s="5" t="str">
        <f>IF(IF(Table4463[[#This Row],[Pre or Post]]="Post",1,0)+IF(ISNUMBER(Table4463[[#This Row],[Response]])=TRUE,1,0)=2,1,"")</f>
        <v/>
      </c>
      <c r="K98" s="5"/>
      <c r="L98" s="5" t="str">
        <f>IF(IF(Table4463[[#This Row],[Pre or Post]]="Post",1,0)+IF(ISNUMBER(Table4463[[#This Row],[Response]])=TRUE,1,0)=2,Table4463[[#This Row],[Response]],"")</f>
        <v/>
      </c>
      <c r="M98" s="6" t="str">
        <f>IF(IF(ISNUMBER(K98),1,0)+IF(ISNUMBER(L99),1,0)=2,IF(IF(C99=C98,1,0)+IF(B99=B98,1,0)+IF(D99="Post",1,0)+IF(D98="Pre",1,0)=4,Table4463[[#This Row],[Pre Total]],""),"")</f>
        <v/>
      </c>
      <c r="N98" s="6" t="str">
        <f>IF(IF(ISNUMBER(K97),1,0)+IF(ISNUMBER(Table4463[[#This Row],[Post Total]]),1,0)=2,IF(IF(Table4463[[#This Row],[Student Number]]=C97,1,0)+IF(Table4463[[#This Row],[Session]]=B97,1,0)+IF(Table4463[[#This Row],[Pre or Post]]="Post",1,0)+IF(D97="Pre",1,0)=4,Table4463[[#This Row],[Post Total]],""),"")</f>
        <v/>
      </c>
      <c r="O98" s="6" t="str">
        <f>IF(IF(ISNUMBER(K97),1,0)+IF(ISNUMBER(Table4463[[#This Row],[Post Total]]),1,0)=2,IF(IF(Table4463[[#This Row],[Student Number]]=C97,1,0)+IF(Table4463[[#This Row],[Session]]=B97,1,0)+IF(Table4463[[#This Row],[Pre or Post]]="Post",1,0)+IF(D97="Pre",1,0)=4,Table4463[[#This Row],[Post Total]]-K97,""),"")</f>
        <v/>
      </c>
      <c r="P98" s="5" t="b">
        <f>ISNUMBER(Table4463[[#This Row],[Change]])</f>
        <v>0</v>
      </c>
      <c r="Q98" s="5" t="str">
        <f>IF(E97="Male",Table4463[[#This Row],[Change]],"")</f>
        <v/>
      </c>
      <c r="R98" s="5" t="str">
        <f>IF(E97="Female",Table4463[[#This Row],[Change]],"")</f>
        <v/>
      </c>
      <c r="S98" s="5" t="b">
        <f>ISNUMBER(Table4463[[#This Row],[If Male]])</f>
        <v>0</v>
      </c>
      <c r="T98" s="5" t="b">
        <f>ISNUMBER(Table4463[[#This Row],[If Female]])</f>
        <v>0</v>
      </c>
    </row>
    <row r="99" spans="1:20">
      <c r="A99" s="1" t="s">
        <v>12</v>
      </c>
      <c r="B99" s="1" t="s">
        <v>10</v>
      </c>
      <c r="C99" s="1">
        <v>14</v>
      </c>
      <c r="D99" s="1" t="s">
        <v>16</v>
      </c>
      <c r="E99" s="5" t="s">
        <v>171</v>
      </c>
      <c r="F99" s="1">
        <v>2</v>
      </c>
      <c r="G99" s="1">
        <v>4</v>
      </c>
      <c r="H99" s="2"/>
      <c r="I99" s="5" t="str">
        <f>IF(IF(Table4463[[#This Row],[Pre or Post]]="Pre",1,0)+IF(ISNUMBER(Table4463[[#This Row],[Response]])=TRUE,1,0)=2,1,"")</f>
        <v/>
      </c>
      <c r="J99" s="5">
        <f>IF(IF(Table4463[[#This Row],[Pre or Post]]="Post",1,0)+IF(ISNUMBER(Table4463[[#This Row],[Response]])=TRUE,1,0)=2,1,"")</f>
        <v>1</v>
      </c>
      <c r="K99" s="5" t="str">
        <f>IF(IF(Table4463[[#This Row],[Pre or Post]]="Pre",1,0)+IF(ISNUMBER(Table4463[[#This Row],[Response]])=TRUE,1,0)=2,Table4463[[#This Row],[Response]],"")</f>
        <v/>
      </c>
      <c r="L99" s="5">
        <f>IF(IF(Table4463[[#This Row],[Pre or Post]]="Post",1,0)+IF(ISNUMBER(Table4463[[#This Row],[Response]])=TRUE,1,0)=2,Table4463[[#This Row],[Response]],"")</f>
        <v>4</v>
      </c>
      <c r="M99" s="6" t="str">
        <f>IF(IF(ISNUMBER(K99),1,0)+IF(ISNUMBER(L100),1,0)=2,IF(IF(C100=C99,1,0)+IF(B100=B99,1,0)+IF(D100="Post",1,0)+IF(D99="Pre",1,0)=4,Table4463[[#This Row],[Pre Total]],""),"")</f>
        <v/>
      </c>
      <c r="N99" s="6" t="str">
        <f>IF(IF(ISNUMBER(K98),1,0)+IF(ISNUMBER(Table4463[[#This Row],[Post Total]]),1,0)=2,IF(IF(Table4463[[#This Row],[Student Number]]=C98,1,0)+IF(Table4463[[#This Row],[Session]]=B98,1,0)+IF(Table4463[[#This Row],[Pre or Post]]="Post",1,0)+IF(D98="Pre",1,0)=4,Table4463[[#This Row],[Post Total]],""),"")</f>
        <v/>
      </c>
      <c r="O99" s="6" t="str">
        <f>IF(IF(ISNUMBER(K98),1,0)+IF(ISNUMBER(Table4463[[#This Row],[Post Total]]),1,0)=2,IF(IF(Table4463[[#This Row],[Student Number]]=C98,1,0)+IF(Table4463[[#This Row],[Session]]=B98,1,0)+IF(Table4463[[#This Row],[Pre or Post]]="Post",1,0)+IF(D98="Pre",1,0)=4,Table4463[[#This Row],[Post Total]]-K98,""),"")</f>
        <v/>
      </c>
      <c r="P99" s="5" t="b">
        <f>ISNUMBER(Table4463[[#This Row],[Change]])</f>
        <v>0</v>
      </c>
      <c r="Q99" s="5" t="str">
        <f>IF(E98="Male",Table4463[[#This Row],[Change]],"")</f>
        <v/>
      </c>
      <c r="R99" s="5" t="str">
        <f>IF(E98="Female",Table4463[[#This Row],[Change]],"")</f>
        <v/>
      </c>
      <c r="S99" s="5" t="b">
        <f>ISNUMBER(Table4463[[#This Row],[If Male]])</f>
        <v>0</v>
      </c>
      <c r="T99" s="5" t="b">
        <f>ISNUMBER(Table4463[[#This Row],[If Female]])</f>
        <v>0</v>
      </c>
    </row>
    <row r="100" spans="1:20">
      <c r="A100" s="1" t="s">
        <v>12</v>
      </c>
      <c r="B100" s="1" t="s">
        <v>10</v>
      </c>
      <c r="C100" s="1">
        <v>15</v>
      </c>
      <c r="D100" s="1" t="s">
        <v>6</v>
      </c>
      <c r="E100" s="5" t="s">
        <v>7</v>
      </c>
      <c r="F100" s="1">
        <v>9</v>
      </c>
      <c r="G100" s="1">
        <v>3</v>
      </c>
      <c r="H100" s="2"/>
      <c r="I100" s="5">
        <f>IF(IF(Table4463[[#This Row],[Pre or Post]]="Pre",1,0)+IF(ISNUMBER(Table4463[[#This Row],[Response]])=TRUE,1,0)=2,1,"")</f>
        <v>1</v>
      </c>
      <c r="J100" s="5" t="str">
        <f>IF(IF(Table4463[[#This Row],[Pre or Post]]="Post",1,0)+IF(ISNUMBER(Table4463[[#This Row],[Response]])=TRUE,1,0)=2,1,"")</f>
        <v/>
      </c>
      <c r="K100" s="5">
        <f>IF(IF(Table4463[[#This Row],[Pre or Post]]="Pre",1,0)+IF(ISNUMBER(Table4463[[#This Row],[Response]])=TRUE,1,0)=2,Table4463[[#This Row],[Response]],"")</f>
        <v>3</v>
      </c>
      <c r="L100" s="5" t="str">
        <f>IF(IF(Table4463[[#This Row],[Pre or Post]]="Post",1,0)+IF(ISNUMBER(Table4463[[#This Row],[Response]])=TRUE,1,0)=2,Table4463[[#This Row],[Response]],"")</f>
        <v/>
      </c>
      <c r="M100" s="6">
        <f>IF(IF(ISNUMBER(K100),1,0)+IF(ISNUMBER(L101),1,0)=2,IF(IF(C101=C100,1,0)+IF(B101=B100,1,0)+IF(D101="Post",1,0)+IF(D100="Pre",1,0)=4,Table4463[[#This Row],[Pre Total]],""),"")</f>
        <v>3</v>
      </c>
      <c r="N100" s="6" t="str">
        <f>IF(IF(ISNUMBER(K99),1,0)+IF(ISNUMBER(Table4463[[#This Row],[Post Total]]),1,0)=2,IF(IF(Table4463[[#This Row],[Student Number]]=C99,1,0)+IF(Table4463[[#This Row],[Session]]=B99,1,0)+IF(Table4463[[#This Row],[Pre or Post]]="Post",1,0)+IF(D99="Pre",1,0)=4,Table4463[[#This Row],[Post Total]],""),"")</f>
        <v/>
      </c>
      <c r="O100" s="6" t="str">
        <f>IF(IF(ISNUMBER(K99),1,0)+IF(ISNUMBER(Table4463[[#This Row],[Post Total]]),1,0)=2,IF(IF(Table4463[[#This Row],[Student Number]]=C99,1,0)+IF(Table4463[[#This Row],[Session]]=B99,1,0)+IF(Table4463[[#This Row],[Pre or Post]]="Post",1,0)+IF(D99="Pre",1,0)=4,Table4463[[#This Row],[Post Total]]-K99,""),"")</f>
        <v/>
      </c>
      <c r="P100" s="5" t="b">
        <f>ISNUMBER(Table4463[[#This Row],[Change]])</f>
        <v>0</v>
      </c>
      <c r="Q100" s="5" t="str">
        <f>IF(E99="Male",Table4463[[#This Row],[Change]],"")</f>
        <v/>
      </c>
      <c r="R100" s="5" t="str">
        <f>IF(E99="Female",Table4463[[#This Row],[Change]],"")</f>
        <v/>
      </c>
      <c r="S100" s="5" t="b">
        <f>ISNUMBER(Table4463[[#This Row],[If Male]])</f>
        <v>0</v>
      </c>
      <c r="T100" s="5" t="b">
        <f>ISNUMBER(Table4463[[#This Row],[If Female]])</f>
        <v>0</v>
      </c>
    </row>
    <row r="101" spans="1:20">
      <c r="A101" s="1" t="s">
        <v>12</v>
      </c>
      <c r="B101" s="1" t="s">
        <v>10</v>
      </c>
      <c r="C101" s="1">
        <v>15</v>
      </c>
      <c r="D101" s="1" t="s">
        <v>16</v>
      </c>
      <c r="E101" s="5" t="s">
        <v>171</v>
      </c>
      <c r="F101" s="1">
        <v>2</v>
      </c>
      <c r="G101" s="1">
        <v>2</v>
      </c>
      <c r="H101" s="2"/>
      <c r="I101" s="5" t="str">
        <f>IF(IF(Table4463[[#This Row],[Pre or Post]]="Pre",1,0)+IF(ISNUMBER(Table4463[[#This Row],[Response]])=TRUE,1,0)=2,1,"")</f>
        <v/>
      </c>
      <c r="J101" s="5">
        <f>IF(IF(Table4463[[#This Row],[Pre or Post]]="Post",1,0)+IF(ISNUMBER(Table4463[[#This Row],[Response]])=TRUE,1,0)=2,1,"")</f>
        <v>1</v>
      </c>
      <c r="K101" s="5" t="str">
        <f>IF(IF(Table4463[[#This Row],[Pre or Post]]="Pre",1,0)+IF(ISNUMBER(Table4463[[#This Row],[Response]])=TRUE,1,0)=2,Table4463[[#This Row],[Response]],"")</f>
        <v/>
      </c>
      <c r="L101" s="5">
        <f>IF(IF(Table4463[[#This Row],[Pre or Post]]="Post",1,0)+IF(ISNUMBER(Table4463[[#This Row],[Response]])=TRUE,1,0)=2,Table4463[[#This Row],[Response]],"")</f>
        <v>2</v>
      </c>
      <c r="M101" s="6" t="str">
        <f>IF(IF(ISNUMBER(K101),1,0)+IF(ISNUMBER(L102),1,0)=2,IF(IF(C102=C101,1,0)+IF(B102=B101,1,0)+IF(D102="Post",1,0)+IF(D101="Pre",1,0)=4,Table4463[[#This Row],[Pre Total]],""),"")</f>
        <v/>
      </c>
      <c r="N101" s="6">
        <f>IF(IF(ISNUMBER(K100),1,0)+IF(ISNUMBER(Table4463[[#This Row],[Post Total]]),1,0)=2,IF(IF(Table4463[[#This Row],[Student Number]]=C100,1,0)+IF(Table4463[[#This Row],[Session]]=B100,1,0)+IF(Table4463[[#This Row],[Pre or Post]]="Post",1,0)+IF(D100="Pre",1,0)=4,Table4463[[#This Row],[Post Total]],""),"")</f>
        <v>2</v>
      </c>
      <c r="O101" s="6">
        <f>IF(IF(ISNUMBER(K100),1,0)+IF(ISNUMBER(Table4463[[#This Row],[Post Total]]),1,0)=2,IF(IF(Table4463[[#This Row],[Student Number]]=C100,1,0)+IF(Table4463[[#This Row],[Session]]=B100,1,0)+IF(Table4463[[#This Row],[Pre or Post]]="Post",1,0)+IF(D100="Pre",1,0)=4,Table4463[[#This Row],[Post Total]]-K100,""),"")</f>
        <v>-1</v>
      </c>
      <c r="P101" s="5" t="b">
        <f>ISNUMBER(Table4463[[#This Row],[Change]])</f>
        <v>1</v>
      </c>
      <c r="Q101" s="5">
        <f>IF(E100="Male",Table4463[[#This Row],[Change]],"")</f>
        <v>-1</v>
      </c>
      <c r="R101" s="5" t="str">
        <f>IF(E100="Female",Table4463[[#This Row],[Change]],"")</f>
        <v/>
      </c>
      <c r="S101" s="5" t="b">
        <f>ISNUMBER(Table4463[[#This Row],[If Male]])</f>
        <v>1</v>
      </c>
      <c r="T101" s="5" t="b">
        <f>ISNUMBER(Table4463[[#This Row],[If Female]])</f>
        <v>0</v>
      </c>
    </row>
    <row r="102" spans="1:20">
      <c r="A102" s="1" t="s">
        <v>12</v>
      </c>
      <c r="B102" s="1" t="s">
        <v>10</v>
      </c>
      <c r="C102" s="1">
        <v>16</v>
      </c>
      <c r="D102" s="1" t="s">
        <v>6</v>
      </c>
      <c r="E102" s="5" t="s">
        <v>13</v>
      </c>
      <c r="F102" s="1">
        <v>9</v>
      </c>
      <c r="G102" s="1">
        <v>3</v>
      </c>
      <c r="H102" s="2"/>
      <c r="I102" s="5">
        <f>IF(IF(Table4463[[#This Row],[Pre or Post]]="Pre",1,0)+IF(ISNUMBER(Table4463[[#This Row],[Response]])=TRUE,1,0)=2,1,"")</f>
        <v>1</v>
      </c>
      <c r="J102" s="5" t="str">
        <f>IF(IF(Table4463[[#This Row],[Pre or Post]]="Post",1,0)+IF(ISNUMBER(Table4463[[#This Row],[Response]])=TRUE,1,0)=2,1,"")</f>
        <v/>
      </c>
      <c r="K102" s="5">
        <f>IF(IF(Table4463[[#This Row],[Pre or Post]]="Pre",1,0)+IF(ISNUMBER(Table4463[[#This Row],[Response]])=TRUE,1,0)=2,Table4463[[#This Row],[Response]],"")</f>
        <v>3</v>
      </c>
      <c r="L102" s="5" t="str">
        <f>IF(IF(Table4463[[#This Row],[Pre or Post]]="Post",1,0)+IF(ISNUMBER(Table4463[[#This Row],[Response]])=TRUE,1,0)=2,Table4463[[#This Row],[Response]],"")</f>
        <v/>
      </c>
      <c r="M102" s="6">
        <f>IF(IF(ISNUMBER(K102),1,0)+IF(ISNUMBER(L103),1,0)=2,IF(IF(C103=C102,1,0)+IF(B103=B102,1,0)+IF(D103="Post",1,0)+IF(D102="Pre",1,0)=4,Table4463[[#This Row],[Pre Total]],""),"")</f>
        <v>3</v>
      </c>
      <c r="N102" s="6" t="str">
        <f>IF(IF(ISNUMBER(K101),1,0)+IF(ISNUMBER(Table4463[[#This Row],[Post Total]]),1,0)=2,IF(IF(Table4463[[#This Row],[Student Number]]=C101,1,0)+IF(Table4463[[#This Row],[Session]]=B101,1,0)+IF(Table4463[[#This Row],[Pre or Post]]="Post",1,0)+IF(D101="Pre",1,0)=4,Table4463[[#This Row],[Post Total]],""),"")</f>
        <v/>
      </c>
      <c r="O102" s="6" t="str">
        <f>IF(IF(ISNUMBER(K101),1,0)+IF(ISNUMBER(Table4463[[#This Row],[Post Total]]),1,0)=2,IF(IF(Table4463[[#This Row],[Student Number]]=C101,1,0)+IF(Table4463[[#This Row],[Session]]=B101,1,0)+IF(Table4463[[#This Row],[Pre or Post]]="Post",1,0)+IF(D101="Pre",1,0)=4,Table4463[[#This Row],[Post Total]]-K101,""),"")</f>
        <v/>
      </c>
      <c r="P102" s="5" t="b">
        <f>ISNUMBER(Table4463[[#This Row],[Change]])</f>
        <v>0</v>
      </c>
      <c r="Q102" s="5" t="str">
        <f>IF(E101="Male",Table4463[[#This Row],[Change]],"")</f>
        <v/>
      </c>
      <c r="R102" s="5" t="str">
        <f>IF(E101="Female",Table4463[[#This Row],[Change]],"")</f>
        <v/>
      </c>
      <c r="S102" s="5" t="b">
        <f>ISNUMBER(Table4463[[#This Row],[If Male]])</f>
        <v>0</v>
      </c>
      <c r="T102" s="5" t="b">
        <f>ISNUMBER(Table4463[[#This Row],[If Female]])</f>
        <v>0</v>
      </c>
    </row>
    <row r="103" spans="1:20">
      <c r="A103" s="1" t="s">
        <v>12</v>
      </c>
      <c r="B103" s="1" t="s">
        <v>10</v>
      </c>
      <c r="C103" s="1">
        <v>16</v>
      </c>
      <c r="D103" s="1" t="s">
        <v>16</v>
      </c>
      <c r="E103" s="5" t="s">
        <v>171</v>
      </c>
      <c r="F103" s="1">
        <v>2</v>
      </c>
      <c r="G103" s="1">
        <v>3</v>
      </c>
      <c r="H103" s="2"/>
      <c r="I103" s="5" t="str">
        <f>IF(IF(Table4463[[#This Row],[Pre or Post]]="Pre",1,0)+IF(ISNUMBER(Table4463[[#This Row],[Response]])=TRUE,1,0)=2,1,"")</f>
        <v/>
      </c>
      <c r="J103" s="5">
        <f>IF(IF(Table4463[[#This Row],[Pre or Post]]="Post",1,0)+IF(ISNUMBER(Table4463[[#This Row],[Response]])=TRUE,1,0)=2,1,"")</f>
        <v>1</v>
      </c>
      <c r="K103" s="5" t="str">
        <f>IF(IF(Table4463[[#This Row],[Pre or Post]]="Pre",1,0)+IF(ISNUMBER(Table4463[[#This Row],[Response]])=TRUE,1,0)=2,Table4463[[#This Row],[Response]],"")</f>
        <v/>
      </c>
      <c r="L103" s="5">
        <f>IF(IF(Table4463[[#This Row],[Pre or Post]]="Post",1,0)+IF(ISNUMBER(Table4463[[#This Row],[Response]])=TRUE,1,0)=2,Table4463[[#This Row],[Response]],"")</f>
        <v>3</v>
      </c>
      <c r="M103" s="6" t="str">
        <f>IF(IF(ISNUMBER(K103),1,0)+IF(ISNUMBER(L104),1,0)=2,IF(IF(C104=C103,1,0)+IF(B104=B103,1,0)+IF(D104="Post",1,0)+IF(D103="Pre",1,0)=4,Table4463[[#This Row],[Pre Total]],""),"")</f>
        <v/>
      </c>
      <c r="N103" s="6">
        <f>IF(IF(ISNUMBER(K102),1,0)+IF(ISNUMBER(Table4463[[#This Row],[Post Total]]),1,0)=2,IF(IF(Table4463[[#This Row],[Student Number]]=C102,1,0)+IF(Table4463[[#This Row],[Session]]=B102,1,0)+IF(Table4463[[#This Row],[Pre or Post]]="Post",1,0)+IF(D102="Pre",1,0)=4,Table4463[[#This Row],[Post Total]],""),"")</f>
        <v>3</v>
      </c>
      <c r="O103" s="6">
        <f>IF(IF(ISNUMBER(K102),1,0)+IF(ISNUMBER(Table4463[[#This Row],[Post Total]]),1,0)=2,IF(IF(Table4463[[#This Row],[Student Number]]=C102,1,0)+IF(Table4463[[#This Row],[Session]]=B102,1,0)+IF(Table4463[[#This Row],[Pre or Post]]="Post",1,0)+IF(D102="Pre",1,0)=4,Table4463[[#This Row],[Post Total]]-K102,""),"")</f>
        <v>0</v>
      </c>
      <c r="P103" s="5" t="b">
        <f>ISNUMBER(Table4463[[#This Row],[Change]])</f>
        <v>1</v>
      </c>
      <c r="Q103" s="5" t="str">
        <f>IF(E102="Male",Table4463[[#This Row],[Change]],"")</f>
        <v/>
      </c>
      <c r="R103" s="5">
        <f>IF(E102="Female",Table4463[[#This Row],[Change]],"")</f>
        <v>0</v>
      </c>
      <c r="S103" s="5" t="b">
        <f>ISNUMBER(Table4463[[#This Row],[If Male]])</f>
        <v>0</v>
      </c>
      <c r="T103" s="5" t="b">
        <f>ISNUMBER(Table4463[[#This Row],[If Female]])</f>
        <v>1</v>
      </c>
    </row>
    <row r="104" spans="1:20">
      <c r="A104" s="1" t="s">
        <v>12</v>
      </c>
      <c r="B104" s="1" t="s">
        <v>10</v>
      </c>
      <c r="C104" s="1">
        <v>17</v>
      </c>
      <c r="D104" s="1" t="s">
        <v>6</v>
      </c>
      <c r="E104" s="5" t="s">
        <v>7</v>
      </c>
      <c r="F104" s="1">
        <v>9</v>
      </c>
      <c r="G104" s="1">
        <v>3</v>
      </c>
      <c r="H104" s="2"/>
      <c r="I104" s="5">
        <f>IF(IF(Table4463[[#This Row],[Pre or Post]]="Pre",1,0)+IF(ISNUMBER(Table4463[[#This Row],[Response]])=TRUE,1,0)=2,1,"")</f>
        <v>1</v>
      </c>
      <c r="J104" s="5" t="str">
        <f>IF(IF(Table4463[[#This Row],[Pre or Post]]="Post",1,0)+IF(ISNUMBER(Table4463[[#This Row],[Response]])=TRUE,1,0)=2,1,"")</f>
        <v/>
      </c>
      <c r="K104" s="5">
        <f>IF(IF(Table4463[[#This Row],[Pre or Post]]="Pre",1,0)+IF(ISNUMBER(Table4463[[#This Row],[Response]])=TRUE,1,0)=2,Table4463[[#This Row],[Response]],"")</f>
        <v>3</v>
      </c>
      <c r="L104" s="5" t="str">
        <f>IF(IF(Table4463[[#This Row],[Pre or Post]]="Post",1,0)+IF(ISNUMBER(Table4463[[#This Row],[Response]])=TRUE,1,0)=2,Table4463[[#This Row],[Response]],"")</f>
        <v/>
      </c>
      <c r="M104" s="6">
        <f>IF(IF(ISNUMBER(K104),1,0)+IF(ISNUMBER(L105),1,0)=2,IF(IF(C105=C104,1,0)+IF(B105=B104,1,0)+IF(D105="Post",1,0)+IF(D104="Pre",1,0)=4,Table4463[[#This Row],[Pre Total]],""),"")</f>
        <v>3</v>
      </c>
      <c r="N104" s="6" t="str">
        <f>IF(IF(ISNUMBER(K103),1,0)+IF(ISNUMBER(Table4463[[#This Row],[Post Total]]),1,0)=2,IF(IF(Table4463[[#This Row],[Student Number]]=C103,1,0)+IF(Table4463[[#This Row],[Session]]=B103,1,0)+IF(Table4463[[#This Row],[Pre or Post]]="Post",1,0)+IF(D103="Pre",1,0)=4,Table4463[[#This Row],[Post Total]],""),"")</f>
        <v/>
      </c>
      <c r="O104" s="6" t="str">
        <f>IF(IF(ISNUMBER(K103),1,0)+IF(ISNUMBER(Table4463[[#This Row],[Post Total]]),1,0)=2,IF(IF(Table4463[[#This Row],[Student Number]]=C103,1,0)+IF(Table4463[[#This Row],[Session]]=B103,1,0)+IF(Table4463[[#This Row],[Pre or Post]]="Post",1,0)+IF(D103="Pre",1,0)=4,Table4463[[#This Row],[Post Total]]-K103,""),"")</f>
        <v/>
      </c>
      <c r="P104" s="5" t="b">
        <f>ISNUMBER(Table4463[[#This Row],[Change]])</f>
        <v>0</v>
      </c>
      <c r="Q104" s="5" t="str">
        <f>IF(E103="Male",Table4463[[#This Row],[Change]],"")</f>
        <v/>
      </c>
      <c r="R104" s="5" t="str">
        <f>IF(E103="Female",Table4463[[#This Row],[Change]],"")</f>
        <v/>
      </c>
      <c r="S104" s="5" t="b">
        <f>ISNUMBER(Table4463[[#This Row],[If Male]])</f>
        <v>0</v>
      </c>
      <c r="T104" s="5" t="b">
        <f>ISNUMBER(Table4463[[#This Row],[If Female]])</f>
        <v>0</v>
      </c>
    </row>
    <row r="105" spans="1:20">
      <c r="A105" s="1" t="s">
        <v>12</v>
      </c>
      <c r="B105" s="1" t="s">
        <v>10</v>
      </c>
      <c r="C105" s="1">
        <v>17</v>
      </c>
      <c r="D105" s="1" t="s">
        <v>16</v>
      </c>
      <c r="E105" s="5" t="s">
        <v>171</v>
      </c>
      <c r="F105" s="1">
        <v>2</v>
      </c>
      <c r="G105" s="1">
        <v>3</v>
      </c>
      <c r="H105" s="2"/>
      <c r="I105" s="5" t="str">
        <f>IF(IF(Table4463[[#This Row],[Pre or Post]]="Pre",1,0)+IF(ISNUMBER(Table4463[[#This Row],[Response]])=TRUE,1,0)=2,1,"")</f>
        <v/>
      </c>
      <c r="J105" s="5">
        <f>IF(IF(Table4463[[#This Row],[Pre or Post]]="Post",1,0)+IF(ISNUMBER(Table4463[[#This Row],[Response]])=TRUE,1,0)=2,1,"")</f>
        <v>1</v>
      </c>
      <c r="K105" s="5" t="str">
        <f>IF(IF(Table4463[[#This Row],[Pre or Post]]="Pre",1,0)+IF(ISNUMBER(Table4463[[#This Row],[Response]])=TRUE,1,0)=2,Table4463[[#This Row],[Response]],"")</f>
        <v/>
      </c>
      <c r="L105" s="5">
        <f>IF(IF(Table4463[[#This Row],[Pre or Post]]="Post",1,0)+IF(ISNUMBER(Table4463[[#This Row],[Response]])=TRUE,1,0)=2,Table4463[[#This Row],[Response]],"")</f>
        <v>3</v>
      </c>
      <c r="M105" s="6" t="str">
        <f>IF(IF(ISNUMBER(K105),1,0)+IF(ISNUMBER(L106),1,0)=2,IF(IF(C106=C105,1,0)+IF(B106=B105,1,0)+IF(D106="Post",1,0)+IF(D105="Pre",1,0)=4,Table4463[[#This Row],[Pre Total]],""),"")</f>
        <v/>
      </c>
      <c r="N105" s="6">
        <f>IF(IF(ISNUMBER(K104),1,0)+IF(ISNUMBER(Table4463[[#This Row],[Post Total]]),1,0)=2,IF(IF(Table4463[[#This Row],[Student Number]]=C104,1,0)+IF(Table4463[[#This Row],[Session]]=B104,1,0)+IF(Table4463[[#This Row],[Pre or Post]]="Post",1,0)+IF(D104="Pre",1,0)=4,Table4463[[#This Row],[Post Total]],""),"")</f>
        <v>3</v>
      </c>
      <c r="O105" s="6">
        <f>IF(IF(ISNUMBER(K104),1,0)+IF(ISNUMBER(Table4463[[#This Row],[Post Total]]),1,0)=2,IF(IF(Table4463[[#This Row],[Student Number]]=C104,1,0)+IF(Table4463[[#This Row],[Session]]=B104,1,0)+IF(Table4463[[#This Row],[Pre or Post]]="Post",1,0)+IF(D104="Pre",1,0)=4,Table4463[[#This Row],[Post Total]]-K104,""),"")</f>
        <v>0</v>
      </c>
      <c r="P105" s="5" t="b">
        <f>ISNUMBER(Table4463[[#This Row],[Change]])</f>
        <v>1</v>
      </c>
      <c r="Q105" s="5">
        <f>IF(E104="Male",Table4463[[#This Row],[Change]],"")</f>
        <v>0</v>
      </c>
      <c r="R105" s="5" t="str">
        <f>IF(E104="Female",Table4463[[#This Row],[Change]],"")</f>
        <v/>
      </c>
      <c r="S105" s="5" t="b">
        <f>ISNUMBER(Table4463[[#This Row],[If Male]])</f>
        <v>1</v>
      </c>
      <c r="T105" s="5" t="b">
        <f>ISNUMBER(Table4463[[#This Row],[If Female]])</f>
        <v>0</v>
      </c>
    </row>
    <row r="106" spans="1:20">
      <c r="A106" s="1" t="s">
        <v>12</v>
      </c>
      <c r="B106" s="1" t="s">
        <v>10</v>
      </c>
      <c r="C106" s="1">
        <v>18</v>
      </c>
      <c r="D106" s="1" t="s">
        <v>16</v>
      </c>
      <c r="E106" s="5" t="s">
        <v>171</v>
      </c>
      <c r="F106" s="1">
        <v>2</v>
      </c>
      <c r="G106" s="1">
        <v>3</v>
      </c>
      <c r="H106" s="2"/>
      <c r="I106" s="5" t="str">
        <f>IF(IF(Table4463[[#This Row],[Pre or Post]]="Pre",1,0)+IF(ISNUMBER(Table4463[[#This Row],[Response]])=TRUE,1,0)=2,1,"")</f>
        <v/>
      </c>
      <c r="J106" s="5">
        <f>IF(IF(Table4463[[#This Row],[Pre or Post]]="Post",1,0)+IF(ISNUMBER(Table4463[[#This Row],[Response]])=TRUE,1,0)=2,1,"")</f>
        <v>1</v>
      </c>
      <c r="K106" s="5" t="str">
        <f>IF(IF(Table4463[[#This Row],[Pre or Post]]="Pre",1,0)+IF(ISNUMBER(Table4463[[#This Row],[Response]])=TRUE,1,0)=2,Table4463[[#This Row],[Response]],"")</f>
        <v/>
      </c>
      <c r="L106" s="5">
        <f>IF(IF(Table4463[[#This Row],[Pre or Post]]="Post",1,0)+IF(ISNUMBER(Table4463[[#This Row],[Response]])=TRUE,1,0)=2,Table4463[[#This Row],[Response]],"")</f>
        <v>3</v>
      </c>
      <c r="M106" s="6" t="str">
        <f>IF(IF(ISNUMBER(K106),1,0)+IF(ISNUMBER(L107),1,0)=2,IF(IF(C107=C106,1,0)+IF(B107=B106,1,0)+IF(D107="Post",1,0)+IF(D106="Pre",1,0)=4,Table4463[[#This Row],[Pre Total]],""),"")</f>
        <v/>
      </c>
      <c r="N106" s="6" t="str">
        <f>IF(IF(ISNUMBER(K105),1,0)+IF(ISNUMBER(Table4463[[#This Row],[Post Total]]),1,0)=2,IF(IF(Table4463[[#This Row],[Student Number]]=C105,1,0)+IF(Table4463[[#This Row],[Session]]=B105,1,0)+IF(Table4463[[#This Row],[Pre or Post]]="Post",1,0)+IF(D105="Pre",1,0)=4,Table4463[[#This Row],[Post Total]],""),"")</f>
        <v/>
      </c>
      <c r="O106" s="6" t="str">
        <f>IF(IF(ISNUMBER(K105),1,0)+IF(ISNUMBER(Table4463[[#This Row],[Post Total]]),1,0)=2,IF(IF(Table4463[[#This Row],[Student Number]]=C105,1,0)+IF(Table4463[[#This Row],[Session]]=B105,1,0)+IF(Table4463[[#This Row],[Pre or Post]]="Post",1,0)+IF(D105="Pre",1,0)=4,Table4463[[#This Row],[Post Total]]-K105,""),"")</f>
        <v/>
      </c>
      <c r="P106" s="5" t="b">
        <f>ISNUMBER(Table4463[[#This Row],[Change]])</f>
        <v>0</v>
      </c>
      <c r="Q106" s="5" t="str">
        <f>IF(E105="Male",Table4463[[#This Row],[Change]],"")</f>
        <v/>
      </c>
      <c r="R106" s="5" t="str">
        <f>IF(E105="Female",Table4463[[#This Row],[Change]],"")</f>
        <v/>
      </c>
      <c r="S106" s="5" t="b">
        <f>ISNUMBER(Table4463[[#This Row],[If Male]])</f>
        <v>0</v>
      </c>
      <c r="T106" s="5" t="b">
        <f>ISNUMBER(Table4463[[#This Row],[If Female]])</f>
        <v>0</v>
      </c>
    </row>
    <row r="107" spans="1:20">
      <c r="A107" s="2"/>
      <c r="B107" s="2"/>
      <c r="C107" s="2"/>
      <c r="D107" s="2"/>
      <c r="E107" s="2"/>
      <c r="F107" s="2"/>
      <c r="G107" s="2"/>
      <c r="H107" s="2"/>
      <c r="I107" s="6">
        <f>SUM([Pre Answers])</f>
        <v>40</v>
      </c>
      <c r="J107" s="6">
        <f>SUM([Post Answers])</f>
        <v>65</v>
      </c>
      <c r="K107" s="2">
        <f>SUM([Pre Total])</f>
        <v>95</v>
      </c>
      <c r="L107" s="2">
        <f>SUM([Post Total])</f>
        <v>212</v>
      </c>
      <c r="M107" s="2">
        <f>SUM(Table4463[[#Headers],[#Data],[Pre Total (Pooled)]])</f>
        <v>95</v>
      </c>
      <c r="N107" s="2">
        <f>SUM([Post Total (Pooled)])</f>
        <v>93</v>
      </c>
      <c r="O107" s="2">
        <f>SUM([Change])</f>
        <v>-2</v>
      </c>
      <c r="P107" s="2">
        <f>COUNTIF([Number 2 Resp],TRUE)</f>
        <v>31</v>
      </c>
      <c r="Q107" s="2">
        <f>SUM([If Male])</f>
        <v>1</v>
      </c>
      <c r="R107" s="2">
        <f>SUM([If Female])</f>
        <v>-3</v>
      </c>
      <c r="S107" s="2">
        <f>COUNTIF([Male Answers],"TRUE")</f>
        <v>13</v>
      </c>
      <c r="T107" s="2">
        <f>COUNTIF([Female Answers],"TRUE")</f>
        <v>18</v>
      </c>
    </row>
    <row r="109" spans="1:20" s="16" customFormat="1">
      <c r="A109" s="1" t="s">
        <v>175</v>
      </c>
      <c r="B109" s="1"/>
      <c r="C109" s="1"/>
      <c r="D109" s="1"/>
      <c r="E109" s="1"/>
    </row>
    <row r="110" spans="1:20" ht="30">
      <c r="A110" s="16" t="s">
        <v>172</v>
      </c>
      <c r="B110" s="16" t="s">
        <v>36</v>
      </c>
      <c r="C110" s="16" t="s">
        <v>37</v>
      </c>
      <c r="D110" s="16" t="s">
        <v>68</v>
      </c>
      <c r="E110" s="16" t="s">
        <v>69</v>
      </c>
      <c r="F110" s="5"/>
    </row>
    <row r="111" spans="1:20">
      <c r="A111" s="1" t="s">
        <v>7</v>
      </c>
      <c r="B111" s="1">
        <f>COUNTIF(Table4463[Gender],"Male")</f>
        <v>15</v>
      </c>
      <c r="C111" s="1">
        <f>Table4463[[#Totals],[Male Answers]]</f>
        <v>13</v>
      </c>
      <c r="D111" s="1">
        <f>Table4463[[#Totals],[If Male]]/Table512256762[[#This Row],[Total Answers]]</f>
        <v>7.6923076923076927E-2</v>
      </c>
      <c r="E111" s="1">
        <f>STDEV(Table4463[If Male])</f>
        <v>0.64051261522034852</v>
      </c>
      <c r="F111" s="5"/>
    </row>
    <row r="112" spans="1:20">
      <c r="A112" s="1" t="s">
        <v>13</v>
      </c>
      <c r="B112" s="1">
        <f>COUNTIF(Table4463[Gender],"Female")</f>
        <v>25</v>
      </c>
      <c r="C112" s="1">
        <f>Table4463[[#Totals],[Female Answers]]</f>
        <v>18</v>
      </c>
      <c r="D112" s="1">
        <f>Table4463[[#Totals],[If Female]]/Table512256762[[#This Row],[Total Answers]]</f>
        <v>-0.16666666666666666</v>
      </c>
      <c r="E112" s="1">
        <f>STDEV(Table4463[If Female])</f>
        <v>0.70710678118654757</v>
      </c>
    </row>
    <row r="113" spans="1: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7" spans="1:13">
      <c r="A117"/>
      <c r="B117" s="16"/>
      <c r="C117" s="16"/>
      <c r="D117" s="16"/>
      <c r="E117" s="16"/>
    </row>
    <row r="118" spans="1:13">
      <c r="A118"/>
      <c r="C118" s="5"/>
      <c r="D118" s="5"/>
    </row>
    <row r="119" spans="1:13">
      <c r="A119"/>
      <c r="C119" s="5"/>
      <c r="D119" s="5"/>
    </row>
  </sheetData>
  <conditionalFormatting sqref="C117:C119 F109:F111 H2:H106">
    <cfRule type="cellIs" dxfId="407" priority="1" operator="equal">
      <formula>"No"</formula>
    </cfRule>
    <cfRule type="cellIs" dxfId="406" priority="2" operator="equal">
      <formula>"Yes"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/>
  </sheetPr>
  <dimension ref="A1:F23"/>
  <sheetViews>
    <sheetView workbookViewId="0">
      <selection activeCell="E26" sqref="E26"/>
    </sheetView>
  </sheetViews>
  <sheetFormatPr defaultRowHeight="15"/>
  <cols>
    <col min="1" max="1" width="9.7109375" bestFit="1" customWidth="1"/>
    <col min="2" max="3" width="10.140625" bestFit="1" customWidth="1"/>
    <col min="4" max="4" width="10.85546875" bestFit="1" customWidth="1"/>
    <col min="5" max="5" width="12.7109375" bestFit="1" customWidth="1"/>
    <col min="6" max="6" width="12" bestFit="1" customWidth="1"/>
  </cols>
  <sheetData>
    <row r="1" spans="1:6" ht="45">
      <c r="A1" s="16" t="s">
        <v>180</v>
      </c>
      <c r="B1" s="16" t="s">
        <v>172</v>
      </c>
      <c r="C1" s="16" t="s">
        <v>36</v>
      </c>
      <c r="D1" s="16" t="s">
        <v>37</v>
      </c>
      <c r="E1" s="16" t="s">
        <v>68</v>
      </c>
      <c r="F1" s="16" t="s">
        <v>69</v>
      </c>
    </row>
    <row r="2" spans="1:6">
      <c r="A2" s="1" t="s">
        <v>24</v>
      </c>
      <c r="B2" s="1" t="s">
        <v>7</v>
      </c>
      <c r="C2" s="1">
        <v>39</v>
      </c>
      <c r="D2" s="1">
        <v>37</v>
      </c>
      <c r="E2" s="1">
        <v>0.3108108108108108</v>
      </c>
      <c r="F2" s="1">
        <v>0.65987531809837796</v>
      </c>
    </row>
    <row r="3" spans="1:6">
      <c r="A3" s="1" t="s">
        <v>24</v>
      </c>
      <c r="B3" s="1" t="s">
        <v>13</v>
      </c>
      <c r="C3" s="1">
        <v>22</v>
      </c>
      <c r="D3" s="1">
        <v>21</v>
      </c>
      <c r="E3" s="1">
        <v>0.33333333333333331</v>
      </c>
      <c r="F3" s="1">
        <v>0.79582242575422146</v>
      </c>
    </row>
    <row r="4" spans="1:6">
      <c r="A4" s="2" t="s">
        <v>12</v>
      </c>
      <c r="B4" s="1" t="s">
        <v>7</v>
      </c>
      <c r="C4" s="1">
        <v>15</v>
      </c>
      <c r="D4" s="1">
        <v>13</v>
      </c>
      <c r="E4" s="1">
        <v>7.6923076923076927E-2</v>
      </c>
      <c r="F4" s="1">
        <v>0.64051261522034852</v>
      </c>
    </row>
    <row r="5" spans="1:6">
      <c r="A5" s="2" t="s">
        <v>12</v>
      </c>
      <c r="B5" s="1" t="s">
        <v>13</v>
      </c>
      <c r="C5" s="1">
        <v>25</v>
      </c>
      <c r="D5" s="1">
        <v>18</v>
      </c>
      <c r="E5" s="1">
        <v>-0.16666666666666666</v>
      </c>
      <c r="F5" s="1">
        <v>0.70710678118654757</v>
      </c>
    </row>
    <row r="6" spans="1:6">
      <c r="A6" s="1"/>
      <c r="B6" s="1"/>
      <c r="C6" s="1"/>
      <c r="D6" s="1"/>
      <c r="E6" s="1"/>
    </row>
    <row r="7" spans="1:6">
      <c r="A7" s="1" t="s">
        <v>181</v>
      </c>
      <c r="B7" s="1"/>
      <c r="C7" s="1"/>
      <c r="D7" s="1"/>
      <c r="E7" s="1"/>
    </row>
    <row r="8" spans="1:6">
      <c r="A8" t="s">
        <v>176</v>
      </c>
    </row>
    <row r="9" spans="1:6">
      <c r="A9" s="3" t="s">
        <v>24</v>
      </c>
      <c r="B9" s="3" t="s">
        <v>7</v>
      </c>
      <c r="C9" s="3">
        <v>39</v>
      </c>
      <c r="D9" s="3">
        <v>37</v>
      </c>
      <c r="E9" s="3">
        <v>0.3108108108108108</v>
      </c>
      <c r="F9" s="20">
        <v>0.65987531809837796</v>
      </c>
    </row>
    <row r="10" spans="1:6">
      <c r="A10" s="3" t="s">
        <v>12</v>
      </c>
      <c r="B10" s="3" t="s">
        <v>7</v>
      </c>
      <c r="C10" s="3">
        <v>15</v>
      </c>
      <c r="D10" s="3">
        <v>13</v>
      </c>
      <c r="E10" s="3">
        <v>7.6923076923076927E-2</v>
      </c>
      <c r="F10" s="20">
        <v>0.64051261522034852</v>
      </c>
    </row>
    <row r="11" spans="1:6">
      <c r="A11" t="s">
        <v>182</v>
      </c>
    </row>
    <row r="12" spans="1:6">
      <c r="A12" t="s">
        <v>177</v>
      </c>
    </row>
    <row r="13" spans="1:6">
      <c r="A13" s="21" t="s">
        <v>24</v>
      </c>
      <c r="B13" s="21" t="s">
        <v>13</v>
      </c>
      <c r="C13" s="21">
        <v>22</v>
      </c>
      <c r="D13" s="21">
        <v>21</v>
      </c>
      <c r="E13" s="21">
        <v>0.33333333333333331</v>
      </c>
      <c r="F13" s="22">
        <v>0.79582242575422146</v>
      </c>
    </row>
    <row r="14" spans="1:6">
      <c r="A14" s="23" t="s">
        <v>12</v>
      </c>
      <c r="B14" s="23" t="s">
        <v>13</v>
      </c>
      <c r="C14" s="23">
        <v>25</v>
      </c>
      <c r="D14" s="23">
        <v>18</v>
      </c>
      <c r="E14" s="23">
        <v>-0.16666666666666666</v>
      </c>
      <c r="F14" s="24">
        <v>0.70710678118654757</v>
      </c>
    </row>
    <row r="15" spans="1:6">
      <c r="A15" t="s">
        <v>183</v>
      </c>
    </row>
    <row r="16" spans="1:6">
      <c r="A16" t="s">
        <v>178</v>
      </c>
    </row>
    <row r="17" spans="1:6">
      <c r="A17" s="3" t="s">
        <v>24</v>
      </c>
      <c r="B17" s="3" t="s">
        <v>7</v>
      </c>
      <c r="C17" s="3">
        <v>39</v>
      </c>
      <c r="D17" s="3">
        <v>37</v>
      </c>
      <c r="E17" s="3">
        <v>0.3108108108108108</v>
      </c>
      <c r="F17" s="20">
        <v>0.65987531809837796</v>
      </c>
    </row>
    <row r="18" spans="1:6">
      <c r="A18" s="21" t="s">
        <v>24</v>
      </c>
      <c r="B18" s="21" t="s">
        <v>13</v>
      </c>
      <c r="C18" s="21">
        <v>22</v>
      </c>
      <c r="D18" s="21">
        <v>21</v>
      </c>
      <c r="E18" s="21">
        <v>0.33333333333333331</v>
      </c>
      <c r="F18" s="22">
        <v>0.79582242575422146</v>
      </c>
    </row>
    <row r="19" spans="1:6">
      <c r="A19" t="s">
        <v>184</v>
      </c>
    </row>
    <row r="20" spans="1:6">
      <c r="A20" t="s">
        <v>179</v>
      </c>
    </row>
    <row r="21" spans="1:6">
      <c r="A21" s="3" t="s">
        <v>12</v>
      </c>
      <c r="B21" s="3" t="s">
        <v>7</v>
      </c>
      <c r="C21" s="3">
        <v>15</v>
      </c>
      <c r="D21" s="3">
        <v>13</v>
      </c>
      <c r="E21" s="3">
        <v>7.6923076923076927E-2</v>
      </c>
      <c r="F21" s="20">
        <v>0.64051261522034852</v>
      </c>
    </row>
    <row r="22" spans="1:6">
      <c r="A22" s="4" t="s">
        <v>12</v>
      </c>
      <c r="B22" s="4" t="s">
        <v>13</v>
      </c>
      <c r="C22" s="4">
        <v>25</v>
      </c>
      <c r="D22" s="4">
        <v>18</v>
      </c>
      <c r="E22" s="4">
        <v>-0.16666666666666666</v>
      </c>
      <c r="F22" s="25">
        <v>0.70710678118654757</v>
      </c>
    </row>
    <row r="23" spans="1:6">
      <c r="A23" t="s">
        <v>185</v>
      </c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/>
  </sheetPr>
  <dimension ref="A1:T170"/>
  <sheetViews>
    <sheetView workbookViewId="0">
      <pane ySplit="1" topLeftCell="A127" activePane="bottomLeft" state="frozen"/>
      <selection pane="bottomLeft" activeCell="G165" sqref="A1:XFD1048576"/>
    </sheetView>
  </sheetViews>
  <sheetFormatPr defaultColWidth="16.7109375" defaultRowHeight="15"/>
  <cols>
    <col min="1" max="16384" width="16.7109375" style="1"/>
  </cols>
  <sheetData>
    <row r="1" spans="1:20">
      <c r="A1" s="1" t="s">
        <v>11</v>
      </c>
      <c r="B1" s="1" t="s">
        <v>0</v>
      </c>
      <c r="C1" s="1" t="s">
        <v>1</v>
      </c>
      <c r="D1" s="1" t="s">
        <v>4</v>
      </c>
      <c r="E1" s="1" t="s">
        <v>186</v>
      </c>
      <c r="F1" s="1" t="s">
        <v>2</v>
      </c>
      <c r="G1" s="1" t="s">
        <v>3</v>
      </c>
      <c r="H1" s="1" t="s">
        <v>20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88</v>
      </c>
      <c r="N1" s="1" t="s">
        <v>89</v>
      </c>
      <c r="O1" s="1" t="s">
        <v>72</v>
      </c>
      <c r="P1" s="1" t="s">
        <v>83</v>
      </c>
      <c r="Q1" s="19" t="s">
        <v>187</v>
      </c>
      <c r="R1" s="19" t="s">
        <v>188</v>
      </c>
      <c r="S1" s="19" t="s">
        <v>189</v>
      </c>
      <c r="T1" s="19" t="s">
        <v>190</v>
      </c>
    </row>
    <row r="2" spans="1:20">
      <c r="A2" s="2" t="s">
        <v>24</v>
      </c>
      <c r="B2" s="2" t="s">
        <v>30</v>
      </c>
      <c r="C2" s="1">
        <v>1</v>
      </c>
      <c r="D2" s="2" t="s">
        <v>16</v>
      </c>
      <c r="E2" s="6" t="s">
        <v>171</v>
      </c>
      <c r="F2" s="1">
        <v>4</v>
      </c>
      <c r="G2" s="1">
        <v>3</v>
      </c>
      <c r="H2" s="2" t="s">
        <v>9</v>
      </c>
      <c r="I2" s="5" t="str">
        <f>IF(IF(Table44246665[[#This Row],[Pre or Post]]="Pre",1,0)+IF(ISNUMBER(Table44246665[[#This Row],[Response]])=TRUE,1,0)=2,1,"")</f>
        <v/>
      </c>
      <c r="J2" s="5">
        <f>IF(IF(Table44246665[[#This Row],[Pre or Post]]="Post",1,0)+IF(ISNUMBER(Table44246665[[#This Row],[Response]])=TRUE,1,0)=2,1,"")</f>
        <v>1</v>
      </c>
      <c r="K2" s="6" t="str">
        <f>IF(IF(Table44246665[[#This Row],[Pre or Post]]="Pre",1,0)+IF(ISNUMBER(Table44246665[[#This Row],[Response]])=TRUE,1,0)=2,Table44246665[[#This Row],[Response]],"")</f>
        <v/>
      </c>
      <c r="L2" s="6">
        <f>IF(IF(Table44246665[[#This Row],[Pre or Post]]="Post",1,0)+IF(ISNUMBER(Table44246665[[#This Row],[Response]])=TRUE,1,0)=2,Table44246665[[#This Row],[Response]],"")</f>
        <v>3</v>
      </c>
      <c r="M2" s="5" t="str">
        <f>IF(IF(ISNUMBER(K2),1,0)+IF(ISNUMBER(L3),1,0)=2,IF(IF(C3=C2,1,0)+IF(B3=B2,1,0)+IF(D3="Post",1,0)+IF(D2="Pre",1,0)=4,Table44246665[[#This Row],[Pre Total]],""),"")</f>
        <v/>
      </c>
      <c r="N2" s="5" t="str">
        <f>IF(IF(ISNUMBER(K1),1,0)+IF(ISNUMBER(Table44246665[[#This Row],[Post Total]]),1,0)=2,IF(IF(Table44246665[[#This Row],[Student Number]]=C1,1,0)+IF(Table44246665[[#This Row],[Session]]=B1,1,0)+IF(Table44246665[[#This Row],[Pre or Post]]="Post",1,0)+IF(D1="Pre",1,0)=4,Table44246665[[#This Row],[Post Total]],""),"")</f>
        <v/>
      </c>
      <c r="O2" s="5" t="str">
        <f>IF(IF(ISNUMBER(K1),1,0)+IF(ISNUMBER(Table44246665[[#This Row],[Post Total]]),1,0)=2,IF(IF(Table44246665[[#This Row],[Student Number]]=C1,1,0)+IF(Table44246665[[#This Row],[Session]]=B1,1,0)+IF(Table44246665[[#This Row],[Pre or Post]]="Post",1,0)+IF(D1="Pre",1,0)=4,Table44246665[[#This Row],[Post Total]]-K1,""),"")</f>
        <v/>
      </c>
      <c r="P2" s="5" t="b">
        <f>ISNUMBER(Table44246665[[#This Row],[Change]])</f>
        <v>0</v>
      </c>
      <c r="Q2" s="5" t="str">
        <f>IF(E1="Yes",Table44246665[[#This Row],[Change]],"")</f>
        <v/>
      </c>
      <c r="R2" s="5" t="str">
        <f>IF(E1="No",Table44246665[[#This Row],[Change]],"")</f>
        <v/>
      </c>
      <c r="S2" s="5" t="b">
        <f>ISNUMBER(Table44246665[[#This Row],[If Pre3 Yes]])</f>
        <v>0</v>
      </c>
      <c r="T2" s="5" t="b">
        <f>ISNUMBER(Table44246665[[#This Row],[If Pre3 No]])</f>
        <v>0</v>
      </c>
    </row>
    <row r="3" spans="1:20">
      <c r="A3" s="2" t="s">
        <v>24</v>
      </c>
      <c r="B3" s="2" t="s">
        <v>30</v>
      </c>
      <c r="C3" s="1">
        <v>2</v>
      </c>
      <c r="D3" s="2" t="s">
        <v>16</v>
      </c>
      <c r="E3" s="6" t="s">
        <v>171</v>
      </c>
      <c r="F3" s="1">
        <v>4</v>
      </c>
      <c r="G3" s="1">
        <v>4</v>
      </c>
      <c r="H3" s="2" t="s">
        <v>9</v>
      </c>
      <c r="I3" s="6" t="str">
        <f>IF(IF(Table44246665[[#This Row],[Pre or Post]]="Pre",1,0)+IF(ISNUMBER(Table44246665[[#This Row],[Response]])=TRUE,1,0)=2,1,"")</f>
        <v/>
      </c>
      <c r="J3" s="6">
        <f>IF(IF(Table44246665[[#This Row],[Pre or Post]]="Post",1,0)+IF(ISNUMBER(Table44246665[[#This Row],[Response]])=TRUE,1,0)=2,1,"")</f>
        <v>1</v>
      </c>
      <c r="K3" s="6" t="str">
        <f>IF(IF(Table44246665[[#This Row],[Pre or Post]]="Pre",1,0)+IF(ISNUMBER(Table44246665[[#This Row],[Response]])=TRUE,1,0)=2,Table44246665[[#This Row],[Response]],"")</f>
        <v/>
      </c>
      <c r="L3" s="6">
        <f>IF(IF(Table44246665[[#This Row],[Pre or Post]]="Post",1,0)+IF(ISNUMBER(Table44246665[[#This Row],[Response]])=TRUE,1,0)=2,Table44246665[[#This Row],[Response]],"")</f>
        <v>4</v>
      </c>
      <c r="M3" s="6" t="str">
        <f>IF(IF(ISNUMBER(K3),1,0)+IF(ISNUMBER(L4),1,0)=2,IF(IF(C4=C3,1,0)+IF(B4=B3,1,0)+IF(D4="Post",1,0)+IF(D3="Pre",1,0)=4,Table44246665[[#This Row],[Pre Total]],""),"")</f>
        <v/>
      </c>
      <c r="N3" s="6" t="str">
        <f>IF(IF(ISNUMBER(K2),1,0)+IF(ISNUMBER(Table44246665[[#This Row],[Post Total]]),1,0)=2,IF(IF(Table44246665[[#This Row],[Student Number]]=C2,1,0)+IF(Table44246665[[#This Row],[Session]]=B2,1,0)+IF(Table44246665[[#This Row],[Pre or Post]]="Post",1,0)+IF(D2="Pre",1,0)=4,Table44246665[[#This Row],[Post Total]],""),"")</f>
        <v/>
      </c>
      <c r="O3" s="6" t="str">
        <f>IF(IF(ISNUMBER(K2),1,0)+IF(ISNUMBER(Table44246665[[#This Row],[Post Total]]),1,0)=2,IF(IF(Table44246665[[#This Row],[Student Number]]=C2,1,0)+IF(Table44246665[[#This Row],[Session]]=B2,1,0)+IF(Table44246665[[#This Row],[Pre or Post]]="Post",1,0)+IF(D2="Pre",1,0)=4,Table44246665[[#This Row],[Post Total]]-K2,""),"")</f>
        <v/>
      </c>
      <c r="P3" s="6" t="b">
        <f>ISNUMBER(Table44246665[[#This Row],[Change]])</f>
        <v>0</v>
      </c>
      <c r="Q3" s="5" t="str">
        <f>IF(E2="Yes",Table44246665[[#This Row],[Change]],"")</f>
        <v/>
      </c>
      <c r="R3" s="5" t="str">
        <f>IF(E2="No",Table44246665[[#This Row],[Change]],"")</f>
        <v/>
      </c>
      <c r="S3" s="5" t="b">
        <f>ISNUMBER(Table44246665[[#This Row],[If Pre3 Yes]])</f>
        <v>0</v>
      </c>
      <c r="T3" s="5" t="b">
        <f>ISNUMBER(Table44246665[[#This Row],[If Pre3 No]])</f>
        <v>0</v>
      </c>
    </row>
    <row r="4" spans="1:20">
      <c r="A4" s="2" t="s">
        <v>24</v>
      </c>
      <c r="B4" s="2" t="s">
        <v>30</v>
      </c>
      <c r="C4" s="1">
        <v>3</v>
      </c>
      <c r="D4" s="2" t="s">
        <v>16</v>
      </c>
      <c r="E4" s="6" t="s">
        <v>171</v>
      </c>
      <c r="F4" s="1">
        <v>4</v>
      </c>
      <c r="G4" s="1">
        <v>2</v>
      </c>
      <c r="H4" s="2" t="s">
        <v>9</v>
      </c>
      <c r="I4" s="5" t="str">
        <f>IF(IF(Table44246665[[#This Row],[Pre or Post]]="Pre",1,0)+IF(ISNUMBER(Table44246665[[#This Row],[Response]])=TRUE,1,0)=2,1,"")</f>
        <v/>
      </c>
      <c r="J4" s="5">
        <f>IF(IF(Table44246665[[#This Row],[Pre or Post]]="Post",1,0)+IF(ISNUMBER(Table44246665[[#This Row],[Response]])=TRUE,1,0)=2,1,"")</f>
        <v>1</v>
      </c>
      <c r="K4" s="6" t="str">
        <f>IF(IF(Table44246665[[#This Row],[Pre or Post]]="Pre",1,0)+IF(ISNUMBER(Table44246665[[#This Row],[Response]])=TRUE,1,0)=2,Table44246665[[#This Row],[Response]],"")</f>
        <v/>
      </c>
      <c r="L4" s="6">
        <f>IF(IF(Table44246665[[#This Row],[Pre or Post]]="Post",1,0)+IF(ISNUMBER(Table44246665[[#This Row],[Response]])=TRUE,1,0)=2,Table44246665[[#This Row],[Response]],"")</f>
        <v>2</v>
      </c>
      <c r="M4" s="5" t="str">
        <f>IF(IF(ISNUMBER(K4),1,0)+IF(ISNUMBER(L5),1,0)=2,IF(IF(C5=C4,1,0)+IF(B5=B4,1,0)+IF(D5="Post",1,0)+IF(D4="Pre",1,0)=4,Table44246665[[#This Row],[Pre Total]],""),"")</f>
        <v/>
      </c>
      <c r="N4" s="5" t="str">
        <f>IF(IF(ISNUMBER(K3),1,0)+IF(ISNUMBER(Table44246665[[#This Row],[Post Total]]),1,0)=2,IF(IF(Table44246665[[#This Row],[Student Number]]=C3,1,0)+IF(Table44246665[[#This Row],[Session]]=B3,1,0)+IF(Table44246665[[#This Row],[Pre or Post]]="Post",1,0)+IF(D3="Pre",1,0)=4,Table44246665[[#This Row],[Post Total]],""),"")</f>
        <v/>
      </c>
      <c r="O4" s="5" t="str">
        <f>IF(IF(ISNUMBER(K3),1,0)+IF(ISNUMBER(Table44246665[[#This Row],[Post Total]]),1,0)=2,IF(IF(Table44246665[[#This Row],[Student Number]]=C3,1,0)+IF(Table44246665[[#This Row],[Session]]=B3,1,0)+IF(Table44246665[[#This Row],[Pre or Post]]="Post",1,0)+IF(D3="Pre",1,0)=4,Table44246665[[#This Row],[Post Total]]-K3,""),"")</f>
        <v/>
      </c>
      <c r="P4" s="5" t="b">
        <f>ISNUMBER(Table44246665[[#This Row],[Change]])</f>
        <v>0</v>
      </c>
      <c r="Q4" s="5" t="str">
        <f>IF(E3="Yes",Table44246665[[#This Row],[Change]],"")</f>
        <v/>
      </c>
      <c r="R4" s="5" t="str">
        <f>IF(E3="No",Table44246665[[#This Row],[Change]],"")</f>
        <v/>
      </c>
      <c r="S4" s="5" t="b">
        <f>ISNUMBER(Table44246665[[#This Row],[If Pre3 Yes]])</f>
        <v>0</v>
      </c>
      <c r="T4" s="5" t="b">
        <f>ISNUMBER(Table44246665[[#This Row],[If Pre3 No]])</f>
        <v>0</v>
      </c>
    </row>
    <row r="5" spans="1:20">
      <c r="A5" s="2" t="s">
        <v>24</v>
      </c>
      <c r="B5" s="2" t="s">
        <v>30</v>
      </c>
      <c r="C5" s="1">
        <v>4</v>
      </c>
      <c r="D5" s="2" t="s">
        <v>16</v>
      </c>
      <c r="E5" s="6" t="s">
        <v>171</v>
      </c>
      <c r="F5" s="1">
        <v>4</v>
      </c>
      <c r="G5" s="1">
        <v>3</v>
      </c>
      <c r="H5" s="2" t="s">
        <v>9</v>
      </c>
      <c r="I5" s="6" t="str">
        <f>IF(IF(Table44246665[[#This Row],[Pre or Post]]="Pre",1,0)+IF(ISNUMBER(Table44246665[[#This Row],[Response]])=TRUE,1,0)=2,1,"")</f>
        <v/>
      </c>
      <c r="J5" s="6">
        <f>IF(IF(Table44246665[[#This Row],[Pre or Post]]="Post",1,0)+IF(ISNUMBER(Table44246665[[#This Row],[Response]])=TRUE,1,0)=2,1,"")</f>
        <v>1</v>
      </c>
      <c r="K5" s="6" t="str">
        <f>IF(IF(Table44246665[[#This Row],[Pre or Post]]="Pre",1,0)+IF(ISNUMBER(Table44246665[[#This Row],[Response]])=TRUE,1,0)=2,Table44246665[[#This Row],[Response]],"")</f>
        <v/>
      </c>
      <c r="L5" s="6">
        <f>IF(IF(Table44246665[[#This Row],[Pre or Post]]="Post",1,0)+IF(ISNUMBER(Table44246665[[#This Row],[Response]])=TRUE,1,0)=2,Table44246665[[#This Row],[Response]],"")</f>
        <v>3</v>
      </c>
      <c r="M5" s="6" t="str">
        <f>IF(IF(ISNUMBER(K5),1,0)+IF(ISNUMBER(L6),1,0)=2,IF(IF(C6=C5,1,0)+IF(B6=B5,1,0)+IF(D6="Post",1,0)+IF(D5="Pre",1,0)=4,Table44246665[[#This Row],[Pre Total]],""),"")</f>
        <v/>
      </c>
      <c r="N5" s="6" t="str">
        <f>IF(IF(ISNUMBER(K4),1,0)+IF(ISNUMBER(Table44246665[[#This Row],[Post Total]]),1,0)=2,IF(IF(Table44246665[[#This Row],[Student Number]]=C4,1,0)+IF(Table44246665[[#This Row],[Session]]=B4,1,0)+IF(Table44246665[[#This Row],[Pre or Post]]="Post",1,0)+IF(D4="Pre",1,0)=4,Table44246665[[#This Row],[Post Total]],""),"")</f>
        <v/>
      </c>
      <c r="O5" s="6" t="str">
        <f>IF(IF(ISNUMBER(K4),1,0)+IF(ISNUMBER(Table44246665[[#This Row],[Post Total]]),1,0)=2,IF(IF(Table44246665[[#This Row],[Student Number]]=C4,1,0)+IF(Table44246665[[#This Row],[Session]]=B4,1,0)+IF(Table44246665[[#This Row],[Pre or Post]]="Post",1,0)+IF(D4="Pre",1,0)=4,Table44246665[[#This Row],[Post Total]]-K4,""),"")</f>
        <v/>
      </c>
      <c r="P5" s="6" t="b">
        <f>ISNUMBER(Table44246665[[#This Row],[Change]])</f>
        <v>0</v>
      </c>
      <c r="Q5" s="5" t="str">
        <f>IF(E4="Yes",Table44246665[[#This Row],[Change]],"")</f>
        <v/>
      </c>
      <c r="R5" s="5" t="str">
        <f>IF(E4="No",Table44246665[[#This Row],[Change]],"")</f>
        <v/>
      </c>
      <c r="S5" s="5" t="b">
        <f>ISNUMBER(Table44246665[[#This Row],[If Pre3 Yes]])</f>
        <v>0</v>
      </c>
      <c r="T5" s="5" t="b">
        <f>ISNUMBER(Table44246665[[#This Row],[If Pre3 No]])</f>
        <v>0</v>
      </c>
    </row>
    <row r="6" spans="1:20">
      <c r="A6" s="2" t="s">
        <v>24</v>
      </c>
      <c r="B6" s="2" t="s">
        <v>30</v>
      </c>
      <c r="C6" s="1">
        <v>5</v>
      </c>
      <c r="D6" s="2" t="s">
        <v>16</v>
      </c>
      <c r="E6" s="6" t="s">
        <v>171</v>
      </c>
      <c r="F6" s="1">
        <v>4</v>
      </c>
      <c r="G6" s="1">
        <v>5</v>
      </c>
      <c r="H6" s="2" t="s">
        <v>9</v>
      </c>
      <c r="I6" s="5" t="str">
        <f>IF(IF(Table44246665[[#This Row],[Pre or Post]]="Pre",1,0)+IF(ISNUMBER(Table44246665[[#This Row],[Response]])=TRUE,1,0)=2,1,"")</f>
        <v/>
      </c>
      <c r="J6" s="5">
        <f>IF(IF(Table44246665[[#This Row],[Pre or Post]]="Post",1,0)+IF(ISNUMBER(Table44246665[[#This Row],[Response]])=TRUE,1,0)=2,1,"")</f>
        <v>1</v>
      </c>
      <c r="K6" s="6" t="str">
        <f>IF(IF(Table44246665[[#This Row],[Pre or Post]]="Pre",1,0)+IF(ISNUMBER(Table44246665[[#This Row],[Response]])=TRUE,1,0)=2,Table44246665[[#This Row],[Response]],"")</f>
        <v/>
      </c>
      <c r="L6" s="6">
        <f>IF(IF(Table44246665[[#This Row],[Pre or Post]]="Post",1,0)+IF(ISNUMBER(Table44246665[[#This Row],[Response]])=TRUE,1,0)=2,Table44246665[[#This Row],[Response]],"")</f>
        <v>5</v>
      </c>
      <c r="M6" s="5" t="str">
        <f>IF(IF(ISNUMBER(K6),1,0)+IF(ISNUMBER(L7),1,0)=2,IF(IF(C7=C6,1,0)+IF(B7=B6,1,0)+IF(D7="Post",1,0)+IF(D6="Pre",1,0)=4,Table44246665[[#This Row],[Pre Total]],""),"")</f>
        <v/>
      </c>
      <c r="N6" s="5" t="str">
        <f>IF(IF(ISNUMBER(K5),1,0)+IF(ISNUMBER(Table44246665[[#This Row],[Post Total]]),1,0)=2,IF(IF(Table44246665[[#This Row],[Student Number]]=C5,1,0)+IF(Table44246665[[#This Row],[Session]]=B5,1,0)+IF(Table44246665[[#This Row],[Pre or Post]]="Post",1,0)+IF(D5="Pre",1,0)=4,Table44246665[[#This Row],[Post Total]],""),"")</f>
        <v/>
      </c>
      <c r="O6" s="5" t="str">
        <f>IF(IF(ISNUMBER(K5),1,0)+IF(ISNUMBER(Table44246665[[#This Row],[Post Total]]),1,0)=2,IF(IF(Table44246665[[#This Row],[Student Number]]=C5,1,0)+IF(Table44246665[[#This Row],[Session]]=B5,1,0)+IF(Table44246665[[#This Row],[Pre or Post]]="Post",1,0)+IF(D5="Pre",1,0)=4,Table44246665[[#This Row],[Post Total]]-K5,""),"")</f>
        <v/>
      </c>
      <c r="P6" s="5" t="b">
        <f>ISNUMBER(Table44246665[[#This Row],[Change]])</f>
        <v>0</v>
      </c>
      <c r="Q6" s="5" t="str">
        <f>IF(E5="Yes",Table44246665[[#This Row],[Change]],"")</f>
        <v/>
      </c>
      <c r="R6" s="5" t="str">
        <f>IF(E5="No",Table44246665[[#This Row],[Change]],"")</f>
        <v/>
      </c>
      <c r="S6" s="5" t="b">
        <f>ISNUMBER(Table44246665[[#This Row],[If Pre3 Yes]])</f>
        <v>0</v>
      </c>
      <c r="T6" s="5" t="b">
        <f>ISNUMBER(Table44246665[[#This Row],[If Pre3 No]])</f>
        <v>0</v>
      </c>
    </row>
    <row r="7" spans="1:20">
      <c r="A7" s="2" t="s">
        <v>24</v>
      </c>
      <c r="B7" s="2" t="s">
        <v>30</v>
      </c>
      <c r="C7" s="1">
        <v>6</v>
      </c>
      <c r="D7" s="2" t="s">
        <v>16</v>
      </c>
      <c r="E7" s="6" t="s">
        <v>171</v>
      </c>
      <c r="F7" s="1">
        <v>4</v>
      </c>
      <c r="G7" s="1">
        <v>3</v>
      </c>
      <c r="H7" s="2" t="s">
        <v>9</v>
      </c>
      <c r="I7" s="6" t="str">
        <f>IF(IF(Table44246665[[#This Row],[Pre or Post]]="Pre",1,0)+IF(ISNUMBER(Table44246665[[#This Row],[Response]])=TRUE,1,0)=2,1,"")</f>
        <v/>
      </c>
      <c r="J7" s="6">
        <f>IF(IF(Table44246665[[#This Row],[Pre or Post]]="Post",1,0)+IF(ISNUMBER(Table44246665[[#This Row],[Response]])=TRUE,1,0)=2,1,"")</f>
        <v>1</v>
      </c>
      <c r="K7" s="6" t="str">
        <f>IF(IF(Table44246665[[#This Row],[Pre or Post]]="Pre",1,0)+IF(ISNUMBER(Table44246665[[#This Row],[Response]])=TRUE,1,0)=2,Table44246665[[#This Row],[Response]],"")</f>
        <v/>
      </c>
      <c r="L7" s="6">
        <f>IF(IF(Table44246665[[#This Row],[Pre or Post]]="Post",1,0)+IF(ISNUMBER(Table44246665[[#This Row],[Response]])=TRUE,1,0)=2,Table44246665[[#This Row],[Response]],"")</f>
        <v>3</v>
      </c>
      <c r="M7" s="6" t="str">
        <f>IF(IF(ISNUMBER(K7),1,0)+IF(ISNUMBER(L8),1,0)=2,IF(IF(C8=C7,1,0)+IF(B8=B7,1,0)+IF(D8="Post",1,0)+IF(D7="Pre",1,0)=4,Table44246665[[#This Row],[Pre Total]],""),"")</f>
        <v/>
      </c>
      <c r="N7" s="6" t="str">
        <f>IF(IF(ISNUMBER(K6),1,0)+IF(ISNUMBER(Table44246665[[#This Row],[Post Total]]),1,0)=2,IF(IF(Table44246665[[#This Row],[Student Number]]=C6,1,0)+IF(Table44246665[[#This Row],[Session]]=B6,1,0)+IF(Table44246665[[#This Row],[Pre or Post]]="Post",1,0)+IF(D6="Pre",1,0)=4,Table44246665[[#This Row],[Post Total]],""),"")</f>
        <v/>
      </c>
      <c r="O7" s="6" t="str">
        <f>IF(IF(ISNUMBER(K6),1,0)+IF(ISNUMBER(Table44246665[[#This Row],[Post Total]]),1,0)=2,IF(IF(Table44246665[[#This Row],[Student Number]]=C6,1,0)+IF(Table44246665[[#This Row],[Session]]=B6,1,0)+IF(Table44246665[[#This Row],[Pre or Post]]="Post",1,0)+IF(D6="Pre",1,0)=4,Table44246665[[#This Row],[Post Total]]-K6,""),"")</f>
        <v/>
      </c>
      <c r="P7" s="6" t="b">
        <f>ISNUMBER(Table44246665[[#This Row],[Change]])</f>
        <v>0</v>
      </c>
      <c r="Q7" s="5" t="str">
        <f>IF(E6="Yes",Table44246665[[#This Row],[Change]],"")</f>
        <v/>
      </c>
      <c r="R7" s="5" t="str">
        <f>IF(E6="No",Table44246665[[#This Row],[Change]],"")</f>
        <v/>
      </c>
      <c r="S7" s="5" t="b">
        <f>ISNUMBER(Table44246665[[#This Row],[If Pre3 Yes]])</f>
        <v>0</v>
      </c>
      <c r="T7" s="5" t="b">
        <f>ISNUMBER(Table44246665[[#This Row],[If Pre3 No]])</f>
        <v>0</v>
      </c>
    </row>
    <row r="8" spans="1:20">
      <c r="A8" s="2" t="s">
        <v>24</v>
      </c>
      <c r="B8" s="2" t="s">
        <v>30</v>
      </c>
      <c r="C8" s="1">
        <v>7</v>
      </c>
      <c r="D8" s="2" t="s">
        <v>16</v>
      </c>
      <c r="E8" s="6" t="s">
        <v>171</v>
      </c>
      <c r="F8" s="1">
        <v>4</v>
      </c>
      <c r="G8" s="1">
        <v>4</v>
      </c>
      <c r="H8" s="2" t="s">
        <v>9</v>
      </c>
      <c r="I8" s="5" t="str">
        <f>IF(IF(Table44246665[[#This Row],[Pre or Post]]="Pre",1,0)+IF(ISNUMBER(Table44246665[[#This Row],[Response]])=TRUE,1,0)=2,1,"")</f>
        <v/>
      </c>
      <c r="J8" s="5">
        <f>IF(IF(Table44246665[[#This Row],[Pre or Post]]="Post",1,0)+IF(ISNUMBER(Table44246665[[#This Row],[Response]])=TRUE,1,0)=2,1,"")</f>
        <v>1</v>
      </c>
      <c r="K8" s="6" t="str">
        <f>IF(IF(Table44246665[[#This Row],[Pre or Post]]="Pre",1,0)+IF(ISNUMBER(Table44246665[[#This Row],[Response]])=TRUE,1,0)=2,Table44246665[[#This Row],[Response]],"")</f>
        <v/>
      </c>
      <c r="L8" s="6">
        <f>IF(IF(Table44246665[[#This Row],[Pre or Post]]="Post",1,0)+IF(ISNUMBER(Table44246665[[#This Row],[Response]])=TRUE,1,0)=2,Table44246665[[#This Row],[Response]],"")</f>
        <v>4</v>
      </c>
      <c r="M8" s="5" t="str">
        <f>IF(IF(ISNUMBER(K8),1,0)+IF(ISNUMBER(L9),1,0)=2,IF(IF(C9=C8,1,0)+IF(B9=B8,1,0)+IF(D9="Post",1,0)+IF(D8="Pre",1,0)=4,Table44246665[[#This Row],[Pre Total]],""),"")</f>
        <v/>
      </c>
      <c r="N8" s="5" t="str">
        <f>IF(IF(ISNUMBER(K7),1,0)+IF(ISNUMBER(Table44246665[[#This Row],[Post Total]]),1,0)=2,IF(IF(Table44246665[[#This Row],[Student Number]]=C7,1,0)+IF(Table44246665[[#This Row],[Session]]=B7,1,0)+IF(Table44246665[[#This Row],[Pre or Post]]="Post",1,0)+IF(D7="Pre",1,0)=4,Table44246665[[#This Row],[Post Total]],""),"")</f>
        <v/>
      </c>
      <c r="O8" s="5" t="str">
        <f>IF(IF(ISNUMBER(K7),1,0)+IF(ISNUMBER(Table44246665[[#This Row],[Post Total]]),1,0)=2,IF(IF(Table44246665[[#This Row],[Student Number]]=C7,1,0)+IF(Table44246665[[#This Row],[Session]]=B7,1,0)+IF(Table44246665[[#This Row],[Pre or Post]]="Post",1,0)+IF(D7="Pre",1,0)=4,Table44246665[[#This Row],[Post Total]]-K7,""),"")</f>
        <v/>
      </c>
      <c r="P8" s="5" t="b">
        <f>ISNUMBER(Table44246665[[#This Row],[Change]])</f>
        <v>0</v>
      </c>
      <c r="Q8" s="5" t="str">
        <f>IF(E7="Yes",Table44246665[[#This Row],[Change]],"")</f>
        <v/>
      </c>
      <c r="R8" s="5" t="str">
        <f>IF(E7="No",Table44246665[[#This Row],[Change]],"")</f>
        <v/>
      </c>
      <c r="S8" s="5" t="b">
        <f>ISNUMBER(Table44246665[[#This Row],[If Pre3 Yes]])</f>
        <v>0</v>
      </c>
      <c r="T8" s="5" t="b">
        <f>ISNUMBER(Table44246665[[#This Row],[If Pre3 No]])</f>
        <v>0</v>
      </c>
    </row>
    <row r="9" spans="1:20">
      <c r="A9" s="2" t="s">
        <v>24</v>
      </c>
      <c r="B9" s="2" t="s">
        <v>30</v>
      </c>
      <c r="C9" s="1">
        <v>8</v>
      </c>
      <c r="D9" s="2" t="s">
        <v>16</v>
      </c>
      <c r="E9" s="6" t="s">
        <v>171</v>
      </c>
      <c r="F9" s="1">
        <v>4</v>
      </c>
      <c r="G9" s="1">
        <v>4</v>
      </c>
      <c r="H9" s="2" t="s">
        <v>9</v>
      </c>
      <c r="I9" s="5" t="str">
        <f>IF(IF(Table44246665[[#This Row],[Pre or Post]]="Pre",1,0)+IF(ISNUMBER(Table44246665[[#This Row],[Response]])=TRUE,1,0)=2,1,"")</f>
        <v/>
      </c>
      <c r="J9" s="5">
        <f>IF(IF(Table44246665[[#This Row],[Pre or Post]]="Post",1,0)+IF(ISNUMBER(Table44246665[[#This Row],[Response]])=TRUE,1,0)=2,1,"")</f>
        <v>1</v>
      </c>
      <c r="K9" s="6" t="str">
        <f>IF(IF(Table44246665[[#This Row],[Pre or Post]]="Pre",1,0)+IF(ISNUMBER(Table44246665[[#This Row],[Response]])=TRUE,1,0)=2,Table44246665[[#This Row],[Response]],"")</f>
        <v/>
      </c>
      <c r="L9" s="6">
        <f>IF(IF(Table44246665[[#This Row],[Pre or Post]]="Post",1,0)+IF(ISNUMBER(Table44246665[[#This Row],[Response]])=TRUE,1,0)=2,Table44246665[[#This Row],[Response]],"")</f>
        <v>4</v>
      </c>
      <c r="M9" s="5" t="str">
        <f>IF(IF(ISNUMBER(K9),1,0)+IF(ISNUMBER(L10),1,0)=2,IF(IF(C10=C9,1,0)+IF(B10=B9,1,0)+IF(D10="Post",1,0)+IF(D9="Pre",1,0)=4,Table44246665[[#This Row],[Pre Total]],""),"")</f>
        <v/>
      </c>
      <c r="N9" s="5" t="str">
        <f>IF(IF(ISNUMBER(K8),1,0)+IF(ISNUMBER(Table44246665[[#This Row],[Post Total]]),1,0)=2,IF(IF(Table44246665[[#This Row],[Student Number]]=C8,1,0)+IF(Table44246665[[#This Row],[Session]]=B8,1,0)+IF(Table44246665[[#This Row],[Pre or Post]]="Post",1,0)+IF(D8="Pre",1,0)=4,Table44246665[[#This Row],[Post Total]],""),"")</f>
        <v/>
      </c>
      <c r="O9" s="5" t="str">
        <f>IF(IF(ISNUMBER(K8),1,0)+IF(ISNUMBER(Table44246665[[#This Row],[Post Total]]),1,0)=2,IF(IF(Table44246665[[#This Row],[Student Number]]=C8,1,0)+IF(Table44246665[[#This Row],[Session]]=B8,1,0)+IF(Table44246665[[#This Row],[Pre or Post]]="Post",1,0)+IF(D8="Pre",1,0)=4,Table44246665[[#This Row],[Post Total]]-K8,""),"")</f>
        <v/>
      </c>
      <c r="P9" s="5" t="b">
        <f>ISNUMBER(Table44246665[[#This Row],[Change]])</f>
        <v>0</v>
      </c>
      <c r="Q9" s="5" t="str">
        <f>IF(E8="Yes",Table44246665[[#This Row],[Change]],"")</f>
        <v/>
      </c>
      <c r="R9" s="5" t="str">
        <f>IF(E8="No",Table44246665[[#This Row],[Change]],"")</f>
        <v/>
      </c>
      <c r="S9" s="5" t="b">
        <f>ISNUMBER(Table44246665[[#This Row],[If Pre3 Yes]])</f>
        <v>0</v>
      </c>
      <c r="T9" s="5" t="b">
        <f>ISNUMBER(Table44246665[[#This Row],[If Pre3 No]])</f>
        <v>0</v>
      </c>
    </row>
    <row r="10" spans="1:20">
      <c r="A10" s="2" t="s">
        <v>24</v>
      </c>
      <c r="B10" s="2" t="s">
        <v>30</v>
      </c>
      <c r="C10" s="1">
        <v>9</v>
      </c>
      <c r="D10" s="2" t="s">
        <v>16</v>
      </c>
      <c r="E10" s="6" t="s">
        <v>171</v>
      </c>
      <c r="F10" s="1">
        <v>4</v>
      </c>
      <c r="G10" s="1">
        <v>4</v>
      </c>
      <c r="H10" s="2" t="s">
        <v>9</v>
      </c>
      <c r="I10" s="5" t="str">
        <f>IF(IF(Table44246665[[#This Row],[Pre or Post]]="Pre",1,0)+IF(ISNUMBER(Table44246665[[#This Row],[Response]])=TRUE,1,0)=2,1,"")</f>
        <v/>
      </c>
      <c r="J10" s="5">
        <f>IF(IF(Table44246665[[#This Row],[Pre or Post]]="Post",1,0)+IF(ISNUMBER(Table44246665[[#This Row],[Response]])=TRUE,1,0)=2,1,"")</f>
        <v>1</v>
      </c>
      <c r="K10" s="6" t="str">
        <f>IF(IF(Table44246665[[#This Row],[Pre or Post]]="Pre",1,0)+IF(ISNUMBER(Table44246665[[#This Row],[Response]])=TRUE,1,0)=2,Table44246665[[#This Row],[Response]],"")</f>
        <v/>
      </c>
      <c r="L10" s="6">
        <f>IF(IF(Table44246665[[#This Row],[Pre or Post]]="Post",1,0)+IF(ISNUMBER(Table44246665[[#This Row],[Response]])=TRUE,1,0)=2,Table44246665[[#This Row],[Response]],"")</f>
        <v>4</v>
      </c>
      <c r="M10" s="5" t="str">
        <f>IF(IF(ISNUMBER(K10),1,0)+IF(ISNUMBER(L11),1,0)=2,IF(IF(C11=C10,1,0)+IF(B11=B10,1,0)+IF(D11="Post",1,0)+IF(D10="Pre",1,0)=4,Table44246665[[#This Row],[Pre Total]],""),"")</f>
        <v/>
      </c>
      <c r="N10" s="5" t="str">
        <f>IF(IF(ISNUMBER(K9),1,0)+IF(ISNUMBER(Table44246665[[#This Row],[Post Total]]),1,0)=2,IF(IF(Table44246665[[#This Row],[Student Number]]=C9,1,0)+IF(Table44246665[[#This Row],[Session]]=B9,1,0)+IF(Table44246665[[#This Row],[Pre or Post]]="Post",1,0)+IF(D9="Pre",1,0)=4,Table44246665[[#This Row],[Post Total]],""),"")</f>
        <v/>
      </c>
      <c r="O10" s="5" t="str">
        <f>IF(IF(ISNUMBER(K9),1,0)+IF(ISNUMBER(Table44246665[[#This Row],[Post Total]]),1,0)=2,IF(IF(Table44246665[[#This Row],[Student Number]]=C9,1,0)+IF(Table44246665[[#This Row],[Session]]=B9,1,0)+IF(Table44246665[[#This Row],[Pre or Post]]="Post",1,0)+IF(D9="Pre",1,0)=4,Table44246665[[#This Row],[Post Total]]-K9,""),"")</f>
        <v/>
      </c>
      <c r="P10" s="5" t="b">
        <f>ISNUMBER(Table44246665[[#This Row],[Change]])</f>
        <v>0</v>
      </c>
      <c r="Q10" s="5" t="str">
        <f>IF(E9="Yes",Table44246665[[#This Row],[Change]],"")</f>
        <v/>
      </c>
      <c r="R10" s="5" t="str">
        <f>IF(E9="No",Table44246665[[#This Row],[Change]],"")</f>
        <v/>
      </c>
      <c r="S10" s="5" t="b">
        <f>ISNUMBER(Table44246665[[#This Row],[If Pre3 Yes]])</f>
        <v>0</v>
      </c>
      <c r="T10" s="5" t="b">
        <f>ISNUMBER(Table44246665[[#This Row],[If Pre3 No]])</f>
        <v>0</v>
      </c>
    </row>
    <row r="11" spans="1:20">
      <c r="A11" s="2" t="s">
        <v>24</v>
      </c>
      <c r="B11" s="2" t="s">
        <v>30</v>
      </c>
      <c r="C11" s="1">
        <v>10</v>
      </c>
      <c r="D11" s="2" t="s">
        <v>16</v>
      </c>
      <c r="E11" s="6" t="s">
        <v>171</v>
      </c>
      <c r="F11" s="1">
        <v>4</v>
      </c>
      <c r="G11" s="1">
        <v>4</v>
      </c>
      <c r="H11" s="2" t="s">
        <v>9</v>
      </c>
      <c r="I11" s="6" t="str">
        <f>IF(IF(Table44246665[[#This Row],[Pre or Post]]="Pre",1,0)+IF(ISNUMBER(Table44246665[[#This Row],[Response]])=TRUE,1,0)=2,1,"")</f>
        <v/>
      </c>
      <c r="J11" s="6">
        <f>IF(IF(Table44246665[[#This Row],[Pre or Post]]="Post",1,0)+IF(ISNUMBER(Table44246665[[#This Row],[Response]])=TRUE,1,0)=2,1,"")</f>
        <v>1</v>
      </c>
      <c r="K11" s="6" t="str">
        <f>IF(IF(Table44246665[[#This Row],[Pre or Post]]="Pre",1,0)+IF(ISNUMBER(Table44246665[[#This Row],[Response]])=TRUE,1,0)=2,Table44246665[[#This Row],[Response]],"")</f>
        <v/>
      </c>
      <c r="L11" s="6">
        <f>IF(IF(Table44246665[[#This Row],[Pre or Post]]="Post",1,0)+IF(ISNUMBER(Table44246665[[#This Row],[Response]])=TRUE,1,0)=2,Table44246665[[#This Row],[Response]],"")</f>
        <v>4</v>
      </c>
      <c r="M11" s="6" t="str">
        <f>IF(IF(ISNUMBER(K11),1,0)+IF(ISNUMBER(L12),1,0)=2,IF(IF(C12=C11,1,0)+IF(B12=B11,1,0)+IF(D12="Post",1,0)+IF(D11="Pre",1,0)=4,Table44246665[[#This Row],[Pre Total]],""),"")</f>
        <v/>
      </c>
      <c r="N11" s="6" t="str">
        <f>IF(IF(ISNUMBER(K10),1,0)+IF(ISNUMBER(Table44246665[[#This Row],[Post Total]]),1,0)=2,IF(IF(Table44246665[[#This Row],[Student Number]]=C10,1,0)+IF(Table44246665[[#This Row],[Session]]=B10,1,0)+IF(Table44246665[[#This Row],[Pre or Post]]="Post",1,0)+IF(D10="Pre",1,0)=4,Table44246665[[#This Row],[Post Total]],""),"")</f>
        <v/>
      </c>
      <c r="O11" s="6" t="str">
        <f>IF(IF(ISNUMBER(K10),1,0)+IF(ISNUMBER(Table44246665[[#This Row],[Post Total]]),1,0)=2,IF(IF(Table44246665[[#This Row],[Student Number]]=C10,1,0)+IF(Table44246665[[#This Row],[Session]]=B10,1,0)+IF(Table44246665[[#This Row],[Pre or Post]]="Post",1,0)+IF(D10="Pre",1,0)=4,Table44246665[[#This Row],[Post Total]]-K10,""),"")</f>
        <v/>
      </c>
      <c r="P11" s="6" t="b">
        <f>ISNUMBER(Table44246665[[#This Row],[Change]])</f>
        <v>0</v>
      </c>
      <c r="Q11" s="5" t="str">
        <f>IF(E10="Yes",Table44246665[[#This Row],[Change]],"")</f>
        <v/>
      </c>
      <c r="R11" s="5" t="str">
        <f>IF(E10="No",Table44246665[[#This Row],[Change]],"")</f>
        <v/>
      </c>
      <c r="S11" s="5" t="b">
        <f>ISNUMBER(Table44246665[[#This Row],[If Pre3 Yes]])</f>
        <v>0</v>
      </c>
      <c r="T11" s="5" t="b">
        <f>ISNUMBER(Table44246665[[#This Row],[If Pre3 No]])</f>
        <v>0</v>
      </c>
    </row>
    <row r="12" spans="1:20">
      <c r="A12" s="2" t="s">
        <v>24</v>
      </c>
      <c r="B12" s="2" t="s">
        <v>30</v>
      </c>
      <c r="C12" s="1">
        <v>11</v>
      </c>
      <c r="D12" s="2" t="s">
        <v>16</v>
      </c>
      <c r="E12" s="6" t="s">
        <v>171</v>
      </c>
      <c r="F12" s="1">
        <v>4</v>
      </c>
      <c r="G12" s="1">
        <v>2</v>
      </c>
      <c r="H12" s="2" t="s">
        <v>9</v>
      </c>
      <c r="I12" s="5" t="str">
        <f>IF(IF(Table44246665[[#This Row],[Pre or Post]]="Pre",1,0)+IF(ISNUMBER(Table44246665[[#This Row],[Response]])=TRUE,1,0)=2,1,"")</f>
        <v/>
      </c>
      <c r="J12" s="5">
        <f>IF(IF(Table44246665[[#This Row],[Pre or Post]]="Post",1,0)+IF(ISNUMBER(Table44246665[[#This Row],[Response]])=TRUE,1,0)=2,1,"")</f>
        <v>1</v>
      </c>
      <c r="K12" s="6" t="str">
        <f>IF(IF(Table44246665[[#This Row],[Pre or Post]]="Pre",1,0)+IF(ISNUMBER(Table44246665[[#This Row],[Response]])=TRUE,1,0)=2,Table44246665[[#This Row],[Response]],"")</f>
        <v/>
      </c>
      <c r="L12" s="6">
        <f>IF(IF(Table44246665[[#This Row],[Pre or Post]]="Post",1,0)+IF(ISNUMBER(Table44246665[[#This Row],[Response]])=TRUE,1,0)=2,Table44246665[[#This Row],[Response]],"")</f>
        <v>2</v>
      </c>
      <c r="M12" s="5" t="str">
        <f>IF(IF(ISNUMBER(K12),1,0)+IF(ISNUMBER(L13),1,0)=2,IF(IF(C13=C12,1,0)+IF(B13=B12,1,0)+IF(D13="Post",1,0)+IF(D12="Pre",1,0)=4,Table44246665[[#This Row],[Pre Total]],""),"")</f>
        <v/>
      </c>
      <c r="N12" s="5" t="str">
        <f>IF(IF(ISNUMBER(K11),1,0)+IF(ISNUMBER(Table44246665[[#This Row],[Post Total]]),1,0)=2,IF(IF(Table44246665[[#This Row],[Student Number]]=C11,1,0)+IF(Table44246665[[#This Row],[Session]]=B11,1,0)+IF(Table44246665[[#This Row],[Pre or Post]]="Post",1,0)+IF(D11="Pre",1,0)=4,Table44246665[[#This Row],[Post Total]],""),"")</f>
        <v/>
      </c>
      <c r="O12" s="5" t="str">
        <f>IF(IF(ISNUMBER(K11),1,0)+IF(ISNUMBER(Table44246665[[#This Row],[Post Total]]),1,0)=2,IF(IF(Table44246665[[#This Row],[Student Number]]=C11,1,0)+IF(Table44246665[[#This Row],[Session]]=B11,1,0)+IF(Table44246665[[#This Row],[Pre or Post]]="Post",1,0)+IF(D11="Pre",1,0)=4,Table44246665[[#This Row],[Post Total]]-K11,""),"")</f>
        <v/>
      </c>
      <c r="P12" s="5" t="b">
        <f>ISNUMBER(Table44246665[[#This Row],[Change]])</f>
        <v>0</v>
      </c>
      <c r="Q12" s="5" t="str">
        <f>IF(E11="Yes",Table44246665[[#This Row],[Change]],"")</f>
        <v/>
      </c>
      <c r="R12" s="5" t="str">
        <f>IF(E11="No",Table44246665[[#This Row],[Change]],"")</f>
        <v/>
      </c>
      <c r="S12" s="5" t="b">
        <f>ISNUMBER(Table44246665[[#This Row],[If Pre3 Yes]])</f>
        <v>0</v>
      </c>
      <c r="T12" s="5" t="b">
        <f>ISNUMBER(Table44246665[[#This Row],[If Pre3 No]])</f>
        <v>0</v>
      </c>
    </row>
    <row r="13" spans="1:20">
      <c r="A13" s="2" t="s">
        <v>24</v>
      </c>
      <c r="B13" s="2" t="s">
        <v>30</v>
      </c>
      <c r="C13" s="1">
        <v>12</v>
      </c>
      <c r="D13" s="2" t="s">
        <v>16</v>
      </c>
      <c r="E13" s="6" t="s">
        <v>171</v>
      </c>
      <c r="F13" s="1">
        <v>4</v>
      </c>
      <c r="G13" s="1">
        <v>4</v>
      </c>
      <c r="H13" s="2" t="s">
        <v>9</v>
      </c>
      <c r="I13" s="5" t="str">
        <f>IF(IF(Table44246665[[#This Row],[Pre or Post]]="Pre",1,0)+IF(ISNUMBER(Table44246665[[#This Row],[Response]])=TRUE,1,0)=2,1,"")</f>
        <v/>
      </c>
      <c r="J13" s="5">
        <f>IF(IF(Table44246665[[#This Row],[Pre or Post]]="Post",1,0)+IF(ISNUMBER(Table44246665[[#This Row],[Response]])=TRUE,1,0)=2,1,"")</f>
        <v>1</v>
      </c>
      <c r="K13" s="6" t="str">
        <f>IF(IF(Table44246665[[#This Row],[Pre or Post]]="Pre",1,0)+IF(ISNUMBER(Table44246665[[#This Row],[Response]])=TRUE,1,0)=2,Table44246665[[#This Row],[Response]],"")</f>
        <v/>
      </c>
      <c r="L13" s="6">
        <f>IF(IF(Table44246665[[#This Row],[Pre or Post]]="Post",1,0)+IF(ISNUMBER(Table44246665[[#This Row],[Response]])=TRUE,1,0)=2,Table44246665[[#This Row],[Response]],"")</f>
        <v>4</v>
      </c>
      <c r="M13" s="5" t="str">
        <f>IF(IF(ISNUMBER(K13),1,0)+IF(ISNUMBER(L14),1,0)=2,IF(IF(C14=C13,1,0)+IF(B14=B13,1,0)+IF(D14="Post",1,0)+IF(D13="Pre",1,0)=4,Table44246665[[#This Row],[Pre Total]],""),"")</f>
        <v/>
      </c>
      <c r="N13" s="5" t="str">
        <f>IF(IF(ISNUMBER(K12),1,0)+IF(ISNUMBER(Table44246665[[#This Row],[Post Total]]),1,0)=2,IF(IF(Table44246665[[#This Row],[Student Number]]=C12,1,0)+IF(Table44246665[[#This Row],[Session]]=B12,1,0)+IF(Table44246665[[#This Row],[Pre or Post]]="Post",1,0)+IF(D12="Pre",1,0)=4,Table44246665[[#This Row],[Post Total]],""),"")</f>
        <v/>
      </c>
      <c r="O13" s="5" t="str">
        <f>IF(IF(ISNUMBER(K12),1,0)+IF(ISNUMBER(Table44246665[[#This Row],[Post Total]]),1,0)=2,IF(IF(Table44246665[[#This Row],[Student Number]]=C12,1,0)+IF(Table44246665[[#This Row],[Session]]=B12,1,0)+IF(Table44246665[[#This Row],[Pre or Post]]="Post",1,0)+IF(D12="Pre",1,0)=4,Table44246665[[#This Row],[Post Total]]-K12,""),"")</f>
        <v/>
      </c>
      <c r="P13" s="5" t="b">
        <f>ISNUMBER(Table44246665[[#This Row],[Change]])</f>
        <v>0</v>
      </c>
      <c r="Q13" s="5" t="str">
        <f>IF(E12="Yes",Table44246665[[#This Row],[Change]],"")</f>
        <v/>
      </c>
      <c r="R13" s="5" t="str">
        <f>IF(E12="No",Table44246665[[#This Row],[Change]],"")</f>
        <v/>
      </c>
      <c r="S13" s="5" t="b">
        <f>ISNUMBER(Table44246665[[#This Row],[If Pre3 Yes]])</f>
        <v>0</v>
      </c>
      <c r="T13" s="5" t="b">
        <f>ISNUMBER(Table44246665[[#This Row],[If Pre3 No]])</f>
        <v>0</v>
      </c>
    </row>
    <row r="14" spans="1:20">
      <c r="A14" s="2" t="s">
        <v>24</v>
      </c>
      <c r="B14" s="2" t="s">
        <v>30</v>
      </c>
      <c r="C14" s="1">
        <v>13</v>
      </c>
      <c r="D14" s="2" t="s">
        <v>16</v>
      </c>
      <c r="E14" s="6" t="s">
        <v>171</v>
      </c>
      <c r="F14" s="1">
        <v>4</v>
      </c>
      <c r="G14" s="1">
        <v>3</v>
      </c>
      <c r="H14" s="2" t="s">
        <v>9</v>
      </c>
      <c r="I14" s="5" t="str">
        <f>IF(IF(Table44246665[[#This Row],[Pre or Post]]="Pre",1,0)+IF(ISNUMBER(Table44246665[[#This Row],[Response]])=TRUE,1,0)=2,1,"")</f>
        <v/>
      </c>
      <c r="J14" s="5">
        <f>IF(IF(Table44246665[[#This Row],[Pre or Post]]="Post",1,0)+IF(ISNUMBER(Table44246665[[#This Row],[Response]])=TRUE,1,0)=2,1,"")</f>
        <v>1</v>
      </c>
      <c r="K14" s="6" t="str">
        <f>IF(IF(Table44246665[[#This Row],[Pre or Post]]="Pre",1,0)+IF(ISNUMBER(Table44246665[[#This Row],[Response]])=TRUE,1,0)=2,Table44246665[[#This Row],[Response]],"")</f>
        <v/>
      </c>
      <c r="L14" s="6">
        <f>IF(IF(Table44246665[[#This Row],[Pre or Post]]="Post",1,0)+IF(ISNUMBER(Table44246665[[#This Row],[Response]])=TRUE,1,0)=2,Table44246665[[#This Row],[Response]],"")</f>
        <v>3</v>
      </c>
      <c r="M14" s="5" t="str">
        <f>IF(IF(ISNUMBER(K14),1,0)+IF(ISNUMBER(L15),1,0)=2,IF(IF(C15=C14,1,0)+IF(B15=B14,1,0)+IF(D15="Post",1,0)+IF(D14="Pre",1,0)=4,Table44246665[[#This Row],[Pre Total]],""),"")</f>
        <v/>
      </c>
      <c r="N14" s="5" t="str">
        <f>IF(IF(ISNUMBER(K13),1,0)+IF(ISNUMBER(Table44246665[[#This Row],[Post Total]]),1,0)=2,IF(IF(Table44246665[[#This Row],[Student Number]]=C13,1,0)+IF(Table44246665[[#This Row],[Session]]=B13,1,0)+IF(Table44246665[[#This Row],[Pre or Post]]="Post",1,0)+IF(D13="Pre",1,0)=4,Table44246665[[#This Row],[Post Total]],""),"")</f>
        <v/>
      </c>
      <c r="O14" s="5" t="str">
        <f>IF(IF(ISNUMBER(K13),1,0)+IF(ISNUMBER(Table44246665[[#This Row],[Post Total]]),1,0)=2,IF(IF(Table44246665[[#This Row],[Student Number]]=C13,1,0)+IF(Table44246665[[#This Row],[Session]]=B13,1,0)+IF(Table44246665[[#This Row],[Pre or Post]]="Post",1,0)+IF(D13="Pre",1,0)=4,Table44246665[[#This Row],[Post Total]]-K13,""),"")</f>
        <v/>
      </c>
      <c r="P14" s="5" t="b">
        <f>ISNUMBER(Table44246665[[#This Row],[Change]])</f>
        <v>0</v>
      </c>
      <c r="Q14" s="5" t="str">
        <f>IF(E13="Yes",Table44246665[[#This Row],[Change]],"")</f>
        <v/>
      </c>
      <c r="R14" s="5" t="str">
        <f>IF(E13="No",Table44246665[[#This Row],[Change]],"")</f>
        <v/>
      </c>
      <c r="S14" s="5" t="b">
        <f>ISNUMBER(Table44246665[[#This Row],[If Pre3 Yes]])</f>
        <v>0</v>
      </c>
      <c r="T14" s="5" t="b">
        <f>ISNUMBER(Table44246665[[#This Row],[If Pre3 No]])</f>
        <v>0</v>
      </c>
    </row>
    <row r="15" spans="1:20">
      <c r="A15" s="2" t="s">
        <v>24</v>
      </c>
      <c r="B15" s="2" t="s">
        <v>30</v>
      </c>
      <c r="C15" s="1">
        <v>14</v>
      </c>
      <c r="D15" s="2" t="s">
        <v>16</v>
      </c>
      <c r="E15" s="6" t="s">
        <v>171</v>
      </c>
      <c r="F15" s="1">
        <v>4</v>
      </c>
      <c r="G15" s="1">
        <v>3</v>
      </c>
      <c r="H15" s="2" t="s">
        <v>9</v>
      </c>
      <c r="I15" s="6" t="str">
        <f>IF(IF(Table44246665[[#This Row],[Pre or Post]]="Pre",1,0)+IF(ISNUMBER(Table44246665[[#This Row],[Response]])=TRUE,1,0)=2,1,"")</f>
        <v/>
      </c>
      <c r="J15" s="6">
        <f>IF(IF(Table44246665[[#This Row],[Pre or Post]]="Post",1,0)+IF(ISNUMBER(Table44246665[[#This Row],[Response]])=TRUE,1,0)=2,1,"")</f>
        <v>1</v>
      </c>
      <c r="K15" s="6" t="str">
        <f>IF(IF(Table44246665[[#This Row],[Pre or Post]]="Pre",1,0)+IF(ISNUMBER(Table44246665[[#This Row],[Response]])=TRUE,1,0)=2,Table44246665[[#This Row],[Response]],"")</f>
        <v/>
      </c>
      <c r="L15" s="6">
        <f>IF(IF(Table44246665[[#This Row],[Pre or Post]]="Post",1,0)+IF(ISNUMBER(Table44246665[[#This Row],[Response]])=TRUE,1,0)=2,Table44246665[[#This Row],[Response]],"")</f>
        <v>3</v>
      </c>
      <c r="M15" s="6" t="str">
        <f>IF(IF(ISNUMBER(K15),1,0)+IF(ISNUMBER(L16),1,0)=2,IF(IF(C16=C15,1,0)+IF(B16=B15,1,0)+IF(D16="Post",1,0)+IF(D15="Pre",1,0)=4,Table44246665[[#This Row],[Pre Total]],""),"")</f>
        <v/>
      </c>
      <c r="N15" s="6" t="str">
        <f>IF(IF(ISNUMBER(K14),1,0)+IF(ISNUMBER(Table44246665[[#This Row],[Post Total]]),1,0)=2,IF(IF(Table44246665[[#This Row],[Student Number]]=C14,1,0)+IF(Table44246665[[#This Row],[Session]]=B14,1,0)+IF(Table44246665[[#This Row],[Pre or Post]]="Post",1,0)+IF(D14="Pre",1,0)=4,Table44246665[[#This Row],[Post Total]],""),"")</f>
        <v/>
      </c>
      <c r="O15" s="6" t="str">
        <f>IF(IF(ISNUMBER(K14),1,0)+IF(ISNUMBER(Table44246665[[#This Row],[Post Total]]),1,0)=2,IF(IF(Table44246665[[#This Row],[Student Number]]=C14,1,0)+IF(Table44246665[[#This Row],[Session]]=B14,1,0)+IF(Table44246665[[#This Row],[Pre or Post]]="Post",1,0)+IF(D14="Pre",1,0)=4,Table44246665[[#This Row],[Post Total]]-K14,""),"")</f>
        <v/>
      </c>
      <c r="P15" s="6" t="b">
        <f>ISNUMBER(Table44246665[[#This Row],[Change]])</f>
        <v>0</v>
      </c>
      <c r="Q15" s="5" t="str">
        <f>IF(E14="Yes",Table44246665[[#This Row],[Change]],"")</f>
        <v/>
      </c>
      <c r="R15" s="5" t="str">
        <f>IF(E14="No",Table44246665[[#This Row],[Change]],"")</f>
        <v/>
      </c>
      <c r="S15" s="5" t="b">
        <f>ISNUMBER(Table44246665[[#This Row],[If Pre3 Yes]])</f>
        <v>0</v>
      </c>
      <c r="T15" s="5" t="b">
        <f>ISNUMBER(Table44246665[[#This Row],[If Pre3 No]])</f>
        <v>0</v>
      </c>
    </row>
    <row r="16" spans="1:20">
      <c r="A16" s="2" t="s">
        <v>24</v>
      </c>
      <c r="B16" s="2" t="s">
        <v>30</v>
      </c>
      <c r="C16" s="1">
        <v>15</v>
      </c>
      <c r="D16" s="2" t="s">
        <v>16</v>
      </c>
      <c r="E16" s="6" t="s">
        <v>171</v>
      </c>
      <c r="F16" s="1">
        <v>4</v>
      </c>
      <c r="G16" s="1">
        <v>3</v>
      </c>
      <c r="H16" s="2" t="s">
        <v>9</v>
      </c>
      <c r="I16" s="5" t="str">
        <f>IF(IF(Table44246665[[#This Row],[Pre or Post]]="Pre",1,0)+IF(ISNUMBER(Table44246665[[#This Row],[Response]])=TRUE,1,0)=2,1,"")</f>
        <v/>
      </c>
      <c r="J16" s="5">
        <f>IF(IF(Table44246665[[#This Row],[Pre or Post]]="Post",1,0)+IF(ISNUMBER(Table44246665[[#This Row],[Response]])=TRUE,1,0)=2,1,"")</f>
        <v>1</v>
      </c>
      <c r="K16" s="6" t="str">
        <f>IF(IF(Table44246665[[#This Row],[Pre or Post]]="Pre",1,0)+IF(ISNUMBER(Table44246665[[#This Row],[Response]])=TRUE,1,0)=2,Table44246665[[#This Row],[Response]],"")</f>
        <v/>
      </c>
      <c r="L16" s="6">
        <f>IF(IF(Table44246665[[#This Row],[Pre or Post]]="Post",1,0)+IF(ISNUMBER(Table44246665[[#This Row],[Response]])=TRUE,1,0)=2,Table44246665[[#This Row],[Response]],"")</f>
        <v>3</v>
      </c>
      <c r="M16" s="5" t="str">
        <f>IF(IF(ISNUMBER(K16),1,0)+IF(ISNUMBER(L17),1,0)=2,IF(IF(C17=C16,1,0)+IF(B17=B16,1,0)+IF(D17="Post",1,0)+IF(D16="Pre",1,0)=4,Table44246665[[#This Row],[Pre Total]],""),"")</f>
        <v/>
      </c>
      <c r="N16" s="5" t="str">
        <f>IF(IF(ISNUMBER(K15),1,0)+IF(ISNUMBER(Table44246665[[#This Row],[Post Total]]),1,0)=2,IF(IF(Table44246665[[#This Row],[Student Number]]=C15,1,0)+IF(Table44246665[[#This Row],[Session]]=B15,1,0)+IF(Table44246665[[#This Row],[Pre or Post]]="Post",1,0)+IF(D15="Pre",1,0)=4,Table44246665[[#This Row],[Post Total]],""),"")</f>
        <v/>
      </c>
      <c r="O16" s="5" t="str">
        <f>IF(IF(ISNUMBER(K15),1,0)+IF(ISNUMBER(Table44246665[[#This Row],[Post Total]]),1,0)=2,IF(IF(Table44246665[[#This Row],[Student Number]]=C15,1,0)+IF(Table44246665[[#This Row],[Session]]=B15,1,0)+IF(Table44246665[[#This Row],[Pre or Post]]="Post",1,0)+IF(D15="Pre",1,0)=4,Table44246665[[#This Row],[Post Total]]-K15,""),"")</f>
        <v/>
      </c>
      <c r="P16" s="5" t="b">
        <f>ISNUMBER(Table44246665[[#This Row],[Change]])</f>
        <v>0</v>
      </c>
      <c r="Q16" s="5" t="str">
        <f>IF(E15="Yes",Table44246665[[#This Row],[Change]],"")</f>
        <v/>
      </c>
      <c r="R16" s="5" t="str">
        <f>IF(E15="No",Table44246665[[#This Row],[Change]],"")</f>
        <v/>
      </c>
      <c r="S16" s="5" t="b">
        <f>ISNUMBER(Table44246665[[#This Row],[If Pre3 Yes]])</f>
        <v>0</v>
      </c>
      <c r="T16" s="5" t="b">
        <f>ISNUMBER(Table44246665[[#This Row],[If Pre3 No]])</f>
        <v>0</v>
      </c>
    </row>
    <row r="17" spans="1:20">
      <c r="A17" s="2" t="s">
        <v>24</v>
      </c>
      <c r="B17" s="2" t="s">
        <v>30</v>
      </c>
      <c r="C17" s="1">
        <v>16</v>
      </c>
      <c r="D17" s="2" t="s">
        <v>16</v>
      </c>
      <c r="E17" s="6" t="s">
        <v>171</v>
      </c>
      <c r="F17" s="1">
        <v>4</v>
      </c>
      <c r="G17" s="1">
        <v>5</v>
      </c>
      <c r="H17" s="2" t="s">
        <v>9</v>
      </c>
      <c r="I17" s="5" t="str">
        <f>IF(IF(Table44246665[[#This Row],[Pre or Post]]="Pre",1,0)+IF(ISNUMBER(Table44246665[[#This Row],[Response]])=TRUE,1,0)=2,1,"")</f>
        <v/>
      </c>
      <c r="J17" s="5">
        <f>IF(IF(Table44246665[[#This Row],[Pre or Post]]="Post",1,0)+IF(ISNUMBER(Table44246665[[#This Row],[Response]])=TRUE,1,0)=2,1,"")</f>
        <v>1</v>
      </c>
      <c r="K17" s="6" t="str">
        <f>IF(IF(Table44246665[[#This Row],[Pre or Post]]="Pre",1,0)+IF(ISNUMBER(Table44246665[[#This Row],[Response]])=TRUE,1,0)=2,Table44246665[[#This Row],[Response]],"")</f>
        <v/>
      </c>
      <c r="L17" s="6">
        <f>IF(IF(Table44246665[[#This Row],[Pre or Post]]="Post",1,0)+IF(ISNUMBER(Table44246665[[#This Row],[Response]])=TRUE,1,0)=2,Table44246665[[#This Row],[Response]],"")</f>
        <v>5</v>
      </c>
      <c r="M17" s="5" t="str">
        <f>IF(IF(ISNUMBER(K17),1,0)+IF(ISNUMBER(L18),1,0)=2,IF(IF(C18=C17,1,0)+IF(B18=B17,1,0)+IF(D18="Post",1,0)+IF(D17="Pre",1,0)=4,Table44246665[[#This Row],[Pre Total]],""),"")</f>
        <v/>
      </c>
      <c r="N17" s="5" t="str">
        <f>IF(IF(ISNUMBER(K16),1,0)+IF(ISNUMBER(Table44246665[[#This Row],[Post Total]]),1,0)=2,IF(IF(Table44246665[[#This Row],[Student Number]]=C16,1,0)+IF(Table44246665[[#This Row],[Session]]=B16,1,0)+IF(Table44246665[[#This Row],[Pre or Post]]="Post",1,0)+IF(D16="Pre",1,0)=4,Table44246665[[#This Row],[Post Total]],""),"")</f>
        <v/>
      </c>
      <c r="O17" s="5" t="str">
        <f>IF(IF(ISNUMBER(K16),1,0)+IF(ISNUMBER(Table44246665[[#This Row],[Post Total]]),1,0)=2,IF(IF(Table44246665[[#This Row],[Student Number]]=C16,1,0)+IF(Table44246665[[#This Row],[Session]]=B16,1,0)+IF(Table44246665[[#This Row],[Pre or Post]]="Post",1,0)+IF(D16="Pre",1,0)=4,Table44246665[[#This Row],[Post Total]]-K16,""),"")</f>
        <v/>
      </c>
      <c r="P17" s="5" t="b">
        <f>ISNUMBER(Table44246665[[#This Row],[Change]])</f>
        <v>0</v>
      </c>
      <c r="Q17" s="5" t="str">
        <f>IF(E16="Yes",Table44246665[[#This Row],[Change]],"")</f>
        <v/>
      </c>
      <c r="R17" s="5" t="str">
        <f>IF(E16="No",Table44246665[[#This Row],[Change]],"")</f>
        <v/>
      </c>
      <c r="S17" s="5" t="b">
        <f>ISNUMBER(Table44246665[[#This Row],[If Pre3 Yes]])</f>
        <v>0</v>
      </c>
      <c r="T17" s="5" t="b">
        <f>ISNUMBER(Table44246665[[#This Row],[If Pre3 No]])</f>
        <v>0</v>
      </c>
    </row>
    <row r="18" spans="1:20">
      <c r="A18" s="2" t="s">
        <v>24</v>
      </c>
      <c r="B18" s="2" t="s">
        <v>30</v>
      </c>
      <c r="C18" s="1">
        <v>17</v>
      </c>
      <c r="D18" s="2" t="s">
        <v>16</v>
      </c>
      <c r="E18" s="6" t="s">
        <v>171</v>
      </c>
      <c r="F18" s="1">
        <v>4</v>
      </c>
      <c r="G18" s="1">
        <v>3</v>
      </c>
      <c r="H18" s="2" t="s">
        <v>9</v>
      </c>
      <c r="I18" s="5" t="str">
        <f>IF(IF(Table44246665[[#This Row],[Pre or Post]]="Pre",1,0)+IF(ISNUMBER(Table44246665[[#This Row],[Response]])=TRUE,1,0)=2,1,"")</f>
        <v/>
      </c>
      <c r="J18" s="5">
        <f>IF(IF(Table44246665[[#This Row],[Pre or Post]]="Post",1,0)+IF(ISNUMBER(Table44246665[[#This Row],[Response]])=TRUE,1,0)=2,1,"")</f>
        <v>1</v>
      </c>
      <c r="K18" s="6" t="str">
        <f>IF(IF(Table44246665[[#This Row],[Pre or Post]]="Pre",1,0)+IF(ISNUMBER(Table44246665[[#This Row],[Response]])=TRUE,1,0)=2,Table44246665[[#This Row],[Response]],"")</f>
        <v/>
      </c>
      <c r="L18" s="6">
        <f>IF(IF(Table44246665[[#This Row],[Pre or Post]]="Post",1,0)+IF(ISNUMBER(Table44246665[[#This Row],[Response]])=TRUE,1,0)=2,Table44246665[[#This Row],[Response]],"")</f>
        <v>3</v>
      </c>
      <c r="M18" s="5" t="str">
        <f>IF(IF(ISNUMBER(K18),1,0)+IF(ISNUMBER(L19),1,0)=2,IF(IF(C19=C18,1,0)+IF(B19=B18,1,0)+IF(D19="Post",1,0)+IF(D18="Pre",1,0)=4,Table44246665[[#This Row],[Pre Total]],""),"")</f>
        <v/>
      </c>
      <c r="N18" s="5" t="str">
        <f>IF(IF(ISNUMBER(K17),1,0)+IF(ISNUMBER(Table44246665[[#This Row],[Post Total]]),1,0)=2,IF(IF(Table44246665[[#This Row],[Student Number]]=C17,1,0)+IF(Table44246665[[#This Row],[Session]]=B17,1,0)+IF(Table44246665[[#This Row],[Pre or Post]]="Post",1,0)+IF(D17="Pre",1,0)=4,Table44246665[[#This Row],[Post Total]],""),"")</f>
        <v/>
      </c>
      <c r="O18" s="5" t="str">
        <f>IF(IF(ISNUMBER(K17),1,0)+IF(ISNUMBER(Table44246665[[#This Row],[Post Total]]),1,0)=2,IF(IF(Table44246665[[#This Row],[Student Number]]=C17,1,0)+IF(Table44246665[[#This Row],[Session]]=B17,1,0)+IF(Table44246665[[#This Row],[Pre or Post]]="Post",1,0)+IF(D17="Pre",1,0)=4,Table44246665[[#This Row],[Post Total]]-K17,""),"")</f>
        <v/>
      </c>
      <c r="P18" s="5" t="b">
        <f>ISNUMBER(Table44246665[[#This Row],[Change]])</f>
        <v>0</v>
      </c>
      <c r="Q18" s="5" t="str">
        <f>IF(E17="Yes",Table44246665[[#This Row],[Change]],"")</f>
        <v/>
      </c>
      <c r="R18" s="5" t="str">
        <f>IF(E17="No",Table44246665[[#This Row],[Change]],"")</f>
        <v/>
      </c>
      <c r="S18" s="5" t="b">
        <f>ISNUMBER(Table44246665[[#This Row],[If Pre3 Yes]])</f>
        <v>0</v>
      </c>
      <c r="T18" s="5" t="b">
        <f>ISNUMBER(Table44246665[[#This Row],[If Pre3 No]])</f>
        <v>0</v>
      </c>
    </row>
    <row r="19" spans="1:20">
      <c r="A19" s="2" t="s">
        <v>24</v>
      </c>
      <c r="B19" s="2" t="s">
        <v>30</v>
      </c>
      <c r="C19" s="1">
        <v>18</v>
      </c>
      <c r="D19" s="2" t="s">
        <v>16</v>
      </c>
      <c r="E19" s="6" t="s">
        <v>171</v>
      </c>
      <c r="F19" s="1">
        <v>4</v>
      </c>
      <c r="G19" s="1">
        <v>2</v>
      </c>
      <c r="H19" s="2" t="s">
        <v>9</v>
      </c>
      <c r="I19" s="6" t="str">
        <f>IF(IF(Table44246665[[#This Row],[Pre or Post]]="Pre",1,0)+IF(ISNUMBER(Table44246665[[#This Row],[Response]])=TRUE,1,0)=2,1,"")</f>
        <v/>
      </c>
      <c r="J19" s="6">
        <f>IF(IF(Table44246665[[#This Row],[Pre or Post]]="Post",1,0)+IF(ISNUMBER(Table44246665[[#This Row],[Response]])=TRUE,1,0)=2,1,"")</f>
        <v>1</v>
      </c>
      <c r="K19" s="6" t="str">
        <f>IF(IF(Table44246665[[#This Row],[Pre or Post]]="Pre",1,0)+IF(ISNUMBER(Table44246665[[#This Row],[Response]])=TRUE,1,0)=2,Table44246665[[#This Row],[Response]],"")</f>
        <v/>
      </c>
      <c r="L19" s="6">
        <f>IF(IF(Table44246665[[#This Row],[Pre or Post]]="Post",1,0)+IF(ISNUMBER(Table44246665[[#This Row],[Response]])=TRUE,1,0)=2,Table44246665[[#This Row],[Response]],"")</f>
        <v>2</v>
      </c>
      <c r="M19" s="6" t="str">
        <f>IF(IF(ISNUMBER(K19),1,0)+IF(ISNUMBER(L20),1,0)=2,IF(IF(C20=C19,1,0)+IF(B20=B19,1,0)+IF(D20="Post",1,0)+IF(D19="Pre",1,0)=4,Table44246665[[#This Row],[Pre Total]],""),"")</f>
        <v/>
      </c>
      <c r="N19" s="6" t="str">
        <f>IF(IF(ISNUMBER(K18),1,0)+IF(ISNUMBER(Table44246665[[#This Row],[Post Total]]),1,0)=2,IF(IF(Table44246665[[#This Row],[Student Number]]=C18,1,0)+IF(Table44246665[[#This Row],[Session]]=B18,1,0)+IF(Table44246665[[#This Row],[Pre or Post]]="Post",1,0)+IF(D18="Pre",1,0)=4,Table44246665[[#This Row],[Post Total]],""),"")</f>
        <v/>
      </c>
      <c r="O19" s="6" t="str">
        <f>IF(IF(ISNUMBER(K18),1,0)+IF(ISNUMBER(Table44246665[[#This Row],[Post Total]]),1,0)=2,IF(IF(Table44246665[[#This Row],[Student Number]]=C18,1,0)+IF(Table44246665[[#This Row],[Session]]=B18,1,0)+IF(Table44246665[[#This Row],[Pre or Post]]="Post",1,0)+IF(D18="Pre",1,0)=4,Table44246665[[#This Row],[Post Total]]-K18,""),"")</f>
        <v/>
      </c>
      <c r="P19" s="6" t="b">
        <f>ISNUMBER(Table44246665[[#This Row],[Change]])</f>
        <v>0</v>
      </c>
      <c r="Q19" s="5" t="str">
        <f>IF(E18="Yes",Table44246665[[#This Row],[Change]],"")</f>
        <v/>
      </c>
      <c r="R19" s="5" t="str">
        <f>IF(E18="No",Table44246665[[#This Row],[Change]],"")</f>
        <v/>
      </c>
      <c r="S19" s="5" t="b">
        <f>ISNUMBER(Table44246665[[#This Row],[If Pre3 Yes]])</f>
        <v>0</v>
      </c>
      <c r="T19" s="5" t="b">
        <f>ISNUMBER(Table44246665[[#This Row],[If Pre3 No]])</f>
        <v>0</v>
      </c>
    </row>
    <row r="20" spans="1:20">
      <c r="A20" s="2" t="s">
        <v>24</v>
      </c>
      <c r="B20" s="2" t="s">
        <v>30</v>
      </c>
      <c r="C20" s="2">
        <v>19</v>
      </c>
      <c r="D20" s="2" t="s">
        <v>16</v>
      </c>
      <c r="E20" s="6" t="s">
        <v>171</v>
      </c>
      <c r="F20" s="1">
        <v>4</v>
      </c>
      <c r="G20" s="1">
        <v>2</v>
      </c>
      <c r="H20" s="2" t="s">
        <v>9</v>
      </c>
      <c r="I20" s="5" t="str">
        <f>IF(IF(Table44246665[[#This Row],[Pre or Post]]="Pre",1,0)+IF(ISNUMBER(Table44246665[[#This Row],[Response]])=TRUE,1,0)=2,1,"")</f>
        <v/>
      </c>
      <c r="J20" s="5">
        <f>IF(IF(Table44246665[[#This Row],[Pre or Post]]="Post",1,0)+IF(ISNUMBER(Table44246665[[#This Row],[Response]])=TRUE,1,0)=2,1,"")</f>
        <v>1</v>
      </c>
      <c r="K20" s="6" t="str">
        <f>IF(IF(Table44246665[[#This Row],[Pre or Post]]="Pre",1,0)+IF(ISNUMBER(Table44246665[[#This Row],[Response]])=TRUE,1,0)=2,Table44246665[[#This Row],[Response]],"")</f>
        <v/>
      </c>
      <c r="L20" s="6">
        <f>IF(IF(Table44246665[[#This Row],[Pre or Post]]="Post",1,0)+IF(ISNUMBER(Table44246665[[#This Row],[Response]])=TRUE,1,0)=2,Table44246665[[#This Row],[Response]],"")</f>
        <v>2</v>
      </c>
      <c r="M20" s="5" t="str">
        <f>IF(IF(ISNUMBER(K20),1,0)+IF(ISNUMBER(L21),1,0)=2,IF(IF(C21=C20,1,0)+IF(B21=B20,1,0)+IF(D21="Post",1,0)+IF(D20="Pre",1,0)=4,Table44246665[[#This Row],[Pre Total]],""),"")</f>
        <v/>
      </c>
      <c r="N20" s="5" t="str">
        <f>IF(IF(ISNUMBER(K19),1,0)+IF(ISNUMBER(Table44246665[[#This Row],[Post Total]]),1,0)=2,IF(IF(Table44246665[[#This Row],[Student Number]]=C19,1,0)+IF(Table44246665[[#This Row],[Session]]=B19,1,0)+IF(Table44246665[[#This Row],[Pre or Post]]="Post",1,0)+IF(D19="Pre",1,0)=4,Table44246665[[#This Row],[Post Total]],""),"")</f>
        <v/>
      </c>
      <c r="O20" s="5" t="str">
        <f>IF(IF(ISNUMBER(K19),1,0)+IF(ISNUMBER(Table44246665[[#This Row],[Post Total]]),1,0)=2,IF(IF(Table44246665[[#This Row],[Student Number]]=C19,1,0)+IF(Table44246665[[#This Row],[Session]]=B19,1,0)+IF(Table44246665[[#This Row],[Pre or Post]]="Post",1,0)+IF(D19="Pre",1,0)=4,Table44246665[[#This Row],[Post Total]]-K19,""),"")</f>
        <v/>
      </c>
      <c r="P20" s="5" t="b">
        <f>ISNUMBER(Table44246665[[#This Row],[Change]])</f>
        <v>0</v>
      </c>
      <c r="Q20" s="5" t="str">
        <f>IF(E19="Yes",Table44246665[[#This Row],[Change]],"")</f>
        <v/>
      </c>
      <c r="R20" s="5" t="str">
        <f>IF(E19="No",Table44246665[[#This Row],[Change]],"")</f>
        <v/>
      </c>
      <c r="S20" s="5" t="b">
        <f>ISNUMBER(Table44246665[[#This Row],[If Pre3 Yes]])</f>
        <v>0</v>
      </c>
      <c r="T20" s="5" t="b">
        <f>ISNUMBER(Table44246665[[#This Row],[If Pre3 No]])</f>
        <v>0</v>
      </c>
    </row>
    <row r="21" spans="1:20">
      <c r="A21" s="1" t="s">
        <v>24</v>
      </c>
      <c r="B21" s="1" t="s">
        <v>23</v>
      </c>
      <c r="C21" s="1">
        <v>1</v>
      </c>
      <c r="D21" s="1" t="s">
        <v>6</v>
      </c>
      <c r="E21" s="5" t="s">
        <v>8</v>
      </c>
      <c r="F21" s="1">
        <v>11</v>
      </c>
      <c r="G21" s="1">
        <v>2</v>
      </c>
      <c r="H21" s="1" t="s">
        <v>8</v>
      </c>
      <c r="I21" s="6">
        <f>IF(IF(Table44246665[[#This Row],[Pre or Post]]="Pre",1,0)+IF(ISNUMBER(Table44246665[[#This Row],[Response]])=TRUE,1,0)=2,1,"")</f>
        <v>1</v>
      </c>
      <c r="J21" s="6" t="str">
        <f>IF(IF(Table44246665[[#This Row],[Pre or Post]]="Post",1,0)+IF(ISNUMBER(Table44246665[[#This Row],[Response]])=TRUE,1,0)=2,1,"")</f>
        <v/>
      </c>
      <c r="K21" s="6">
        <f>IF(IF(Table44246665[[#This Row],[Pre or Post]]="Pre",1,0)+IF(ISNUMBER(Table44246665[[#This Row],[Response]])=TRUE,1,0)=2,Table44246665[[#This Row],[Response]],"")</f>
        <v>2</v>
      </c>
      <c r="L21" s="6" t="str">
        <f>IF(IF(Table44246665[[#This Row],[Pre or Post]]="Post",1,0)+IF(ISNUMBER(Table44246665[[#This Row],[Response]])=TRUE,1,0)=2,Table44246665[[#This Row],[Response]],"")</f>
        <v/>
      </c>
      <c r="M21" s="6">
        <f>IF(IF(ISNUMBER(K21),1,0)+IF(ISNUMBER(L22),1,0)=2,IF(IF(C22=C21,1,0)+IF(B22=B21,1,0)+IF(D22="Post",1,0)+IF(D21="Pre",1,0)=4,Table44246665[[#This Row],[Pre Total]],""),"")</f>
        <v>2</v>
      </c>
      <c r="N21" s="6" t="str">
        <f>IF(IF(ISNUMBER(K20),1,0)+IF(ISNUMBER(Table44246665[[#This Row],[Post Total]]),1,0)=2,IF(IF(Table44246665[[#This Row],[Student Number]]=C20,1,0)+IF(Table44246665[[#This Row],[Session]]=B20,1,0)+IF(Table44246665[[#This Row],[Pre or Post]]="Post",1,0)+IF(D20="Pre",1,0)=4,Table44246665[[#This Row],[Post Total]],""),"")</f>
        <v/>
      </c>
      <c r="O21" s="6" t="str">
        <f>IF(IF(ISNUMBER(K20),1,0)+IF(ISNUMBER(Table44246665[[#This Row],[Post Total]]),1,0)=2,IF(IF(Table44246665[[#This Row],[Student Number]]=C20,1,0)+IF(Table44246665[[#This Row],[Session]]=B20,1,0)+IF(Table44246665[[#This Row],[Pre or Post]]="Post",1,0)+IF(D20="Pre",1,0)=4,Table44246665[[#This Row],[Post Total]]-K20,""),"")</f>
        <v/>
      </c>
      <c r="P21" s="6" t="b">
        <f>ISNUMBER(Table44246665[[#This Row],[Change]])</f>
        <v>0</v>
      </c>
      <c r="Q21" s="5" t="str">
        <f>IF(E20="Yes",Table44246665[[#This Row],[Change]],"")</f>
        <v/>
      </c>
      <c r="R21" s="5" t="str">
        <f>IF(E20="No",Table44246665[[#This Row],[Change]],"")</f>
        <v/>
      </c>
      <c r="S21" s="5" t="b">
        <f>ISNUMBER(Table44246665[[#This Row],[If Pre3 Yes]])</f>
        <v>0</v>
      </c>
      <c r="T21" s="5" t="b">
        <f>ISNUMBER(Table44246665[[#This Row],[If Pre3 No]])</f>
        <v>0</v>
      </c>
    </row>
    <row r="22" spans="1:20">
      <c r="A22" s="1" t="s">
        <v>24</v>
      </c>
      <c r="B22" s="1" t="s">
        <v>23</v>
      </c>
      <c r="C22" s="1">
        <v>1</v>
      </c>
      <c r="D22" s="1" t="s">
        <v>16</v>
      </c>
      <c r="E22" s="5"/>
      <c r="F22" s="1">
        <v>4</v>
      </c>
      <c r="G22" s="1">
        <v>3</v>
      </c>
      <c r="H22" s="1" t="s">
        <v>8</v>
      </c>
      <c r="I22" s="5" t="str">
        <f>IF(IF(Table44246665[[#This Row],[Pre or Post]]="Pre",1,0)+IF(ISNUMBER(Table44246665[[#This Row],[Response]])=TRUE,1,0)=2,1,"")</f>
        <v/>
      </c>
      <c r="J22" s="5">
        <f>IF(IF(Table44246665[[#This Row],[Pre or Post]]="Post",1,0)+IF(ISNUMBER(Table44246665[[#This Row],[Response]])=TRUE,1,0)=2,1,"")</f>
        <v>1</v>
      </c>
      <c r="K22" s="6" t="str">
        <f>IF(IF(Table44246665[[#This Row],[Pre or Post]]="Pre",1,0)+IF(ISNUMBER(Table44246665[[#This Row],[Response]])=TRUE,1,0)=2,Table44246665[[#This Row],[Response]],"")</f>
        <v/>
      </c>
      <c r="L22" s="6">
        <f>IF(IF(Table44246665[[#This Row],[Pre or Post]]="Post",1,0)+IF(ISNUMBER(Table44246665[[#This Row],[Response]])=TRUE,1,0)=2,Table44246665[[#This Row],[Response]],"")</f>
        <v>3</v>
      </c>
      <c r="M22" s="5" t="str">
        <f>IF(IF(ISNUMBER(K22),1,0)+IF(ISNUMBER(L23),1,0)=2,IF(IF(C23=C22,1,0)+IF(B23=B22,1,0)+IF(D23="Post",1,0)+IF(D22="Pre",1,0)=4,Table44246665[[#This Row],[Pre Total]],""),"")</f>
        <v/>
      </c>
      <c r="N22" s="5">
        <f>IF(IF(ISNUMBER(K21),1,0)+IF(ISNUMBER(Table44246665[[#This Row],[Post Total]]),1,0)=2,IF(IF(Table44246665[[#This Row],[Student Number]]=C21,1,0)+IF(Table44246665[[#This Row],[Session]]=B21,1,0)+IF(Table44246665[[#This Row],[Pre or Post]]="Post",1,0)+IF(D21="Pre",1,0)=4,Table44246665[[#This Row],[Post Total]],""),"")</f>
        <v>3</v>
      </c>
      <c r="O22" s="5">
        <f>IF(IF(ISNUMBER(K21),1,0)+IF(ISNUMBER(Table44246665[[#This Row],[Post Total]]),1,0)=2,IF(IF(Table44246665[[#This Row],[Student Number]]=C21,1,0)+IF(Table44246665[[#This Row],[Session]]=B21,1,0)+IF(Table44246665[[#This Row],[Pre or Post]]="Post",1,0)+IF(D21="Pre",1,0)=4,Table44246665[[#This Row],[Post Total]]-K21,""),"")</f>
        <v>1</v>
      </c>
      <c r="P22" s="5" t="b">
        <f>ISNUMBER(Table44246665[[#This Row],[Change]])</f>
        <v>1</v>
      </c>
      <c r="Q22" s="5">
        <f>IF(E21="Yes",Table44246665[[#This Row],[Change]],"")</f>
        <v>1</v>
      </c>
      <c r="R22" s="5" t="str">
        <f>IF(E21="No",Table44246665[[#This Row],[Change]],"")</f>
        <v/>
      </c>
      <c r="S22" s="5" t="b">
        <f>ISNUMBER(Table44246665[[#This Row],[If Pre3 Yes]])</f>
        <v>1</v>
      </c>
      <c r="T22" s="5" t="b">
        <f>ISNUMBER(Table44246665[[#This Row],[If Pre3 No]])</f>
        <v>0</v>
      </c>
    </row>
    <row r="23" spans="1:20">
      <c r="A23" s="1" t="s">
        <v>24</v>
      </c>
      <c r="B23" s="1" t="s">
        <v>23</v>
      </c>
      <c r="C23" s="1">
        <v>2</v>
      </c>
      <c r="D23" s="1" t="s">
        <v>6</v>
      </c>
      <c r="E23" s="5" t="s">
        <v>8</v>
      </c>
      <c r="F23" s="1">
        <v>11</v>
      </c>
      <c r="G23" s="1">
        <v>1</v>
      </c>
      <c r="H23" s="1" t="s">
        <v>8</v>
      </c>
      <c r="I23" s="6">
        <f>IF(IF(Table44246665[[#This Row],[Pre or Post]]="Pre",1,0)+IF(ISNUMBER(Table44246665[[#This Row],[Response]])=TRUE,1,0)=2,1,"")</f>
        <v>1</v>
      </c>
      <c r="J23" s="6" t="str">
        <f>IF(IF(Table44246665[[#This Row],[Pre or Post]]="Post",1,0)+IF(ISNUMBER(Table44246665[[#This Row],[Response]])=TRUE,1,0)=2,1,"")</f>
        <v/>
      </c>
      <c r="K23" s="6">
        <f>IF(IF(Table44246665[[#This Row],[Pre or Post]]="Pre",1,0)+IF(ISNUMBER(Table44246665[[#This Row],[Response]])=TRUE,1,0)=2,Table44246665[[#This Row],[Response]],"")</f>
        <v>1</v>
      </c>
      <c r="L23" s="6" t="str">
        <f>IF(IF(Table44246665[[#This Row],[Pre or Post]]="Post",1,0)+IF(ISNUMBER(Table44246665[[#This Row],[Response]])=TRUE,1,0)=2,Table44246665[[#This Row],[Response]],"")</f>
        <v/>
      </c>
      <c r="M23" s="6">
        <f>IF(IF(ISNUMBER(K23),1,0)+IF(ISNUMBER(L24),1,0)=2,IF(IF(C24=C23,1,0)+IF(B24=B23,1,0)+IF(D24="Post",1,0)+IF(D23="Pre",1,0)=4,Table44246665[[#This Row],[Pre Total]],""),"")</f>
        <v>1</v>
      </c>
      <c r="N23" s="6" t="str">
        <f>IF(IF(ISNUMBER(K22),1,0)+IF(ISNUMBER(Table44246665[[#This Row],[Post Total]]),1,0)=2,IF(IF(Table44246665[[#This Row],[Student Number]]=C22,1,0)+IF(Table44246665[[#This Row],[Session]]=B22,1,0)+IF(Table44246665[[#This Row],[Pre or Post]]="Post",1,0)+IF(D22="Pre",1,0)=4,Table44246665[[#This Row],[Post Total]],""),"")</f>
        <v/>
      </c>
      <c r="O23" s="6" t="str">
        <f>IF(IF(ISNUMBER(K22),1,0)+IF(ISNUMBER(Table44246665[[#This Row],[Post Total]]),1,0)=2,IF(IF(Table44246665[[#This Row],[Student Number]]=C22,1,0)+IF(Table44246665[[#This Row],[Session]]=B22,1,0)+IF(Table44246665[[#This Row],[Pre or Post]]="Post",1,0)+IF(D22="Pre",1,0)=4,Table44246665[[#This Row],[Post Total]]-K22,""),"")</f>
        <v/>
      </c>
      <c r="P23" s="6" t="b">
        <f>ISNUMBER(Table44246665[[#This Row],[Change]])</f>
        <v>0</v>
      </c>
      <c r="Q23" s="5" t="str">
        <f>IF(E22="Yes",Table44246665[[#This Row],[Change]],"")</f>
        <v/>
      </c>
      <c r="R23" s="5" t="str">
        <f>IF(E22="No",Table44246665[[#This Row],[Change]],"")</f>
        <v/>
      </c>
      <c r="S23" s="5" t="b">
        <f>ISNUMBER(Table44246665[[#This Row],[If Pre3 Yes]])</f>
        <v>0</v>
      </c>
      <c r="T23" s="5" t="b">
        <f>ISNUMBER(Table44246665[[#This Row],[If Pre3 No]])</f>
        <v>0</v>
      </c>
    </row>
    <row r="24" spans="1:20">
      <c r="A24" s="1" t="s">
        <v>24</v>
      </c>
      <c r="B24" s="1" t="s">
        <v>23</v>
      </c>
      <c r="C24" s="1">
        <v>2</v>
      </c>
      <c r="D24" s="1" t="s">
        <v>16</v>
      </c>
      <c r="E24" s="5"/>
      <c r="F24" s="1">
        <v>4</v>
      </c>
      <c r="G24" s="1">
        <v>1</v>
      </c>
      <c r="H24" s="1" t="s">
        <v>8</v>
      </c>
      <c r="I24" s="5" t="str">
        <f>IF(IF(Table44246665[[#This Row],[Pre or Post]]="Pre",1,0)+IF(ISNUMBER(Table44246665[[#This Row],[Response]])=TRUE,1,0)=2,1,"")</f>
        <v/>
      </c>
      <c r="J24" s="5">
        <f>IF(IF(Table44246665[[#This Row],[Pre or Post]]="Post",1,0)+IF(ISNUMBER(Table44246665[[#This Row],[Response]])=TRUE,1,0)=2,1,"")</f>
        <v>1</v>
      </c>
      <c r="K24" s="6" t="str">
        <f>IF(IF(Table44246665[[#This Row],[Pre or Post]]="Pre",1,0)+IF(ISNUMBER(Table44246665[[#This Row],[Response]])=TRUE,1,0)=2,Table44246665[[#This Row],[Response]],"")</f>
        <v/>
      </c>
      <c r="L24" s="6">
        <f>IF(IF(Table44246665[[#This Row],[Pre or Post]]="Post",1,0)+IF(ISNUMBER(Table44246665[[#This Row],[Response]])=TRUE,1,0)=2,Table44246665[[#This Row],[Response]],"")</f>
        <v>1</v>
      </c>
      <c r="M24" s="5" t="str">
        <f>IF(IF(ISNUMBER(K24),1,0)+IF(ISNUMBER(L25),1,0)=2,IF(IF(C25=C24,1,0)+IF(B25=B24,1,0)+IF(D25="Post",1,0)+IF(D24="Pre",1,0)=4,Table44246665[[#This Row],[Pre Total]],""),"")</f>
        <v/>
      </c>
      <c r="N24" s="5">
        <f>IF(IF(ISNUMBER(K23),1,0)+IF(ISNUMBER(Table44246665[[#This Row],[Post Total]]),1,0)=2,IF(IF(Table44246665[[#This Row],[Student Number]]=C23,1,0)+IF(Table44246665[[#This Row],[Session]]=B23,1,0)+IF(Table44246665[[#This Row],[Pre or Post]]="Post",1,0)+IF(D23="Pre",1,0)=4,Table44246665[[#This Row],[Post Total]],""),"")</f>
        <v>1</v>
      </c>
      <c r="O24" s="5">
        <f>IF(IF(ISNUMBER(K23),1,0)+IF(ISNUMBER(Table44246665[[#This Row],[Post Total]]),1,0)=2,IF(IF(Table44246665[[#This Row],[Student Number]]=C23,1,0)+IF(Table44246665[[#This Row],[Session]]=B23,1,0)+IF(Table44246665[[#This Row],[Pre or Post]]="Post",1,0)+IF(D23="Pre",1,0)=4,Table44246665[[#This Row],[Post Total]]-K23,""),"")</f>
        <v>0</v>
      </c>
      <c r="P24" s="5" t="b">
        <f>ISNUMBER(Table44246665[[#This Row],[Change]])</f>
        <v>1</v>
      </c>
      <c r="Q24" s="5">
        <f>IF(E23="Yes",Table44246665[[#This Row],[Change]],"")</f>
        <v>0</v>
      </c>
      <c r="R24" s="5" t="str">
        <f>IF(E23="No",Table44246665[[#This Row],[Change]],"")</f>
        <v/>
      </c>
      <c r="S24" s="5" t="b">
        <f>ISNUMBER(Table44246665[[#This Row],[If Pre3 Yes]])</f>
        <v>1</v>
      </c>
      <c r="T24" s="5" t="b">
        <f>ISNUMBER(Table44246665[[#This Row],[If Pre3 No]])</f>
        <v>0</v>
      </c>
    </row>
    <row r="25" spans="1:20">
      <c r="A25" s="1" t="s">
        <v>24</v>
      </c>
      <c r="B25" s="1" t="s">
        <v>23</v>
      </c>
      <c r="C25" s="1">
        <v>3</v>
      </c>
      <c r="D25" s="1" t="s">
        <v>6</v>
      </c>
      <c r="E25" s="5" t="s">
        <v>8</v>
      </c>
      <c r="F25" s="1">
        <v>11</v>
      </c>
      <c r="G25" s="1">
        <v>3</v>
      </c>
      <c r="H25" s="1" t="s">
        <v>8</v>
      </c>
      <c r="I25" s="6">
        <f>IF(IF(Table44246665[[#This Row],[Pre or Post]]="Pre",1,0)+IF(ISNUMBER(Table44246665[[#This Row],[Response]])=TRUE,1,0)=2,1,"")</f>
        <v>1</v>
      </c>
      <c r="J25" s="6" t="str">
        <f>IF(IF(Table44246665[[#This Row],[Pre or Post]]="Post",1,0)+IF(ISNUMBER(Table44246665[[#This Row],[Response]])=TRUE,1,0)=2,1,"")</f>
        <v/>
      </c>
      <c r="K25" s="6">
        <f>IF(IF(Table44246665[[#This Row],[Pre or Post]]="Pre",1,0)+IF(ISNUMBER(Table44246665[[#This Row],[Response]])=TRUE,1,0)=2,Table44246665[[#This Row],[Response]],"")</f>
        <v>3</v>
      </c>
      <c r="L25" s="6" t="str">
        <f>IF(IF(Table44246665[[#This Row],[Pre or Post]]="Post",1,0)+IF(ISNUMBER(Table44246665[[#This Row],[Response]])=TRUE,1,0)=2,Table44246665[[#This Row],[Response]],"")</f>
        <v/>
      </c>
      <c r="M25" s="6">
        <f>IF(IF(ISNUMBER(K25),1,0)+IF(ISNUMBER(L26),1,0)=2,IF(IF(C26=C25,1,0)+IF(B26=B25,1,0)+IF(D26="Post",1,0)+IF(D25="Pre",1,0)=4,Table44246665[[#This Row],[Pre Total]],""),"")</f>
        <v>3</v>
      </c>
      <c r="N25" s="6" t="str">
        <f>IF(IF(ISNUMBER(K24),1,0)+IF(ISNUMBER(Table44246665[[#This Row],[Post Total]]),1,0)=2,IF(IF(Table44246665[[#This Row],[Student Number]]=C24,1,0)+IF(Table44246665[[#This Row],[Session]]=B24,1,0)+IF(Table44246665[[#This Row],[Pre or Post]]="Post",1,0)+IF(D24="Pre",1,0)=4,Table44246665[[#This Row],[Post Total]],""),"")</f>
        <v/>
      </c>
      <c r="O25" s="6" t="str">
        <f>IF(IF(ISNUMBER(K24),1,0)+IF(ISNUMBER(Table44246665[[#This Row],[Post Total]]),1,0)=2,IF(IF(Table44246665[[#This Row],[Student Number]]=C24,1,0)+IF(Table44246665[[#This Row],[Session]]=B24,1,0)+IF(Table44246665[[#This Row],[Pre or Post]]="Post",1,0)+IF(D24="Pre",1,0)=4,Table44246665[[#This Row],[Post Total]]-K24,""),"")</f>
        <v/>
      </c>
      <c r="P25" s="6" t="b">
        <f>ISNUMBER(Table44246665[[#This Row],[Change]])</f>
        <v>0</v>
      </c>
      <c r="Q25" s="5" t="str">
        <f>IF(E24="Yes",Table44246665[[#This Row],[Change]],"")</f>
        <v/>
      </c>
      <c r="R25" s="5" t="str">
        <f>IF(E24="No",Table44246665[[#This Row],[Change]],"")</f>
        <v/>
      </c>
      <c r="S25" s="5" t="b">
        <f>ISNUMBER(Table44246665[[#This Row],[If Pre3 Yes]])</f>
        <v>0</v>
      </c>
      <c r="T25" s="5" t="b">
        <f>ISNUMBER(Table44246665[[#This Row],[If Pre3 No]])</f>
        <v>0</v>
      </c>
    </row>
    <row r="26" spans="1:20">
      <c r="A26" s="1" t="s">
        <v>24</v>
      </c>
      <c r="B26" s="1" t="s">
        <v>23</v>
      </c>
      <c r="C26" s="1">
        <v>3</v>
      </c>
      <c r="D26" s="1" t="s">
        <v>16</v>
      </c>
      <c r="E26" s="5"/>
      <c r="F26" s="1">
        <v>4</v>
      </c>
      <c r="G26" s="1">
        <v>3</v>
      </c>
      <c r="H26" s="1" t="s">
        <v>8</v>
      </c>
      <c r="I26" s="5" t="str">
        <f>IF(IF(Table44246665[[#This Row],[Pre or Post]]="Pre",1,0)+IF(ISNUMBER(Table44246665[[#This Row],[Response]])=TRUE,1,0)=2,1,"")</f>
        <v/>
      </c>
      <c r="J26" s="5">
        <f>IF(IF(Table44246665[[#This Row],[Pre or Post]]="Post",1,0)+IF(ISNUMBER(Table44246665[[#This Row],[Response]])=TRUE,1,0)=2,1,"")</f>
        <v>1</v>
      </c>
      <c r="K26" s="6" t="str">
        <f>IF(IF(Table44246665[[#This Row],[Pre or Post]]="Pre",1,0)+IF(ISNUMBER(Table44246665[[#This Row],[Response]])=TRUE,1,0)=2,Table44246665[[#This Row],[Response]],"")</f>
        <v/>
      </c>
      <c r="L26" s="6">
        <f>IF(IF(Table44246665[[#This Row],[Pre or Post]]="Post",1,0)+IF(ISNUMBER(Table44246665[[#This Row],[Response]])=TRUE,1,0)=2,Table44246665[[#This Row],[Response]],"")</f>
        <v>3</v>
      </c>
      <c r="M26" s="5" t="str">
        <f>IF(IF(ISNUMBER(K26),1,0)+IF(ISNUMBER(L27),1,0)=2,IF(IF(C27=C26,1,0)+IF(B27=B26,1,0)+IF(D27="Post",1,0)+IF(D26="Pre",1,0)=4,Table44246665[[#This Row],[Pre Total]],""),"")</f>
        <v/>
      </c>
      <c r="N26" s="5">
        <f>IF(IF(ISNUMBER(K25),1,0)+IF(ISNUMBER(Table44246665[[#This Row],[Post Total]]),1,0)=2,IF(IF(Table44246665[[#This Row],[Student Number]]=C25,1,0)+IF(Table44246665[[#This Row],[Session]]=B25,1,0)+IF(Table44246665[[#This Row],[Pre or Post]]="Post",1,0)+IF(D25="Pre",1,0)=4,Table44246665[[#This Row],[Post Total]],""),"")</f>
        <v>3</v>
      </c>
      <c r="O26" s="5">
        <f>IF(IF(ISNUMBER(K25),1,0)+IF(ISNUMBER(Table44246665[[#This Row],[Post Total]]),1,0)=2,IF(IF(Table44246665[[#This Row],[Student Number]]=C25,1,0)+IF(Table44246665[[#This Row],[Session]]=B25,1,0)+IF(Table44246665[[#This Row],[Pre or Post]]="Post",1,0)+IF(D25="Pre",1,0)=4,Table44246665[[#This Row],[Post Total]]-K25,""),"")</f>
        <v>0</v>
      </c>
      <c r="P26" s="5" t="b">
        <f>ISNUMBER(Table44246665[[#This Row],[Change]])</f>
        <v>1</v>
      </c>
      <c r="Q26" s="5">
        <f>IF(E25="Yes",Table44246665[[#This Row],[Change]],"")</f>
        <v>0</v>
      </c>
      <c r="R26" s="5" t="str">
        <f>IF(E25="No",Table44246665[[#This Row],[Change]],"")</f>
        <v/>
      </c>
      <c r="S26" s="5" t="b">
        <f>ISNUMBER(Table44246665[[#This Row],[If Pre3 Yes]])</f>
        <v>1</v>
      </c>
      <c r="T26" s="5" t="b">
        <f>ISNUMBER(Table44246665[[#This Row],[If Pre3 No]])</f>
        <v>0</v>
      </c>
    </row>
    <row r="27" spans="1:20">
      <c r="A27" s="1" t="s">
        <v>24</v>
      </c>
      <c r="B27" s="1" t="s">
        <v>23</v>
      </c>
      <c r="C27" s="1">
        <v>4</v>
      </c>
      <c r="D27" s="1" t="s">
        <v>6</v>
      </c>
      <c r="E27" s="5" t="s">
        <v>8</v>
      </c>
      <c r="F27" s="1">
        <v>11</v>
      </c>
      <c r="G27" s="1">
        <v>2</v>
      </c>
      <c r="H27" s="1" t="s">
        <v>8</v>
      </c>
      <c r="I27" s="6">
        <f>IF(IF(Table44246665[[#This Row],[Pre or Post]]="Pre",1,0)+IF(ISNUMBER(Table44246665[[#This Row],[Response]])=TRUE,1,0)=2,1,"")</f>
        <v>1</v>
      </c>
      <c r="J27" s="6" t="str">
        <f>IF(IF(Table44246665[[#This Row],[Pre or Post]]="Post",1,0)+IF(ISNUMBER(Table44246665[[#This Row],[Response]])=TRUE,1,0)=2,1,"")</f>
        <v/>
      </c>
      <c r="K27" s="6">
        <f>IF(IF(Table44246665[[#This Row],[Pre or Post]]="Pre",1,0)+IF(ISNUMBER(Table44246665[[#This Row],[Response]])=TRUE,1,0)=2,Table44246665[[#This Row],[Response]],"")</f>
        <v>2</v>
      </c>
      <c r="L27" s="6" t="str">
        <f>IF(IF(Table44246665[[#This Row],[Pre or Post]]="Post",1,0)+IF(ISNUMBER(Table44246665[[#This Row],[Response]])=TRUE,1,0)=2,Table44246665[[#This Row],[Response]],"")</f>
        <v/>
      </c>
      <c r="M27" s="6">
        <f>IF(IF(ISNUMBER(K27),1,0)+IF(ISNUMBER(L28),1,0)=2,IF(IF(C28=C27,1,0)+IF(B28=B27,1,0)+IF(D28="Post",1,0)+IF(D27="Pre",1,0)=4,Table44246665[[#This Row],[Pre Total]],""),"")</f>
        <v>2</v>
      </c>
      <c r="N27" s="6" t="str">
        <f>IF(IF(ISNUMBER(K26),1,0)+IF(ISNUMBER(Table44246665[[#This Row],[Post Total]]),1,0)=2,IF(IF(Table44246665[[#This Row],[Student Number]]=C26,1,0)+IF(Table44246665[[#This Row],[Session]]=B26,1,0)+IF(Table44246665[[#This Row],[Pre or Post]]="Post",1,0)+IF(D26="Pre",1,0)=4,Table44246665[[#This Row],[Post Total]],""),"")</f>
        <v/>
      </c>
      <c r="O27" s="6" t="str">
        <f>IF(IF(ISNUMBER(K26),1,0)+IF(ISNUMBER(Table44246665[[#This Row],[Post Total]]),1,0)=2,IF(IF(Table44246665[[#This Row],[Student Number]]=C26,1,0)+IF(Table44246665[[#This Row],[Session]]=B26,1,0)+IF(Table44246665[[#This Row],[Pre or Post]]="Post",1,0)+IF(D26="Pre",1,0)=4,Table44246665[[#This Row],[Post Total]]-K26,""),"")</f>
        <v/>
      </c>
      <c r="P27" s="6" t="b">
        <f>ISNUMBER(Table44246665[[#This Row],[Change]])</f>
        <v>0</v>
      </c>
      <c r="Q27" s="5" t="str">
        <f>IF(E26="Yes",Table44246665[[#This Row],[Change]],"")</f>
        <v/>
      </c>
      <c r="R27" s="5" t="str">
        <f>IF(E26="No",Table44246665[[#This Row],[Change]],"")</f>
        <v/>
      </c>
      <c r="S27" s="5" t="b">
        <f>ISNUMBER(Table44246665[[#This Row],[If Pre3 Yes]])</f>
        <v>0</v>
      </c>
      <c r="T27" s="5" t="b">
        <f>ISNUMBER(Table44246665[[#This Row],[If Pre3 No]])</f>
        <v>0</v>
      </c>
    </row>
    <row r="28" spans="1:20">
      <c r="A28" s="1" t="s">
        <v>24</v>
      </c>
      <c r="B28" s="1" t="s">
        <v>23</v>
      </c>
      <c r="C28" s="1">
        <v>4</v>
      </c>
      <c r="D28" s="1" t="s">
        <v>16</v>
      </c>
      <c r="E28" s="5"/>
      <c r="F28" s="1">
        <v>4</v>
      </c>
      <c r="G28" s="1">
        <v>3</v>
      </c>
      <c r="H28" s="1" t="s">
        <v>8</v>
      </c>
      <c r="I28" s="5" t="str">
        <f>IF(IF(Table44246665[[#This Row],[Pre or Post]]="Pre",1,0)+IF(ISNUMBER(Table44246665[[#This Row],[Response]])=TRUE,1,0)=2,1,"")</f>
        <v/>
      </c>
      <c r="J28" s="5">
        <f>IF(IF(Table44246665[[#This Row],[Pre or Post]]="Post",1,0)+IF(ISNUMBER(Table44246665[[#This Row],[Response]])=TRUE,1,0)=2,1,"")</f>
        <v>1</v>
      </c>
      <c r="K28" s="6" t="str">
        <f>IF(IF(Table44246665[[#This Row],[Pre or Post]]="Pre",1,0)+IF(ISNUMBER(Table44246665[[#This Row],[Response]])=TRUE,1,0)=2,Table44246665[[#This Row],[Response]],"")</f>
        <v/>
      </c>
      <c r="L28" s="6">
        <f>IF(IF(Table44246665[[#This Row],[Pre or Post]]="Post",1,0)+IF(ISNUMBER(Table44246665[[#This Row],[Response]])=TRUE,1,0)=2,Table44246665[[#This Row],[Response]],"")</f>
        <v>3</v>
      </c>
      <c r="M28" s="5" t="str">
        <f>IF(IF(ISNUMBER(K28),1,0)+IF(ISNUMBER(L29),1,0)=2,IF(IF(C29=C28,1,0)+IF(B29=B28,1,0)+IF(D29="Post",1,0)+IF(D28="Pre",1,0)=4,Table44246665[[#This Row],[Pre Total]],""),"")</f>
        <v/>
      </c>
      <c r="N28" s="5">
        <f>IF(IF(ISNUMBER(K27),1,0)+IF(ISNUMBER(Table44246665[[#This Row],[Post Total]]),1,0)=2,IF(IF(Table44246665[[#This Row],[Student Number]]=C27,1,0)+IF(Table44246665[[#This Row],[Session]]=B27,1,0)+IF(Table44246665[[#This Row],[Pre or Post]]="Post",1,0)+IF(D27="Pre",1,0)=4,Table44246665[[#This Row],[Post Total]],""),"")</f>
        <v>3</v>
      </c>
      <c r="O28" s="5">
        <f>IF(IF(ISNUMBER(K27),1,0)+IF(ISNUMBER(Table44246665[[#This Row],[Post Total]]),1,0)=2,IF(IF(Table44246665[[#This Row],[Student Number]]=C27,1,0)+IF(Table44246665[[#This Row],[Session]]=B27,1,0)+IF(Table44246665[[#This Row],[Pre or Post]]="Post",1,0)+IF(D27="Pre",1,0)=4,Table44246665[[#This Row],[Post Total]]-K27,""),"")</f>
        <v>1</v>
      </c>
      <c r="P28" s="5" t="b">
        <f>ISNUMBER(Table44246665[[#This Row],[Change]])</f>
        <v>1</v>
      </c>
      <c r="Q28" s="5">
        <f>IF(E27="Yes",Table44246665[[#This Row],[Change]],"")</f>
        <v>1</v>
      </c>
      <c r="R28" s="5" t="str">
        <f>IF(E27="No",Table44246665[[#This Row],[Change]],"")</f>
        <v/>
      </c>
      <c r="S28" s="5" t="b">
        <f>ISNUMBER(Table44246665[[#This Row],[If Pre3 Yes]])</f>
        <v>1</v>
      </c>
      <c r="T28" s="5" t="b">
        <f>ISNUMBER(Table44246665[[#This Row],[If Pre3 No]])</f>
        <v>0</v>
      </c>
    </row>
    <row r="29" spans="1:20">
      <c r="A29" s="1" t="s">
        <v>24</v>
      </c>
      <c r="B29" s="1" t="s">
        <v>23</v>
      </c>
      <c r="C29" s="1">
        <v>5</v>
      </c>
      <c r="D29" s="1" t="s">
        <v>6</v>
      </c>
      <c r="E29" s="5" t="s">
        <v>8</v>
      </c>
      <c r="F29" s="1">
        <v>11</v>
      </c>
      <c r="G29" s="1">
        <v>1</v>
      </c>
      <c r="H29" s="1" t="s">
        <v>8</v>
      </c>
      <c r="I29" s="5">
        <f>IF(IF(Table44246665[[#This Row],[Pre or Post]]="Pre",1,0)+IF(ISNUMBER(Table44246665[[#This Row],[Response]])=TRUE,1,0)=2,1,"")</f>
        <v>1</v>
      </c>
      <c r="J29" s="5" t="str">
        <f>IF(IF(Table44246665[[#This Row],[Pre or Post]]="Post",1,0)+IF(ISNUMBER(Table44246665[[#This Row],[Response]])=TRUE,1,0)=2,1,"")</f>
        <v/>
      </c>
      <c r="K29" s="6">
        <f>IF(IF(Table44246665[[#This Row],[Pre or Post]]="Pre",1,0)+IF(ISNUMBER(Table44246665[[#This Row],[Response]])=TRUE,1,0)=2,Table44246665[[#This Row],[Response]],"")</f>
        <v>1</v>
      </c>
      <c r="L29" s="6" t="str">
        <f>IF(IF(Table44246665[[#This Row],[Pre or Post]]="Post",1,0)+IF(ISNUMBER(Table44246665[[#This Row],[Response]])=TRUE,1,0)=2,Table44246665[[#This Row],[Response]],"")</f>
        <v/>
      </c>
      <c r="M29" s="5">
        <f>IF(IF(ISNUMBER(K29),1,0)+IF(ISNUMBER(L30),1,0)=2,IF(IF(C30=C29,1,0)+IF(B30=B29,1,0)+IF(D30="Post",1,0)+IF(D29="Pre",1,0)=4,Table44246665[[#This Row],[Pre Total]],""),"")</f>
        <v>1</v>
      </c>
      <c r="N29" s="5" t="str">
        <f>IF(IF(ISNUMBER(K28),1,0)+IF(ISNUMBER(Table44246665[[#This Row],[Post Total]]),1,0)=2,IF(IF(Table44246665[[#This Row],[Student Number]]=C28,1,0)+IF(Table44246665[[#This Row],[Session]]=B28,1,0)+IF(Table44246665[[#This Row],[Pre or Post]]="Post",1,0)+IF(D28="Pre",1,0)=4,Table44246665[[#This Row],[Post Total]],""),"")</f>
        <v/>
      </c>
      <c r="O29" s="5" t="str">
        <f>IF(IF(ISNUMBER(K28),1,0)+IF(ISNUMBER(Table44246665[[#This Row],[Post Total]]),1,0)=2,IF(IF(Table44246665[[#This Row],[Student Number]]=C28,1,0)+IF(Table44246665[[#This Row],[Session]]=B28,1,0)+IF(Table44246665[[#This Row],[Pre or Post]]="Post",1,0)+IF(D28="Pre",1,0)=4,Table44246665[[#This Row],[Post Total]]-K28,""),"")</f>
        <v/>
      </c>
      <c r="P29" s="5" t="b">
        <f>ISNUMBER(Table44246665[[#This Row],[Change]])</f>
        <v>0</v>
      </c>
      <c r="Q29" s="5" t="str">
        <f>IF(E28="Yes",Table44246665[[#This Row],[Change]],"")</f>
        <v/>
      </c>
      <c r="R29" s="5" t="str">
        <f>IF(E28="No",Table44246665[[#This Row],[Change]],"")</f>
        <v/>
      </c>
      <c r="S29" s="5" t="b">
        <f>ISNUMBER(Table44246665[[#This Row],[If Pre3 Yes]])</f>
        <v>0</v>
      </c>
      <c r="T29" s="5" t="b">
        <f>ISNUMBER(Table44246665[[#This Row],[If Pre3 No]])</f>
        <v>0</v>
      </c>
    </row>
    <row r="30" spans="1:20">
      <c r="A30" s="1" t="s">
        <v>24</v>
      </c>
      <c r="B30" s="1" t="s">
        <v>23</v>
      </c>
      <c r="C30" s="1">
        <v>5</v>
      </c>
      <c r="D30" s="1" t="s">
        <v>16</v>
      </c>
      <c r="E30" s="5"/>
      <c r="F30" s="1">
        <v>4</v>
      </c>
      <c r="G30" s="1">
        <v>4</v>
      </c>
      <c r="H30" s="1" t="s">
        <v>8</v>
      </c>
      <c r="I30" s="5" t="str">
        <f>IF(IF(Table44246665[[#This Row],[Pre or Post]]="Pre",1,0)+IF(ISNUMBER(Table44246665[[#This Row],[Response]])=TRUE,1,0)=2,1,"")</f>
        <v/>
      </c>
      <c r="J30" s="5">
        <f>IF(IF(Table44246665[[#This Row],[Pre or Post]]="Post",1,0)+IF(ISNUMBER(Table44246665[[#This Row],[Response]])=TRUE,1,0)=2,1,"")</f>
        <v>1</v>
      </c>
      <c r="K30" s="6" t="str">
        <f>IF(IF(Table44246665[[#This Row],[Pre or Post]]="Pre",1,0)+IF(ISNUMBER(Table44246665[[#This Row],[Response]])=TRUE,1,0)=2,Table44246665[[#This Row],[Response]],"")</f>
        <v/>
      </c>
      <c r="L30" s="6">
        <f>IF(IF(Table44246665[[#This Row],[Pre or Post]]="Post",1,0)+IF(ISNUMBER(Table44246665[[#This Row],[Response]])=TRUE,1,0)=2,Table44246665[[#This Row],[Response]],"")</f>
        <v>4</v>
      </c>
      <c r="M30" s="5" t="str">
        <f>IF(IF(ISNUMBER(K30),1,0)+IF(ISNUMBER(L31),1,0)=2,IF(IF(C31=C30,1,0)+IF(B31=B30,1,0)+IF(D31="Post",1,0)+IF(D30="Pre",1,0)=4,Table44246665[[#This Row],[Pre Total]],""),"")</f>
        <v/>
      </c>
      <c r="N30" s="5">
        <f>IF(IF(ISNUMBER(K29),1,0)+IF(ISNUMBER(Table44246665[[#This Row],[Post Total]]),1,0)=2,IF(IF(Table44246665[[#This Row],[Student Number]]=C29,1,0)+IF(Table44246665[[#This Row],[Session]]=B29,1,0)+IF(Table44246665[[#This Row],[Pre or Post]]="Post",1,0)+IF(D29="Pre",1,0)=4,Table44246665[[#This Row],[Post Total]],""),"")</f>
        <v>4</v>
      </c>
      <c r="O30" s="5">
        <f>IF(IF(ISNUMBER(K29),1,0)+IF(ISNUMBER(Table44246665[[#This Row],[Post Total]]),1,0)=2,IF(IF(Table44246665[[#This Row],[Student Number]]=C29,1,0)+IF(Table44246665[[#This Row],[Session]]=B29,1,0)+IF(Table44246665[[#This Row],[Pre or Post]]="Post",1,0)+IF(D29="Pre",1,0)=4,Table44246665[[#This Row],[Post Total]]-K29,""),"")</f>
        <v>3</v>
      </c>
      <c r="P30" s="5" t="b">
        <f>ISNUMBER(Table44246665[[#This Row],[Change]])</f>
        <v>1</v>
      </c>
      <c r="Q30" s="5">
        <f>IF(E29="Yes",Table44246665[[#This Row],[Change]],"")</f>
        <v>3</v>
      </c>
      <c r="R30" s="5" t="str">
        <f>IF(E29="No",Table44246665[[#This Row],[Change]],"")</f>
        <v/>
      </c>
      <c r="S30" s="5" t="b">
        <f>ISNUMBER(Table44246665[[#This Row],[If Pre3 Yes]])</f>
        <v>1</v>
      </c>
      <c r="T30" s="5" t="b">
        <f>ISNUMBER(Table44246665[[#This Row],[If Pre3 No]])</f>
        <v>0</v>
      </c>
    </row>
    <row r="31" spans="1:20">
      <c r="A31" s="1" t="s">
        <v>24</v>
      </c>
      <c r="B31" s="1" t="s">
        <v>23</v>
      </c>
      <c r="C31" s="1">
        <v>6</v>
      </c>
      <c r="D31" s="1" t="s">
        <v>6</v>
      </c>
      <c r="E31" s="5" t="s">
        <v>8</v>
      </c>
      <c r="F31" s="1">
        <v>11</v>
      </c>
      <c r="G31" s="1">
        <v>2</v>
      </c>
      <c r="H31" s="1" t="s">
        <v>8</v>
      </c>
      <c r="I31" s="5">
        <f>IF(IF(Table44246665[[#This Row],[Pre or Post]]="Pre",1,0)+IF(ISNUMBER(Table44246665[[#This Row],[Response]])=TRUE,1,0)=2,1,"")</f>
        <v>1</v>
      </c>
      <c r="J31" s="5" t="str">
        <f>IF(IF(Table44246665[[#This Row],[Pre or Post]]="Post",1,0)+IF(ISNUMBER(Table44246665[[#This Row],[Response]])=TRUE,1,0)=2,1,"")</f>
        <v/>
      </c>
      <c r="K31" s="6">
        <f>IF(IF(Table44246665[[#This Row],[Pre or Post]]="Pre",1,0)+IF(ISNUMBER(Table44246665[[#This Row],[Response]])=TRUE,1,0)=2,Table44246665[[#This Row],[Response]],"")</f>
        <v>2</v>
      </c>
      <c r="L31" s="6" t="str">
        <f>IF(IF(Table44246665[[#This Row],[Pre or Post]]="Post",1,0)+IF(ISNUMBER(Table44246665[[#This Row],[Response]])=TRUE,1,0)=2,Table44246665[[#This Row],[Response]],"")</f>
        <v/>
      </c>
      <c r="M31" s="5">
        <f>IF(IF(ISNUMBER(K31),1,0)+IF(ISNUMBER(L32),1,0)=2,IF(IF(C32=C31,1,0)+IF(B32=B31,1,0)+IF(D32="Post",1,0)+IF(D31="Pre",1,0)=4,Table44246665[[#This Row],[Pre Total]],""),"")</f>
        <v>2</v>
      </c>
      <c r="N31" s="5" t="str">
        <f>IF(IF(ISNUMBER(K30),1,0)+IF(ISNUMBER(Table44246665[[#This Row],[Post Total]]),1,0)=2,IF(IF(Table44246665[[#This Row],[Student Number]]=C30,1,0)+IF(Table44246665[[#This Row],[Session]]=B30,1,0)+IF(Table44246665[[#This Row],[Pre or Post]]="Post",1,0)+IF(D30="Pre",1,0)=4,Table44246665[[#This Row],[Post Total]],""),"")</f>
        <v/>
      </c>
      <c r="O31" s="5" t="str">
        <f>IF(IF(ISNUMBER(K30),1,0)+IF(ISNUMBER(Table44246665[[#This Row],[Post Total]]),1,0)=2,IF(IF(Table44246665[[#This Row],[Student Number]]=C30,1,0)+IF(Table44246665[[#This Row],[Session]]=B30,1,0)+IF(Table44246665[[#This Row],[Pre or Post]]="Post",1,0)+IF(D30="Pre",1,0)=4,Table44246665[[#This Row],[Post Total]]-K30,""),"")</f>
        <v/>
      </c>
      <c r="P31" s="5" t="b">
        <f>ISNUMBER(Table44246665[[#This Row],[Change]])</f>
        <v>0</v>
      </c>
      <c r="Q31" s="5" t="str">
        <f>IF(E30="Yes",Table44246665[[#This Row],[Change]],"")</f>
        <v/>
      </c>
      <c r="R31" s="5" t="str">
        <f>IF(E30="No",Table44246665[[#This Row],[Change]],"")</f>
        <v/>
      </c>
      <c r="S31" s="5" t="b">
        <f>ISNUMBER(Table44246665[[#This Row],[If Pre3 Yes]])</f>
        <v>0</v>
      </c>
      <c r="T31" s="5" t="b">
        <f>ISNUMBER(Table44246665[[#This Row],[If Pre3 No]])</f>
        <v>0</v>
      </c>
    </row>
    <row r="32" spans="1:20">
      <c r="A32" s="1" t="s">
        <v>24</v>
      </c>
      <c r="B32" s="1" t="s">
        <v>23</v>
      </c>
      <c r="C32" s="1">
        <v>6</v>
      </c>
      <c r="D32" s="1" t="s">
        <v>16</v>
      </c>
      <c r="E32" s="5"/>
      <c r="F32" s="1">
        <v>4</v>
      </c>
      <c r="G32" s="1">
        <v>3</v>
      </c>
      <c r="H32" s="1" t="s">
        <v>8</v>
      </c>
      <c r="I32" s="5" t="str">
        <f>IF(IF(Table44246665[[#This Row],[Pre or Post]]="Pre",1,0)+IF(ISNUMBER(Table44246665[[#This Row],[Response]])=TRUE,1,0)=2,1,"")</f>
        <v/>
      </c>
      <c r="J32" s="5">
        <f>IF(IF(Table44246665[[#This Row],[Pre or Post]]="Post",1,0)+IF(ISNUMBER(Table44246665[[#This Row],[Response]])=TRUE,1,0)=2,1,"")</f>
        <v>1</v>
      </c>
      <c r="K32" s="6" t="str">
        <f>IF(IF(Table44246665[[#This Row],[Pre or Post]]="Pre",1,0)+IF(ISNUMBER(Table44246665[[#This Row],[Response]])=TRUE,1,0)=2,Table44246665[[#This Row],[Response]],"")</f>
        <v/>
      </c>
      <c r="L32" s="6">
        <f>IF(IF(Table44246665[[#This Row],[Pre or Post]]="Post",1,0)+IF(ISNUMBER(Table44246665[[#This Row],[Response]])=TRUE,1,0)=2,Table44246665[[#This Row],[Response]],"")</f>
        <v>3</v>
      </c>
      <c r="M32" s="5" t="str">
        <f>IF(IF(ISNUMBER(K32),1,0)+IF(ISNUMBER(L33),1,0)=2,IF(IF(C33=C32,1,0)+IF(B33=B32,1,0)+IF(D33="Post",1,0)+IF(D32="Pre",1,0)=4,Table44246665[[#This Row],[Pre Total]],""),"")</f>
        <v/>
      </c>
      <c r="N32" s="5">
        <f>IF(IF(ISNUMBER(K31),1,0)+IF(ISNUMBER(Table44246665[[#This Row],[Post Total]]),1,0)=2,IF(IF(Table44246665[[#This Row],[Student Number]]=C31,1,0)+IF(Table44246665[[#This Row],[Session]]=B31,1,0)+IF(Table44246665[[#This Row],[Pre or Post]]="Post",1,0)+IF(D31="Pre",1,0)=4,Table44246665[[#This Row],[Post Total]],""),"")</f>
        <v>3</v>
      </c>
      <c r="O32" s="5">
        <f>IF(IF(ISNUMBER(K31),1,0)+IF(ISNUMBER(Table44246665[[#This Row],[Post Total]]),1,0)=2,IF(IF(Table44246665[[#This Row],[Student Number]]=C31,1,0)+IF(Table44246665[[#This Row],[Session]]=B31,1,0)+IF(Table44246665[[#This Row],[Pre or Post]]="Post",1,0)+IF(D31="Pre",1,0)=4,Table44246665[[#This Row],[Post Total]]-K31,""),"")</f>
        <v>1</v>
      </c>
      <c r="P32" s="5" t="b">
        <f>ISNUMBER(Table44246665[[#This Row],[Change]])</f>
        <v>1</v>
      </c>
      <c r="Q32" s="5">
        <f>IF(E31="Yes",Table44246665[[#This Row],[Change]],"")</f>
        <v>1</v>
      </c>
      <c r="R32" s="5" t="str">
        <f>IF(E31="No",Table44246665[[#This Row],[Change]],"")</f>
        <v/>
      </c>
      <c r="S32" s="5" t="b">
        <f>ISNUMBER(Table44246665[[#This Row],[If Pre3 Yes]])</f>
        <v>1</v>
      </c>
      <c r="T32" s="5" t="b">
        <f>ISNUMBER(Table44246665[[#This Row],[If Pre3 No]])</f>
        <v>0</v>
      </c>
    </row>
    <row r="33" spans="1:20">
      <c r="A33" s="1" t="s">
        <v>24</v>
      </c>
      <c r="B33" s="1" t="s">
        <v>23</v>
      </c>
      <c r="C33" s="1">
        <v>7</v>
      </c>
      <c r="D33" s="1" t="s">
        <v>6</v>
      </c>
      <c r="E33" s="5" t="s">
        <v>8</v>
      </c>
      <c r="F33" s="1">
        <v>11</v>
      </c>
      <c r="G33" s="1">
        <v>1</v>
      </c>
      <c r="H33" s="1" t="s">
        <v>8</v>
      </c>
      <c r="I33" s="5">
        <f>IF(IF(Table44246665[[#This Row],[Pre or Post]]="Pre",1,0)+IF(ISNUMBER(Table44246665[[#This Row],[Response]])=TRUE,1,0)=2,1,"")</f>
        <v>1</v>
      </c>
      <c r="J33" s="5" t="str">
        <f>IF(IF(Table44246665[[#This Row],[Pre or Post]]="Post",1,0)+IF(ISNUMBER(Table44246665[[#This Row],[Response]])=TRUE,1,0)=2,1,"")</f>
        <v/>
      </c>
      <c r="K33" s="6">
        <f>IF(IF(Table44246665[[#This Row],[Pre or Post]]="Pre",1,0)+IF(ISNUMBER(Table44246665[[#This Row],[Response]])=TRUE,1,0)=2,Table44246665[[#This Row],[Response]],"")</f>
        <v>1</v>
      </c>
      <c r="L33" s="6" t="str">
        <f>IF(IF(Table44246665[[#This Row],[Pre or Post]]="Post",1,0)+IF(ISNUMBER(Table44246665[[#This Row],[Response]])=TRUE,1,0)=2,Table44246665[[#This Row],[Response]],"")</f>
        <v/>
      </c>
      <c r="M33" s="5">
        <f>IF(IF(ISNUMBER(K33),1,0)+IF(ISNUMBER(L34),1,0)=2,IF(IF(C34=C33,1,0)+IF(B34=B33,1,0)+IF(D34="Post",1,0)+IF(D33="Pre",1,0)=4,Table44246665[[#This Row],[Pre Total]],""),"")</f>
        <v>1</v>
      </c>
      <c r="N33" s="5" t="str">
        <f>IF(IF(ISNUMBER(K32),1,0)+IF(ISNUMBER(Table44246665[[#This Row],[Post Total]]),1,0)=2,IF(IF(Table44246665[[#This Row],[Student Number]]=C32,1,0)+IF(Table44246665[[#This Row],[Session]]=B32,1,0)+IF(Table44246665[[#This Row],[Pre or Post]]="Post",1,0)+IF(D32="Pre",1,0)=4,Table44246665[[#This Row],[Post Total]],""),"")</f>
        <v/>
      </c>
      <c r="O33" s="5" t="str">
        <f>IF(IF(ISNUMBER(K32),1,0)+IF(ISNUMBER(Table44246665[[#This Row],[Post Total]]),1,0)=2,IF(IF(Table44246665[[#This Row],[Student Number]]=C32,1,0)+IF(Table44246665[[#This Row],[Session]]=B32,1,0)+IF(Table44246665[[#This Row],[Pre or Post]]="Post",1,0)+IF(D32="Pre",1,0)=4,Table44246665[[#This Row],[Post Total]]-K32,""),"")</f>
        <v/>
      </c>
      <c r="P33" s="5" t="b">
        <f>ISNUMBER(Table44246665[[#This Row],[Change]])</f>
        <v>0</v>
      </c>
      <c r="Q33" s="5" t="str">
        <f>IF(E32="Yes",Table44246665[[#This Row],[Change]],"")</f>
        <v/>
      </c>
      <c r="R33" s="5" t="str">
        <f>IF(E32="No",Table44246665[[#This Row],[Change]],"")</f>
        <v/>
      </c>
      <c r="S33" s="5" t="b">
        <f>ISNUMBER(Table44246665[[#This Row],[If Pre3 Yes]])</f>
        <v>0</v>
      </c>
      <c r="T33" s="5" t="b">
        <f>ISNUMBER(Table44246665[[#This Row],[If Pre3 No]])</f>
        <v>0</v>
      </c>
    </row>
    <row r="34" spans="1:20">
      <c r="A34" s="1" t="s">
        <v>24</v>
      </c>
      <c r="B34" s="1" t="s">
        <v>23</v>
      </c>
      <c r="C34" s="1">
        <v>7</v>
      </c>
      <c r="D34" s="1" t="s">
        <v>16</v>
      </c>
      <c r="E34" s="5"/>
      <c r="F34" s="1">
        <v>4</v>
      </c>
      <c r="G34" s="1">
        <v>1</v>
      </c>
      <c r="H34" s="1" t="s">
        <v>8</v>
      </c>
      <c r="I34" s="5" t="str">
        <f>IF(IF(Table44246665[[#This Row],[Pre or Post]]="Pre",1,0)+IF(ISNUMBER(Table44246665[[#This Row],[Response]])=TRUE,1,0)=2,1,"")</f>
        <v/>
      </c>
      <c r="J34" s="5">
        <f>IF(IF(Table44246665[[#This Row],[Pre or Post]]="Post",1,0)+IF(ISNUMBER(Table44246665[[#This Row],[Response]])=TRUE,1,0)=2,1,"")</f>
        <v>1</v>
      </c>
      <c r="K34" s="6" t="str">
        <f>IF(IF(Table44246665[[#This Row],[Pre or Post]]="Pre",1,0)+IF(ISNUMBER(Table44246665[[#This Row],[Response]])=TRUE,1,0)=2,Table44246665[[#This Row],[Response]],"")</f>
        <v/>
      </c>
      <c r="L34" s="6">
        <f>IF(IF(Table44246665[[#This Row],[Pre or Post]]="Post",1,0)+IF(ISNUMBER(Table44246665[[#This Row],[Response]])=TRUE,1,0)=2,Table44246665[[#This Row],[Response]],"")</f>
        <v>1</v>
      </c>
      <c r="M34" s="5" t="str">
        <f>IF(IF(ISNUMBER(K34),1,0)+IF(ISNUMBER(L35),1,0)=2,IF(IF(C35=C34,1,0)+IF(B35=B34,1,0)+IF(D35="Post",1,0)+IF(D34="Pre",1,0)=4,Table44246665[[#This Row],[Pre Total]],""),"")</f>
        <v/>
      </c>
      <c r="N34" s="5">
        <f>IF(IF(ISNUMBER(K33),1,0)+IF(ISNUMBER(Table44246665[[#This Row],[Post Total]]),1,0)=2,IF(IF(Table44246665[[#This Row],[Student Number]]=C33,1,0)+IF(Table44246665[[#This Row],[Session]]=B33,1,0)+IF(Table44246665[[#This Row],[Pre or Post]]="Post",1,0)+IF(D33="Pre",1,0)=4,Table44246665[[#This Row],[Post Total]],""),"")</f>
        <v>1</v>
      </c>
      <c r="O34" s="5">
        <f>IF(IF(ISNUMBER(K33),1,0)+IF(ISNUMBER(Table44246665[[#This Row],[Post Total]]),1,0)=2,IF(IF(Table44246665[[#This Row],[Student Number]]=C33,1,0)+IF(Table44246665[[#This Row],[Session]]=B33,1,0)+IF(Table44246665[[#This Row],[Pre or Post]]="Post",1,0)+IF(D33="Pre",1,0)=4,Table44246665[[#This Row],[Post Total]]-K33,""),"")</f>
        <v>0</v>
      </c>
      <c r="P34" s="5" t="b">
        <f>ISNUMBER(Table44246665[[#This Row],[Change]])</f>
        <v>1</v>
      </c>
      <c r="Q34" s="5">
        <f>IF(E33="Yes",Table44246665[[#This Row],[Change]],"")</f>
        <v>0</v>
      </c>
      <c r="R34" s="5" t="str">
        <f>IF(E33="No",Table44246665[[#This Row],[Change]],"")</f>
        <v/>
      </c>
      <c r="S34" s="5" t="b">
        <f>ISNUMBER(Table44246665[[#This Row],[If Pre3 Yes]])</f>
        <v>1</v>
      </c>
      <c r="T34" s="5" t="b">
        <f>ISNUMBER(Table44246665[[#This Row],[If Pre3 No]])</f>
        <v>0</v>
      </c>
    </row>
    <row r="35" spans="1:20">
      <c r="A35" s="1" t="s">
        <v>24</v>
      </c>
      <c r="B35" s="1" t="s">
        <v>23</v>
      </c>
      <c r="C35" s="1">
        <v>8</v>
      </c>
      <c r="D35" s="1" t="s">
        <v>6</v>
      </c>
      <c r="E35" s="5" t="s">
        <v>8</v>
      </c>
      <c r="F35" s="2">
        <v>11</v>
      </c>
      <c r="G35" s="2">
        <v>2</v>
      </c>
      <c r="H35" s="1" t="s">
        <v>8</v>
      </c>
      <c r="I35" s="5">
        <f>IF(IF(Table44246665[[#This Row],[Pre or Post]]="Pre",1,0)+IF(ISNUMBER(Table44246665[[#This Row],[Response]])=TRUE,1,0)=2,1,"")</f>
        <v>1</v>
      </c>
      <c r="J35" s="5" t="str">
        <f>IF(IF(Table44246665[[#This Row],[Pre or Post]]="Post",1,0)+IF(ISNUMBER(Table44246665[[#This Row],[Response]])=TRUE,1,0)=2,1,"")</f>
        <v/>
      </c>
      <c r="K35" s="6">
        <f>IF(IF(Table44246665[[#This Row],[Pre or Post]]="Pre",1,0)+IF(ISNUMBER(Table44246665[[#This Row],[Response]])=TRUE,1,0)=2,Table44246665[[#This Row],[Response]],"")</f>
        <v>2</v>
      </c>
      <c r="L35" s="6" t="str">
        <f>IF(IF(Table44246665[[#This Row],[Pre or Post]]="Post",1,0)+IF(ISNUMBER(Table44246665[[#This Row],[Response]])=TRUE,1,0)=2,Table44246665[[#This Row],[Response]],"")</f>
        <v/>
      </c>
      <c r="M35" s="5">
        <f>IF(IF(ISNUMBER(K35),1,0)+IF(ISNUMBER(L36),1,0)=2,IF(IF(C36=C35,1,0)+IF(B36=B35,1,0)+IF(D36="Post",1,0)+IF(D35="Pre",1,0)=4,Table44246665[[#This Row],[Pre Total]],""),"")</f>
        <v>2</v>
      </c>
      <c r="N35" s="5" t="str">
        <f>IF(IF(ISNUMBER(K34),1,0)+IF(ISNUMBER(Table44246665[[#This Row],[Post Total]]),1,0)=2,IF(IF(Table44246665[[#This Row],[Student Number]]=C34,1,0)+IF(Table44246665[[#This Row],[Session]]=B34,1,0)+IF(Table44246665[[#This Row],[Pre or Post]]="Post",1,0)+IF(D34="Pre",1,0)=4,Table44246665[[#This Row],[Post Total]],""),"")</f>
        <v/>
      </c>
      <c r="O35" s="5" t="str">
        <f>IF(IF(ISNUMBER(K34),1,0)+IF(ISNUMBER(Table44246665[[#This Row],[Post Total]]),1,0)=2,IF(IF(Table44246665[[#This Row],[Student Number]]=C34,1,0)+IF(Table44246665[[#This Row],[Session]]=B34,1,0)+IF(Table44246665[[#This Row],[Pre or Post]]="Post",1,0)+IF(D34="Pre",1,0)=4,Table44246665[[#This Row],[Post Total]]-K34,""),"")</f>
        <v/>
      </c>
      <c r="P35" s="5" t="b">
        <f>ISNUMBER(Table44246665[[#This Row],[Change]])</f>
        <v>0</v>
      </c>
      <c r="Q35" s="5" t="str">
        <f>IF(E34="Yes",Table44246665[[#This Row],[Change]],"")</f>
        <v/>
      </c>
      <c r="R35" s="5" t="str">
        <f>IF(E34="No",Table44246665[[#This Row],[Change]],"")</f>
        <v/>
      </c>
      <c r="S35" s="5" t="b">
        <f>ISNUMBER(Table44246665[[#This Row],[If Pre3 Yes]])</f>
        <v>0</v>
      </c>
      <c r="T35" s="5" t="b">
        <f>ISNUMBER(Table44246665[[#This Row],[If Pre3 No]])</f>
        <v>0</v>
      </c>
    </row>
    <row r="36" spans="1:20">
      <c r="A36" s="1" t="s">
        <v>24</v>
      </c>
      <c r="B36" s="1" t="s">
        <v>23</v>
      </c>
      <c r="C36" s="1">
        <v>8</v>
      </c>
      <c r="D36" s="1" t="s">
        <v>16</v>
      </c>
      <c r="E36" s="5"/>
      <c r="F36" s="1">
        <v>4</v>
      </c>
      <c r="G36" s="1">
        <v>3</v>
      </c>
      <c r="H36" s="1" t="s">
        <v>8</v>
      </c>
      <c r="I36" s="5" t="str">
        <f>IF(IF(Table44246665[[#This Row],[Pre or Post]]="Pre",1,0)+IF(ISNUMBER(Table44246665[[#This Row],[Response]])=TRUE,1,0)=2,1,"")</f>
        <v/>
      </c>
      <c r="J36" s="5">
        <f>IF(IF(Table44246665[[#This Row],[Pre or Post]]="Post",1,0)+IF(ISNUMBER(Table44246665[[#This Row],[Response]])=TRUE,1,0)=2,1,"")</f>
        <v>1</v>
      </c>
      <c r="K36" s="6" t="str">
        <f>IF(IF(Table44246665[[#This Row],[Pre or Post]]="Pre",1,0)+IF(ISNUMBER(Table44246665[[#This Row],[Response]])=TRUE,1,0)=2,Table44246665[[#This Row],[Response]],"")</f>
        <v/>
      </c>
      <c r="L36" s="6">
        <f>IF(IF(Table44246665[[#This Row],[Pre or Post]]="Post",1,0)+IF(ISNUMBER(Table44246665[[#This Row],[Response]])=TRUE,1,0)=2,Table44246665[[#This Row],[Response]],"")</f>
        <v>3</v>
      </c>
      <c r="M36" s="5" t="str">
        <f>IF(IF(ISNUMBER(K36),1,0)+IF(ISNUMBER(L37),1,0)=2,IF(IF(C37=C36,1,0)+IF(B37=B36,1,0)+IF(D37="Post",1,0)+IF(D36="Pre",1,0)=4,Table44246665[[#This Row],[Pre Total]],""),"")</f>
        <v/>
      </c>
      <c r="N36" s="5">
        <f>IF(IF(ISNUMBER(K35),1,0)+IF(ISNUMBER(Table44246665[[#This Row],[Post Total]]),1,0)=2,IF(IF(Table44246665[[#This Row],[Student Number]]=C35,1,0)+IF(Table44246665[[#This Row],[Session]]=B35,1,0)+IF(Table44246665[[#This Row],[Pre or Post]]="Post",1,0)+IF(D35="Pre",1,0)=4,Table44246665[[#This Row],[Post Total]],""),"")</f>
        <v>3</v>
      </c>
      <c r="O36" s="5">
        <f>IF(IF(ISNUMBER(K35),1,0)+IF(ISNUMBER(Table44246665[[#This Row],[Post Total]]),1,0)=2,IF(IF(Table44246665[[#This Row],[Student Number]]=C35,1,0)+IF(Table44246665[[#This Row],[Session]]=B35,1,0)+IF(Table44246665[[#This Row],[Pre or Post]]="Post",1,0)+IF(D35="Pre",1,0)=4,Table44246665[[#This Row],[Post Total]]-K35,""),"")</f>
        <v>1</v>
      </c>
      <c r="P36" s="5" t="b">
        <f>ISNUMBER(Table44246665[[#This Row],[Change]])</f>
        <v>1</v>
      </c>
      <c r="Q36" s="5">
        <f>IF(E35="Yes",Table44246665[[#This Row],[Change]],"")</f>
        <v>1</v>
      </c>
      <c r="R36" s="5" t="str">
        <f>IF(E35="No",Table44246665[[#This Row],[Change]],"")</f>
        <v/>
      </c>
      <c r="S36" s="5" t="b">
        <f>ISNUMBER(Table44246665[[#This Row],[If Pre3 Yes]])</f>
        <v>1</v>
      </c>
      <c r="T36" s="5" t="b">
        <f>ISNUMBER(Table44246665[[#This Row],[If Pre3 No]])</f>
        <v>0</v>
      </c>
    </row>
    <row r="37" spans="1:20">
      <c r="A37" s="1" t="s">
        <v>24</v>
      </c>
      <c r="B37" s="1" t="s">
        <v>23</v>
      </c>
      <c r="C37" s="1">
        <v>9</v>
      </c>
      <c r="D37" s="1" t="s">
        <v>6</v>
      </c>
      <c r="E37" s="5" t="s">
        <v>8</v>
      </c>
      <c r="F37" s="1">
        <v>11</v>
      </c>
      <c r="G37" s="1">
        <v>2</v>
      </c>
      <c r="H37" s="1" t="s">
        <v>8</v>
      </c>
      <c r="I37" s="5">
        <f>IF(IF(Table44246665[[#This Row],[Pre or Post]]="Pre",1,0)+IF(ISNUMBER(Table44246665[[#This Row],[Response]])=TRUE,1,0)=2,1,"")</f>
        <v>1</v>
      </c>
      <c r="J37" s="5" t="str">
        <f>IF(IF(Table44246665[[#This Row],[Pre or Post]]="Post",1,0)+IF(ISNUMBER(Table44246665[[#This Row],[Response]])=TRUE,1,0)=2,1,"")</f>
        <v/>
      </c>
      <c r="K37" s="6">
        <f>IF(IF(Table44246665[[#This Row],[Pre or Post]]="Pre",1,0)+IF(ISNUMBER(Table44246665[[#This Row],[Response]])=TRUE,1,0)=2,Table44246665[[#This Row],[Response]],"")</f>
        <v>2</v>
      </c>
      <c r="L37" s="6" t="str">
        <f>IF(IF(Table44246665[[#This Row],[Pre or Post]]="Post",1,0)+IF(ISNUMBER(Table44246665[[#This Row],[Response]])=TRUE,1,0)=2,Table44246665[[#This Row],[Response]],"")</f>
        <v/>
      </c>
      <c r="M37" s="5">
        <f>IF(IF(ISNUMBER(K37),1,0)+IF(ISNUMBER(L38),1,0)=2,IF(IF(C38=C37,1,0)+IF(B38=B37,1,0)+IF(D38="Post",1,0)+IF(D37="Pre",1,0)=4,Table44246665[[#This Row],[Pre Total]],""),"")</f>
        <v>2</v>
      </c>
      <c r="N37" s="5" t="str">
        <f>IF(IF(ISNUMBER(K36),1,0)+IF(ISNUMBER(Table44246665[[#This Row],[Post Total]]),1,0)=2,IF(IF(Table44246665[[#This Row],[Student Number]]=C36,1,0)+IF(Table44246665[[#This Row],[Session]]=B36,1,0)+IF(Table44246665[[#This Row],[Pre or Post]]="Post",1,0)+IF(D36="Pre",1,0)=4,Table44246665[[#This Row],[Post Total]],""),"")</f>
        <v/>
      </c>
      <c r="O37" s="5" t="str">
        <f>IF(IF(ISNUMBER(K36),1,0)+IF(ISNUMBER(Table44246665[[#This Row],[Post Total]]),1,0)=2,IF(IF(Table44246665[[#This Row],[Student Number]]=C36,1,0)+IF(Table44246665[[#This Row],[Session]]=B36,1,0)+IF(Table44246665[[#This Row],[Pre or Post]]="Post",1,0)+IF(D36="Pre",1,0)=4,Table44246665[[#This Row],[Post Total]]-K36,""),"")</f>
        <v/>
      </c>
      <c r="P37" s="5" t="b">
        <f>ISNUMBER(Table44246665[[#This Row],[Change]])</f>
        <v>0</v>
      </c>
      <c r="Q37" s="5" t="str">
        <f>IF(E36="Yes",Table44246665[[#This Row],[Change]],"")</f>
        <v/>
      </c>
      <c r="R37" s="5" t="str">
        <f>IF(E36="No",Table44246665[[#This Row],[Change]],"")</f>
        <v/>
      </c>
      <c r="S37" s="5" t="b">
        <f>ISNUMBER(Table44246665[[#This Row],[If Pre3 Yes]])</f>
        <v>0</v>
      </c>
      <c r="T37" s="5" t="b">
        <f>ISNUMBER(Table44246665[[#This Row],[If Pre3 No]])</f>
        <v>0</v>
      </c>
    </row>
    <row r="38" spans="1:20">
      <c r="A38" s="1" t="s">
        <v>24</v>
      </c>
      <c r="B38" s="1" t="s">
        <v>23</v>
      </c>
      <c r="C38" s="1">
        <v>9</v>
      </c>
      <c r="D38" s="1" t="s">
        <v>16</v>
      </c>
      <c r="E38" s="5"/>
      <c r="F38" s="1">
        <v>4</v>
      </c>
      <c r="G38" s="1">
        <v>3</v>
      </c>
      <c r="H38" s="1" t="s">
        <v>8</v>
      </c>
      <c r="I38" s="5" t="str">
        <f>IF(IF(Table44246665[[#This Row],[Pre or Post]]="Pre",1,0)+IF(ISNUMBER(Table44246665[[#This Row],[Response]])=TRUE,1,0)=2,1,"")</f>
        <v/>
      </c>
      <c r="J38" s="5">
        <f>IF(IF(Table44246665[[#This Row],[Pre or Post]]="Post",1,0)+IF(ISNUMBER(Table44246665[[#This Row],[Response]])=TRUE,1,0)=2,1,"")</f>
        <v>1</v>
      </c>
      <c r="K38" s="6" t="str">
        <f>IF(IF(Table44246665[[#This Row],[Pre or Post]]="Pre",1,0)+IF(ISNUMBER(Table44246665[[#This Row],[Response]])=TRUE,1,0)=2,Table44246665[[#This Row],[Response]],"")</f>
        <v/>
      </c>
      <c r="L38" s="6">
        <f>IF(IF(Table44246665[[#This Row],[Pre or Post]]="Post",1,0)+IF(ISNUMBER(Table44246665[[#This Row],[Response]])=TRUE,1,0)=2,Table44246665[[#This Row],[Response]],"")</f>
        <v>3</v>
      </c>
      <c r="M38" s="5" t="str">
        <f>IF(IF(ISNUMBER(K38),1,0)+IF(ISNUMBER(L39),1,0)=2,IF(IF(C39=C38,1,0)+IF(B39=B38,1,0)+IF(D39="Post",1,0)+IF(D38="Pre",1,0)=4,Table44246665[[#This Row],[Pre Total]],""),"")</f>
        <v/>
      </c>
      <c r="N38" s="5">
        <f>IF(IF(ISNUMBER(K37),1,0)+IF(ISNUMBER(Table44246665[[#This Row],[Post Total]]),1,0)=2,IF(IF(Table44246665[[#This Row],[Student Number]]=C37,1,0)+IF(Table44246665[[#This Row],[Session]]=B37,1,0)+IF(Table44246665[[#This Row],[Pre or Post]]="Post",1,0)+IF(D37="Pre",1,0)=4,Table44246665[[#This Row],[Post Total]],""),"")</f>
        <v>3</v>
      </c>
      <c r="O38" s="5">
        <f>IF(IF(ISNUMBER(K37),1,0)+IF(ISNUMBER(Table44246665[[#This Row],[Post Total]]),1,0)=2,IF(IF(Table44246665[[#This Row],[Student Number]]=C37,1,0)+IF(Table44246665[[#This Row],[Session]]=B37,1,0)+IF(Table44246665[[#This Row],[Pre or Post]]="Post",1,0)+IF(D37="Pre",1,0)=4,Table44246665[[#This Row],[Post Total]]-K37,""),"")</f>
        <v>1</v>
      </c>
      <c r="P38" s="5" t="b">
        <f>ISNUMBER(Table44246665[[#This Row],[Change]])</f>
        <v>1</v>
      </c>
      <c r="Q38" s="5">
        <f>IF(E37="Yes",Table44246665[[#This Row],[Change]],"")</f>
        <v>1</v>
      </c>
      <c r="R38" s="5" t="str">
        <f>IF(E37="No",Table44246665[[#This Row],[Change]],"")</f>
        <v/>
      </c>
      <c r="S38" s="5" t="b">
        <f>ISNUMBER(Table44246665[[#This Row],[If Pre3 Yes]])</f>
        <v>1</v>
      </c>
      <c r="T38" s="5" t="b">
        <f>ISNUMBER(Table44246665[[#This Row],[If Pre3 No]])</f>
        <v>0</v>
      </c>
    </row>
    <row r="39" spans="1:20">
      <c r="A39" s="1" t="s">
        <v>24</v>
      </c>
      <c r="B39" s="1" t="s">
        <v>23</v>
      </c>
      <c r="C39" s="1">
        <v>10</v>
      </c>
      <c r="D39" s="1" t="s">
        <v>6</v>
      </c>
      <c r="E39" s="5" t="s">
        <v>8</v>
      </c>
      <c r="F39" s="1">
        <v>11</v>
      </c>
      <c r="G39" s="1">
        <v>1</v>
      </c>
      <c r="H39" s="1" t="s">
        <v>8</v>
      </c>
      <c r="I39" s="5">
        <f>IF(IF(Table44246665[[#This Row],[Pre or Post]]="Pre",1,0)+IF(ISNUMBER(Table44246665[[#This Row],[Response]])=TRUE,1,0)=2,1,"")</f>
        <v>1</v>
      </c>
      <c r="J39" s="5" t="str">
        <f>IF(IF(Table44246665[[#This Row],[Pre or Post]]="Post",1,0)+IF(ISNUMBER(Table44246665[[#This Row],[Response]])=TRUE,1,0)=2,1,"")</f>
        <v/>
      </c>
      <c r="K39" s="6">
        <f>IF(IF(Table44246665[[#This Row],[Pre or Post]]="Pre",1,0)+IF(ISNUMBER(Table44246665[[#This Row],[Response]])=TRUE,1,0)=2,Table44246665[[#This Row],[Response]],"")</f>
        <v>1</v>
      </c>
      <c r="L39" s="6" t="str">
        <f>IF(IF(Table44246665[[#This Row],[Pre or Post]]="Post",1,0)+IF(ISNUMBER(Table44246665[[#This Row],[Response]])=TRUE,1,0)=2,Table44246665[[#This Row],[Response]],"")</f>
        <v/>
      </c>
      <c r="M39" s="5">
        <f>IF(IF(ISNUMBER(K39),1,0)+IF(ISNUMBER(L40),1,0)=2,IF(IF(C40=C39,1,0)+IF(B40=B39,1,0)+IF(D40="Post",1,0)+IF(D39="Pre",1,0)=4,Table44246665[[#This Row],[Pre Total]],""),"")</f>
        <v>1</v>
      </c>
      <c r="N39" s="5" t="str">
        <f>IF(IF(ISNUMBER(K38),1,0)+IF(ISNUMBER(Table44246665[[#This Row],[Post Total]]),1,0)=2,IF(IF(Table44246665[[#This Row],[Student Number]]=C38,1,0)+IF(Table44246665[[#This Row],[Session]]=B38,1,0)+IF(Table44246665[[#This Row],[Pre or Post]]="Post",1,0)+IF(D38="Pre",1,0)=4,Table44246665[[#This Row],[Post Total]],""),"")</f>
        <v/>
      </c>
      <c r="O39" s="5" t="str">
        <f>IF(IF(ISNUMBER(K38),1,0)+IF(ISNUMBER(Table44246665[[#This Row],[Post Total]]),1,0)=2,IF(IF(Table44246665[[#This Row],[Student Number]]=C38,1,0)+IF(Table44246665[[#This Row],[Session]]=B38,1,0)+IF(Table44246665[[#This Row],[Pre or Post]]="Post",1,0)+IF(D38="Pre",1,0)=4,Table44246665[[#This Row],[Post Total]]-K38,""),"")</f>
        <v/>
      </c>
      <c r="P39" s="5" t="b">
        <f>ISNUMBER(Table44246665[[#This Row],[Change]])</f>
        <v>0</v>
      </c>
      <c r="Q39" s="5" t="str">
        <f>IF(E38="Yes",Table44246665[[#This Row],[Change]],"")</f>
        <v/>
      </c>
      <c r="R39" s="5" t="str">
        <f>IF(E38="No",Table44246665[[#This Row],[Change]],"")</f>
        <v/>
      </c>
      <c r="S39" s="5" t="b">
        <f>ISNUMBER(Table44246665[[#This Row],[If Pre3 Yes]])</f>
        <v>0</v>
      </c>
      <c r="T39" s="5" t="b">
        <f>ISNUMBER(Table44246665[[#This Row],[If Pre3 No]])</f>
        <v>0</v>
      </c>
    </row>
    <row r="40" spans="1:20">
      <c r="A40" s="1" t="s">
        <v>24</v>
      </c>
      <c r="B40" s="1" t="s">
        <v>23</v>
      </c>
      <c r="C40" s="1">
        <v>10</v>
      </c>
      <c r="D40" s="1" t="s">
        <v>16</v>
      </c>
      <c r="E40" s="5"/>
      <c r="F40" s="1">
        <v>4</v>
      </c>
      <c r="G40" s="1">
        <v>5</v>
      </c>
      <c r="H40" s="1" t="s">
        <v>8</v>
      </c>
      <c r="I40" s="5" t="str">
        <f>IF(IF(Table44246665[[#This Row],[Pre or Post]]="Pre",1,0)+IF(ISNUMBER(Table44246665[[#This Row],[Response]])=TRUE,1,0)=2,1,"")</f>
        <v/>
      </c>
      <c r="J40" s="5">
        <f>IF(IF(Table44246665[[#This Row],[Pre or Post]]="Post",1,0)+IF(ISNUMBER(Table44246665[[#This Row],[Response]])=TRUE,1,0)=2,1,"")</f>
        <v>1</v>
      </c>
      <c r="K40" s="6" t="str">
        <f>IF(IF(Table44246665[[#This Row],[Pre or Post]]="Pre",1,0)+IF(ISNUMBER(Table44246665[[#This Row],[Response]])=TRUE,1,0)=2,Table44246665[[#This Row],[Response]],"")</f>
        <v/>
      </c>
      <c r="L40" s="6">
        <f>IF(IF(Table44246665[[#This Row],[Pre or Post]]="Post",1,0)+IF(ISNUMBER(Table44246665[[#This Row],[Response]])=TRUE,1,0)=2,Table44246665[[#This Row],[Response]],"")</f>
        <v>5</v>
      </c>
      <c r="M40" s="5" t="str">
        <f>IF(IF(ISNUMBER(K40),1,0)+IF(ISNUMBER(L41),1,0)=2,IF(IF(C41=C40,1,0)+IF(B41=B40,1,0)+IF(D41="Post",1,0)+IF(D40="Pre",1,0)=4,Table44246665[[#This Row],[Pre Total]],""),"")</f>
        <v/>
      </c>
      <c r="N40" s="5">
        <f>IF(IF(ISNUMBER(K39),1,0)+IF(ISNUMBER(Table44246665[[#This Row],[Post Total]]),1,0)=2,IF(IF(Table44246665[[#This Row],[Student Number]]=C39,1,0)+IF(Table44246665[[#This Row],[Session]]=B39,1,0)+IF(Table44246665[[#This Row],[Pre or Post]]="Post",1,0)+IF(D39="Pre",1,0)=4,Table44246665[[#This Row],[Post Total]],""),"")</f>
        <v>5</v>
      </c>
      <c r="O40" s="5">
        <f>IF(IF(ISNUMBER(K39),1,0)+IF(ISNUMBER(Table44246665[[#This Row],[Post Total]]),1,0)=2,IF(IF(Table44246665[[#This Row],[Student Number]]=C39,1,0)+IF(Table44246665[[#This Row],[Session]]=B39,1,0)+IF(Table44246665[[#This Row],[Pre or Post]]="Post",1,0)+IF(D39="Pre",1,0)=4,Table44246665[[#This Row],[Post Total]]-K39,""),"")</f>
        <v>4</v>
      </c>
      <c r="P40" s="5" t="b">
        <f>ISNUMBER(Table44246665[[#This Row],[Change]])</f>
        <v>1</v>
      </c>
      <c r="Q40" s="5">
        <f>IF(E39="Yes",Table44246665[[#This Row],[Change]],"")</f>
        <v>4</v>
      </c>
      <c r="R40" s="5" t="str">
        <f>IF(E39="No",Table44246665[[#This Row],[Change]],"")</f>
        <v/>
      </c>
      <c r="S40" s="5" t="b">
        <f>ISNUMBER(Table44246665[[#This Row],[If Pre3 Yes]])</f>
        <v>1</v>
      </c>
      <c r="T40" s="5" t="b">
        <f>ISNUMBER(Table44246665[[#This Row],[If Pre3 No]])</f>
        <v>0</v>
      </c>
    </row>
    <row r="41" spans="1:20">
      <c r="A41" s="1" t="s">
        <v>24</v>
      </c>
      <c r="B41" s="1" t="s">
        <v>23</v>
      </c>
      <c r="C41" s="1">
        <v>11</v>
      </c>
      <c r="D41" s="1" t="s">
        <v>6</v>
      </c>
      <c r="E41" s="5" t="s">
        <v>8</v>
      </c>
      <c r="F41" s="1">
        <v>11</v>
      </c>
      <c r="G41" s="1">
        <v>2</v>
      </c>
      <c r="H41" s="1" t="s">
        <v>8</v>
      </c>
      <c r="I41" s="5">
        <f>IF(IF(Table44246665[[#This Row],[Pre or Post]]="Pre",1,0)+IF(ISNUMBER(Table44246665[[#This Row],[Response]])=TRUE,1,0)=2,1,"")</f>
        <v>1</v>
      </c>
      <c r="J41" s="5" t="str">
        <f>IF(IF(Table44246665[[#This Row],[Pre or Post]]="Post",1,0)+IF(ISNUMBER(Table44246665[[#This Row],[Response]])=TRUE,1,0)=2,1,"")</f>
        <v/>
      </c>
      <c r="K41" s="6">
        <f>IF(IF(Table44246665[[#This Row],[Pre or Post]]="Pre",1,0)+IF(ISNUMBER(Table44246665[[#This Row],[Response]])=TRUE,1,0)=2,Table44246665[[#This Row],[Response]],"")</f>
        <v>2</v>
      </c>
      <c r="L41" s="6" t="str">
        <f>IF(IF(Table44246665[[#This Row],[Pre or Post]]="Post",1,0)+IF(ISNUMBER(Table44246665[[#This Row],[Response]])=TRUE,1,0)=2,Table44246665[[#This Row],[Response]],"")</f>
        <v/>
      </c>
      <c r="M41" s="5">
        <f>IF(IF(ISNUMBER(K41),1,0)+IF(ISNUMBER(L42),1,0)=2,IF(IF(C42=C41,1,0)+IF(B42=B41,1,0)+IF(D42="Post",1,0)+IF(D41="Pre",1,0)=4,Table44246665[[#This Row],[Pre Total]],""),"")</f>
        <v>2</v>
      </c>
      <c r="N41" s="5" t="str">
        <f>IF(IF(ISNUMBER(K40),1,0)+IF(ISNUMBER(Table44246665[[#This Row],[Post Total]]),1,0)=2,IF(IF(Table44246665[[#This Row],[Student Number]]=C40,1,0)+IF(Table44246665[[#This Row],[Session]]=B40,1,0)+IF(Table44246665[[#This Row],[Pre or Post]]="Post",1,0)+IF(D40="Pre",1,0)=4,Table44246665[[#This Row],[Post Total]],""),"")</f>
        <v/>
      </c>
      <c r="O41" s="5" t="str">
        <f>IF(IF(ISNUMBER(K40),1,0)+IF(ISNUMBER(Table44246665[[#This Row],[Post Total]]),1,0)=2,IF(IF(Table44246665[[#This Row],[Student Number]]=C40,1,0)+IF(Table44246665[[#This Row],[Session]]=B40,1,0)+IF(Table44246665[[#This Row],[Pre or Post]]="Post",1,0)+IF(D40="Pre",1,0)=4,Table44246665[[#This Row],[Post Total]]-K40,""),"")</f>
        <v/>
      </c>
      <c r="P41" s="5" t="b">
        <f>ISNUMBER(Table44246665[[#This Row],[Change]])</f>
        <v>0</v>
      </c>
      <c r="Q41" s="5" t="str">
        <f>IF(E40="Yes",Table44246665[[#This Row],[Change]],"")</f>
        <v/>
      </c>
      <c r="R41" s="5" t="str">
        <f>IF(E40="No",Table44246665[[#This Row],[Change]],"")</f>
        <v/>
      </c>
      <c r="S41" s="5" t="b">
        <f>ISNUMBER(Table44246665[[#This Row],[If Pre3 Yes]])</f>
        <v>0</v>
      </c>
      <c r="T41" s="5" t="b">
        <f>ISNUMBER(Table44246665[[#This Row],[If Pre3 No]])</f>
        <v>0</v>
      </c>
    </row>
    <row r="42" spans="1:20">
      <c r="A42" s="1" t="s">
        <v>24</v>
      </c>
      <c r="B42" s="1" t="s">
        <v>23</v>
      </c>
      <c r="C42" s="1">
        <v>11</v>
      </c>
      <c r="D42" s="1" t="s">
        <v>16</v>
      </c>
      <c r="E42" s="5"/>
      <c r="F42" s="1">
        <v>4</v>
      </c>
      <c r="G42" s="1">
        <v>5</v>
      </c>
      <c r="H42" s="1" t="s">
        <v>8</v>
      </c>
      <c r="I42" s="5" t="str">
        <f>IF(IF(Table44246665[[#This Row],[Pre or Post]]="Pre",1,0)+IF(ISNUMBER(Table44246665[[#This Row],[Response]])=TRUE,1,0)=2,1,"")</f>
        <v/>
      </c>
      <c r="J42" s="5">
        <f>IF(IF(Table44246665[[#This Row],[Pre or Post]]="Post",1,0)+IF(ISNUMBER(Table44246665[[#This Row],[Response]])=TRUE,1,0)=2,1,"")</f>
        <v>1</v>
      </c>
      <c r="K42" s="6" t="str">
        <f>IF(IF(Table44246665[[#This Row],[Pre or Post]]="Pre",1,0)+IF(ISNUMBER(Table44246665[[#This Row],[Response]])=TRUE,1,0)=2,Table44246665[[#This Row],[Response]],"")</f>
        <v/>
      </c>
      <c r="L42" s="6">
        <f>IF(IF(Table44246665[[#This Row],[Pre or Post]]="Post",1,0)+IF(ISNUMBER(Table44246665[[#This Row],[Response]])=TRUE,1,0)=2,Table44246665[[#This Row],[Response]],"")</f>
        <v>5</v>
      </c>
      <c r="M42" s="5" t="str">
        <f>IF(IF(ISNUMBER(K42),1,0)+IF(ISNUMBER(L43),1,0)=2,IF(IF(C43=C42,1,0)+IF(B43=B42,1,0)+IF(D43="Post",1,0)+IF(D42="Pre",1,0)=4,Table44246665[[#This Row],[Pre Total]],""),"")</f>
        <v/>
      </c>
      <c r="N42" s="5">
        <f>IF(IF(ISNUMBER(K41),1,0)+IF(ISNUMBER(Table44246665[[#This Row],[Post Total]]),1,0)=2,IF(IF(Table44246665[[#This Row],[Student Number]]=C41,1,0)+IF(Table44246665[[#This Row],[Session]]=B41,1,0)+IF(Table44246665[[#This Row],[Pre or Post]]="Post",1,0)+IF(D41="Pre",1,0)=4,Table44246665[[#This Row],[Post Total]],""),"")</f>
        <v>5</v>
      </c>
      <c r="O42" s="5">
        <f>IF(IF(ISNUMBER(K41),1,0)+IF(ISNUMBER(Table44246665[[#This Row],[Post Total]]),1,0)=2,IF(IF(Table44246665[[#This Row],[Student Number]]=C41,1,0)+IF(Table44246665[[#This Row],[Session]]=B41,1,0)+IF(Table44246665[[#This Row],[Pre or Post]]="Post",1,0)+IF(D41="Pre",1,0)=4,Table44246665[[#This Row],[Post Total]]-K41,""),"")</f>
        <v>3</v>
      </c>
      <c r="P42" s="5" t="b">
        <f>ISNUMBER(Table44246665[[#This Row],[Change]])</f>
        <v>1</v>
      </c>
      <c r="Q42" s="5">
        <f>IF(E41="Yes",Table44246665[[#This Row],[Change]],"")</f>
        <v>3</v>
      </c>
      <c r="R42" s="5" t="str">
        <f>IF(E41="No",Table44246665[[#This Row],[Change]],"")</f>
        <v/>
      </c>
      <c r="S42" s="5" t="b">
        <f>ISNUMBER(Table44246665[[#This Row],[If Pre3 Yes]])</f>
        <v>1</v>
      </c>
      <c r="T42" s="5" t="b">
        <f>ISNUMBER(Table44246665[[#This Row],[If Pre3 No]])</f>
        <v>0</v>
      </c>
    </row>
    <row r="43" spans="1:20">
      <c r="A43" s="1" t="s">
        <v>24</v>
      </c>
      <c r="B43" s="1" t="s">
        <v>23</v>
      </c>
      <c r="C43" s="1">
        <v>12</v>
      </c>
      <c r="D43" s="1" t="s">
        <v>6</v>
      </c>
      <c r="E43" s="5" t="s">
        <v>8</v>
      </c>
      <c r="F43" s="1">
        <v>11</v>
      </c>
      <c r="G43" s="1">
        <v>3</v>
      </c>
      <c r="H43" s="1" t="s">
        <v>8</v>
      </c>
      <c r="I43" s="5">
        <f>IF(IF(Table44246665[[#This Row],[Pre or Post]]="Pre",1,0)+IF(ISNUMBER(Table44246665[[#This Row],[Response]])=TRUE,1,0)=2,1,"")</f>
        <v>1</v>
      </c>
      <c r="J43" s="5" t="str">
        <f>IF(IF(Table44246665[[#This Row],[Pre or Post]]="Post",1,0)+IF(ISNUMBER(Table44246665[[#This Row],[Response]])=TRUE,1,0)=2,1,"")</f>
        <v/>
      </c>
      <c r="K43" s="6">
        <f>IF(IF(Table44246665[[#This Row],[Pre or Post]]="Pre",1,0)+IF(ISNUMBER(Table44246665[[#This Row],[Response]])=TRUE,1,0)=2,Table44246665[[#This Row],[Response]],"")</f>
        <v>3</v>
      </c>
      <c r="L43" s="6" t="str">
        <f>IF(IF(Table44246665[[#This Row],[Pre or Post]]="Post",1,0)+IF(ISNUMBER(Table44246665[[#This Row],[Response]])=TRUE,1,0)=2,Table44246665[[#This Row],[Response]],"")</f>
        <v/>
      </c>
      <c r="M43" s="5">
        <f>IF(IF(ISNUMBER(K43),1,0)+IF(ISNUMBER(L44),1,0)=2,IF(IF(C44=C43,1,0)+IF(B44=B43,1,0)+IF(D44="Post",1,0)+IF(D43="Pre",1,0)=4,Table44246665[[#This Row],[Pre Total]],""),"")</f>
        <v>3</v>
      </c>
      <c r="N43" s="5" t="str">
        <f>IF(IF(ISNUMBER(K42),1,0)+IF(ISNUMBER(Table44246665[[#This Row],[Post Total]]),1,0)=2,IF(IF(Table44246665[[#This Row],[Student Number]]=C42,1,0)+IF(Table44246665[[#This Row],[Session]]=B42,1,0)+IF(Table44246665[[#This Row],[Pre or Post]]="Post",1,0)+IF(D42="Pre",1,0)=4,Table44246665[[#This Row],[Post Total]],""),"")</f>
        <v/>
      </c>
      <c r="O43" s="5" t="str">
        <f>IF(IF(ISNUMBER(K42),1,0)+IF(ISNUMBER(Table44246665[[#This Row],[Post Total]]),1,0)=2,IF(IF(Table44246665[[#This Row],[Student Number]]=C42,1,0)+IF(Table44246665[[#This Row],[Session]]=B42,1,0)+IF(Table44246665[[#This Row],[Pre or Post]]="Post",1,0)+IF(D42="Pre",1,0)=4,Table44246665[[#This Row],[Post Total]]-K42,""),"")</f>
        <v/>
      </c>
      <c r="P43" s="5" t="b">
        <f>ISNUMBER(Table44246665[[#This Row],[Change]])</f>
        <v>0</v>
      </c>
      <c r="Q43" s="5" t="str">
        <f>IF(E42="Yes",Table44246665[[#This Row],[Change]],"")</f>
        <v/>
      </c>
      <c r="R43" s="5" t="str">
        <f>IF(E42="No",Table44246665[[#This Row],[Change]],"")</f>
        <v/>
      </c>
      <c r="S43" s="5" t="b">
        <f>ISNUMBER(Table44246665[[#This Row],[If Pre3 Yes]])</f>
        <v>0</v>
      </c>
      <c r="T43" s="5" t="b">
        <f>ISNUMBER(Table44246665[[#This Row],[If Pre3 No]])</f>
        <v>0</v>
      </c>
    </row>
    <row r="44" spans="1:20">
      <c r="A44" s="1" t="s">
        <v>24</v>
      </c>
      <c r="B44" s="1" t="s">
        <v>23</v>
      </c>
      <c r="C44" s="1">
        <v>12</v>
      </c>
      <c r="D44" s="1" t="s">
        <v>16</v>
      </c>
      <c r="E44" s="5"/>
      <c r="F44" s="1">
        <v>4</v>
      </c>
      <c r="G44" s="1">
        <v>5</v>
      </c>
      <c r="H44" s="1" t="s">
        <v>8</v>
      </c>
      <c r="I44" s="6" t="str">
        <f>IF(IF(Table44246665[[#This Row],[Pre or Post]]="Pre",1,0)+IF(ISNUMBER(Table44246665[[#This Row],[Response]])=TRUE,1,0)=2,1,"")</f>
        <v/>
      </c>
      <c r="J44" s="6">
        <f>IF(IF(Table44246665[[#This Row],[Pre or Post]]="Post",1,0)+IF(ISNUMBER(Table44246665[[#This Row],[Response]])=TRUE,1,0)=2,1,"")</f>
        <v>1</v>
      </c>
      <c r="K44" s="6" t="str">
        <f>IF(IF(Table44246665[[#This Row],[Pre or Post]]="Pre",1,0)+IF(ISNUMBER(Table44246665[[#This Row],[Response]])=TRUE,1,0)=2,Table44246665[[#This Row],[Response]],"")</f>
        <v/>
      </c>
      <c r="L44" s="6">
        <f>IF(IF(Table44246665[[#This Row],[Pre or Post]]="Post",1,0)+IF(ISNUMBER(Table44246665[[#This Row],[Response]])=TRUE,1,0)=2,Table44246665[[#This Row],[Response]],"")</f>
        <v>5</v>
      </c>
      <c r="M44" s="6" t="str">
        <f>IF(IF(ISNUMBER(K44),1,0)+IF(ISNUMBER(L45),1,0)=2,IF(IF(C45=C44,1,0)+IF(B45=B44,1,0)+IF(D45="Post",1,0)+IF(D44="Pre",1,0)=4,Table44246665[[#This Row],[Pre Total]],""),"")</f>
        <v/>
      </c>
      <c r="N44" s="6">
        <f>IF(IF(ISNUMBER(K43),1,0)+IF(ISNUMBER(Table44246665[[#This Row],[Post Total]]),1,0)=2,IF(IF(Table44246665[[#This Row],[Student Number]]=C43,1,0)+IF(Table44246665[[#This Row],[Session]]=B43,1,0)+IF(Table44246665[[#This Row],[Pre or Post]]="Post",1,0)+IF(D43="Pre",1,0)=4,Table44246665[[#This Row],[Post Total]],""),"")</f>
        <v>5</v>
      </c>
      <c r="O44" s="6">
        <f>IF(IF(ISNUMBER(K43),1,0)+IF(ISNUMBER(Table44246665[[#This Row],[Post Total]]),1,0)=2,IF(IF(Table44246665[[#This Row],[Student Number]]=C43,1,0)+IF(Table44246665[[#This Row],[Session]]=B43,1,0)+IF(Table44246665[[#This Row],[Pre or Post]]="Post",1,0)+IF(D43="Pre",1,0)=4,Table44246665[[#This Row],[Post Total]]-K43,""),"")</f>
        <v>2</v>
      </c>
      <c r="P44" s="6" t="b">
        <f>ISNUMBER(Table44246665[[#This Row],[Change]])</f>
        <v>1</v>
      </c>
      <c r="Q44" s="5">
        <f>IF(E43="Yes",Table44246665[[#This Row],[Change]],"")</f>
        <v>2</v>
      </c>
      <c r="R44" s="5" t="str">
        <f>IF(E43="No",Table44246665[[#This Row],[Change]],"")</f>
        <v/>
      </c>
      <c r="S44" s="5" t="b">
        <f>ISNUMBER(Table44246665[[#This Row],[If Pre3 Yes]])</f>
        <v>1</v>
      </c>
      <c r="T44" s="5" t="b">
        <f>ISNUMBER(Table44246665[[#This Row],[If Pre3 No]])</f>
        <v>0</v>
      </c>
    </row>
    <row r="45" spans="1:20">
      <c r="A45" s="1" t="s">
        <v>24</v>
      </c>
      <c r="B45" s="1" t="s">
        <v>23</v>
      </c>
      <c r="C45" s="1">
        <v>13</v>
      </c>
      <c r="D45" s="1" t="s">
        <v>6</v>
      </c>
      <c r="E45" s="5" t="s">
        <v>8</v>
      </c>
      <c r="F45" s="1">
        <v>11</v>
      </c>
      <c r="G45" s="1">
        <v>4</v>
      </c>
      <c r="H45" s="1" t="s">
        <v>8</v>
      </c>
      <c r="I45" s="5">
        <f>IF(IF(Table44246665[[#This Row],[Pre or Post]]="Pre",1,0)+IF(ISNUMBER(Table44246665[[#This Row],[Response]])=TRUE,1,0)=2,1,"")</f>
        <v>1</v>
      </c>
      <c r="J45" s="5" t="str">
        <f>IF(IF(Table44246665[[#This Row],[Pre or Post]]="Post",1,0)+IF(ISNUMBER(Table44246665[[#This Row],[Response]])=TRUE,1,0)=2,1,"")</f>
        <v/>
      </c>
      <c r="K45" s="6">
        <f>IF(IF(Table44246665[[#This Row],[Pre or Post]]="Pre",1,0)+IF(ISNUMBER(Table44246665[[#This Row],[Response]])=TRUE,1,0)=2,Table44246665[[#This Row],[Response]],"")</f>
        <v>4</v>
      </c>
      <c r="L45" s="6" t="str">
        <f>IF(IF(Table44246665[[#This Row],[Pre or Post]]="Post",1,0)+IF(ISNUMBER(Table44246665[[#This Row],[Response]])=TRUE,1,0)=2,Table44246665[[#This Row],[Response]],"")</f>
        <v/>
      </c>
      <c r="M45" s="5">
        <f>IF(IF(ISNUMBER(K45),1,0)+IF(ISNUMBER(L46),1,0)=2,IF(IF(C46=C45,1,0)+IF(B46=B45,1,0)+IF(D46="Post",1,0)+IF(D45="Pre",1,0)=4,Table44246665[[#This Row],[Pre Total]],""),"")</f>
        <v>4</v>
      </c>
      <c r="N45" s="5" t="str">
        <f>IF(IF(ISNUMBER(K44),1,0)+IF(ISNUMBER(Table44246665[[#This Row],[Post Total]]),1,0)=2,IF(IF(Table44246665[[#This Row],[Student Number]]=C44,1,0)+IF(Table44246665[[#This Row],[Session]]=B44,1,0)+IF(Table44246665[[#This Row],[Pre or Post]]="Post",1,0)+IF(D44="Pre",1,0)=4,Table44246665[[#This Row],[Post Total]],""),"")</f>
        <v/>
      </c>
      <c r="O45" s="5" t="str">
        <f>IF(IF(ISNUMBER(K44),1,0)+IF(ISNUMBER(Table44246665[[#This Row],[Post Total]]),1,0)=2,IF(IF(Table44246665[[#This Row],[Student Number]]=C44,1,0)+IF(Table44246665[[#This Row],[Session]]=B44,1,0)+IF(Table44246665[[#This Row],[Pre or Post]]="Post",1,0)+IF(D44="Pre",1,0)=4,Table44246665[[#This Row],[Post Total]]-K44,""),"")</f>
        <v/>
      </c>
      <c r="P45" s="5" t="b">
        <f>ISNUMBER(Table44246665[[#This Row],[Change]])</f>
        <v>0</v>
      </c>
      <c r="Q45" s="5" t="str">
        <f>IF(E44="Yes",Table44246665[[#This Row],[Change]],"")</f>
        <v/>
      </c>
      <c r="R45" s="5" t="str">
        <f>IF(E44="No",Table44246665[[#This Row],[Change]],"")</f>
        <v/>
      </c>
      <c r="S45" s="5" t="b">
        <f>ISNUMBER(Table44246665[[#This Row],[If Pre3 Yes]])</f>
        <v>0</v>
      </c>
      <c r="T45" s="5" t="b">
        <f>ISNUMBER(Table44246665[[#This Row],[If Pre3 No]])</f>
        <v>0</v>
      </c>
    </row>
    <row r="46" spans="1:20">
      <c r="A46" s="1" t="s">
        <v>24</v>
      </c>
      <c r="B46" s="1" t="s">
        <v>23</v>
      </c>
      <c r="C46" s="1">
        <v>13</v>
      </c>
      <c r="D46" s="1" t="s">
        <v>16</v>
      </c>
      <c r="E46" s="5"/>
      <c r="F46" s="1">
        <v>4</v>
      </c>
      <c r="G46" s="1">
        <v>4</v>
      </c>
      <c r="H46" s="1" t="s">
        <v>8</v>
      </c>
      <c r="I46" s="5" t="str">
        <f>IF(IF(Table44246665[[#This Row],[Pre or Post]]="Pre",1,0)+IF(ISNUMBER(Table44246665[[#This Row],[Response]])=TRUE,1,0)=2,1,"")</f>
        <v/>
      </c>
      <c r="J46" s="5">
        <f>IF(IF(Table44246665[[#This Row],[Pre or Post]]="Post",1,0)+IF(ISNUMBER(Table44246665[[#This Row],[Response]])=TRUE,1,0)=2,1,"")</f>
        <v>1</v>
      </c>
      <c r="K46" s="6" t="str">
        <f>IF(IF(Table44246665[[#This Row],[Pre or Post]]="Pre",1,0)+IF(ISNUMBER(Table44246665[[#This Row],[Response]])=TRUE,1,0)=2,Table44246665[[#This Row],[Response]],"")</f>
        <v/>
      </c>
      <c r="L46" s="6">
        <f>IF(IF(Table44246665[[#This Row],[Pre or Post]]="Post",1,0)+IF(ISNUMBER(Table44246665[[#This Row],[Response]])=TRUE,1,0)=2,Table44246665[[#This Row],[Response]],"")</f>
        <v>4</v>
      </c>
      <c r="M46" s="5" t="str">
        <f>IF(IF(ISNUMBER(K46),1,0)+IF(ISNUMBER(L47),1,0)=2,IF(IF(C47=C46,1,0)+IF(B47=B46,1,0)+IF(D47="Post",1,0)+IF(D46="Pre",1,0)=4,Table44246665[[#This Row],[Pre Total]],""),"")</f>
        <v/>
      </c>
      <c r="N46" s="5">
        <f>IF(IF(ISNUMBER(K45),1,0)+IF(ISNUMBER(Table44246665[[#This Row],[Post Total]]),1,0)=2,IF(IF(Table44246665[[#This Row],[Student Number]]=C45,1,0)+IF(Table44246665[[#This Row],[Session]]=B45,1,0)+IF(Table44246665[[#This Row],[Pre or Post]]="Post",1,0)+IF(D45="Pre",1,0)=4,Table44246665[[#This Row],[Post Total]],""),"")</f>
        <v>4</v>
      </c>
      <c r="O46" s="5">
        <f>IF(IF(ISNUMBER(K45),1,0)+IF(ISNUMBER(Table44246665[[#This Row],[Post Total]]),1,0)=2,IF(IF(Table44246665[[#This Row],[Student Number]]=C45,1,0)+IF(Table44246665[[#This Row],[Session]]=B45,1,0)+IF(Table44246665[[#This Row],[Pre or Post]]="Post",1,0)+IF(D45="Pre",1,0)=4,Table44246665[[#This Row],[Post Total]]-K45,""),"")</f>
        <v>0</v>
      </c>
      <c r="P46" s="5" t="b">
        <f>ISNUMBER(Table44246665[[#This Row],[Change]])</f>
        <v>1</v>
      </c>
      <c r="Q46" s="5">
        <f>IF(E45="Yes",Table44246665[[#This Row],[Change]],"")</f>
        <v>0</v>
      </c>
      <c r="R46" s="5" t="str">
        <f>IF(E45="No",Table44246665[[#This Row],[Change]],"")</f>
        <v/>
      </c>
      <c r="S46" s="5" t="b">
        <f>ISNUMBER(Table44246665[[#This Row],[If Pre3 Yes]])</f>
        <v>1</v>
      </c>
      <c r="T46" s="5" t="b">
        <f>ISNUMBER(Table44246665[[#This Row],[If Pre3 No]])</f>
        <v>0</v>
      </c>
    </row>
    <row r="47" spans="1:20">
      <c r="A47" s="1" t="s">
        <v>24</v>
      </c>
      <c r="B47" s="1" t="s">
        <v>23</v>
      </c>
      <c r="C47" s="1">
        <v>14</v>
      </c>
      <c r="D47" s="1" t="s">
        <v>6</v>
      </c>
      <c r="E47" s="5" t="s">
        <v>8</v>
      </c>
      <c r="F47" s="1">
        <v>11</v>
      </c>
      <c r="G47" s="1">
        <v>1</v>
      </c>
      <c r="H47" s="1" t="s">
        <v>8</v>
      </c>
      <c r="I47" s="5">
        <f>IF(IF(Table44246665[[#This Row],[Pre or Post]]="Pre",1,0)+IF(ISNUMBER(Table44246665[[#This Row],[Response]])=TRUE,1,0)=2,1,"")</f>
        <v>1</v>
      </c>
      <c r="J47" s="5" t="str">
        <f>IF(IF(Table44246665[[#This Row],[Pre or Post]]="Post",1,0)+IF(ISNUMBER(Table44246665[[#This Row],[Response]])=TRUE,1,0)=2,1,"")</f>
        <v/>
      </c>
      <c r="K47" s="6">
        <f>IF(IF(Table44246665[[#This Row],[Pre or Post]]="Pre",1,0)+IF(ISNUMBER(Table44246665[[#This Row],[Response]])=TRUE,1,0)=2,Table44246665[[#This Row],[Response]],"")</f>
        <v>1</v>
      </c>
      <c r="L47" s="6" t="str">
        <f>IF(IF(Table44246665[[#This Row],[Pre or Post]]="Post",1,0)+IF(ISNUMBER(Table44246665[[#This Row],[Response]])=TRUE,1,0)=2,Table44246665[[#This Row],[Response]],"")</f>
        <v/>
      </c>
      <c r="M47" s="5">
        <f>IF(IF(ISNUMBER(K47),1,0)+IF(ISNUMBER(L48),1,0)=2,IF(IF(C48=C47,1,0)+IF(B48=B47,1,0)+IF(D48="Post",1,0)+IF(D47="Pre",1,0)=4,Table44246665[[#This Row],[Pre Total]],""),"")</f>
        <v>1</v>
      </c>
      <c r="N47" s="5" t="str">
        <f>IF(IF(ISNUMBER(K46),1,0)+IF(ISNUMBER(Table44246665[[#This Row],[Post Total]]),1,0)=2,IF(IF(Table44246665[[#This Row],[Student Number]]=C46,1,0)+IF(Table44246665[[#This Row],[Session]]=B46,1,0)+IF(Table44246665[[#This Row],[Pre or Post]]="Post",1,0)+IF(D46="Pre",1,0)=4,Table44246665[[#This Row],[Post Total]],""),"")</f>
        <v/>
      </c>
      <c r="O47" s="5" t="str">
        <f>IF(IF(ISNUMBER(K46),1,0)+IF(ISNUMBER(Table44246665[[#This Row],[Post Total]]),1,0)=2,IF(IF(Table44246665[[#This Row],[Student Number]]=C46,1,0)+IF(Table44246665[[#This Row],[Session]]=B46,1,0)+IF(Table44246665[[#This Row],[Pre or Post]]="Post",1,0)+IF(D46="Pre",1,0)=4,Table44246665[[#This Row],[Post Total]]-K46,""),"")</f>
        <v/>
      </c>
      <c r="P47" s="5" t="b">
        <f>ISNUMBER(Table44246665[[#This Row],[Change]])</f>
        <v>0</v>
      </c>
      <c r="Q47" s="5" t="str">
        <f>IF(E46="Yes",Table44246665[[#This Row],[Change]],"")</f>
        <v/>
      </c>
      <c r="R47" s="5" t="str">
        <f>IF(E46="No",Table44246665[[#This Row],[Change]],"")</f>
        <v/>
      </c>
      <c r="S47" s="5" t="b">
        <f>ISNUMBER(Table44246665[[#This Row],[If Pre3 Yes]])</f>
        <v>0</v>
      </c>
      <c r="T47" s="5" t="b">
        <f>ISNUMBER(Table44246665[[#This Row],[If Pre3 No]])</f>
        <v>0</v>
      </c>
    </row>
    <row r="48" spans="1:20">
      <c r="A48" s="1" t="s">
        <v>24</v>
      </c>
      <c r="B48" s="1" t="s">
        <v>23</v>
      </c>
      <c r="C48" s="1">
        <v>14</v>
      </c>
      <c r="D48" s="1" t="s">
        <v>16</v>
      </c>
      <c r="E48" s="5"/>
      <c r="F48" s="1">
        <v>4</v>
      </c>
      <c r="G48" s="1">
        <v>3</v>
      </c>
      <c r="H48" s="1" t="s">
        <v>8</v>
      </c>
      <c r="I48" s="5" t="str">
        <f>IF(IF(Table44246665[[#This Row],[Pre or Post]]="Pre",1,0)+IF(ISNUMBER(Table44246665[[#This Row],[Response]])=TRUE,1,0)=2,1,"")</f>
        <v/>
      </c>
      <c r="J48" s="5">
        <f>IF(IF(Table44246665[[#This Row],[Pre or Post]]="Post",1,0)+IF(ISNUMBER(Table44246665[[#This Row],[Response]])=TRUE,1,0)=2,1,"")</f>
        <v>1</v>
      </c>
      <c r="K48" s="6" t="str">
        <f>IF(IF(Table44246665[[#This Row],[Pre or Post]]="Pre",1,0)+IF(ISNUMBER(Table44246665[[#This Row],[Response]])=TRUE,1,0)=2,Table44246665[[#This Row],[Response]],"")</f>
        <v/>
      </c>
      <c r="L48" s="6">
        <f>IF(IF(Table44246665[[#This Row],[Pre or Post]]="Post",1,0)+IF(ISNUMBER(Table44246665[[#This Row],[Response]])=TRUE,1,0)=2,Table44246665[[#This Row],[Response]],"")</f>
        <v>3</v>
      </c>
      <c r="M48" s="5" t="str">
        <f>IF(IF(ISNUMBER(K48),1,0)+IF(ISNUMBER(L49),1,0)=2,IF(IF(C49=C48,1,0)+IF(B49=B48,1,0)+IF(D49="Post",1,0)+IF(D48="Pre",1,0)=4,Table44246665[[#This Row],[Pre Total]],""),"")</f>
        <v/>
      </c>
      <c r="N48" s="5">
        <f>IF(IF(ISNUMBER(K47),1,0)+IF(ISNUMBER(Table44246665[[#This Row],[Post Total]]),1,0)=2,IF(IF(Table44246665[[#This Row],[Student Number]]=C47,1,0)+IF(Table44246665[[#This Row],[Session]]=B47,1,0)+IF(Table44246665[[#This Row],[Pre or Post]]="Post",1,0)+IF(D47="Pre",1,0)=4,Table44246665[[#This Row],[Post Total]],""),"")</f>
        <v>3</v>
      </c>
      <c r="O48" s="5">
        <f>IF(IF(ISNUMBER(K47),1,0)+IF(ISNUMBER(Table44246665[[#This Row],[Post Total]]),1,0)=2,IF(IF(Table44246665[[#This Row],[Student Number]]=C47,1,0)+IF(Table44246665[[#This Row],[Session]]=B47,1,0)+IF(Table44246665[[#This Row],[Pre or Post]]="Post",1,0)+IF(D47="Pre",1,0)=4,Table44246665[[#This Row],[Post Total]]-K47,""),"")</f>
        <v>2</v>
      </c>
      <c r="P48" s="5" t="b">
        <f>ISNUMBER(Table44246665[[#This Row],[Change]])</f>
        <v>1</v>
      </c>
      <c r="Q48" s="5">
        <f>IF(E47="Yes",Table44246665[[#This Row],[Change]],"")</f>
        <v>2</v>
      </c>
      <c r="R48" s="5" t="str">
        <f>IF(E47="No",Table44246665[[#This Row],[Change]],"")</f>
        <v/>
      </c>
      <c r="S48" s="5" t="b">
        <f>ISNUMBER(Table44246665[[#This Row],[If Pre3 Yes]])</f>
        <v>1</v>
      </c>
      <c r="T48" s="5" t="b">
        <f>ISNUMBER(Table44246665[[#This Row],[If Pre3 No]])</f>
        <v>0</v>
      </c>
    </row>
    <row r="49" spans="1:20">
      <c r="A49" s="1" t="s">
        <v>24</v>
      </c>
      <c r="B49" s="1" t="s">
        <v>23</v>
      </c>
      <c r="C49" s="1">
        <v>15</v>
      </c>
      <c r="D49" s="1" t="s">
        <v>6</v>
      </c>
      <c r="E49" s="5" t="s">
        <v>8</v>
      </c>
      <c r="F49" s="1">
        <v>11</v>
      </c>
      <c r="G49" s="1">
        <v>1</v>
      </c>
      <c r="H49" s="1" t="s">
        <v>8</v>
      </c>
      <c r="I49" s="5">
        <f>IF(IF(Table44246665[[#This Row],[Pre or Post]]="Pre",1,0)+IF(ISNUMBER(Table44246665[[#This Row],[Response]])=TRUE,1,0)=2,1,"")</f>
        <v>1</v>
      </c>
      <c r="J49" s="5" t="str">
        <f>IF(IF(Table44246665[[#This Row],[Pre or Post]]="Post",1,0)+IF(ISNUMBER(Table44246665[[#This Row],[Response]])=TRUE,1,0)=2,1,"")</f>
        <v/>
      </c>
      <c r="K49" s="6">
        <f>IF(IF(Table44246665[[#This Row],[Pre or Post]]="Pre",1,0)+IF(ISNUMBER(Table44246665[[#This Row],[Response]])=TRUE,1,0)=2,Table44246665[[#This Row],[Response]],"")</f>
        <v>1</v>
      </c>
      <c r="L49" s="6" t="str">
        <f>IF(IF(Table44246665[[#This Row],[Pre or Post]]="Post",1,0)+IF(ISNUMBER(Table44246665[[#This Row],[Response]])=TRUE,1,0)=2,Table44246665[[#This Row],[Response]],"")</f>
        <v/>
      </c>
      <c r="M49" s="5">
        <f>IF(IF(ISNUMBER(K49),1,0)+IF(ISNUMBER(L50),1,0)=2,IF(IF(C50=C49,1,0)+IF(B50=B49,1,0)+IF(D50="Post",1,0)+IF(D49="Pre",1,0)=4,Table44246665[[#This Row],[Pre Total]],""),"")</f>
        <v>1</v>
      </c>
      <c r="N49" s="5" t="str">
        <f>IF(IF(ISNUMBER(K48),1,0)+IF(ISNUMBER(Table44246665[[#This Row],[Post Total]]),1,0)=2,IF(IF(Table44246665[[#This Row],[Student Number]]=C48,1,0)+IF(Table44246665[[#This Row],[Session]]=B48,1,0)+IF(Table44246665[[#This Row],[Pre or Post]]="Post",1,0)+IF(D48="Pre",1,0)=4,Table44246665[[#This Row],[Post Total]],""),"")</f>
        <v/>
      </c>
      <c r="O49" s="5" t="str">
        <f>IF(IF(ISNUMBER(K48),1,0)+IF(ISNUMBER(Table44246665[[#This Row],[Post Total]]),1,0)=2,IF(IF(Table44246665[[#This Row],[Student Number]]=C48,1,0)+IF(Table44246665[[#This Row],[Session]]=B48,1,0)+IF(Table44246665[[#This Row],[Pre or Post]]="Post",1,0)+IF(D48="Pre",1,0)=4,Table44246665[[#This Row],[Post Total]]-K48,""),"")</f>
        <v/>
      </c>
      <c r="P49" s="5" t="b">
        <f>ISNUMBER(Table44246665[[#This Row],[Change]])</f>
        <v>0</v>
      </c>
      <c r="Q49" s="5" t="str">
        <f>IF(E48="Yes",Table44246665[[#This Row],[Change]],"")</f>
        <v/>
      </c>
      <c r="R49" s="5" t="str">
        <f>IF(E48="No",Table44246665[[#This Row],[Change]],"")</f>
        <v/>
      </c>
      <c r="S49" s="5" t="b">
        <f>ISNUMBER(Table44246665[[#This Row],[If Pre3 Yes]])</f>
        <v>0</v>
      </c>
      <c r="T49" s="5" t="b">
        <f>ISNUMBER(Table44246665[[#This Row],[If Pre3 No]])</f>
        <v>0</v>
      </c>
    </row>
    <row r="50" spans="1:20">
      <c r="A50" s="1" t="s">
        <v>24</v>
      </c>
      <c r="B50" s="1" t="s">
        <v>23</v>
      </c>
      <c r="C50" s="1">
        <v>15</v>
      </c>
      <c r="D50" s="1" t="s">
        <v>16</v>
      </c>
      <c r="E50" s="5"/>
      <c r="F50" s="1">
        <v>4</v>
      </c>
      <c r="G50" s="1">
        <v>5</v>
      </c>
      <c r="H50" s="1" t="s">
        <v>8</v>
      </c>
      <c r="I50" s="5" t="str">
        <f>IF(IF(Table44246665[[#This Row],[Pre or Post]]="Pre",1,0)+IF(ISNUMBER(Table44246665[[#This Row],[Response]])=TRUE,1,0)=2,1,"")</f>
        <v/>
      </c>
      <c r="J50" s="5">
        <f>IF(IF(Table44246665[[#This Row],[Pre or Post]]="Post",1,0)+IF(ISNUMBER(Table44246665[[#This Row],[Response]])=TRUE,1,0)=2,1,"")</f>
        <v>1</v>
      </c>
      <c r="K50" s="6" t="str">
        <f>IF(IF(Table44246665[[#This Row],[Pre or Post]]="Pre",1,0)+IF(ISNUMBER(Table44246665[[#This Row],[Response]])=TRUE,1,0)=2,Table44246665[[#This Row],[Response]],"")</f>
        <v/>
      </c>
      <c r="L50" s="6">
        <f>IF(IF(Table44246665[[#This Row],[Pre or Post]]="Post",1,0)+IF(ISNUMBER(Table44246665[[#This Row],[Response]])=TRUE,1,0)=2,Table44246665[[#This Row],[Response]],"")</f>
        <v>5</v>
      </c>
      <c r="M50" s="5" t="str">
        <f>IF(IF(ISNUMBER(K50),1,0)+IF(ISNUMBER(L51),1,0)=2,IF(IF(C51=C50,1,0)+IF(B51=B50,1,0)+IF(D51="Post",1,0)+IF(D50="Pre",1,0)=4,Table44246665[[#This Row],[Pre Total]],""),"")</f>
        <v/>
      </c>
      <c r="N50" s="5">
        <f>IF(IF(ISNUMBER(K49),1,0)+IF(ISNUMBER(Table44246665[[#This Row],[Post Total]]),1,0)=2,IF(IF(Table44246665[[#This Row],[Student Number]]=C49,1,0)+IF(Table44246665[[#This Row],[Session]]=B49,1,0)+IF(Table44246665[[#This Row],[Pre or Post]]="Post",1,0)+IF(D49="Pre",1,0)=4,Table44246665[[#This Row],[Post Total]],""),"")</f>
        <v>5</v>
      </c>
      <c r="O50" s="5">
        <f>IF(IF(ISNUMBER(K49),1,0)+IF(ISNUMBER(Table44246665[[#This Row],[Post Total]]),1,0)=2,IF(IF(Table44246665[[#This Row],[Student Number]]=C49,1,0)+IF(Table44246665[[#This Row],[Session]]=B49,1,0)+IF(Table44246665[[#This Row],[Pre or Post]]="Post",1,0)+IF(D49="Pre",1,0)=4,Table44246665[[#This Row],[Post Total]]-K49,""),"")</f>
        <v>4</v>
      </c>
      <c r="P50" s="5" t="b">
        <f>ISNUMBER(Table44246665[[#This Row],[Change]])</f>
        <v>1</v>
      </c>
      <c r="Q50" s="5">
        <f>IF(E49="Yes",Table44246665[[#This Row],[Change]],"")</f>
        <v>4</v>
      </c>
      <c r="R50" s="5" t="str">
        <f>IF(E49="No",Table44246665[[#This Row],[Change]],"")</f>
        <v/>
      </c>
      <c r="S50" s="5" t="b">
        <f>ISNUMBER(Table44246665[[#This Row],[If Pre3 Yes]])</f>
        <v>1</v>
      </c>
      <c r="T50" s="5" t="b">
        <f>ISNUMBER(Table44246665[[#This Row],[If Pre3 No]])</f>
        <v>0</v>
      </c>
    </row>
    <row r="51" spans="1:20">
      <c r="A51" s="1" t="s">
        <v>24</v>
      </c>
      <c r="B51" s="1" t="s">
        <v>23</v>
      </c>
      <c r="C51" s="1">
        <v>16</v>
      </c>
      <c r="D51" s="1" t="s">
        <v>6</v>
      </c>
      <c r="E51" s="5" t="s">
        <v>8</v>
      </c>
      <c r="F51" s="2">
        <v>11</v>
      </c>
      <c r="G51" s="2">
        <v>2</v>
      </c>
      <c r="H51" s="1" t="s">
        <v>8</v>
      </c>
      <c r="I51" s="5">
        <f>IF(IF(Table44246665[[#This Row],[Pre or Post]]="Pre",1,0)+IF(ISNUMBER(Table44246665[[#This Row],[Response]])=TRUE,1,0)=2,1,"")</f>
        <v>1</v>
      </c>
      <c r="J51" s="5" t="str">
        <f>IF(IF(Table44246665[[#This Row],[Pre or Post]]="Post",1,0)+IF(ISNUMBER(Table44246665[[#This Row],[Response]])=TRUE,1,0)=2,1,"")</f>
        <v/>
      </c>
      <c r="K51" s="6">
        <f>IF(IF(Table44246665[[#This Row],[Pre or Post]]="Pre",1,0)+IF(ISNUMBER(Table44246665[[#This Row],[Response]])=TRUE,1,0)=2,Table44246665[[#This Row],[Response]],"")</f>
        <v>2</v>
      </c>
      <c r="L51" s="6" t="str">
        <f>IF(IF(Table44246665[[#This Row],[Pre or Post]]="Post",1,0)+IF(ISNUMBER(Table44246665[[#This Row],[Response]])=TRUE,1,0)=2,Table44246665[[#This Row],[Response]],"")</f>
        <v/>
      </c>
      <c r="M51" s="5">
        <f>IF(IF(ISNUMBER(K51),1,0)+IF(ISNUMBER(L52),1,0)=2,IF(IF(C52=C51,1,0)+IF(B52=B51,1,0)+IF(D52="Post",1,0)+IF(D51="Pre",1,0)=4,Table44246665[[#This Row],[Pre Total]],""),"")</f>
        <v>2</v>
      </c>
      <c r="N51" s="5" t="str">
        <f>IF(IF(ISNUMBER(K50),1,0)+IF(ISNUMBER(Table44246665[[#This Row],[Post Total]]),1,0)=2,IF(IF(Table44246665[[#This Row],[Student Number]]=C50,1,0)+IF(Table44246665[[#This Row],[Session]]=B50,1,0)+IF(Table44246665[[#This Row],[Pre or Post]]="Post",1,0)+IF(D50="Pre",1,0)=4,Table44246665[[#This Row],[Post Total]],""),"")</f>
        <v/>
      </c>
      <c r="O51" s="5" t="str">
        <f>IF(IF(ISNUMBER(K50),1,0)+IF(ISNUMBER(Table44246665[[#This Row],[Post Total]]),1,0)=2,IF(IF(Table44246665[[#This Row],[Student Number]]=C50,1,0)+IF(Table44246665[[#This Row],[Session]]=B50,1,0)+IF(Table44246665[[#This Row],[Pre or Post]]="Post",1,0)+IF(D50="Pre",1,0)=4,Table44246665[[#This Row],[Post Total]]-K50,""),"")</f>
        <v/>
      </c>
      <c r="P51" s="5" t="b">
        <f>ISNUMBER(Table44246665[[#This Row],[Change]])</f>
        <v>0</v>
      </c>
      <c r="Q51" s="5" t="str">
        <f>IF(E50="Yes",Table44246665[[#This Row],[Change]],"")</f>
        <v/>
      </c>
      <c r="R51" s="5" t="str">
        <f>IF(E50="No",Table44246665[[#This Row],[Change]],"")</f>
        <v/>
      </c>
      <c r="S51" s="5" t="b">
        <f>ISNUMBER(Table44246665[[#This Row],[If Pre3 Yes]])</f>
        <v>0</v>
      </c>
      <c r="T51" s="5" t="b">
        <f>ISNUMBER(Table44246665[[#This Row],[If Pre3 No]])</f>
        <v>0</v>
      </c>
    </row>
    <row r="52" spans="1:20">
      <c r="A52" s="1" t="s">
        <v>24</v>
      </c>
      <c r="B52" s="1" t="s">
        <v>23</v>
      </c>
      <c r="C52" s="1">
        <v>16</v>
      </c>
      <c r="D52" s="1" t="s">
        <v>16</v>
      </c>
      <c r="E52" s="5"/>
      <c r="F52" s="1">
        <v>4</v>
      </c>
      <c r="G52" s="1">
        <v>3</v>
      </c>
      <c r="H52" s="1" t="s">
        <v>8</v>
      </c>
      <c r="I52" s="6" t="str">
        <f>IF(IF(Table44246665[[#This Row],[Pre or Post]]="Pre",1,0)+IF(ISNUMBER(Table44246665[[#This Row],[Response]])=TRUE,1,0)=2,1,"")</f>
        <v/>
      </c>
      <c r="J52" s="6">
        <f>IF(IF(Table44246665[[#This Row],[Pre or Post]]="Post",1,0)+IF(ISNUMBER(Table44246665[[#This Row],[Response]])=TRUE,1,0)=2,1,"")</f>
        <v>1</v>
      </c>
      <c r="K52" s="6" t="str">
        <f>IF(IF(Table44246665[[#This Row],[Pre or Post]]="Pre",1,0)+IF(ISNUMBER(Table44246665[[#This Row],[Response]])=TRUE,1,0)=2,Table44246665[[#This Row],[Response]],"")</f>
        <v/>
      </c>
      <c r="L52" s="6">
        <f>IF(IF(Table44246665[[#This Row],[Pre or Post]]="Post",1,0)+IF(ISNUMBER(Table44246665[[#This Row],[Response]])=TRUE,1,0)=2,Table44246665[[#This Row],[Response]],"")</f>
        <v>3</v>
      </c>
      <c r="M52" s="6" t="str">
        <f>IF(IF(ISNUMBER(K52),1,0)+IF(ISNUMBER(L53),1,0)=2,IF(IF(C53=C52,1,0)+IF(B53=B52,1,0)+IF(D53="Post",1,0)+IF(D52="Pre",1,0)=4,Table44246665[[#This Row],[Pre Total]],""),"")</f>
        <v/>
      </c>
      <c r="N52" s="6">
        <f>IF(IF(ISNUMBER(K51),1,0)+IF(ISNUMBER(Table44246665[[#This Row],[Post Total]]),1,0)=2,IF(IF(Table44246665[[#This Row],[Student Number]]=C51,1,0)+IF(Table44246665[[#This Row],[Session]]=B51,1,0)+IF(Table44246665[[#This Row],[Pre or Post]]="Post",1,0)+IF(D51="Pre",1,0)=4,Table44246665[[#This Row],[Post Total]],""),"")</f>
        <v>3</v>
      </c>
      <c r="O52" s="6">
        <f>IF(IF(ISNUMBER(K51),1,0)+IF(ISNUMBER(Table44246665[[#This Row],[Post Total]]),1,0)=2,IF(IF(Table44246665[[#This Row],[Student Number]]=C51,1,0)+IF(Table44246665[[#This Row],[Session]]=B51,1,0)+IF(Table44246665[[#This Row],[Pre or Post]]="Post",1,0)+IF(D51="Pre",1,0)=4,Table44246665[[#This Row],[Post Total]]-K51,""),"")</f>
        <v>1</v>
      </c>
      <c r="P52" s="6" t="b">
        <f>ISNUMBER(Table44246665[[#This Row],[Change]])</f>
        <v>1</v>
      </c>
      <c r="Q52" s="5">
        <f>IF(E51="Yes",Table44246665[[#This Row],[Change]],"")</f>
        <v>1</v>
      </c>
      <c r="R52" s="5" t="str">
        <f>IF(E51="No",Table44246665[[#This Row],[Change]],"")</f>
        <v/>
      </c>
      <c r="S52" s="5" t="b">
        <f>ISNUMBER(Table44246665[[#This Row],[If Pre3 Yes]])</f>
        <v>1</v>
      </c>
      <c r="T52" s="5" t="b">
        <f>ISNUMBER(Table44246665[[#This Row],[If Pre3 No]])</f>
        <v>0</v>
      </c>
    </row>
    <row r="53" spans="1:20">
      <c r="A53" s="1" t="s">
        <v>24</v>
      </c>
      <c r="B53" s="1" t="s">
        <v>25</v>
      </c>
      <c r="C53" s="1">
        <v>1</v>
      </c>
      <c r="D53" s="1" t="s">
        <v>6</v>
      </c>
      <c r="E53" s="5" t="s">
        <v>8</v>
      </c>
      <c r="F53" s="1">
        <v>11</v>
      </c>
      <c r="G53" s="1">
        <v>2</v>
      </c>
      <c r="H53" s="1" t="s">
        <v>8</v>
      </c>
      <c r="I53" s="5">
        <f>IF(IF(Table44246665[[#This Row],[Pre or Post]]="Pre",1,0)+IF(ISNUMBER(Table44246665[[#This Row],[Response]])=TRUE,1,0)=2,1,"")</f>
        <v>1</v>
      </c>
      <c r="J53" s="5" t="str">
        <f>IF(IF(Table44246665[[#This Row],[Pre or Post]]="Post",1,0)+IF(ISNUMBER(Table44246665[[#This Row],[Response]])=TRUE,1,0)=2,1,"")</f>
        <v/>
      </c>
      <c r="K53" s="6">
        <f>IF(IF(Table44246665[[#This Row],[Pre or Post]]="Pre",1,0)+IF(ISNUMBER(Table44246665[[#This Row],[Response]])=TRUE,1,0)=2,Table44246665[[#This Row],[Response]],"")</f>
        <v>2</v>
      </c>
      <c r="L53" s="6" t="str">
        <f>IF(IF(Table44246665[[#This Row],[Pre or Post]]="Post",1,0)+IF(ISNUMBER(Table44246665[[#This Row],[Response]])=TRUE,1,0)=2,Table44246665[[#This Row],[Response]],"")</f>
        <v/>
      </c>
      <c r="M53" s="5">
        <f>IF(IF(ISNUMBER(K53),1,0)+IF(ISNUMBER(L54),1,0)=2,IF(IF(C54=C53,1,0)+IF(B54=B53,1,0)+IF(D54="Post",1,0)+IF(D53="Pre",1,0)=4,Table44246665[[#This Row],[Pre Total]],""),"")</f>
        <v>2</v>
      </c>
      <c r="N53" s="5" t="str">
        <f>IF(IF(ISNUMBER(K52),1,0)+IF(ISNUMBER(Table44246665[[#This Row],[Post Total]]),1,0)=2,IF(IF(Table44246665[[#This Row],[Student Number]]=C52,1,0)+IF(Table44246665[[#This Row],[Session]]=B52,1,0)+IF(Table44246665[[#This Row],[Pre or Post]]="Post",1,0)+IF(D52="Pre",1,0)=4,Table44246665[[#This Row],[Post Total]],""),"")</f>
        <v/>
      </c>
      <c r="O53" s="5" t="str">
        <f>IF(IF(ISNUMBER(K52),1,0)+IF(ISNUMBER(Table44246665[[#This Row],[Post Total]]),1,0)=2,IF(IF(Table44246665[[#This Row],[Student Number]]=C52,1,0)+IF(Table44246665[[#This Row],[Session]]=B52,1,0)+IF(Table44246665[[#This Row],[Pre or Post]]="Post",1,0)+IF(D52="Pre",1,0)=4,Table44246665[[#This Row],[Post Total]]-K52,""),"")</f>
        <v/>
      </c>
      <c r="P53" s="5" t="b">
        <f>ISNUMBER(Table44246665[[#This Row],[Change]])</f>
        <v>0</v>
      </c>
      <c r="Q53" s="5" t="str">
        <f>IF(E52="Yes",Table44246665[[#This Row],[Change]],"")</f>
        <v/>
      </c>
      <c r="R53" s="5" t="str">
        <f>IF(E52="No",Table44246665[[#This Row],[Change]],"")</f>
        <v/>
      </c>
      <c r="S53" s="5" t="b">
        <f>ISNUMBER(Table44246665[[#This Row],[If Pre3 Yes]])</f>
        <v>0</v>
      </c>
      <c r="T53" s="5" t="b">
        <f>ISNUMBER(Table44246665[[#This Row],[If Pre3 No]])</f>
        <v>0</v>
      </c>
    </row>
    <row r="54" spans="1:20">
      <c r="A54" s="1" t="s">
        <v>24</v>
      </c>
      <c r="B54" s="1" t="s">
        <v>25</v>
      </c>
      <c r="C54" s="1">
        <v>1</v>
      </c>
      <c r="D54" s="1" t="s">
        <v>16</v>
      </c>
      <c r="E54" s="5"/>
      <c r="F54" s="1">
        <v>4</v>
      </c>
      <c r="G54" s="1">
        <v>3</v>
      </c>
      <c r="H54" s="2" t="s">
        <v>8</v>
      </c>
      <c r="I54" s="5" t="str">
        <f>IF(IF(Table44246665[[#This Row],[Pre or Post]]="Pre",1,0)+IF(ISNUMBER(Table44246665[[#This Row],[Response]])=TRUE,1,0)=2,1,"")</f>
        <v/>
      </c>
      <c r="J54" s="5">
        <f>IF(IF(Table44246665[[#This Row],[Pre or Post]]="Post",1,0)+IF(ISNUMBER(Table44246665[[#This Row],[Response]])=TRUE,1,0)=2,1,"")</f>
        <v>1</v>
      </c>
      <c r="K54" s="6" t="str">
        <f>IF(IF(Table44246665[[#This Row],[Pre or Post]]="Pre",1,0)+IF(ISNUMBER(Table44246665[[#This Row],[Response]])=TRUE,1,0)=2,Table44246665[[#This Row],[Response]],"")</f>
        <v/>
      </c>
      <c r="L54" s="6">
        <f>IF(IF(Table44246665[[#This Row],[Pre or Post]]="Post",1,0)+IF(ISNUMBER(Table44246665[[#This Row],[Response]])=TRUE,1,0)=2,Table44246665[[#This Row],[Response]],"")</f>
        <v>3</v>
      </c>
      <c r="M54" s="5" t="str">
        <f>IF(IF(ISNUMBER(K54),1,0)+IF(ISNUMBER(L55),1,0)=2,IF(IF(C55=C54,1,0)+IF(B55=B54,1,0)+IF(D55="Post",1,0)+IF(D54="Pre",1,0)=4,Table44246665[[#This Row],[Pre Total]],""),"")</f>
        <v/>
      </c>
      <c r="N54" s="5">
        <f>IF(IF(ISNUMBER(K53),1,0)+IF(ISNUMBER(Table44246665[[#This Row],[Post Total]]),1,0)=2,IF(IF(Table44246665[[#This Row],[Student Number]]=C53,1,0)+IF(Table44246665[[#This Row],[Session]]=B53,1,0)+IF(Table44246665[[#This Row],[Pre or Post]]="Post",1,0)+IF(D53="Pre",1,0)=4,Table44246665[[#This Row],[Post Total]],""),"")</f>
        <v>3</v>
      </c>
      <c r="O54" s="5">
        <f>IF(IF(ISNUMBER(K53),1,0)+IF(ISNUMBER(Table44246665[[#This Row],[Post Total]]),1,0)=2,IF(IF(Table44246665[[#This Row],[Student Number]]=C53,1,0)+IF(Table44246665[[#This Row],[Session]]=B53,1,0)+IF(Table44246665[[#This Row],[Pre or Post]]="Post",1,0)+IF(D53="Pre",1,0)=4,Table44246665[[#This Row],[Post Total]]-K53,""),"")</f>
        <v>1</v>
      </c>
      <c r="P54" s="5" t="b">
        <f>ISNUMBER(Table44246665[[#This Row],[Change]])</f>
        <v>1</v>
      </c>
      <c r="Q54" s="5">
        <f>IF(E53="Yes",Table44246665[[#This Row],[Change]],"")</f>
        <v>1</v>
      </c>
      <c r="R54" s="5" t="str">
        <f>IF(E53="No",Table44246665[[#This Row],[Change]],"")</f>
        <v/>
      </c>
      <c r="S54" s="5" t="b">
        <f>ISNUMBER(Table44246665[[#This Row],[If Pre3 Yes]])</f>
        <v>1</v>
      </c>
      <c r="T54" s="5" t="b">
        <f>ISNUMBER(Table44246665[[#This Row],[If Pre3 No]])</f>
        <v>0</v>
      </c>
    </row>
    <row r="55" spans="1:20">
      <c r="A55" s="1" t="s">
        <v>24</v>
      </c>
      <c r="B55" s="1" t="s">
        <v>25</v>
      </c>
      <c r="C55" s="1">
        <v>2</v>
      </c>
      <c r="D55" s="1" t="s">
        <v>6</v>
      </c>
      <c r="E55" s="5" t="s">
        <v>8</v>
      </c>
      <c r="F55" s="1">
        <v>11</v>
      </c>
      <c r="G55" s="1">
        <v>1</v>
      </c>
      <c r="H55" s="1" t="s">
        <v>8</v>
      </c>
      <c r="I55" s="5">
        <f>IF(IF(Table44246665[[#This Row],[Pre or Post]]="Pre",1,0)+IF(ISNUMBER(Table44246665[[#This Row],[Response]])=TRUE,1,0)=2,1,"")</f>
        <v>1</v>
      </c>
      <c r="J55" s="5" t="str">
        <f>IF(IF(Table44246665[[#This Row],[Pre or Post]]="Post",1,0)+IF(ISNUMBER(Table44246665[[#This Row],[Response]])=TRUE,1,0)=2,1,"")</f>
        <v/>
      </c>
      <c r="K55" s="6">
        <f>IF(IF(Table44246665[[#This Row],[Pre or Post]]="Pre",1,0)+IF(ISNUMBER(Table44246665[[#This Row],[Response]])=TRUE,1,0)=2,Table44246665[[#This Row],[Response]],"")</f>
        <v>1</v>
      </c>
      <c r="L55" s="6" t="str">
        <f>IF(IF(Table44246665[[#This Row],[Pre or Post]]="Post",1,0)+IF(ISNUMBER(Table44246665[[#This Row],[Response]])=TRUE,1,0)=2,Table44246665[[#This Row],[Response]],"")</f>
        <v/>
      </c>
      <c r="M55" s="5">
        <f>IF(IF(ISNUMBER(K55),1,0)+IF(ISNUMBER(L56),1,0)=2,IF(IF(C56=C55,1,0)+IF(B56=B55,1,0)+IF(D56="Post",1,0)+IF(D55="Pre",1,0)=4,Table44246665[[#This Row],[Pre Total]],""),"")</f>
        <v>1</v>
      </c>
      <c r="N55" s="5" t="str">
        <f>IF(IF(ISNUMBER(K54),1,0)+IF(ISNUMBER(Table44246665[[#This Row],[Post Total]]),1,0)=2,IF(IF(Table44246665[[#This Row],[Student Number]]=C54,1,0)+IF(Table44246665[[#This Row],[Session]]=B54,1,0)+IF(Table44246665[[#This Row],[Pre or Post]]="Post",1,0)+IF(D54="Pre",1,0)=4,Table44246665[[#This Row],[Post Total]],""),"")</f>
        <v/>
      </c>
      <c r="O55" s="5" t="str">
        <f>IF(IF(ISNUMBER(K54),1,0)+IF(ISNUMBER(Table44246665[[#This Row],[Post Total]]),1,0)=2,IF(IF(Table44246665[[#This Row],[Student Number]]=C54,1,0)+IF(Table44246665[[#This Row],[Session]]=B54,1,0)+IF(Table44246665[[#This Row],[Pre or Post]]="Post",1,0)+IF(D54="Pre",1,0)=4,Table44246665[[#This Row],[Post Total]]-K54,""),"")</f>
        <v/>
      </c>
      <c r="P55" s="5" t="b">
        <f>ISNUMBER(Table44246665[[#This Row],[Change]])</f>
        <v>0</v>
      </c>
      <c r="Q55" s="5" t="str">
        <f>IF(E54="Yes",Table44246665[[#This Row],[Change]],"")</f>
        <v/>
      </c>
      <c r="R55" s="5" t="str">
        <f>IF(E54="No",Table44246665[[#This Row],[Change]],"")</f>
        <v/>
      </c>
      <c r="S55" s="5" t="b">
        <f>ISNUMBER(Table44246665[[#This Row],[If Pre3 Yes]])</f>
        <v>0</v>
      </c>
      <c r="T55" s="5" t="b">
        <f>ISNUMBER(Table44246665[[#This Row],[If Pre3 No]])</f>
        <v>0</v>
      </c>
    </row>
    <row r="56" spans="1:20">
      <c r="A56" s="1" t="s">
        <v>24</v>
      </c>
      <c r="B56" s="1" t="s">
        <v>25</v>
      </c>
      <c r="C56" s="1">
        <v>2</v>
      </c>
      <c r="D56" s="1" t="s">
        <v>16</v>
      </c>
      <c r="E56" s="5"/>
      <c r="F56" s="1">
        <v>4</v>
      </c>
      <c r="G56" s="1">
        <v>3</v>
      </c>
      <c r="H56" s="2" t="s">
        <v>8</v>
      </c>
      <c r="I56" s="5" t="str">
        <f>IF(IF(Table44246665[[#This Row],[Pre or Post]]="Pre",1,0)+IF(ISNUMBER(Table44246665[[#This Row],[Response]])=TRUE,1,0)=2,1,"")</f>
        <v/>
      </c>
      <c r="J56" s="5">
        <f>IF(IF(Table44246665[[#This Row],[Pre or Post]]="Post",1,0)+IF(ISNUMBER(Table44246665[[#This Row],[Response]])=TRUE,1,0)=2,1,"")</f>
        <v>1</v>
      </c>
      <c r="K56" s="6" t="str">
        <f>IF(IF(Table44246665[[#This Row],[Pre or Post]]="Pre",1,0)+IF(ISNUMBER(Table44246665[[#This Row],[Response]])=TRUE,1,0)=2,Table44246665[[#This Row],[Response]],"")</f>
        <v/>
      </c>
      <c r="L56" s="6">
        <f>IF(IF(Table44246665[[#This Row],[Pre or Post]]="Post",1,0)+IF(ISNUMBER(Table44246665[[#This Row],[Response]])=TRUE,1,0)=2,Table44246665[[#This Row],[Response]],"")</f>
        <v>3</v>
      </c>
      <c r="M56" s="5" t="str">
        <f>IF(IF(ISNUMBER(K56),1,0)+IF(ISNUMBER(L57),1,0)=2,IF(IF(C57=C56,1,0)+IF(B57=B56,1,0)+IF(D57="Post",1,0)+IF(D56="Pre",1,0)=4,Table44246665[[#This Row],[Pre Total]],""),"")</f>
        <v/>
      </c>
      <c r="N56" s="5">
        <f>IF(IF(ISNUMBER(K55),1,0)+IF(ISNUMBER(Table44246665[[#This Row],[Post Total]]),1,0)=2,IF(IF(Table44246665[[#This Row],[Student Number]]=C55,1,0)+IF(Table44246665[[#This Row],[Session]]=B55,1,0)+IF(Table44246665[[#This Row],[Pre or Post]]="Post",1,0)+IF(D55="Pre",1,0)=4,Table44246665[[#This Row],[Post Total]],""),"")</f>
        <v>3</v>
      </c>
      <c r="O56" s="5">
        <f>IF(IF(ISNUMBER(K55),1,0)+IF(ISNUMBER(Table44246665[[#This Row],[Post Total]]),1,0)=2,IF(IF(Table44246665[[#This Row],[Student Number]]=C55,1,0)+IF(Table44246665[[#This Row],[Session]]=B55,1,0)+IF(Table44246665[[#This Row],[Pre or Post]]="Post",1,0)+IF(D55="Pre",1,0)=4,Table44246665[[#This Row],[Post Total]]-K55,""),"")</f>
        <v>2</v>
      </c>
      <c r="P56" s="5" t="b">
        <f>ISNUMBER(Table44246665[[#This Row],[Change]])</f>
        <v>1</v>
      </c>
      <c r="Q56" s="5">
        <f>IF(E55="Yes",Table44246665[[#This Row],[Change]],"")</f>
        <v>2</v>
      </c>
      <c r="R56" s="5" t="str">
        <f>IF(E55="No",Table44246665[[#This Row],[Change]],"")</f>
        <v/>
      </c>
      <c r="S56" s="5" t="b">
        <f>ISNUMBER(Table44246665[[#This Row],[If Pre3 Yes]])</f>
        <v>1</v>
      </c>
      <c r="T56" s="5" t="b">
        <f>ISNUMBER(Table44246665[[#This Row],[If Pre3 No]])</f>
        <v>0</v>
      </c>
    </row>
    <row r="57" spans="1:20">
      <c r="A57" s="1" t="s">
        <v>24</v>
      </c>
      <c r="B57" s="1" t="s">
        <v>25</v>
      </c>
      <c r="C57" s="1">
        <v>3</v>
      </c>
      <c r="D57" s="1" t="s">
        <v>6</v>
      </c>
      <c r="E57" s="5" t="s">
        <v>8</v>
      </c>
      <c r="F57" s="1">
        <v>11</v>
      </c>
      <c r="G57" s="1">
        <v>4</v>
      </c>
      <c r="H57" s="1" t="s">
        <v>8</v>
      </c>
      <c r="I57" s="5">
        <f>IF(IF(Table44246665[[#This Row],[Pre or Post]]="Pre",1,0)+IF(ISNUMBER(Table44246665[[#This Row],[Response]])=TRUE,1,0)=2,1,"")</f>
        <v>1</v>
      </c>
      <c r="J57" s="5" t="str">
        <f>IF(IF(Table44246665[[#This Row],[Pre or Post]]="Post",1,0)+IF(ISNUMBER(Table44246665[[#This Row],[Response]])=TRUE,1,0)=2,1,"")</f>
        <v/>
      </c>
      <c r="K57" s="6">
        <f>IF(IF(Table44246665[[#This Row],[Pre or Post]]="Pre",1,0)+IF(ISNUMBER(Table44246665[[#This Row],[Response]])=TRUE,1,0)=2,Table44246665[[#This Row],[Response]],"")</f>
        <v>4</v>
      </c>
      <c r="L57" s="6" t="str">
        <f>IF(IF(Table44246665[[#This Row],[Pre or Post]]="Post",1,0)+IF(ISNUMBER(Table44246665[[#This Row],[Response]])=TRUE,1,0)=2,Table44246665[[#This Row],[Response]],"")</f>
        <v/>
      </c>
      <c r="M57" s="5">
        <f>IF(IF(ISNUMBER(K57),1,0)+IF(ISNUMBER(L58),1,0)=2,IF(IF(C58=C57,1,0)+IF(B58=B57,1,0)+IF(D58="Post",1,0)+IF(D57="Pre",1,0)=4,Table44246665[[#This Row],[Pre Total]],""),"")</f>
        <v>4</v>
      </c>
      <c r="N57" s="5" t="str">
        <f>IF(IF(ISNUMBER(K56),1,0)+IF(ISNUMBER(Table44246665[[#This Row],[Post Total]]),1,0)=2,IF(IF(Table44246665[[#This Row],[Student Number]]=C56,1,0)+IF(Table44246665[[#This Row],[Session]]=B56,1,0)+IF(Table44246665[[#This Row],[Pre or Post]]="Post",1,0)+IF(D56="Pre",1,0)=4,Table44246665[[#This Row],[Post Total]],""),"")</f>
        <v/>
      </c>
      <c r="O57" s="5" t="str">
        <f>IF(IF(ISNUMBER(K56),1,0)+IF(ISNUMBER(Table44246665[[#This Row],[Post Total]]),1,0)=2,IF(IF(Table44246665[[#This Row],[Student Number]]=C56,1,0)+IF(Table44246665[[#This Row],[Session]]=B56,1,0)+IF(Table44246665[[#This Row],[Pre or Post]]="Post",1,0)+IF(D56="Pre",1,0)=4,Table44246665[[#This Row],[Post Total]]-K56,""),"")</f>
        <v/>
      </c>
      <c r="P57" s="5" t="b">
        <f>ISNUMBER(Table44246665[[#This Row],[Change]])</f>
        <v>0</v>
      </c>
      <c r="Q57" s="5" t="str">
        <f>IF(E56="Yes",Table44246665[[#This Row],[Change]],"")</f>
        <v/>
      </c>
      <c r="R57" s="5" t="str">
        <f>IF(E56="No",Table44246665[[#This Row],[Change]],"")</f>
        <v/>
      </c>
      <c r="S57" s="5" t="b">
        <f>ISNUMBER(Table44246665[[#This Row],[If Pre3 Yes]])</f>
        <v>0</v>
      </c>
      <c r="T57" s="5" t="b">
        <f>ISNUMBER(Table44246665[[#This Row],[If Pre3 No]])</f>
        <v>0</v>
      </c>
    </row>
    <row r="58" spans="1:20">
      <c r="A58" s="1" t="s">
        <v>24</v>
      </c>
      <c r="B58" s="1" t="s">
        <v>25</v>
      </c>
      <c r="C58" s="1">
        <v>3</v>
      </c>
      <c r="D58" s="1" t="s">
        <v>16</v>
      </c>
      <c r="E58" s="5"/>
      <c r="F58" s="1">
        <v>4</v>
      </c>
      <c r="G58" s="1">
        <v>4</v>
      </c>
      <c r="H58" s="2" t="s">
        <v>8</v>
      </c>
      <c r="I58" s="5" t="str">
        <f>IF(IF(Table44246665[[#This Row],[Pre or Post]]="Pre",1,0)+IF(ISNUMBER(Table44246665[[#This Row],[Response]])=TRUE,1,0)=2,1,"")</f>
        <v/>
      </c>
      <c r="J58" s="5">
        <f>IF(IF(Table44246665[[#This Row],[Pre or Post]]="Post",1,0)+IF(ISNUMBER(Table44246665[[#This Row],[Response]])=TRUE,1,0)=2,1,"")</f>
        <v>1</v>
      </c>
      <c r="K58" s="6" t="str">
        <f>IF(IF(Table44246665[[#This Row],[Pre or Post]]="Pre",1,0)+IF(ISNUMBER(Table44246665[[#This Row],[Response]])=TRUE,1,0)=2,Table44246665[[#This Row],[Response]],"")</f>
        <v/>
      </c>
      <c r="L58" s="6">
        <f>IF(IF(Table44246665[[#This Row],[Pre or Post]]="Post",1,0)+IF(ISNUMBER(Table44246665[[#This Row],[Response]])=TRUE,1,0)=2,Table44246665[[#This Row],[Response]],"")</f>
        <v>4</v>
      </c>
      <c r="M58" s="5" t="str">
        <f>IF(IF(ISNUMBER(K58),1,0)+IF(ISNUMBER(L59),1,0)=2,IF(IF(C59=C58,1,0)+IF(B59=B58,1,0)+IF(D59="Post",1,0)+IF(D58="Pre",1,0)=4,Table44246665[[#This Row],[Pre Total]],""),"")</f>
        <v/>
      </c>
      <c r="N58" s="5">
        <f>IF(IF(ISNUMBER(K57),1,0)+IF(ISNUMBER(Table44246665[[#This Row],[Post Total]]),1,0)=2,IF(IF(Table44246665[[#This Row],[Student Number]]=C57,1,0)+IF(Table44246665[[#This Row],[Session]]=B57,1,0)+IF(Table44246665[[#This Row],[Pre or Post]]="Post",1,0)+IF(D57="Pre",1,0)=4,Table44246665[[#This Row],[Post Total]],""),"")</f>
        <v>4</v>
      </c>
      <c r="O58" s="5">
        <f>IF(IF(ISNUMBER(K57),1,0)+IF(ISNUMBER(Table44246665[[#This Row],[Post Total]]),1,0)=2,IF(IF(Table44246665[[#This Row],[Student Number]]=C57,1,0)+IF(Table44246665[[#This Row],[Session]]=B57,1,0)+IF(Table44246665[[#This Row],[Pre or Post]]="Post",1,0)+IF(D57="Pre",1,0)=4,Table44246665[[#This Row],[Post Total]]-K57,""),"")</f>
        <v>0</v>
      </c>
      <c r="P58" s="5" t="b">
        <f>ISNUMBER(Table44246665[[#This Row],[Change]])</f>
        <v>1</v>
      </c>
      <c r="Q58" s="5">
        <f>IF(E57="Yes",Table44246665[[#This Row],[Change]],"")</f>
        <v>0</v>
      </c>
      <c r="R58" s="5" t="str">
        <f>IF(E57="No",Table44246665[[#This Row],[Change]],"")</f>
        <v/>
      </c>
      <c r="S58" s="5" t="b">
        <f>ISNUMBER(Table44246665[[#This Row],[If Pre3 Yes]])</f>
        <v>1</v>
      </c>
      <c r="T58" s="5" t="b">
        <f>ISNUMBER(Table44246665[[#This Row],[If Pre3 No]])</f>
        <v>0</v>
      </c>
    </row>
    <row r="59" spans="1:20">
      <c r="A59" s="1" t="s">
        <v>24</v>
      </c>
      <c r="B59" s="1" t="s">
        <v>25</v>
      </c>
      <c r="C59" s="1">
        <v>4</v>
      </c>
      <c r="D59" s="1" t="s">
        <v>6</v>
      </c>
      <c r="E59" s="5" t="s">
        <v>9</v>
      </c>
      <c r="F59" s="1">
        <v>11</v>
      </c>
      <c r="G59" s="1">
        <v>1</v>
      </c>
      <c r="H59" s="1" t="s">
        <v>8</v>
      </c>
      <c r="I59" s="6">
        <f>IF(IF(Table44246665[[#This Row],[Pre or Post]]="Pre",1,0)+IF(ISNUMBER(Table44246665[[#This Row],[Response]])=TRUE,1,0)=2,1,"")</f>
        <v>1</v>
      </c>
      <c r="J59" s="6" t="str">
        <f>IF(IF(Table44246665[[#This Row],[Pre or Post]]="Post",1,0)+IF(ISNUMBER(Table44246665[[#This Row],[Response]])=TRUE,1,0)=2,1,"")</f>
        <v/>
      </c>
      <c r="K59" s="6">
        <f>IF(IF(Table44246665[[#This Row],[Pre or Post]]="Pre",1,0)+IF(ISNUMBER(Table44246665[[#This Row],[Response]])=TRUE,1,0)=2,Table44246665[[#This Row],[Response]],"")</f>
        <v>1</v>
      </c>
      <c r="L59" s="6" t="str">
        <f>IF(IF(Table44246665[[#This Row],[Pre or Post]]="Post",1,0)+IF(ISNUMBER(Table44246665[[#This Row],[Response]])=TRUE,1,0)=2,Table44246665[[#This Row],[Response]],"")</f>
        <v/>
      </c>
      <c r="M59" s="5">
        <f>IF(IF(ISNUMBER(K59),1,0)+IF(ISNUMBER(L60),1,0)=2,IF(IF(C60=C59,1,0)+IF(B60=B59,1,0)+IF(D60="Post",1,0)+IF(D59="Pre",1,0)=4,Table44246665[[#This Row],[Pre Total]],""),"")</f>
        <v>1</v>
      </c>
      <c r="N59" s="5" t="str">
        <f>IF(IF(ISNUMBER(K58),1,0)+IF(ISNUMBER(Table44246665[[#This Row],[Post Total]]),1,0)=2,IF(IF(Table44246665[[#This Row],[Student Number]]=C58,1,0)+IF(Table44246665[[#This Row],[Session]]=B58,1,0)+IF(Table44246665[[#This Row],[Pre or Post]]="Post",1,0)+IF(D58="Pre",1,0)=4,Table44246665[[#This Row],[Post Total]],""),"")</f>
        <v/>
      </c>
      <c r="O59" s="6" t="str">
        <f>IF(IF(ISNUMBER(K58),1,0)+IF(ISNUMBER(Table44246665[[#This Row],[Post Total]]),1,0)=2,IF(IF(Table44246665[[#This Row],[Student Number]]=C58,1,0)+IF(Table44246665[[#This Row],[Session]]=B58,1,0)+IF(Table44246665[[#This Row],[Pre or Post]]="Post",1,0)+IF(D58="Pre",1,0)=4,Table44246665[[#This Row],[Post Total]]-K58,""),"")</f>
        <v/>
      </c>
      <c r="P59" s="6" t="b">
        <f>ISNUMBER(Table44246665[[#This Row],[Change]])</f>
        <v>0</v>
      </c>
      <c r="Q59" s="5" t="str">
        <f>IF(E58="Yes",Table44246665[[#This Row],[Change]],"")</f>
        <v/>
      </c>
      <c r="R59" s="5" t="str">
        <f>IF(E58="No",Table44246665[[#This Row],[Change]],"")</f>
        <v/>
      </c>
      <c r="S59" s="5" t="b">
        <f>ISNUMBER(Table44246665[[#This Row],[If Pre3 Yes]])</f>
        <v>0</v>
      </c>
      <c r="T59" s="5" t="b">
        <f>ISNUMBER(Table44246665[[#This Row],[If Pre3 No]])</f>
        <v>0</v>
      </c>
    </row>
    <row r="60" spans="1:20">
      <c r="A60" s="1" t="s">
        <v>24</v>
      </c>
      <c r="B60" s="1" t="s">
        <v>25</v>
      </c>
      <c r="C60" s="1">
        <v>4</v>
      </c>
      <c r="D60" s="1" t="s">
        <v>16</v>
      </c>
      <c r="E60" s="5"/>
      <c r="F60" s="1">
        <v>4</v>
      </c>
      <c r="G60" s="1">
        <v>1</v>
      </c>
      <c r="H60" s="2" t="s">
        <v>8</v>
      </c>
      <c r="I60" s="5" t="str">
        <f>IF(IF(Table44246665[[#This Row],[Pre or Post]]="Pre",1,0)+IF(ISNUMBER(Table44246665[[#This Row],[Response]])=TRUE,1,0)=2,1,"")</f>
        <v/>
      </c>
      <c r="J60" s="5">
        <f>IF(IF(Table44246665[[#This Row],[Pre or Post]]="Post",1,0)+IF(ISNUMBER(Table44246665[[#This Row],[Response]])=TRUE,1,0)=2,1,"")</f>
        <v>1</v>
      </c>
      <c r="K60" s="6" t="str">
        <f>IF(IF(Table44246665[[#This Row],[Pre or Post]]="Pre",1,0)+IF(ISNUMBER(Table44246665[[#This Row],[Response]])=TRUE,1,0)=2,Table44246665[[#This Row],[Response]],"")</f>
        <v/>
      </c>
      <c r="L60" s="6">
        <f>IF(IF(Table44246665[[#This Row],[Pre or Post]]="Post",1,0)+IF(ISNUMBER(Table44246665[[#This Row],[Response]])=TRUE,1,0)=2,Table44246665[[#This Row],[Response]],"")</f>
        <v>1</v>
      </c>
      <c r="M60" s="5" t="str">
        <f>IF(IF(ISNUMBER(K60),1,0)+IF(ISNUMBER(L61),1,0)=2,IF(IF(C61=C60,1,0)+IF(B61=B60,1,0)+IF(D61="Post",1,0)+IF(D60="Pre",1,0)=4,Table44246665[[#This Row],[Pre Total]],""),"")</f>
        <v/>
      </c>
      <c r="N60" s="5">
        <f>IF(IF(ISNUMBER(K59),1,0)+IF(ISNUMBER(Table44246665[[#This Row],[Post Total]]),1,0)=2,IF(IF(Table44246665[[#This Row],[Student Number]]=C59,1,0)+IF(Table44246665[[#This Row],[Session]]=B59,1,0)+IF(Table44246665[[#This Row],[Pre or Post]]="Post",1,0)+IF(D59="Pre",1,0)=4,Table44246665[[#This Row],[Post Total]],""),"")</f>
        <v>1</v>
      </c>
      <c r="O60" s="5">
        <f>IF(IF(ISNUMBER(K59),1,0)+IF(ISNUMBER(Table44246665[[#This Row],[Post Total]]),1,0)=2,IF(IF(Table44246665[[#This Row],[Student Number]]=C59,1,0)+IF(Table44246665[[#This Row],[Session]]=B59,1,0)+IF(Table44246665[[#This Row],[Pre or Post]]="Post",1,0)+IF(D59="Pre",1,0)=4,Table44246665[[#This Row],[Post Total]]-K59,""),"")</f>
        <v>0</v>
      </c>
      <c r="P60" s="5" t="b">
        <f>ISNUMBER(Table44246665[[#This Row],[Change]])</f>
        <v>1</v>
      </c>
      <c r="Q60" s="5" t="str">
        <f>IF(E59="Yes",Table44246665[[#This Row],[Change]],"")</f>
        <v/>
      </c>
      <c r="R60" s="5">
        <f>IF(E59="No",Table44246665[[#This Row],[Change]],"")</f>
        <v>0</v>
      </c>
      <c r="S60" s="5" t="b">
        <f>ISNUMBER(Table44246665[[#This Row],[If Pre3 Yes]])</f>
        <v>0</v>
      </c>
      <c r="T60" s="5" t="b">
        <f>ISNUMBER(Table44246665[[#This Row],[If Pre3 No]])</f>
        <v>1</v>
      </c>
    </row>
    <row r="61" spans="1:20">
      <c r="A61" s="1" t="s">
        <v>24</v>
      </c>
      <c r="B61" s="1" t="s">
        <v>25</v>
      </c>
      <c r="C61" s="1">
        <v>5</v>
      </c>
      <c r="D61" s="1" t="s">
        <v>6</v>
      </c>
      <c r="E61" s="5" t="s">
        <v>9</v>
      </c>
      <c r="F61" s="1">
        <v>11</v>
      </c>
      <c r="G61" s="1">
        <v>1</v>
      </c>
      <c r="H61" s="1" t="s">
        <v>8</v>
      </c>
      <c r="I61" s="5">
        <f>IF(IF(Table44246665[[#This Row],[Pre or Post]]="Pre",1,0)+IF(ISNUMBER(Table44246665[[#This Row],[Response]])=TRUE,1,0)=2,1,"")</f>
        <v>1</v>
      </c>
      <c r="J61" s="5" t="str">
        <f>IF(IF(Table44246665[[#This Row],[Pre or Post]]="Post",1,0)+IF(ISNUMBER(Table44246665[[#This Row],[Response]])=TRUE,1,0)=2,1,"")</f>
        <v/>
      </c>
      <c r="K61" s="6">
        <f>IF(IF(Table44246665[[#This Row],[Pre or Post]]="Pre",1,0)+IF(ISNUMBER(Table44246665[[#This Row],[Response]])=TRUE,1,0)=2,Table44246665[[#This Row],[Response]],"")</f>
        <v>1</v>
      </c>
      <c r="L61" s="6" t="str">
        <f>IF(IF(Table44246665[[#This Row],[Pre or Post]]="Post",1,0)+IF(ISNUMBER(Table44246665[[#This Row],[Response]])=TRUE,1,0)=2,Table44246665[[#This Row],[Response]],"")</f>
        <v/>
      </c>
      <c r="M61" s="5">
        <f>IF(IF(ISNUMBER(K61),1,0)+IF(ISNUMBER(L62),1,0)=2,IF(IF(C62=C61,1,0)+IF(B62=B61,1,0)+IF(D62="Post",1,0)+IF(D61="Pre",1,0)=4,Table44246665[[#This Row],[Pre Total]],""),"")</f>
        <v>1</v>
      </c>
      <c r="N61" s="5" t="str">
        <f>IF(IF(ISNUMBER(K60),1,0)+IF(ISNUMBER(Table44246665[[#This Row],[Post Total]]),1,0)=2,IF(IF(Table44246665[[#This Row],[Student Number]]=C60,1,0)+IF(Table44246665[[#This Row],[Session]]=B60,1,0)+IF(Table44246665[[#This Row],[Pre or Post]]="Post",1,0)+IF(D60="Pre",1,0)=4,Table44246665[[#This Row],[Post Total]],""),"")</f>
        <v/>
      </c>
      <c r="O61" s="5" t="str">
        <f>IF(IF(ISNUMBER(K60),1,0)+IF(ISNUMBER(Table44246665[[#This Row],[Post Total]]),1,0)=2,IF(IF(Table44246665[[#This Row],[Student Number]]=C60,1,0)+IF(Table44246665[[#This Row],[Session]]=B60,1,0)+IF(Table44246665[[#This Row],[Pre or Post]]="Post",1,0)+IF(D60="Pre",1,0)=4,Table44246665[[#This Row],[Post Total]]-K60,""),"")</f>
        <v/>
      </c>
      <c r="P61" s="5" t="b">
        <f>ISNUMBER(Table44246665[[#This Row],[Change]])</f>
        <v>0</v>
      </c>
      <c r="Q61" s="5" t="str">
        <f>IF(E60="Yes",Table44246665[[#This Row],[Change]],"")</f>
        <v/>
      </c>
      <c r="R61" s="5" t="str">
        <f>IF(E60="No",Table44246665[[#This Row],[Change]],"")</f>
        <v/>
      </c>
      <c r="S61" s="5" t="b">
        <f>ISNUMBER(Table44246665[[#This Row],[If Pre3 Yes]])</f>
        <v>0</v>
      </c>
      <c r="T61" s="5" t="b">
        <f>ISNUMBER(Table44246665[[#This Row],[If Pre3 No]])</f>
        <v>0</v>
      </c>
    </row>
    <row r="62" spans="1:20">
      <c r="A62" s="1" t="s">
        <v>24</v>
      </c>
      <c r="B62" s="1" t="s">
        <v>25</v>
      </c>
      <c r="C62" s="1">
        <v>5</v>
      </c>
      <c r="D62" s="1" t="s">
        <v>16</v>
      </c>
      <c r="E62" s="5"/>
      <c r="F62" s="1">
        <v>4</v>
      </c>
      <c r="G62" s="1">
        <v>4</v>
      </c>
      <c r="H62" s="2" t="s">
        <v>8</v>
      </c>
      <c r="I62" s="5" t="str">
        <f>IF(IF(Table44246665[[#This Row],[Pre or Post]]="Pre",1,0)+IF(ISNUMBER(Table44246665[[#This Row],[Response]])=TRUE,1,0)=2,1,"")</f>
        <v/>
      </c>
      <c r="J62" s="5">
        <f>IF(IF(Table44246665[[#This Row],[Pre or Post]]="Post",1,0)+IF(ISNUMBER(Table44246665[[#This Row],[Response]])=TRUE,1,0)=2,1,"")</f>
        <v>1</v>
      </c>
      <c r="K62" s="6" t="str">
        <f>IF(IF(Table44246665[[#This Row],[Pre or Post]]="Pre",1,0)+IF(ISNUMBER(Table44246665[[#This Row],[Response]])=TRUE,1,0)=2,Table44246665[[#This Row],[Response]],"")</f>
        <v/>
      </c>
      <c r="L62" s="6">
        <f>IF(IF(Table44246665[[#This Row],[Pre or Post]]="Post",1,0)+IF(ISNUMBER(Table44246665[[#This Row],[Response]])=TRUE,1,0)=2,Table44246665[[#This Row],[Response]],"")</f>
        <v>4</v>
      </c>
      <c r="M62" s="5" t="str">
        <f>IF(IF(ISNUMBER(K62),1,0)+IF(ISNUMBER(L63),1,0)=2,IF(IF(C63=C62,1,0)+IF(B63=B62,1,0)+IF(D63="Post",1,0)+IF(D62="Pre",1,0)=4,Table44246665[[#This Row],[Pre Total]],""),"")</f>
        <v/>
      </c>
      <c r="N62" s="5">
        <f>IF(IF(ISNUMBER(K61),1,0)+IF(ISNUMBER(Table44246665[[#This Row],[Post Total]]),1,0)=2,IF(IF(Table44246665[[#This Row],[Student Number]]=C61,1,0)+IF(Table44246665[[#This Row],[Session]]=B61,1,0)+IF(Table44246665[[#This Row],[Pre or Post]]="Post",1,0)+IF(D61="Pre",1,0)=4,Table44246665[[#This Row],[Post Total]],""),"")</f>
        <v>4</v>
      </c>
      <c r="O62" s="5">
        <f>IF(IF(ISNUMBER(K61),1,0)+IF(ISNUMBER(Table44246665[[#This Row],[Post Total]]),1,0)=2,IF(IF(Table44246665[[#This Row],[Student Number]]=C61,1,0)+IF(Table44246665[[#This Row],[Session]]=B61,1,0)+IF(Table44246665[[#This Row],[Pre or Post]]="Post",1,0)+IF(D61="Pre",1,0)=4,Table44246665[[#This Row],[Post Total]]-K61,""),"")</f>
        <v>3</v>
      </c>
      <c r="P62" s="5" t="b">
        <f>ISNUMBER(Table44246665[[#This Row],[Change]])</f>
        <v>1</v>
      </c>
      <c r="Q62" s="5" t="str">
        <f>IF(E61="Yes",Table44246665[[#This Row],[Change]],"")</f>
        <v/>
      </c>
      <c r="R62" s="5">
        <f>IF(E61="No",Table44246665[[#This Row],[Change]],"")</f>
        <v>3</v>
      </c>
      <c r="S62" s="5" t="b">
        <f>ISNUMBER(Table44246665[[#This Row],[If Pre3 Yes]])</f>
        <v>0</v>
      </c>
      <c r="T62" s="5" t="b">
        <f>ISNUMBER(Table44246665[[#This Row],[If Pre3 No]])</f>
        <v>1</v>
      </c>
    </row>
    <row r="63" spans="1:20">
      <c r="A63" s="1" t="s">
        <v>24</v>
      </c>
      <c r="B63" s="1" t="s">
        <v>25</v>
      </c>
      <c r="C63" s="1">
        <v>6</v>
      </c>
      <c r="D63" s="1" t="s">
        <v>6</v>
      </c>
      <c r="E63" s="5" t="s">
        <v>8</v>
      </c>
      <c r="F63" s="1">
        <v>11</v>
      </c>
      <c r="G63" s="1">
        <v>2</v>
      </c>
      <c r="H63" s="1" t="s">
        <v>8</v>
      </c>
      <c r="I63" s="6">
        <f>IF(IF(Table44246665[[#This Row],[Pre or Post]]="Pre",1,0)+IF(ISNUMBER(Table44246665[[#This Row],[Response]])=TRUE,1,0)=2,1,"")</f>
        <v>1</v>
      </c>
      <c r="J63" s="6" t="str">
        <f>IF(IF(Table44246665[[#This Row],[Pre or Post]]="Post",1,0)+IF(ISNUMBER(Table44246665[[#This Row],[Response]])=TRUE,1,0)=2,1,"")</f>
        <v/>
      </c>
      <c r="K63" s="6">
        <f>IF(IF(Table44246665[[#This Row],[Pre or Post]]="Pre",1,0)+IF(ISNUMBER(Table44246665[[#This Row],[Response]])=TRUE,1,0)=2,Table44246665[[#This Row],[Response]],"")</f>
        <v>2</v>
      </c>
      <c r="L63" s="6" t="str">
        <f>IF(IF(Table44246665[[#This Row],[Pre or Post]]="Post",1,0)+IF(ISNUMBER(Table44246665[[#This Row],[Response]])=TRUE,1,0)=2,Table44246665[[#This Row],[Response]],"")</f>
        <v/>
      </c>
      <c r="M63" s="6">
        <f>IF(IF(ISNUMBER(K63),1,0)+IF(ISNUMBER(L64),1,0)=2,IF(IF(C64=C63,1,0)+IF(B64=B63,1,0)+IF(D64="Post",1,0)+IF(D63="Pre",1,0)=4,Table44246665[[#This Row],[Pre Total]],""),"")</f>
        <v>2</v>
      </c>
      <c r="N63" s="6" t="str">
        <f>IF(IF(ISNUMBER(K62),1,0)+IF(ISNUMBER(Table44246665[[#This Row],[Post Total]]),1,0)=2,IF(IF(Table44246665[[#This Row],[Student Number]]=C62,1,0)+IF(Table44246665[[#This Row],[Session]]=B62,1,0)+IF(Table44246665[[#This Row],[Pre or Post]]="Post",1,0)+IF(D62="Pre",1,0)=4,Table44246665[[#This Row],[Post Total]],""),"")</f>
        <v/>
      </c>
      <c r="O63" s="6" t="str">
        <f>IF(IF(ISNUMBER(K62),1,0)+IF(ISNUMBER(Table44246665[[#This Row],[Post Total]]),1,0)=2,IF(IF(Table44246665[[#This Row],[Student Number]]=C62,1,0)+IF(Table44246665[[#This Row],[Session]]=B62,1,0)+IF(Table44246665[[#This Row],[Pre or Post]]="Post",1,0)+IF(D62="Pre",1,0)=4,Table44246665[[#This Row],[Post Total]]-K62,""),"")</f>
        <v/>
      </c>
      <c r="P63" s="6" t="b">
        <f>ISNUMBER(Table44246665[[#This Row],[Change]])</f>
        <v>0</v>
      </c>
      <c r="Q63" s="5" t="str">
        <f>IF(E62="Yes",Table44246665[[#This Row],[Change]],"")</f>
        <v/>
      </c>
      <c r="R63" s="5" t="str">
        <f>IF(E62="No",Table44246665[[#This Row],[Change]],"")</f>
        <v/>
      </c>
      <c r="S63" s="5" t="b">
        <f>ISNUMBER(Table44246665[[#This Row],[If Pre3 Yes]])</f>
        <v>0</v>
      </c>
      <c r="T63" s="5" t="b">
        <f>ISNUMBER(Table44246665[[#This Row],[If Pre3 No]])</f>
        <v>0</v>
      </c>
    </row>
    <row r="64" spans="1:20">
      <c r="A64" s="1" t="s">
        <v>24</v>
      </c>
      <c r="B64" s="1" t="s">
        <v>25</v>
      </c>
      <c r="C64" s="1">
        <v>6</v>
      </c>
      <c r="D64" s="1" t="s">
        <v>16</v>
      </c>
      <c r="E64" s="5"/>
      <c r="F64" s="1">
        <v>4</v>
      </c>
      <c r="G64" s="1">
        <v>4</v>
      </c>
      <c r="H64" s="2" t="s">
        <v>8</v>
      </c>
      <c r="I64" s="6" t="str">
        <f>IF(IF(Table44246665[[#This Row],[Pre or Post]]="Pre",1,0)+IF(ISNUMBER(Table44246665[[#This Row],[Response]])=TRUE,1,0)=2,1,"")</f>
        <v/>
      </c>
      <c r="J64" s="6">
        <f>IF(IF(Table44246665[[#This Row],[Pre or Post]]="Post",1,0)+IF(ISNUMBER(Table44246665[[#This Row],[Response]])=TRUE,1,0)=2,1,"")</f>
        <v>1</v>
      </c>
      <c r="K64" s="6" t="str">
        <f>IF(IF(Table44246665[[#This Row],[Pre or Post]]="Pre",1,0)+IF(ISNUMBER(Table44246665[[#This Row],[Response]])=TRUE,1,0)=2,Table44246665[[#This Row],[Response]],"")</f>
        <v/>
      </c>
      <c r="L64" s="6">
        <f>IF(IF(Table44246665[[#This Row],[Pre or Post]]="Post",1,0)+IF(ISNUMBER(Table44246665[[#This Row],[Response]])=TRUE,1,0)=2,Table44246665[[#This Row],[Response]],"")</f>
        <v>4</v>
      </c>
      <c r="M64" s="6" t="str">
        <f>IF(IF(ISNUMBER(K64),1,0)+IF(ISNUMBER(L65),1,0)=2,IF(IF(C65=C64,1,0)+IF(B65=B64,1,0)+IF(D65="Post",1,0)+IF(D64="Pre",1,0)=4,Table44246665[[#This Row],[Pre Total]],""),"")</f>
        <v/>
      </c>
      <c r="N64" s="6">
        <f>IF(IF(ISNUMBER(K63),1,0)+IF(ISNUMBER(Table44246665[[#This Row],[Post Total]]),1,0)=2,IF(IF(Table44246665[[#This Row],[Student Number]]=C63,1,0)+IF(Table44246665[[#This Row],[Session]]=B63,1,0)+IF(Table44246665[[#This Row],[Pre or Post]]="Post",1,0)+IF(D63="Pre",1,0)=4,Table44246665[[#This Row],[Post Total]],""),"")</f>
        <v>4</v>
      </c>
      <c r="O64" s="6">
        <f>IF(IF(ISNUMBER(K63),1,0)+IF(ISNUMBER(Table44246665[[#This Row],[Post Total]]),1,0)=2,IF(IF(Table44246665[[#This Row],[Student Number]]=C63,1,0)+IF(Table44246665[[#This Row],[Session]]=B63,1,0)+IF(Table44246665[[#This Row],[Pre or Post]]="Post",1,0)+IF(D63="Pre",1,0)=4,Table44246665[[#This Row],[Post Total]]-K63,""),"")</f>
        <v>2</v>
      </c>
      <c r="P64" s="6" t="b">
        <f>ISNUMBER(Table44246665[[#This Row],[Change]])</f>
        <v>1</v>
      </c>
      <c r="Q64" s="5">
        <f>IF(E63="Yes",Table44246665[[#This Row],[Change]],"")</f>
        <v>2</v>
      </c>
      <c r="R64" s="5" t="str">
        <f>IF(E63="No",Table44246665[[#This Row],[Change]],"")</f>
        <v/>
      </c>
      <c r="S64" s="5" t="b">
        <f>ISNUMBER(Table44246665[[#This Row],[If Pre3 Yes]])</f>
        <v>1</v>
      </c>
      <c r="T64" s="5" t="b">
        <f>ISNUMBER(Table44246665[[#This Row],[If Pre3 No]])</f>
        <v>0</v>
      </c>
    </row>
    <row r="65" spans="1:20">
      <c r="A65" s="1" t="s">
        <v>24</v>
      </c>
      <c r="B65" s="1" t="s">
        <v>25</v>
      </c>
      <c r="C65" s="1">
        <v>7</v>
      </c>
      <c r="D65" s="1" t="s">
        <v>6</v>
      </c>
      <c r="E65" s="5" t="s">
        <v>8</v>
      </c>
      <c r="F65" s="1">
        <v>11</v>
      </c>
      <c r="G65" s="1">
        <v>2</v>
      </c>
      <c r="H65" s="1" t="s">
        <v>8</v>
      </c>
      <c r="I65" s="5">
        <f>IF(IF(Table44246665[[#This Row],[Pre or Post]]="Pre",1,0)+IF(ISNUMBER(Table44246665[[#This Row],[Response]])=TRUE,1,0)=2,1,"")</f>
        <v>1</v>
      </c>
      <c r="J65" s="5" t="str">
        <f>IF(IF(Table44246665[[#This Row],[Pre or Post]]="Post",1,0)+IF(ISNUMBER(Table44246665[[#This Row],[Response]])=TRUE,1,0)=2,1,"")</f>
        <v/>
      </c>
      <c r="K65" s="6">
        <f>IF(IF(Table44246665[[#This Row],[Pre or Post]]="Pre",1,0)+IF(ISNUMBER(Table44246665[[#This Row],[Response]])=TRUE,1,0)=2,Table44246665[[#This Row],[Response]],"")</f>
        <v>2</v>
      </c>
      <c r="L65" s="6" t="str">
        <f>IF(IF(Table44246665[[#This Row],[Pre or Post]]="Post",1,0)+IF(ISNUMBER(Table44246665[[#This Row],[Response]])=TRUE,1,0)=2,Table44246665[[#This Row],[Response]],"")</f>
        <v/>
      </c>
      <c r="M65" s="5">
        <f>IF(IF(ISNUMBER(K65),1,0)+IF(ISNUMBER(L66),1,0)=2,IF(IF(C66=C65,1,0)+IF(B66=B65,1,0)+IF(D66="Post",1,0)+IF(D65="Pre",1,0)=4,Table44246665[[#This Row],[Pre Total]],""),"")</f>
        <v>2</v>
      </c>
      <c r="N65" s="5" t="str">
        <f>IF(IF(ISNUMBER(K64),1,0)+IF(ISNUMBER(Table44246665[[#This Row],[Post Total]]),1,0)=2,IF(IF(Table44246665[[#This Row],[Student Number]]=C64,1,0)+IF(Table44246665[[#This Row],[Session]]=B64,1,0)+IF(Table44246665[[#This Row],[Pre or Post]]="Post",1,0)+IF(D64="Pre",1,0)=4,Table44246665[[#This Row],[Post Total]],""),"")</f>
        <v/>
      </c>
      <c r="O65" s="5" t="str">
        <f>IF(IF(ISNUMBER(K64),1,0)+IF(ISNUMBER(Table44246665[[#This Row],[Post Total]]),1,0)=2,IF(IF(Table44246665[[#This Row],[Student Number]]=C64,1,0)+IF(Table44246665[[#This Row],[Session]]=B64,1,0)+IF(Table44246665[[#This Row],[Pre or Post]]="Post",1,0)+IF(D64="Pre",1,0)=4,Table44246665[[#This Row],[Post Total]]-K64,""),"")</f>
        <v/>
      </c>
      <c r="P65" s="5" t="b">
        <f>ISNUMBER(Table44246665[[#This Row],[Change]])</f>
        <v>0</v>
      </c>
      <c r="Q65" s="5" t="str">
        <f>IF(E64="Yes",Table44246665[[#This Row],[Change]],"")</f>
        <v/>
      </c>
      <c r="R65" s="5" t="str">
        <f>IF(E64="No",Table44246665[[#This Row],[Change]],"")</f>
        <v/>
      </c>
      <c r="S65" s="5" t="b">
        <f>ISNUMBER(Table44246665[[#This Row],[If Pre3 Yes]])</f>
        <v>0</v>
      </c>
      <c r="T65" s="5" t="b">
        <f>ISNUMBER(Table44246665[[#This Row],[If Pre3 No]])</f>
        <v>0</v>
      </c>
    </row>
    <row r="66" spans="1:20">
      <c r="A66" s="1" t="s">
        <v>24</v>
      </c>
      <c r="B66" s="1" t="s">
        <v>25</v>
      </c>
      <c r="C66" s="1">
        <v>7</v>
      </c>
      <c r="D66" s="1" t="s">
        <v>16</v>
      </c>
      <c r="E66" s="5"/>
      <c r="F66" s="1">
        <v>4</v>
      </c>
      <c r="G66" s="1">
        <v>4</v>
      </c>
      <c r="H66" s="2" t="s">
        <v>8</v>
      </c>
      <c r="I66" s="5" t="str">
        <f>IF(IF(Table44246665[[#This Row],[Pre or Post]]="Pre",1,0)+IF(ISNUMBER(Table44246665[[#This Row],[Response]])=TRUE,1,0)=2,1,"")</f>
        <v/>
      </c>
      <c r="J66" s="5">
        <f>IF(IF(Table44246665[[#This Row],[Pre or Post]]="Post",1,0)+IF(ISNUMBER(Table44246665[[#This Row],[Response]])=TRUE,1,0)=2,1,"")</f>
        <v>1</v>
      </c>
      <c r="K66" s="6" t="str">
        <f>IF(IF(Table44246665[[#This Row],[Pre or Post]]="Pre",1,0)+IF(ISNUMBER(Table44246665[[#This Row],[Response]])=TRUE,1,0)=2,Table44246665[[#This Row],[Response]],"")</f>
        <v/>
      </c>
      <c r="L66" s="6">
        <f>IF(IF(Table44246665[[#This Row],[Pre or Post]]="Post",1,0)+IF(ISNUMBER(Table44246665[[#This Row],[Response]])=TRUE,1,0)=2,Table44246665[[#This Row],[Response]],"")</f>
        <v>4</v>
      </c>
      <c r="M66" s="5" t="str">
        <f>IF(IF(ISNUMBER(K66),1,0)+IF(ISNUMBER(L67),1,0)=2,IF(IF(C67=C66,1,0)+IF(B67=B66,1,0)+IF(D67="Post",1,0)+IF(D66="Pre",1,0)=4,Table44246665[[#This Row],[Pre Total]],""),"")</f>
        <v/>
      </c>
      <c r="N66" s="5">
        <f>IF(IF(ISNUMBER(K65),1,0)+IF(ISNUMBER(Table44246665[[#This Row],[Post Total]]),1,0)=2,IF(IF(Table44246665[[#This Row],[Student Number]]=C65,1,0)+IF(Table44246665[[#This Row],[Session]]=B65,1,0)+IF(Table44246665[[#This Row],[Pre or Post]]="Post",1,0)+IF(D65="Pre",1,0)=4,Table44246665[[#This Row],[Post Total]],""),"")</f>
        <v>4</v>
      </c>
      <c r="O66" s="5">
        <f>IF(IF(ISNUMBER(K65),1,0)+IF(ISNUMBER(Table44246665[[#This Row],[Post Total]]),1,0)=2,IF(IF(Table44246665[[#This Row],[Student Number]]=C65,1,0)+IF(Table44246665[[#This Row],[Session]]=B65,1,0)+IF(Table44246665[[#This Row],[Pre or Post]]="Post",1,0)+IF(D65="Pre",1,0)=4,Table44246665[[#This Row],[Post Total]]-K65,""),"")</f>
        <v>2</v>
      </c>
      <c r="P66" s="5" t="b">
        <f>ISNUMBER(Table44246665[[#This Row],[Change]])</f>
        <v>1</v>
      </c>
      <c r="Q66" s="5">
        <f>IF(E65="Yes",Table44246665[[#This Row],[Change]],"")</f>
        <v>2</v>
      </c>
      <c r="R66" s="5" t="str">
        <f>IF(E65="No",Table44246665[[#This Row],[Change]],"")</f>
        <v/>
      </c>
      <c r="S66" s="5" t="b">
        <f>ISNUMBER(Table44246665[[#This Row],[If Pre3 Yes]])</f>
        <v>1</v>
      </c>
      <c r="T66" s="5" t="b">
        <f>ISNUMBER(Table44246665[[#This Row],[If Pre3 No]])</f>
        <v>0</v>
      </c>
    </row>
    <row r="67" spans="1:20">
      <c r="A67" s="1" t="s">
        <v>24</v>
      </c>
      <c r="B67" s="1" t="s">
        <v>25</v>
      </c>
      <c r="C67" s="1">
        <v>8</v>
      </c>
      <c r="D67" s="1" t="s">
        <v>6</v>
      </c>
      <c r="E67" s="5" t="s">
        <v>8</v>
      </c>
      <c r="F67" s="2">
        <v>11</v>
      </c>
      <c r="G67" s="1">
        <v>2</v>
      </c>
      <c r="H67" s="1" t="s">
        <v>8</v>
      </c>
      <c r="I67" s="6">
        <f>IF(IF(Table44246665[[#This Row],[Pre or Post]]="Pre",1,0)+IF(ISNUMBER(Table44246665[[#This Row],[Response]])=TRUE,1,0)=2,1,"")</f>
        <v>1</v>
      </c>
      <c r="J67" s="6" t="str">
        <f>IF(IF(Table44246665[[#This Row],[Pre or Post]]="Post",1,0)+IF(ISNUMBER(Table44246665[[#This Row],[Response]])=TRUE,1,0)=2,1,"")</f>
        <v/>
      </c>
      <c r="K67" s="6">
        <f>IF(IF(Table44246665[[#This Row],[Pre or Post]]="Pre",1,0)+IF(ISNUMBER(Table44246665[[#This Row],[Response]])=TRUE,1,0)=2,Table44246665[[#This Row],[Response]],"")</f>
        <v>2</v>
      </c>
      <c r="L67" s="6" t="str">
        <f>IF(IF(Table44246665[[#This Row],[Pre or Post]]="Post",1,0)+IF(ISNUMBER(Table44246665[[#This Row],[Response]])=TRUE,1,0)=2,Table44246665[[#This Row],[Response]],"")</f>
        <v/>
      </c>
      <c r="M67" s="6">
        <f>IF(IF(ISNUMBER(K67),1,0)+IF(ISNUMBER(L68),1,0)=2,IF(IF(C68=C67,1,0)+IF(B68=B67,1,0)+IF(D68="Post",1,0)+IF(D67="Pre",1,0)=4,Table44246665[[#This Row],[Pre Total]],""),"")</f>
        <v>2</v>
      </c>
      <c r="N67" s="6" t="str">
        <f>IF(IF(ISNUMBER(K66),1,0)+IF(ISNUMBER(Table44246665[[#This Row],[Post Total]]),1,0)=2,IF(IF(Table44246665[[#This Row],[Student Number]]=C66,1,0)+IF(Table44246665[[#This Row],[Session]]=B66,1,0)+IF(Table44246665[[#This Row],[Pre or Post]]="Post",1,0)+IF(D66="Pre",1,0)=4,Table44246665[[#This Row],[Post Total]],""),"")</f>
        <v/>
      </c>
      <c r="O67" s="6" t="str">
        <f>IF(IF(ISNUMBER(K66),1,0)+IF(ISNUMBER(Table44246665[[#This Row],[Post Total]]),1,0)=2,IF(IF(Table44246665[[#This Row],[Student Number]]=C66,1,0)+IF(Table44246665[[#This Row],[Session]]=B66,1,0)+IF(Table44246665[[#This Row],[Pre or Post]]="Post",1,0)+IF(D66="Pre",1,0)=4,Table44246665[[#This Row],[Post Total]]-K66,""),"")</f>
        <v/>
      </c>
      <c r="P67" s="6" t="b">
        <f>ISNUMBER(Table44246665[[#This Row],[Change]])</f>
        <v>0</v>
      </c>
      <c r="Q67" s="5" t="str">
        <f>IF(E66="Yes",Table44246665[[#This Row],[Change]],"")</f>
        <v/>
      </c>
      <c r="R67" s="5" t="str">
        <f>IF(E66="No",Table44246665[[#This Row],[Change]],"")</f>
        <v/>
      </c>
      <c r="S67" s="5" t="b">
        <f>ISNUMBER(Table44246665[[#This Row],[If Pre3 Yes]])</f>
        <v>0</v>
      </c>
      <c r="T67" s="5" t="b">
        <f>ISNUMBER(Table44246665[[#This Row],[If Pre3 No]])</f>
        <v>0</v>
      </c>
    </row>
    <row r="68" spans="1:20">
      <c r="A68" s="1" t="s">
        <v>24</v>
      </c>
      <c r="B68" s="1" t="s">
        <v>25</v>
      </c>
      <c r="C68" s="1">
        <v>8</v>
      </c>
      <c r="D68" s="1" t="s">
        <v>16</v>
      </c>
      <c r="E68" s="5"/>
      <c r="F68" s="1">
        <v>4</v>
      </c>
      <c r="G68" s="1">
        <v>4</v>
      </c>
      <c r="H68" s="2" t="s">
        <v>8</v>
      </c>
      <c r="I68" s="6" t="str">
        <f>IF(IF(Table44246665[[#This Row],[Pre or Post]]="Pre",1,0)+IF(ISNUMBER(Table44246665[[#This Row],[Response]])=TRUE,1,0)=2,1,"")</f>
        <v/>
      </c>
      <c r="J68" s="6">
        <f>IF(IF(Table44246665[[#This Row],[Pre or Post]]="Post",1,0)+IF(ISNUMBER(Table44246665[[#This Row],[Response]])=TRUE,1,0)=2,1,"")</f>
        <v>1</v>
      </c>
      <c r="K68" s="6" t="str">
        <f>IF(IF(Table44246665[[#This Row],[Pre or Post]]="Pre",1,0)+IF(ISNUMBER(Table44246665[[#This Row],[Response]])=TRUE,1,0)=2,Table44246665[[#This Row],[Response]],"")</f>
        <v/>
      </c>
      <c r="L68" s="6">
        <f>IF(IF(Table44246665[[#This Row],[Pre or Post]]="Post",1,0)+IF(ISNUMBER(Table44246665[[#This Row],[Response]])=TRUE,1,0)=2,Table44246665[[#This Row],[Response]],"")</f>
        <v>4</v>
      </c>
      <c r="M68" s="6" t="str">
        <f>IF(IF(ISNUMBER(K68),1,0)+IF(ISNUMBER(L69),1,0)=2,IF(IF(C69=C68,1,0)+IF(B69=B68,1,0)+IF(D69="Post",1,0)+IF(D68="Pre",1,0)=4,Table44246665[[#This Row],[Pre Total]],""),"")</f>
        <v/>
      </c>
      <c r="N68" s="6">
        <f>IF(IF(ISNUMBER(K67),1,0)+IF(ISNUMBER(Table44246665[[#This Row],[Post Total]]),1,0)=2,IF(IF(Table44246665[[#This Row],[Student Number]]=C67,1,0)+IF(Table44246665[[#This Row],[Session]]=B67,1,0)+IF(Table44246665[[#This Row],[Pre or Post]]="Post",1,0)+IF(D67="Pre",1,0)=4,Table44246665[[#This Row],[Post Total]],""),"")</f>
        <v>4</v>
      </c>
      <c r="O68" s="6">
        <f>IF(IF(ISNUMBER(K67),1,0)+IF(ISNUMBER(Table44246665[[#This Row],[Post Total]]),1,0)=2,IF(IF(Table44246665[[#This Row],[Student Number]]=C67,1,0)+IF(Table44246665[[#This Row],[Session]]=B67,1,0)+IF(Table44246665[[#This Row],[Pre or Post]]="Post",1,0)+IF(D67="Pre",1,0)=4,Table44246665[[#This Row],[Post Total]]-K67,""),"")</f>
        <v>2</v>
      </c>
      <c r="P68" s="6" t="b">
        <f>ISNUMBER(Table44246665[[#This Row],[Change]])</f>
        <v>1</v>
      </c>
      <c r="Q68" s="5">
        <f>IF(E67="Yes",Table44246665[[#This Row],[Change]],"")</f>
        <v>2</v>
      </c>
      <c r="R68" s="5" t="str">
        <f>IF(E67="No",Table44246665[[#This Row],[Change]],"")</f>
        <v/>
      </c>
      <c r="S68" s="5" t="b">
        <f>ISNUMBER(Table44246665[[#This Row],[If Pre3 Yes]])</f>
        <v>1</v>
      </c>
      <c r="T68" s="5" t="b">
        <f>ISNUMBER(Table44246665[[#This Row],[If Pre3 No]])</f>
        <v>0</v>
      </c>
    </row>
    <row r="69" spans="1:20">
      <c r="A69" s="1" t="s">
        <v>24</v>
      </c>
      <c r="B69" s="1" t="s">
        <v>25</v>
      </c>
      <c r="C69" s="1">
        <v>9</v>
      </c>
      <c r="D69" s="1" t="s">
        <v>6</v>
      </c>
      <c r="E69" s="5" t="s">
        <v>8</v>
      </c>
      <c r="F69" s="1">
        <v>11</v>
      </c>
      <c r="G69" s="1">
        <v>1</v>
      </c>
      <c r="H69" s="1" t="s">
        <v>8</v>
      </c>
      <c r="I69" s="5">
        <f>IF(IF(Table44246665[[#This Row],[Pre or Post]]="Pre",1,0)+IF(ISNUMBER(Table44246665[[#This Row],[Response]])=TRUE,1,0)=2,1,"")</f>
        <v>1</v>
      </c>
      <c r="J69" s="5" t="str">
        <f>IF(IF(Table44246665[[#This Row],[Pre or Post]]="Post",1,0)+IF(ISNUMBER(Table44246665[[#This Row],[Response]])=TRUE,1,0)=2,1,"")</f>
        <v/>
      </c>
      <c r="K69" s="6">
        <f>IF(IF(Table44246665[[#This Row],[Pre or Post]]="Pre",1,0)+IF(ISNUMBER(Table44246665[[#This Row],[Response]])=TRUE,1,0)=2,Table44246665[[#This Row],[Response]],"")</f>
        <v>1</v>
      </c>
      <c r="L69" s="6" t="str">
        <f>IF(IF(Table44246665[[#This Row],[Pre or Post]]="Post",1,0)+IF(ISNUMBER(Table44246665[[#This Row],[Response]])=TRUE,1,0)=2,Table44246665[[#This Row],[Response]],"")</f>
        <v/>
      </c>
      <c r="M69" s="5">
        <f>IF(IF(ISNUMBER(K69),1,0)+IF(ISNUMBER(L70),1,0)=2,IF(IF(C70=C69,1,0)+IF(B70=B69,1,0)+IF(D70="Post",1,0)+IF(D69="Pre",1,0)=4,Table44246665[[#This Row],[Pre Total]],""),"")</f>
        <v>1</v>
      </c>
      <c r="N69" s="5" t="str">
        <f>IF(IF(ISNUMBER(K68),1,0)+IF(ISNUMBER(Table44246665[[#This Row],[Post Total]]),1,0)=2,IF(IF(Table44246665[[#This Row],[Student Number]]=C68,1,0)+IF(Table44246665[[#This Row],[Session]]=B68,1,0)+IF(Table44246665[[#This Row],[Pre or Post]]="Post",1,0)+IF(D68="Pre",1,0)=4,Table44246665[[#This Row],[Post Total]],""),"")</f>
        <v/>
      </c>
      <c r="O69" s="5" t="str">
        <f>IF(IF(ISNUMBER(K68),1,0)+IF(ISNUMBER(Table44246665[[#This Row],[Post Total]]),1,0)=2,IF(IF(Table44246665[[#This Row],[Student Number]]=C68,1,0)+IF(Table44246665[[#This Row],[Session]]=B68,1,0)+IF(Table44246665[[#This Row],[Pre or Post]]="Post",1,0)+IF(D68="Pre",1,0)=4,Table44246665[[#This Row],[Post Total]]-K68,""),"")</f>
        <v/>
      </c>
      <c r="P69" s="5" t="b">
        <f>ISNUMBER(Table44246665[[#This Row],[Change]])</f>
        <v>0</v>
      </c>
      <c r="Q69" s="5" t="str">
        <f>IF(E68="Yes",Table44246665[[#This Row],[Change]],"")</f>
        <v/>
      </c>
      <c r="R69" s="5" t="str">
        <f>IF(E68="No",Table44246665[[#This Row],[Change]],"")</f>
        <v/>
      </c>
      <c r="S69" s="5" t="b">
        <f>ISNUMBER(Table44246665[[#This Row],[If Pre3 Yes]])</f>
        <v>0</v>
      </c>
      <c r="T69" s="5" t="b">
        <f>ISNUMBER(Table44246665[[#This Row],[If Pre3 No]])</f>
        <v>0</v>
      </c>
    </row>
    <row r="70" spans="1:20">
      <c r="A70" s="1" t="s">
        <v>24</v>
      </c>
      <c r="B70" s="1" t="s">
        <v>25</v>
      </c>
      <c r="C70" s="1">
        <v>9</v>
      </c>
      <c r="D70" s="1" t="s">
        <v>16</v>
      </c>
      <c r="E70" s="5"/>
      <c r="F70" s="1">
        <v>4</v>
      </c>
      <c r="G70" s="1">
        <v>5</v>
      </c>
      <c r="H70" s="2" t="s">
        <v>8</v>
      </c>
      <c r="I70" s="5" t="str">
        <f>IF(IF(Table44246665[[#This Row],[Pre or Post]]="Pre",1,0)+IF(ISNUMBER(Table44246665[[#This Row],[Response]])=TRUE,1,0)=2,1,"")</f>
        <v/>
      </c>
      <c r="J70" s="5">
        <f>IF(IF(Table44246665[[#This Row],[Pre or Post]]="Post",1,0)+IF(ISNUMBER(Table44246665[[#This Row],[Response]])=TRUE,1,0)=2,1,"")</f>
        <v>1</v>
      </c>
      <c r="K70" s="6" t="str">
        <f>IF(IF(Table44246665[[#This Row],[Pre or Post]]="Pre",1,0)+IF(ISNUMBER(Table44246665[[#This Row],[Response]])=TRUE,1,0)=2,Table44246665[[#This Row],[Response]],"")</f>
        <v/>
      </c>
      <c r="L70" s="6">
        <f>IF(IF(Table44246665[[#This Row],[Pre or Post]]="Post",1,0)+IF(ISNUMBER(Table44246665[[#This Row],[Response]])=TRUE,1,0)=2,Table44246665[[#This Row],[Response]],"")</f>
        <v>5</v>
      </c>
      <c r="M70" s="5" t="str">
        <f>IF(IF(ISNUMBER(K70),1,0)+IF(ISNUMBER(L71),1,0)=2,IF(IF(C71=C70,1,0)+IF(B71=B70,1,0)+IF(D71="Post",1,0)+IF(D70="Pre",1,0)=4,Table44246665[[#This Row],[Pre Total]],""),"")</f>
        <v/>
      </c>
      <c r="N70" s="5">
        <f>IF(IF(ISNUMBER(K69),1,0)+IF(ISNUMBER(Table44246665[[#This Row],[Post Total]]),1,0)=2,IF(IF(Table44246665[[#This Row],[Student Number]]=C69,1,0)+IF(Table44246665[[#This Row],[Session]]=B69,1,0)+IF(Table44246665[[#This Row],[Pre or Post]]="Post",1,0)+IF(D69="Pre",1,0)=4,Table44246665[[#This Row],[Post Total]],""),"")</f>
        <v>5</v>
      </c>
      <c r="O70" s="5">
        <f>IF(IF(ISNUMBER(K69),1,0)+IF(ISNUMBER(Table44246665[[#This Row],[Post Total]]),1,0)=2,IF(IF(Table44246665[[#This Row],[Student Number]]=C69,1,0)+IF(Table44246665[[#This Row],[Session]]=B69,1,0)+IF(Table44246665[[#This Row],[Pre or Post]]="Post",1,0)+IF(D69="Pre",1,0)=4,Table44246665[[#This Row],[Post Total]]-K69,""),"")</f>
        <v>4</v>
      </c>
      <c r="P70" s="5" t="b">
        <f>ISNUMBER(Table44246665[[#This Row],[Change]])</f>
        <v>1</v>
      </c>
      <c r="Q70" s="5">
        <f>IF(E69="Yes",Table44246665[[#This Row],[Change]],"")</f>
        <v>4</v>
      </c>
      <c r="R70" s="5" t="str">
        <f>IF(E69="No",Table44246665[[#This Row],[Change]],"")</f>
        <v/>
      </c>
      <c r="S70" s="5" t="b">
        <f>ISNUMBER(Table44246665[[#This Row],[If Pre3 Yes]])</f>
        <v>1</v>
      </c>
      <c r="T70" s="5" t="b">
        <f>ISNUMBER(Table44246665[[#This Row],[If Pre3 No]])</f>
        <v>0</v>
      </c>
    </row>
    <row r="71" spans="1:20">
      <c r="A71" s="1" t="s">
        <v>24</v>
      </c>
      <c r="B71" s="1" t="s">
        <v>25</v>
      </c>
      <c r="C71" s="1">
        <v>10</v>
      </c>
      <c r="D71" s="1" t="s">
        <v>6</v>
      </c>
      <c r="E71" s="5" t="s">
        <v>8</v>
      </c>
      <c r="F71" s="1">
        <v>11</v>
      </c>
      <c r="G71" s="1">
        <v>2</v>
      </c>
      <c r="H71" s="1" t="s">
        <v>8</v>
      </c>
      <c r="I71" s="6">
        <f>IF(IF(Table44246665[[#This Row],[Pre or Post]]="Pre",1,0)+IF(ISNUMBER(Table44246665[[#This Row],[Response]])=TRUE,1,0)=2,1,"")</f>
        <v>1</v>
      </c>
      <c r="J71" s="6" t="str">
        <f>IF(IF(Table44246665[[#This Row],[Pre or Post]]="Post",1,0)+IF(ISNUMBER(Table44246665[[#This Row],[Response]])=TRUE,1,0)=2,1,"")</f>
        <v/>
      </c>
      <c r="K71" s="6">
        <f>IF(IF(Table44246665[[#This Row],[Pre or Post]]="Pre",1,0)+IF(ISNUMBER(Table44246665[[#This Row],[Response]])=TRUE,1,0)=2,Table44246665[[#This Row],[Response]],"")</f>
        <v>2</v>
      </c>
      <c r="L71" s="6" t="str">
        <f>IF(IF(Table44246665[[#This Row],[Pre or Post]]="Post",1,0)+IF(ISNUMBER(Table44246665[[#This Row],[Response]])=TRUE,1,0)=2,Table44246665[[#This Row],[Response]],"")</f>
        <v/>
      </c>
      <c r="M71" s="6">
        <f>IF(IF(ISNUMBER(K71),1,0)+IF(ISNUMBER(L72),1,0)=2,IF(IF(C72=C71,1,0)+IF(B72=B71,1,0)+IF(D72="Post",1,0)+IF(D71="Pre",1,0)=4,Table44246665[[#This Row],[Pre Total]],""),"")</f>
        <v>2</v>
      </c>
      <c r="N71" s="6" t="str">
        <f>IF(IF(ISNUMBER(K70),1,0)+IF(ISNUMBER(Table44246665[[#This Row],[Post Total]]),1,0)=2,IF(IF(Table44246665[[#This Row],[Student Number]]=C70,1,0)+IF(Table44246665[[#This Row],[Session]]=B70,1,0)+IF(Table44246665[[#This Row],[Pre or Post]]="Post",1,0)+IF(D70="Pre",1,0)=4,Table44246665[[#This Row],[Post Total]],""),"")</f>
        <v/>
      </c>
      <c r="O71" s="6" t="str">
        <f>IF(IF(ISNUMBER(K70),1,0)+IF(ISNUMBER(Table44246665[[#This Row],[Post Total]]),1,0)=2,IF(IF(Table44246665[[#This Row],[Student Number]]=C70,1,0)+IF(Table44246665[[#This Row],[Session]]=B70,1,0)+IF(Table44246665[[#This Row],[Pre or Post]]="Post",1,0)+IF(D70="Pre",1,0)=4,Table44246665[[#This Row],[Post Total]]-K70,""),"")</f>
        <v/>
      </c>
      <c r="P71" s="6" t="b">
        <f>ISNUMBER(Table44246665[[#This Row],[Change]])</f>
        <v>0</v>
      </c>
      <c r="Q71" s="5" t="str">
        <f>IF(E70="Yes",Table44246665[[#This Row],[Change]],"")</f>
        <v/>
      </c>
      <c r="R71" s="5" t="str">
        <f>IF(E70="No",Table44246665[[#This Row],[Change]],"")</f>
        <v/>
      </c>
      <c r="S71" s="5" t="b">
        <f>ISNUMBER(Table44246665[[#This Row],[If Pre3 Yes]])</f>
        <v>0</v>
      </c>
      <c r="T71" s="5" t="b">
        <f>ISNUMBER(Table44246665[[#This Row],[If Pre3 No]])</f>
        <v>0</v>
      </c>
    </row>
    <row r="72" spans="1:20">
      <c r="A72" s="1" t="s">
        <v>24</v>
      </c>
      <c r="B72" s="1" t="s">
        <v>25</v>
      </c>
      <c r="C72" s="1">
        <v>10</v>
      </c>
      <c r="D72" s="1" t="s">
        <v>16</v>
      </c>
      <c r="E72" s="5"/>
      <c r="F72" s="1">
        <v>4</v>
      </c>
      <c r="G72" s="1">
        <v>3</v>
      </c>
      <c r="H72" s="2" t="s">
        <v>8</v>
      </c>
      <c r="I72" s="5" t="str">
        <f>IF(IF(Table44246665[[#This Row],[Pre or Post]]="Pre",1,0)+IF(ISNUMBER(Table44246665[[#This Row],[Response]])=TRUE,1,0)=2,1,"")</f>
        <v/>
      </c>
      <c r="J72" s="5">
        <f>IF(IF(Table44246665[[#This Row],[Pre or Post]]="Post",1,0)+IF(ISNUMBER(Table44246665[[#This Row],[Response]])=TRUE,1,0)=2,1,"")</f>
        <v>1</v>
      </c>
      <c r="K72" s="6" t="str">
        <f>IF(IF(Table44246665[[#This Row],[Pre or Post]]="Pre",1,0)+IF(ISNUMBER(Table44246665[[#This Row],[Response]])=TRUE,1,0)=2,Table44246665[[#This Row],[Response]],"")</f>
        <v/>
      </c>
      <c r="L72" s="6">
        <f>IF(IF(Table44246665[[#This Row],[Pre or Post]]="Post",1,0)+IF(ISNUMBER(Table44246665[[#This Row],[Response]])=TRUE,1,0)=2,Table44246665[[#This Row],[Response]],"")</f>
        <v>3</v>
      </c>
      <c r="M72" s="5" t="str">
        <f>IF(IF(ISNUMBER(K72),1,0)+IF(ISNUMBER(L73),1,0)=2,IF(IF(C73=C72,1,0)+IF(B73=B72,1,0)+IF(D73="Post",1,0)+IF(D72="Pre",1,0)=4,Table44246665[[#This Row],[Pre Total]],""),"")</f>
        <v/>
      </c>
      <c r="N72" s="5">
        <f>IF(IF(ISNUMBER(K71),1,0)+IF(ISNUMBER(Table44246665[[#This Row],[Post Total]]),1,0)=2,IF(IF(Table44246665[[#This Row],[Student Number]]=C71,1,0)+IF(Table44246665[[#This Row],[Session]]=B71,1,0)+IF(Table44246665[[#This Row],[Pre or Post]]="Post",1,0)+IF(D71="Pre",1,0)=4,Table44246665[[#This Row],[Post Total]],""),"")</f>
        <v>3</v>
      </c>
      <c r="O72" s="5">
        <f>IF(IF(ISNUMBER(K71),1,0)+IF(ISNUMBER(Table44246665[[#This Row],[Post Total]]),1,0)=2,IF(IF(Table44246665[[#This Row],[Student Number]]=C71,1,0)+IF(Table44246665[[#This Row],[Session]]=B71,1,0)+IF(Table44246665[[#This Row],[Pre or Post]]="Post",1,0)+IF(D71="Pre",1,0)=4,Table44246665[[#This Row],[Post Total]]-K71,""),"")</f>
        <v>1</v>
      </c>
      <c r="P72" s="5" t="b">
        <f>ISNUMBER(Table44246665[[#This Row],[Change]])</f>
        <v>1</v>
      </c>
      <c r="Q72" s="5">
        <f>IF(E71="Yes",Table44246665[[#This Row],[Change]],"")</f>
        <v>1</v>
      </c>
      <c r="R72" s="5" t="str">
        <f>IF(E71="No",Table44246665[[#This Row],[Change]],"")</f>
        <v/>
      </c>
      <c r="S72" s="5" t="b">
        <f>ISNUMBER(Table44246665[[#This Row],[If Pre3 Yes]])</f>
        <v>1</v>
      </c>
      <c r="T72" s="5" t="b">
        <f>ISNUMBER(Table44246665[[#This Row],[If Pre3 No]])</f>
        <v>0</v>
      </c>
    </row>
    <row r="73" spans="1:20">
      <c r="A73" s="1" t="s">
        <v>24</v>
      </c>
      <c r="B73" s="1" t="s">
        <v>25</v>
      </c>
      <c r="C73" s="1">
        <v>11</v>
      </c>
      <c r="D73" s="1" t="s">
        <v>6</v>
      </c>
      <c r="E73" s="5" t="s">
        <v>8</v>
      </c>
      <c r="F73" s="1">
        <v>11</v>
      </c>
      <c r="G73" s="1">
        <v>2</v>
      </c>
      <c r="H73" s="1" t="s">
        <v>8</v>
      </c>
      <c r="I73" s="5">
        <f>IF(IF(Table44246665[[#This Row],[Pre or Post]]="Pre",1,0)+IF(ISNUMBER(Table44246665[[#This Row],[Response]])=TRUE,1,0)=2,1,"")</f>
        <v>1</v>
      </c>
      <c r="J73" s="5" t="str">
        <f>IF(IF(Table44246665[[#This Row],[Pre or Post]]="Post",1,0)+IF(ISNUMBER(Table44246665[[#This Row],[Response]])=TRUE,1,0)=2,1,"")</f>
        <v/>
      </c>
      <c r="K73" s="6">
        <f>IF(IF(Table44246665[[#This Row],[Pre or Post]]="Pre",1,0)+IF(ISNUMBER(Table44246665[[#This Row],[Response]])=TRUE,1,0)=2,Table44246665[[#This Row],[Response]],"")</f>
        <v>2</v>
      </c>
      <c r="L73" s="6" t="str">
        <f>IF(IF(Table44246665[[#This Row],[Pre or Post]]="Post",1,0)+IF(ISNUMBER(Table44246665[[#This Row],[Response]])=TRUE,1,0)=2,Table44246665[[#This Row],[Response]],"")</f>
        <v/>
      </c>
      <c r="M73" s="5">
        <f>IF(IF(ISNUMBER(K73),1,0)+IF(ISNUMBER(L74),1,0)=2,IF(IF(C74=C73,1,0)+IF(B74=B73,1,0)+IF(D74="Post",1,0)+IF(D73="Pre",1,0)=4,Table44246665[[#This Row],[Pre Total]],""),"")</f>
        <v>2</v>
      </c>
      <c r="N73" s="5" t="str">
        <f>IF(IF(ISNUMBER(K72),1,0)+IF(ISNUMBER(Table44246665[[#This Row],[Post Total]]),1,0)=2,IF(IF(Table44246665[[#This Row],[Student Number]]=C72,1,0)+IF(Table44246665[[#This Row],[Session]]=B72,1,0)+IF(Table44246665[[#This Row],[Pre or Post]]="Post",1,0)+IF(D72="Pre",1,0)=4,Table44246665[[#This Row],[Post Total]],""),"")</f>
        <v/>
      </c>
      <c r="O73" s="5" t="str">
        <f>IF(IF(ISNUMBER(K72),1,0)+IF(ISNUMBER(Table44246665[[#This Row],[Post Total]]),1,0)=2,IF(IF(Table44246665[[#This Row],[Student Number]]=C72,1,0)+IF(Table44246665[[#This Row],[Session]]=B72,1,0)+IF(Table44246665[[#This Row],[Pre or Post]]="Post",1,0)+IF(D72="Pre",1,0)=4,Table44246665[[#This Row],[Post Total]]-K72,""),"")</f>
        <v/>
      </c>
      <c r="P73" s="5" t="b">
        <f>ISNUMBER(Table44246665[[#This Row],[Change]])</f>
        <v>0</v>
      </c>
      <c r="Q73" s="5" t="str">
        <f>IF(E72="Yes",Table44246665[[#This Row],[Change]],"")</f>
        <v/>
      </c>
      <c r="R73" s="5" t="str">
        <f>IF(E72="No",Table44246665[[#This Row],[Change]],"")</f>
        <v/>
      </c>
      <c r="S73" s="5" t="b">
        <f>ISNUMBER(Table44246665[[#This Row],[If Pre3 Yes]])</f>
        <v>0</v>
      </c>
      <c r="T73" s="5" t="b">
        <f>ISNUMBER(Table44246665[[#This Row],[If Pre3 No]])</f>
        <v>0</v>
      </c>
    </row>
    <row r="74" spans="1:20">
      <c r="A74" s="1" t="s">
        <v>24</v>
      </c>
      <c r="B74" s="1" t="s">
        <v>25</v>
      </c>
      <c r="C74" s="1">
        <v>11</v>
      </c>
      <c r="D74" s="1" t="s">
        <v>16</v>
      </c>
      <c r="E74" s="5"/>
      <c r="F74" s="1">
        <v>4</v>
      </c>
      <c r="G74" s="1">
        <v>4</v>
      </c>
      <c r="H74" s="2" t="s">
        <v>8</v>
      </c>
      <c r="I74" s="5" t="str">
        <f>IF(IF(Table44246665[[#This Row],[Pre or Post]]="Pre",1,0)+IF(ISNUMBER(Table44246665[[#This Row],[Response]])=TRUE,1,0)=2,1,"")</f>
        <v/>
      </c>
      <c r="J74" s="5">
        <f>IF(IF(Table44246665[[#This Row],[Pre or Post]]="Post",1,0)+IF(ISNUMBER(Table44246665[[#This Row],[Response]])=TRUE,1,0)=2,1,"")</f>
        <v>1</v>
      </c>
      <c r="K74" s="6" t="str">
        <f>IF(IF(Table44246665[[#This Row],[Pre or Post]]="Pre",1,0)+IF(ISNUMBER(Table44246665[[#This Row],[Response]])=TRUE,1,0)=2,Table44246665[[#This Row],[Response]],"")</f>
        <v/>
      </c>
      <c r="L74" s="6">
        <f>IF(IF(Table44246665[[#This Row],[Pre or Post]]="Post",1,0)+IF(ISNUMBER(Table44246665[[#This Row],[Response]])=TRUE,1,0)=2,Table44246665[[#This Row],[Response]],"")</f>
        <v>4</v>
      </c>
      <c r="M74" s="5" t="str">
        <f>IF(IF(ISNUMBER(K74),1,0)+IF(ISNUMBER(L75),1,0)=2,IF(IF(C75=C74,1,0)+IF(B75=B74,1,0)+IF(D75="Post",1,0)+IF(D74="Pre",1,0)=4,Table44246665[[#This Row],[Pre Total]],""),"")</f>
        <v/>
      </c>
      <c r="N74" s="5">
        <f>IF(IF(ISNUMBER(K73),1,0)+IF(ISNUMBER(Table44246665[[#This Row],[Post Total]]),1,0)=2,IF(IF(Table44246665[[#This Row],[Student Number]]=C73,1,0)+IF(Table44246665[[#This Row],[Session]]=B73,1,0)+IF(Table44246665[[#This Row],[Pre or Post]]="Post",1,0)+IF(D73="Pre",1,0)=4,Table44246665[[#This Row],[Post Total]],""),"")</f>
        <v>4</v>
      </c>
      <c r="O74" s="5">
        <f>IF(IF(ISNUMBER(K73),1,0)+IF(ISNUMBER(Table44246665[[#This Row],[Post Total]]),1,0)=2,IF(IF(Table44246665[[#This Row],[Student Number]]=C73,1,0)+IF(Table44246665[[#This Row],[Session]]=B73,1,0)+IF(Table44246665[[#This Row],[Pre or Post]]="Post",1,0)+IF(D73="Pre",1,0)=4,Table44246665[[#This Row],[Post Total]]-K73,""),"")</f>
        <v>2</v>
      </c>
      <c r="P74" s="5" t="b">
        <f>ISNUMBER(Table44246665[[#This Row],[Change]])</f>
        <v>1</v>
      </c>
      <c r="Q74" s="5">
        <f>IF(E73="Yes",Table44246665[[#This Row],[Change]],"")</f>
        <v>2</v>
      </c>
      <c r="R74" s="5" t="str">
        <f>IF(E73="No",Table44246665[[#This Row],[Change]],"")</f>
        <v/>
      </c>
      <c r="S74" s="5" t="b">
        <f>ISNUMBER(Table44246665[[#This Row],[If Pre3 Yes]])</f>
        <v>1</v>
      </c>
      <c r="T74" s="5" t="b">
        <f>ISNUMBER(Table44246665[[#This Row],[If Pre3 No]])</f>
        <v>0</v>
      </c>
    </row>
    <row r="75" spans="1:20">
      <c r="A75" s="1" t="s">
        <v>24</v>
      </c>
      <c r="B75" s="1" t="s">
        <v>25</v>
      </c>
      <c r="C75" s="1">
        <v>12</v>
      </c>
      <c r="D75" s="1" t="s">
        <v>6</v>
      </c>
      <c r="E75" s="5" t="s">
        <v>8</v>
      </c>
      <c r="F75" s="1">
        <v>11</v>
      </c>
      <c r="G75" s="1">
        <v>3</v>
      </c>
      <c r="H75" s="1" t="s">
        <v>8</v>
      </c>
      <c r="I75" s="6">
        <f>IF(IF(Table44246665[[#This Row],[Pre or Post]]="Pre",1,0)+IF(ISNUMBER(Table44246665[[#This Row],[Response]])=TRUE,1,0)=2,1,"")</f>
        <v>1</v>
      </c>
      <c r="J75" s="6" t="str">
        <f>IF(IF(Table44246665[[#This Row],[Pre or Post]]="Post",1,0)+IF(ISNUMBER(Table44246665[[#This Row],[Response]])=TRUE,1,0)=2,1,"")</f>
        <v/>
      </c>
      <c r="K75" s="6">
        <f>IF(IF(Table44246665[[#This Row],[Pre or Post]]="Pre",1,0)+IF(ISNUMBER(Table44246665[[#This Row],[Response]])=TRUE,1,0)=2,Table44246665[[#This Row],[Response]],"")</f>
        <v>3</v>
      </c>
      <c r="L75" s="6" t="str">
        <f>IF(IF(Table44246665[[#This Row],[Pre or Post]]="Post",1,0)+IF(ISNUMBER(Table44246665[[#This Row],[Response]])=TRUE,1,0)=2,Table44246665[[#This Row],[Response]],"")</f>
        <v/>
      </c>
      <c r="M75" s="6">
        <f>IF(IF(ISNUMBER(K75),1,0)+IF(ISNUMBER(L76),1,0)=2,IF(IF(C76=C75,1,0)+IF(B76=B75,1,0)+IF(D76="Post",1,0)+IF(D75="Pre",1,0)=4,Table44246665[[#This Row],[Pre Total]],""),"")</f>
        <v>3</v>
      </c>
      <c r="N75" s="6" t="str">
        <f>IF(IF(ISNUMBER(K74),1,0)+IF(ISNUMBER(Table44246665[[#This Row],[Post Total]]),1,0)=2,IF(IF(Table44246665[[#This Row],[Student Number]]=C74,1,0)+IF(Table44246665[[#This Row],[Session]]=B74,1,0)+IF(Table44246665[[#This Row],[Pre or Post]]="Post",1,0)+IF(D74="Pre",1,0)=4,Table44246665[[#This Row],[Post Total]],""),"")</f>
        <v/>
      </c>
      <c r="O75" s="6" t="str">
        <f>IF(IF(ISNUMBER(K74),1,0)+IF(ISNUMBER(Table44246665[[#This Row],[Post Total]]),1,0)=2,IF(IF(Table44246665[[#This Row],[Student Number]]=C74,1,0)+IF(Table44246665[[#This Row],[Session]]=B74,1,0)+IF(Table44246665[[#This Row],[Pre or Post]]="Post",1,0)+IF(D74="Pre",1,0)=4,Table44246665[[#This Row],[Post Total]]-K74,""),"")</f>
        <v/>
      </c>
      <c r="P75" s="6" t="b">
        <f>ISNUMBER(Table44246665[[#This Row],[Change]])</f>
        <v>0</v>
      </c>
      <c r="Q75" s="5" t="str">
        <f>IF(E74="Yes",Table44246665[[#This Row],[Change]],"")</f>
        <v/>
      </c>
      <c r="R75" s="5" t="str">
        <f>IF(E74="No",Table44246665[[#This Row],[Change]],"")</f>
        <v/>
      </c>
      <c r="S75" s="5" t="b">
        <f>ISNUMBER(Table44246665[[#This Row],[If Pre3 Yes]])</f>
        <v>0</v>
      </c>
      <c r="T75" s="5" t="b">
        <f>ISNUMBER(Table44246665[[#This Row],[If Pre3 No]])</f>
        <v>0</v>
      </c>
    </row>
    <row r="76" spans="1:20">
      <c r="A76" s="1" t="s">
        <v>24</v>
      </c>
      <c r="B76" s="1" t="s">
        <v>25</v>
      </c>
      <c r="C76" s="1">
        <v>12</v>
      </c>
      <c r="D76" s="1" t="s">
        <v>16</v>
      </c>
      <c r="E76" s="5"/>
      <c r="F76" s="1">
        <v>4</v>
      </c>
      <c r="G76" s="1">
        <v>4</v>
      </c>
      <c r="H76" s="2" t="s">
        <v>8</v>
      </c>
      <c r="I76" s="5" t="str">
        <f>IF(IF(Table44246665[[#This Row],[Pre or Post]]="Pre",1,0)+IF(ISNUMBER(Table44246665[[#This Row],[Response]])=TRUE,1,0)=2,1,"")</f>
        <v/>
      </c>
      <c r="J76" s="5">
        <f>IF(IF(Table44246665[[#This Row],[Pre or Post]]="Post",1,0)+IF(ISNUMBER(Table44246665[[#This Row],[Response]])=TRUE,1,0)=2,1,"")</f>
        <v>1</v>
      </c>
      <c r="K76" s="6" t="str">
        <f>IF(IF(Table44246665[[#This Row],[Pre or Post]]="Pre",1,0)+IF(ISNUMBER(Table44246665[[#This Row],[Response]])=TRUE,1,0)=2,Table44246665[[#This Row],[Response]],"")</f>
        <v/>
      </c>
      <c r="L76" s="6">
        <f>IF(IF(Table44246665[[#This Row],[Pre or Post]]="Post",1,0)+IF(ISNUMBER(Table44246665[[#This Row],[Response]])=TRUE,1,0)=2,Table44246665[[#This Row],[Response]],"")</f>
        <v>4</v>
      </c>
      <c r="M76" s="5" t="str">
        <f>IF(IF(ISNUMBER(K76),1,0)+IF(ISNUMBER(L77),1,0)=2,IF(IF(C77=C76,1,0)+IF(B77=B76,1,0)+IF(D77="Post",1,0)+IF(D76="Pre",1,0)=4,Table44246665[[#This Row],[Pre Total]],""),"")</f>
        <v/>
      </c>
      <c r="N76" s="5">
        <f>IF(IF(ISNUMBER(K75),1,0)+IF(ISNUMBER(Table44246665[[#This Row],[Post Total]]),1,0)=2,IF(IF(Table44246665[[#This Row],[Student Number]]=C75,1,0)+IF(Table44246665[[#This Row],[Session]]=B75,1,0)+IF(Table44246665[[#This Row],[Pre or Post]]="Post",1,0)+IF(D75="Pre",1,0)=4,Table44246665[[#This Row],[Post Total]],""),"")</f>
        <v>4</v>
      </c>
      <c r="O76" s="5">
        <f>IF(IF(ISNUMBER(K75),1,0)+IF(ISNUMBER(Table44246665[[#This Row],[Post Total]]),1,0)=2,IF(IF(Table44246665[[#This Row],[Student Number]]=C75,1,0)+IF(Table44246665[[#This Row],[Session]]=B75,1,0)+IF(Table44246665[[#This Row],[Pre or Post]]="Post",1,0)+IF(D75="Pre",1,0)=4,Table44246665[[#This Row],[Post Total]]-K75,""),"")</f>
        <v>1</v>
      </c>
      <c r="P76" s="5" t="b">
        <f>ISNUMBER(Table44246665[[#This Row],[Change]])</f>
        <v>1</v>
      </c>
      <c r="Q76" s="5">
        <f>IF(E75="Yes",Table44246665[[#This Row],[Change]],"")</f>
        <v>1</v>
      </c>
      <c r="R76" s="5" t="str">
        <f>IF(E75="No",Table44246665[[#This Row],[Change]],"")</f>
        <v/>
      </c>
      <c r="S76" s="5" t="b">
        <f>ISNUMBER(Table44246665[[#This Row],[If Pre3 Yes]])</f>
        <v>1</v>
      </c>
      <c r="T76" s="5" t="b">
        <f>ISNUMBER(Table44246665[[#This Row],[If Pre3 No]])</f>
        <v>0</v>
      </c>
    </row>
    <row r="77" spans="1:20">
      <c r="A77" s="1" t="s">
        <v>24</v>
      </c>
      <c r="B77" s="1" t="s">
        <v>25</v>
      </c>
      <c r="C77" s="1">
        <v>13</v>
      </c>
      <c r="D77" s="1" t="s">
        <v>6</v>
      </c>
      <c r="E77" s="5" t="s">
        <v>8</v>
      </c>
      <c r="F77" s="1">
        <v>11</v>
      </c>
      <c r="G77" s="1">
        <v>1</v>
      </c>
      <c r="H77" s="1" t="s">
        <v>8</v>
      </c>
      <c r="I77" s="5">
        <f>IF(IF(Table44246665[[#This Row],[Pre or Post]]="Pre",1,0)+IF(ISNUMBER(Table44246665[[#This Row],[Response]])=TRUE,1,0)=2,1,"")</f>
        <v>1</v>
      </c>
      <c r="J77" s="5" t="str">
        <f>IF(IF(Table44246665[[#This Row],[Pre or Post]]="Post",1,0)+IF(ISNUMBER(Table44246665[[#This Row],[Response]])=TRUE,1,0)=2,1,"")</f>
        <v/>
      </c>
      <c r="K77" s="6">
        <f>IF(IF(Table44246665[[#This Row],[Pre or Post]]="Pre",1,0)+IF(ISNUMBER(Table44246665[[#This Row],[Response]])=TRUE,1,0)=2,Table44246665[[#This Row],[Response]],"")</f>
        <v>1</v>
      </c>
      <c r="L77" s="6" t="str">
        <f>IF(IF(Table44246665[[#This Row],[Pre or Post]]="Post",1,0)+IF(ISNUMBER(Table44246665[[#This Row],[Response]])=TRUE,1,0)=2,Table44246665[[#This Row],[Response]],"")</f>
        <v/>
      </c>
      <c r="M77" s="5">
        <f>IF(IF(ISNUMBER(K77),1,0)+IF(ISNUMBER(L78),1,0)=2,IF(IF(C78=C77,1,0)+IF(B78=B77,1,0)+IF(D78="Post",1,0)+IF(D77="Pre",1,0)=4,Table44246665[[#This Row],[Pre Total]],""),"")</f>
        <v>1</v>
      </c>
      <c r="N77" s="5" t="str">
        <f>IF(IF(ISNUMBER(K76),1,0)+IF(ISNUMBER(Table44246665[[#This Row],[Post Total]]),1,0)=2,IF(IF(Table44246665[[#This Row],[Student Number]]=C76,1,0)+IF(Table44246665[[#This Row],[Session]]=B76,1,0)+IF(Table44246665[[#This Row],[Pre or Post]]="Post",1,0)+IF(D76="Pre",1,0)=4,Table44246665[[#This Row],[Post Total]],""),"")</f>
        <v/>
      </c>
      <c r="O77" s="5" t="str">
        <f>IF(IF(ISNUMBER(K76),1,0)+IF(ISNUMBER(Table44246665[[#This Row],[Post Total]]),1,0)=2,IF(IF(Table44246665[[#This Row],[Student Number]]=C76,1,0)+IF(Table44246665[[#This Row],[Session]]=B76,1,0)+IF(Table44246665[[#This Row],[Pre or Post]]="Post",1,0)+IF(D76="Pre",1,0)=4,Table44246665[[#This Row],[Post Total]]-K76,""),"")</f>
        <v/>
      </c>
      <c r="P77" s="5" t="b">
        <f>ISNUMBER(Table44246665[[#This Row],[Change]])</f>
        <v>0</v>
      </c>
      <c r="Q77" s="5" t="str">
        <f>IF(E76="Yes",Table44246665[[#This Row],[Change]],"")</f>
        <v/>
      </c>
      <c r="R77" s="5" t="str">
        <f>IF(E76="No",Table44246665[[#This Row],[Change]],"")</f>
        <v/>
      </c>
      <c r="S77" s="5" t="b">
        <f>ISNUMBER(Table44246665[[#This Row],[If Pre3 Yes]])</f>
        <v>0</v>
      </c>
      <c r="T77" s="5" t="b">
        <f>ISNUMBER(Table44246665[[#This Row],[If Pre3 No]])</f>
        <v>0</v>
      </c>
    </row>
    <row r="78" spans="1:20">
      <c r="A78" s="1" t="s">
        <v>24</v>
      </c>
      <c r="B78" s="1" t="s">
        <v>25</v>
      </c>
      <c r="C78" s="1">
        <v>13</v>
      </c>
      <c r="D78" s="1" t="s">
        <v>16</v>
      </c>
      <c r="E78" s="5"/>
      <c r="F78" s="1">
        <v>4</v>
      </c>
      <c r="G78" s="1">
        <v>4</v>
      </c>
      <c r="H78" s="2" t="s">
        <v>8</v>
      </c>
      <c r="I78" s="6" t="str">
        <f>IF(IF(Table44246665[[#This Row],[Pre or Post]]="Pre",1,0)+IF(ISNUMBER(Table44246665[[#This Row],[Response]])=TRUE,1,0)=2,1,"")</f>
        <v/>
      </c>
      <c r="J78" s="6">
        <f>IF(IF(Table44246665[[#This Row],[Pre or Post]]="Post",1,0)+IF(ISNUMBER(Table44246665[[#This Row],[Response]])=TRUE,1,0)=2,1,"")</f>
        <v>1</v>
      </c>
      <c r="K78" s="6" t="str">
        <f>IF(IF(Table44246665[[#This Row],[Pre or Post]]="Pre",1,0)+IF(ISNUMBER(Table44246665[[#This Row],[Response]])=TRUE,1,0)=2,Table44246665[[#This Row],[Response]],"")</f>
        <v/>
      </c>
      <c r="L78" s="6">
        <f>IF(IF(Table44246665[[#This Row],[Pre or Post]]="Post",1,0)+IF(ISNUMBER(Table44246665[[#This Row],[Response]])=TRUE,1,0)=2,Table44246665[[#This Row],[Response]],"")</f>
        <v>4</v>
      </c>
      <c r="M78" s="6" t="str">
        <f>IF(IF(ISNUMBER(K78),1,0)+IF(ISNUMBER(L79),1,0)=2,IF(IF(C79=C78,1,0)+IF(B79=B78,1,0)+IF(D79="Post",1,0)+IF(D78="Pre",1,0)=4,Table44246665[[#This Row],[Pre Total]],""),"")</f>
        <v/>
      </c>
      <c r="N78" s="6">
        <f>IF(IF(ISNUMBER(K77),1,0)+IF(ISNUMBER(Table44246665[[#This Row],[Post Total]]),1,0)=2,IF(IF(Table44246665[[#This Row],[Student Number]]=C77,1,0)+IF(Table44246665[[#This Row],[Session]]=B77,1,0)+IF(Table44246665[[#This Row],[Pre or Post]]="Post",1,0)+IF(D77="Pre",1,0)=4,Table44246665[[#This Row],[Post Total]],""),"")</f>
        <v>4</v>
      </c>
      <c r="O78" s="6">
        <f>IF(IF(ISNUMBER(K77),1,0)+IF(ISNUMBER(Table44246665[[#This Row],[Post Total]]),1,0)=2,IF(IF(Table44246665[[#This Row],[Student Number]]=C77,1,0)+IF(Table44246665[[#This Row],[Session]]=B77,1,0)+IF(Table44246665[[#This Row],[Pre or Post]]="Post",1,0)+IF(D77="Pre",1,0)=4,Table44246665[[#This Row],[Post Total]]-K77,""),"")</f>
        <v>3</v>
      </c>
      <c r="P78" s="6" t="b">
        <f>ISNUMBER(Table44246665[[#This Row],[Change]])</f>
        <v>1</v>
      </c>
      <c r="Q78" s="5">
        <f>IF(E77="Yes",Table44246665[[#This Row],[Change]],"")</f>
        <v>3</v>
      </c>
      <c r="R78" s="5" t="str">
        <f>IF(E77="No",Table44246665[[#This Row],[Change]],"")</f>
        <v/>
      </c>
      <c r="S78" s="5" t="b">
        <f>ISNUMBER(Table44246665[[#This Row],[If Pre3 Yes]])</f>
        <v>1</v>
      </c>
      <c r="T78" s="5" t="b">
        <f>ISNUMBER(Table44246665[[#This Row],[If Pre3 No]])</f>
        <v>0</v>
      </c>
    </row>
    <row r="79" spans="1:20">
      <c r="A79" s="1" t="s">
        <v>24</v>
      </c>
      <c r="B79" s="1" t="s">
        <v>25</v>
      </c>
      <c r="C79" s="1">
        <v>14</v>
      </c>
      <c r="D79" s="1" t="s">
        <v>6</v>
      </c>
      <c r="E79" s="5" t="s">
        <v>8</v>
      </c>
      <c r="F79" s="1">
        <v>11</v>
      </c>
      <c r="G79" s="1">
        <v>3</v>
      </c>
      <c r="H79" s="1" t="s">
        <v>8</v>
      </c>
      <c r="I79" s="6">
        <f>IF(IF(Table44246665[[#This Row],[Pre or Post]]="Pre",1,0)+IF(ISNUMBER(Table44246665[[#This Row],[Response]])=TRUE,1,0)=2,1,"")</f>
        <v>1</v>
      </c>
      <c r="J79" s="6" t="str">
        <f>IF(IF(Table44246665[[#This Row],[Pre or Post]]="Post",1,0)+IF(ISNUMBER(Table44246665[[#This Row],[Response]])=TRUE,1,0)=2,1,"")</f>
        <v/>
      </c>
      <c r="K79" s="6">
        <f>IF(IF(Table44246665[[#This Row],[Pre or Post]]="Pre",1,0)+IF(ISNUMBER(Table44246665[[#This Row],[Response]])=TRUE,1,0)=2,Table44246665[[#This Row],[Response]],"")</f>
        <v>3</v>
      </c>
      <c r="L79" s="6" t="str">
        <f>IF(IF(Table44246665[[#This Row],[Pre or Post]]="Post",1,0)+IF(ISNUMBER(Table44246665[[#This Row],[Response]])=TRUE,1,0)=2,Table44246665[[#This Row],[Response]],"")</f>
        <v/>
      </c>
      <c r="M79" s="6">
        <f>IF(IF(ISNUMBER(K79),1,0)+IF(ISNUMBER(L80),1,0)=2,IF(IF(C80=C79,1,0)+IF(B80=B79,1,0)+IF(D80="Post",1,0)+IF(D79="Pre",1,0)=4,Table44246665[[#This Row],[Pre Total]],""),"")</f>
        <v>3</v>
      </c>
      <c r="N79" s="6" t="str">
        <f>IF(IF(ISNUMBER(K78),1,0)+IF(ISNUMBER(Table44246665[[#This Row],[Post Total]]),1,0)=2,IF(IF(Table44246665[[#This Row],[Student Number]]=C78,1,0)+IF(Table44246665[[#This Row],[Session]]=B78,1,0)+IF(Table44246665[[#This Row],[Pre or Post]]="Post",1,0)+IF(D78="Pre",1,0)=4,Table44246665[[#This Row],[Post Total]],""),"")</f>
        <v/>
      </c>
      <c r="O79" s="6" t="str">
        <f>IF(IF(ISNUMBER(K78),1,0)+IF(ISNUMBER(Table44246665[[#This Row],[Post Total]]),1,0)=2,IF(IF(Table44246665[[#This Row],[Student Number]]=C78,1,0)+IF(Table44246665[[#This Row],[Session]]=B78,1,0)+IF(Table44246665[[#This Row],[Pre or Post]]="Post",1,0)+IF(D78="Pre",1,0)=4,Table44246665[[#This Row],[Post Total]]-K78,""),"")</f>
        <v/>
      </c>
      <c r="P79" s="6" t="b">
        <f>ISNUMBER(Table44246665[[#This Row],[Change]])</f>
        <v>0</v>
      </c>
      <c r="Q79" s="5" t="str">
        <f>IF(E78="Yes",Table44246665[[#This Row],[Change]],"")</f>
        <v/>
      </c>
      <c r="R79" s="5" t="str">
        <f>IF(E78="No",Table44246665[[#This Row],[Change]],"")</f>
        <v/>
      </c>
      <c r="S79" s="5" t="b">
        <f>ISNUMBER(Table44246665[[#This Row],[If Pre3 Yes]])</f>
        <v>0</v>
      </c>
      <c r="T79" s="5" t="b">
        <f>ISNUMBER(Table44246665[[#This Row],[If Pre3 No]])</f>
        <v>0</v>
      </c>
    </row>
    <row r="80" spans="1:20">
      <c r="A80" s="1" t="s">
        <v>24</v>
      </c>
      <c r="B80" s="1" t="s">
        <v>25</v>
      </c>
      <c r="C80" s="1">
        <v>14</v>
      </c>
      <c r="D80" s="1" t="s">
        <v>16</v>
      </c>
      <c r="E80" s="5"/>
      <c r="F80" s="1">
        <v>4</v>
      </c>
      <c r="G80" s="1">
        <v>3</v>
      </c>
      <c r="H80" s="2" t="s">
        <v>8</v>
      </c>
      <c r="I80" s="5" t="str">
        <f>IF(IF(Table44246665[[#This Row],[Pre or Post]]="Pre",1,0)+IF(ISNUMBER(Table44246665[[#This Row],[Response]])=TRUE,1,0)=2,1,"")</f>
        <v/>
      </c>
      <c r="J80" s="5">
        <f>IF(IF(Table44246665[[#This Row],[Pre or Post]]="Post",1,0)+IF(ISNUMBER(Table44246665[[#This Row],[Response]])=TRUE,1,0)=2,1,"")</f>
        <v>1</v>
      </c>
      <c r="K80" s="6" t="str">
        <f>IF(IF(Table44246665[[#This Row],[Pre or Post]]="Pre",1,0)+IF(ISNUMBER(Table44246665[[#This Row],[Response]])=TRUE,1,0)=2,Table44246665[[#This Row],[Response]],"")</f>
        <v/>
      </c>
      <c r="L80" s="6">
        <f>IF(IF(Table44246665[[#This Row],[Pre or Post]]="Post",1,0)+IF(ISNUMBER(Table44246665[[#This Row],[Response]])=TRUE,1,0)=2,Table44246665[[#This Row],[Response]],"")</f>
        <v>3</v>
      </c>
      <c r="M80" s="5" t="str">
        <f>IF(IF(ISNUMBER(K80),1,0)+IF(ISNUMBER(L81),1,0)=2,IF(IF(C81=C80,1,0)+IF(B81=B80,1,0)+IF(D81="Post",1,0)+IF(D80="Pre",1,0)=4,Table44246665[[#This Row],[Pre Total]],""),"")</f>
        <v/>
      </c>
      <c r="N80" s="5">
        <f>IF(IF(ISNUMBER(K79),1,0)+IF(ISNUMBER(Table44246665[[#This Row],[Post Total]]),1,0)=2,IF(IF(Table44246665[[#This Row],[Student Number]]=C79,1,0)+IF(Table44246665[[#This Row],[Session]]=B79,1,0)+IF(Table44246665[[#This Row],[Pre or Post]]="Post",1,0)+IF(D79="Pre",1,0)=4,Table44246665[[#This Row],[Post Total]],""),"")</f>
        <v>3</v>
      </c>
      <c r="O80" s="5">
        <f>IF(IF(ISNUMBER(K79),1,0)+IF(ISNUMBER(Table44246665[[#This Row],[Post Total]]),1,0)=2,IF(IF(Table44246665[[#This Row],[Student Number]]=C79,1,0)+IF(Table44246665[[#This Row],[Session]]=B79,1,0)+IF(Table44246665[[#This Row],[Pre or Post]]="Post",1,0)+IF(D79="Pre",1,0)=4,Table44246665[[#This Row],[Post Total]]-K79,""),"")</f>
        <v>0</v>
      </c>
      <c r="P80" s="5" t="b">
        <f>ISNUMBER(Table44246665[[#This Row],[Change]])</f>
        <v>1</v>
      </c>
      <c r="Q80" s="5">
        <f>IF(E79="Yes",Table44246665[[#This Row],[Change]],"")</f>
        <v>0</v>
      </c>
      <c r="R80" s="5" t="str">
        <f>IF(E79="No",Table44246665[[#This Row],[Change]],"")</f>
        <v/>
      </c>
      <c r="S80" s="5" t="b">
        <f>ISNUMBER(Table44246665[[#This Row],[If Pre3 Yes]])</f>
        <v>1</v>
      </c>
      <c r="T80" s="5" t="b">
        <f>ISNUMBER(Table44246665[[#This Row],[If Pre3 No]])</f>
        <v>0</v>
      </c>
    </row>
    <row r="81" spans="1:20">
      <c r="A81" s="1" t="s">
        <v>24</v>
      </c>
      <c r="B81" s="1" t="s">
        <v>25</v>
      </c>
      <c r="C81" s="1">
        <v>15</v>
      </c>
      <c r="D81" s="1" t="s">
        <v>6</v>
      </c>
      <c r="E81" s="5" t="s">
        <v>9</v>
      </c>
      <c r="F81" s="1">
        <v>11</v>
      </c>
      <c r="G81" s="1">
        <v>1</v>
      </c>
      <c r="H81" s="2" t="s">
        <v>9</v>
      </c>
      <c r="I81" s="5">
        <f>IF(IF(Table44246665[[#This Row],[Pre or Post]]="Pre",1,0)+IF(ISNUMBER(Table44246665[[#This Row],[Response]])=TRUE,1,0)=2,1,"")</f>
        <v>1</v>
      </c>
      <c r="J81" s="5" t="str">
        <f>IF(IF(Table44246665[[#This Row],[Pre or Post]]="Post",1,0)+IF(ISNUMBER(Table44246665[[#This Row],[Response]])=TRUE,1,0)=2,1,"")</f>
        <v/>
      </c>
      <c r="K81" s="6">
        <f>IF(IF(Table44246665[[#This Row],[Pre or Post]]="Pre",1,0)+IF(ISNUMBER(Table44246665[[#This Row],[Response]])=TRUE,1,0)=2,Table44246665[[#This Row],[Response]],"")</f>
        <v>1</v>
      </c>
      <c r="L81" s="6" t="str">
        <f>IF(IF(Table44246665[[#This Row],[Pre or Post]]="Post",1,0)+IF(ISNUMBER(Table44246665[[#This Row],[Response]])=TRUE,1,0)=2,Table44246665[[#This Row],[Response]],"")</f>
        <v/>
      </c>
      <c r="M81" s="5" t="str">
        <f>IF(IF(ISNUMBER(K81),1,0)+IF(ISNUMBER(L82),1,0)=2,IF(IF(C82=C81,1,0)+IF(B82=B81,1,0)+IF(D82="Post",1,0)+IF(D81="Pre",1,0)=4,Table44246665[[#This Row],[Pre Total]],""),"")</f>
        <v/>
      </c>
      <c r="N81" s="5" t="str">
        <f>IF(IF(ISNUMBER(K80),1,0)+IF(ISNUMBER(Table44246665[[#This Row],[Post Total]]),1,0)=2,IF(IF(Table44246665[[#This Row],[Student Number]]=C80,1,0)+IF(Table44246665[[#This Row],[Session]]=B80,1,0)+IF(Table44246665[[#This Row],[Pre or Post]]="Post",1,0)+IF(D80="Pre",1,0)=4,Table44246665[[#This Row],[Post Total]],""),"")</f>
        <v/>
      </c>
      <c r="O81" s="5" t="str">
        <f>IF(IF(ISNUMBER(K80),1,0)+IF(ISNUMBER(Table44246665[[#This Row],[Post Total]]),1,0)=2,IF(IF(Table44246665[[#This Row],[Student Number]]=C80,1,0)+IF(Table44246665[[#This Row],[Session]]=B80,1,0)+IF(Table44246665[[#This Row],[Pre or Post]]="Post",1,0)+IF(D80="Pre",1,0)=4,Table44246665[[#This Row],[Post Total]]-K80,""),"")</f>
        <v/>
      </c>
      <c r="P81" s="5" t="b">
        <f>ISNUMBER(Table44246665[[#This Row],[Change]])</f>
        <v>0</v>
      </c>
      <c r="Q81" s="5" t="str">
        <f>IF(E80="Yes",Table44246665[[#This Row],[Change]],"")</f>
        <v/>
      </c>
      <c r="R81" s="5" t="str">
        <f>IF(E80="No",Table44246665[[#This Row],[Change]],"")</f>
        <v/>
      </c>
      <c r="S81" s="5" t="b">
        <f>ISNUMBER(Table44246665[[#This Row],[If Pre3 Yes]])</f>
        <v>0</v>
      </c>
      <c r="T81" s="5" t="b">
        <f>ISNUMBER(Table44246665[[#This Row],[If Pre3 No]])</f>
        <v>0</v>
      </c>
    </row>
    <row r="82" spans="1:20">
      <c r="A82" s="1" t="s">
        <v>24</v>
      </c>
      <c r="B82" s="1" t="s">
        <v>25</v>
      </c>
      <c r="C82" s="1">
        <v>16</v>
      </c>
      <c r="D82" s="1" t="s">
        <v>6</v>
      </c>
      <c r="E82" s="5" t="s">
        <v>8</v>
      </c>
      <c r="F82" s="2">
        <v>11</v>
      </c>
      <c r="G82" s="1">
        <v>4</v>
      </c>
      <c r="H82" s="2" t="s">
        <v>9</v>
      </c>
      <c r="I82" s="6">
        <f>IF(IF(Table44246665[[#This Row],[Pre or Post]]="Pre",1,0)+IF(ISNUMBER(Table44246665[[#This Row],[Response]])=TRUE,1,0)=2,1,"")</f>
        <v>1</v>
      </c>
      <c r="J82" s="6" t="str">
        <f>IF(IF(Table44246665[[#This Row],[Pre or Post]]="Post",1,0)+IF(ISNUMBER(Table44246665[[#This Row],[Response]])=TRUE,1,0)=2,1,"")</f>
        <v/>
      </c>
      <c r="K82" s="6">
        <f>IF(IF(Table44246665[[#This Row],[Pre or Post]]="Pre",1,0)+IF(ISNUMBER(Table44246665[[#This Row],[Response]])=TRUE,1,0)=2,Table44246665[[#This Row],[Response]],"")</f>
        <v>4</v>
      </c>
      <c r="L82" s="6" t="str">
        <f>IF(IF(Table44246665[[#This Row],[Pre or Post]]="Post",1,0)+IF(ISNUMBER(Table44246665[[#This Row],[Response]])=TRUE,1,0)=2,Table44246665[[#This Row],[Response]],"")</f>
        <v/>
      </c>
      <c r="M82" s="6" t="str">
        <f>IF(IF(ISNUMBER(K82),1,0)+IF(ISNUMBER(L83),1,0)=2,IF(IF(C83=C82,1,0)+IF(B83=B82,1,0)+IF(D83="Post",1,0)+IF(D82="Pre",1,0)=4,Table44246665[[#This Row],[Pre Total]],""),"")</f>
        <v/>
      </c>
      <c r="N82" s="6" t="str">
        <f>IF(IF(ISNUMBER(K81),1,0)+IF(ISNUMBER(Table44246665[[#This Row],[Post Total]]),1,0)=2,IF(IF(Table44246665[[#This Row],[Student Number]]=C81,1,0)+IF(Table44246665[[#This Row],[Session]]=B81,1,0)+IF(Table44246665[[#This Row],[Pre or Post]]="Post",1,0)+IF(D81="Pre",1,0)=4,Table44246665[[#This Row],[Post Total]],""),"")</f>
        <v/>
      </c>
      <c r="O82" s="6" t="str">
        <f>IF(IF(ISNUMBER(K81),1,0)+IF(ISNUMBER(Table44246665[[#This Row],[Post Total]]),1,0)=2,IF(IF(Table44246665[[#This Row],[Student Number]]=C81,1,0)+IF(Table44246665[[#This Row],[Session]]=B81,1,0)+IF(Table44246665[[#This Row],[Pre or Post]]="Post",1,0)+IF(D81="Pre",1,0)=4,Table44246665[[#This Row],[Post Total]]-K81,""),"")</f>
        <v/>
      </c>
      <c r="P82" s="6" t="b">
        <f>ISNUMBER(Table44246665[[#This Row],[Change]])</f>
        <v>0</v>
      </c>
      <c r="Q82" s="5" t="str">
        <f>IF(E81="Yes",Table44246665[[#This Row],[Change]],"")</f>
        <v/>
      </c>
      <c r="R82" s="5" t="str">
        <f>IF(E81="No",Table44246665[[#This Row],[Change]],"")</f>
        <v/>
      </c>
      <c r="S82" s="5" t="b">
        <f>ISNUMBER(Table44246665[[#This Row],[If Pre3 Yes]])</f>
        <v>0</v>
      </c>
      <c r="T82" s="5" t="b">
        <f>ISNUMBER(Table44246665[[#This Row],[If Pre3 No]])</f>
        <v>0</v>
      </c>
    </row>
    <row r="83" spans="1:20">
      <c r="A83" s="1" t="s">
        <v>24</v>
      </c>
      <c r="B83" s="1" t="s">
        <v>25</v>
      </c>
      <c r="C83" s="1">
        <v>17</v>
      </c>
      <c r="D83" s="1" t="s">
        <v>6</v>
      </c>
      <c r="E83" s="5" t="s">
        <v>8</v>
      </c>
      <c r="F83" s="2">
        <v>11</v>
      </c>
      <c r="G83" s="1">
        <v>2</v>
      </c>
      <c r="H83" s="2" t="s">
        <v>9</v>
      </c>
      <c r="I83" s="5">
        <f>IF(IF(Table44246665[[#This Row],[Pre or Post]]="Pre",1,0)+IF(ISNUMBER(Table44246665[[#This Row],[Response]])=TRUE,1,0)=2,1,"")</f>
        <v>1</v>
      </c>
      <c r="J83" s="5" t="str">
        <f>IF(IF(Table44246665[[#This Row],[Pre or Post]]="Post",1,0)+IF(ISNUMBER(Table44246665[[#This Row],[Response]])=TRUE,1,0)=2,1,"")</f>
        <v/>
      </c>
      <c r="K83" s="6">
        <f>IF(IF(Table44246665[[#This Row],[Pre or Post]]="Pre",1,0)+IF(ISNUMBER(Table44246665[[#This Row],[Response]])=TRUE,1,0)=2,Table44246665[[#This Row],[Response]],"")</f>
        <v>2</v>
      </c>
      <c r="L83" s="6" t="str">
        <f>IF(IF(Table44246665[[#This Row],[Pre or Post]]="Post",1,0)+IF(ISNUMBER(Table44246665[[#This Row],[Response]])=TRUE,1,0)=2,Table44246665[[#This Row],[Response]],"")</f>
        <v/>
      </c>
      <c r="M83" s="5" t="str">
        <f>IF(IF(ISNUMBER(K83),1,0)+IF(ISNUMBER(L84),1,0)=2,IF(IF(C84=C83,1,0)+IF(B84=B83,1,0)+IF(D84="Post",1,0)+IF(D83="Pre",1,0)=4,Table44246665[[#This Row],[Pre Total]],""),"")</f>
        <v/>
      </c>
      <c r="N83" s="5" t="str">
        <f>IF(IF(ISNUMBER(K82),1,0)+IF(ISNUMBER(Table44246665[[#This Row],[Post Total]]),1,0)=2,IF(IF(Table44246665[[#This Row],[Student Number]]=C82,1,0)+IF(Table44246665[[#This Row],[Session]]=B82,1,0)+IF(Table44246665[[#This Row],[Pre or Post]]="Post",1,0)+IF(D82="Pre",1,0)=4,Table44246665[[#This Row],[Post Total]],""),"")</f>
        <v/>
      </c>
      <c r="O83" s="5" t="str">
        <f>IF(IF(ISNUMBER(K82),1,0)+IF(ISNUMBER(Table44246665[[#This Row],[Post Total]]),1,0)=2,IF(IF(Table44246665[[#This Row],[Student Number]]=C82,1,0)+IF(Table44246665[[#This Row],[Session]]=B82,1,0)+IF(Table44246665[[#This Row],[Pre or Post]]="Post",1,0)+IF(D82="Pre",1,0)=4,Table44246665[[#This Row],[Post Total]]-K82,""),"")</f>
        <v/>
      </c>
      <c r="P83" s="5" t="b">
        <f>ISNUMBER(Table44246665[[#This Row],[Change]])</f>
        <v>0</v>
      </c>
      <c r="Q83" s="5" t="str">
        <f>IF(E82="Yes",Table44246665[[#This Row],[Change]],"")</f>
        <v/>
      </c>
      <c r="R83" s="5" t="str">
        <f>IF(E82="No",Table44246665[[#This Row],[Change]],"")</f>
        <v/>
      </c>
      <c r="S83" s="5" t="b">
        <f>ISNUMBER(Table44246665[[#This Row],[If Pre3 Yes]])</f>
        <v>0</v>
      </c>
      <c r="T83" s="5" t="b">
        <f>ISNUMBER(Table44246665[[#This Row],[If Pre3 No]])</f>
        <v>0</v>
      </c>
    </row>
    <row r="84" spans="1:20">
      <c r="A84" s="1" t="s">
        <v>24</v>
      </c>
      <c r="B84" s="1" t="s">
        <v>25</v>
      </c>
      <c r="C84" s="1">
        <v>18</v>
      </c>
      <c r="D84" s="1" t="s">
        <v>16</v>
      </c>
      <c r="E84" s="5" t="s">
        <v>171</v>
      </c>
      <c r="F84" s="1">
        <v>4</v>
      </c>
      <c r="G84" s="1">
        <v>2</v>
      </c>
      <c r="H84" s="2" t="s">
        <v>9</v>
      </c>
      <c r="I84" s="6" t="str">
        <f>IF(IF(Table44246665[[#This Row],[Pre or Post]]="Pre",1,0)+IF(ISNUMBER(Table44246665[[#This Row],[Response]])=TRUE,1,0)=2,1,"")</f>
        <v/>
      </c>
      <c r="J84" s="6">
        <f>IF(IF(Table44246665[[#This Row],[Pre or Post]]="Post",1,0)+IF(ISNUMBER(Table44246665[[#This Row],[Response]])=TRUE,1,0)=2,1,"")</f>
        <v>1</v>
      </c>
      <c r="K84" s="6" t="str">
        <f>IF(IF(Table44246665[[#This Row],[Pre or Post]]="Pre",1,0)+IF(ISNUMBER(Table44246665[[#This Row],[Response]])=TRUE,1,0)=2,Table44246665[[#This Row],[Response]],"")</f>
        <v/>
      </c>
      <c r="L84" s="6">
        <f>IF(IF(Table44246665[[#This Row],[Pre or Post]]="Post",1,0)+IF(ISNUMBER(Table44246665[[#This Row],[Response]])=TRUE,1,0)=2,Table44246665[[#This Row],[Response]],"")</f>
        <v>2</v>
      </c>
      <c r="M84" s="6" t="str">
        <f>IF(IF(ISNUMBER(K84),1,0)+IF(ISNUMBER(L85),1,0)=2,IF(IF(C85=C84,1,0)+IF(B85=B84,1,0)+IF(D85="Post",1,0)+IF(D84="Pre",1,0)=4,Table44246665[[#This Row],[Pre Total]],""),"")</f>
        <v/>
      </c>
      <c r="N84" s="6" t="str">
        <f>IF(IF(ISNUMBER(K83),1,0)+IF(ISNUMBER(Table44246665[[#This Row],[Post Total]]),1,0)=2,IF(IF(Table44246665[[#This Row],[Student Number]]=C83,1,0)+IF(Table44246665[[#This Row],[Session]]=B83,1,0)+IF(Table44246665[[#This Row],[Pre or Post]]="Post",1,0)+IF(D83="Pre",1,0)=4,Table44246665[[#This Row],[Post Total]],""),"")</f>
        <v/>
      </c>
      <c r="O84" s="6" t="str">
        <f>IF(IF(ISNUMBER(K83),1,0)+IF(ISNUMBER(Table44246665[[#This Row],[Post Total]]),1,0)=2,IF(IF(Table44246665[[#This Row],[Student Number]]=C83,1,0)+IF(Table44246665[[#This Row],[Session]]=B83,1,0)+IF(Table44246665[[#This Row],[Pre or Post]]="Post",1,0)+IF(D83="Pre",1,0)=4,Table44246665[[#This Row],[Post Total]]-K83,""),"")</f>
        <v/>
      </c>
      <c r="P84" s="6" t="b">
        <f>ISNUMBER(Table44246665[[#This Row],[Change]])</f>
        <v>0</v>
      </c>
      <c r="Q84" s="5" t="str">
        <f>IF(E83="Yes",Table44246665[[#This Row],[Change]],"")</f>
        <v/>
      </c>
      <c r="R84" s="5" t="str">
        <f>IF(E83="No",Table44246665[[#This Row],[Change]],"")</f>
        <v/>
      </c>
      <c r="S84" s="5" t="b">
        <f>ISNUMBER(Table44246665[[#This Row],[If Pre3 Yes]])</f>
        <v>0</v>
      </c>
      <c r="T84" s="5" t="b">
        <f>ISNUMBER(Table44246665[[#This Row],[If Pre3 No]])</f>
        <v>0</v>
      </c>
    </row>
    <row r="85" spans="1:20">
      <c r="A85" s="1" t="s">
        <v>24</v>
      </c>
      <c r="B85" s="1" t="s">
        <v>25</v>
      </c>
      <c r="C85" s="1">
        <v>19</v>
      </c>
      <c r="D85" s="1" t="s">
        <v>16</v>
      </c>
      <c r="E85" s="5" t="s">
        <v>171</v>
      </c>
      <c r="F85" s="1">
        <v>4</v>
      </c>
      <c r="G85" s="1">
        <v>3</v>
      </c>
      <c r="H85" s="2" t="s">
        <v>9</v>
      </c>
      <c r="I85" s="5" t="str">
        <f>IF(IF(Table44246665[[#This Row],[Pre or Post]]="Pre",1,0)+IF(ISNUMBER(Table44246665[[#This Row],[Response]])=TRUE,1,0)=2,1,"")</f>
        <v/>
      </c>
      <c r="J85" s="5">
        <f>IF(IF(Table44246665[[#This Row],[Pre or Post]]="Post",1,0)+IF(ISNUMBER(Table44246665[[#This Row],[Response]])=TRUE,1,0)=2,1,"")</f>
        <v>1</v>
      </c>
      <c r="K85" s="6" t="str">
        <f>IF(IF(Table44246665[[#This Row],[Pre or Post]]="Pre",1,0)+IF(ISNUMBER(Table44246665[[#This Row],[Response]])=TRUE,1,0)=2,Table44246665[[#This Row],[Response]],"")</f>
        <v/>
      </c>
      <c r="L85" s="6">
        <f>IF(IF(Table44246665[[#This Row],[Pre or Post]]="Post",1,0)+IF(ISNUMBER(Table44246665[[#This Row],[Response]])=TRUE,1,0)=2,Table44246665[[#This Row],[Response]],"")</f>
        <v>3</v>
      </c>
      <c r="M85" s="5" t="str">
        <f>IF(IF(ISNUMBER(K85),1,0)+IF(ISNUMBER(L86),1,0)=2,IF(IF(C86=C85,1,0)+IF(B86=B85,1,0)+IF(D86="Post",1,0)+IF(D85="Pre",1,0)=4,Table44246665[[#This Row],[Pre Total]],""),"")</f>
        <v/>
      </c>
      <c r="N85" s="5" t="str">
        <f>IF(IF(ISNUMBER(K84),1,0)+IF(ISNUMBER(Table44246665[[#This Row],[Post Total]]),1,0)=2,IF(IF(Table44246665[[#This Row],[Student Number]]=C84,1,0)+IF(Table44246665[[#This Row],[Session]]=B84,1,0)+IF(Table44246665[[#This Row],[Pre or Post]]="Post",1,0)+IF(D84="Pre",1,0)=4,Table44246665[[#This Row],[Post Total]],""),"")</f>
        <v/>
      </c>
      <c r="O85" s="5" t="str">
        <f>IF(IF(ISNUMBER(K84),1,0)+IF(ISNUMBER(Table44246665[[#This Row],[Post Total]]),1,0)=2,IF(IF(Table44246665[[#This Row],[Student Number]]=C84,1,0)+IF(Table44246665[[#This Row],[Session]]=B84,1,0)+IF(Table44246665[[#This Row],[Pre or Post]]="Post",1,0)+IF(D84="Pre",1,0)=4,Table44246665[[#This Row],[Post Total]]-K84,""),"")</f>
        <v/>
      </c>
      <c r="P85" s="5" t="b">
        <f>ISNUMBER(Table44246665[[#This Row],[Change]])</f>
        <v>0</v>
      </c>
      <c r="Q85" s="5" t="str">
        <f>IF(E84="Yes",Table44246665[[#This Row],[Change]],"")</f>
        <v/>
      </c>
      <c r="R85" s="5" t="str">
        <f>IF(E84="No",Table44246665[[#This Row],[Change]],"")</f>
        <v/>
      </c>
      <c r="S85" s="5" t="b">
        <f>ISNUMBER(Table44246665[[#This Row],[If Pre3 Yes]])</f>
        <v>0</v>
      </c>
      <c r="T85" s="5" t="b">
        <f>ISNUMBER(Table44246665[[#This Row],[If Pre3 No]])</f>
        <v>0</v>
      </c>
    </row>
    <row r="86" spans="1:20">
      <c r="A86" s="1" t="s">
        <v>24</v>
      </c>
      <c r="B86" s="1" t="s">
        <v>25</v>
      </c>
      <c r="C86" s="1">
        <v>20</v>
      </c>
      <c r="D86" s="1" t="s">
        <v>16</v>
      </c>
      <c r="E86" s="5" t="s">
        <v>171</v>
      </c>
      <c r="F86" s="1">
        <v>4</v>
      </c>
      <c r="G86" s="1">
        <v>3</v>
      </c>
      <c r="H86" s="2" t="s">
        <v>9</v>
      </c>
      <c r="I86" s="6" t="str">
        <f>IF(IF(Table44246665[[#This Row],[Pre or Post]]="Pre",1,0)+IF(ISNUMBER(Table44246665[[#This Row],[Response]])=TRUE,1,0)=2,1,"")</f>
        <v/>
      </c>
      <c r="J86" s="6">
        <f>IF(IF(Table44246665[[#This Row],[Pre or Post]]="Post",1,0)+IF(ISNUMBER(Table44246665[[#This Row],[Response]])=TRUE,1,0)=2,1,"")</f>
        <v>1</v>
      </c>
      <c r="K86" s="6" t="str">
        <f>IF(IF(Table44246665[[#This Row],[Pre or Post]]="Pre",1,0)+IF(ISNUMBER(Table44246665[[#This Row],[Response]])=TRUE,1,0)=2,Table44246665[[#This Row],[Response]],"")</f>
        <v/>
      </c>
      <c r="L86" s="6">
        <f>IF(IF(Table44246665[[#This Row],[Pre or Post]]="Post",1,0)+IF(ISNUMBER(Table44246665[[#This Row],[Response]])=TRUE,1,0)=2,Table44246665[[#This Row],[Response]],"")</f>
        <v>3</v>
      </c>
      <c r="M86" s="6" t="str">
        <f>IF(IF(ISNUMBER(K86),1,0)+IF(ISNUMBER(L87),1,0)=2,IF(IF(C87=C86,1,0)+IF(B87=B86,1,0)+IF(D87="Post",1,0)+IF(D86="Pre",1,0)=4,Table44246665[[#This Row],[Pre Total]],""),"")</f>
        <v/>
      </c>
      <c r="N86" s="6" t="str">
        <f>IF(IF(ISNUMBER(K85),1,0)+IF(ISNUMBER(Table44246665[[#This Row],[Post Total]]),1,0)=2,IF(IF(Table44246665[[#This Row],[Student Number]]=C85,1,0)+IF(Table44246665[[#This Row],[Session]]=B85,1,0)+IF(Table44246665[[#This Row],[Pre or Post]]="Post",1,0)+IF(D85="Pre",1,0)=4,Table44246665[[#This Row],[Post Total]],""),"")</f>
        <v/>
      </c>
      <c r="O86" s="6" t="str">
        <f>IF(IF(ISNUMBER(K85),1,0)+IF(ISNUMBER(Table44246665[[#This Row],[Post Total]]),1,0)=2,IF(IF(Table44246665[[#This Row],[Student Number]]=C85,1,0)+IF(Table44246665[[#This Row],[Session]]=B85,1,0)+IF(Table44246665[[#This Row],[Pre or Post]]="Post",1,0)+IF(D85="Pre",1,0)=4,Table44246665[[#This Row],[Post Total]]-K85,""),"")</f>
        <v/>
      </c>
      <c r="P86" s="6" t="b">
        <f>ISNUMBER(Table44246665[[#This Row],[Change]])</f>
        <v>0</v>
      </c>
      <c r="Q86" s="5" t="str">
        <f>IF(E85="Yes",Table44246665[[#This Row],[Change]],"")</f>
        <v/>
      </c>
      <c r="R86" s="5" t="str">
        <f>IF(E85="No",Table44246665[[#This Row],[Change]],"")</f>
        <v/>
      </c>
      <c r="S86" s="5" t="b">
        <f>ISNUMBER(Table44246665[[#This Row],[If Pre3 Yes]])</f>
        <v>0</v>
      </c>
      <c r="T86" s="5" t="b">
        <f>ISNUMBER(Table44246665[[#This Row],[If Pre3 No]])</f>
        <v>0</v>
      </c>
    </row>
    <row r="87" spans="1:20">
      <c r="A87" s="1" t="s">
        <v>24</v>
      </c>
      <c r="B87" s="1" t="s">
        <v>25</v>
      </c>
      <c r="C87" s="1">
        <v>21</v>
      </c>
      <c r="D87" s="1" t="s">
        <v>16</v>
      </c>
      <c r="E87" s="5" t="s">
        <v>171</v>
      </c>
      <c r="F87" s="1">
        <v>4</v>
      </c>
      <c r="G87" s="1">
        <v>1</v>
      </c>
      <c r="H87" s="2" t="s">
        <v>9</v>
      </c>
      <c r="I87" s="5" t="str">
        <f>IF(IF(Table44246665[[#This Row],[Pre or Post]]="Pre",1,0)+IF(ISNUMBER(Table44246665[[#This Row],[Response]])=TRUE,1,0)=2,1,"")</f>
        <v/>
      </c>
      <c r="J87" s="5">
        <f>IF(IF(Table44246665[[#This Row],[Pre or Post]]="Post",1,0)+IF(ISNUMBER(Table44246665[[#This Row],[Response]])=TRUE,1,0)=2,1,"")</f>
        <v>1</v>
      </c>
      <c r="K87" s="6" t="str">
        <f>IF(IF(Table44246665[[#This Row],[Pre or Post]]="Pre",1,0)+IF(ISNUMBER(Table44246665[[#This Row],[Response]])=TRUE,1,0)=2,Table44246665[[#This Row],[Response]],"")</f>
        <v/>
      </c>
      <c r="L87" s="6">
        <f>IF(IF(Table44246665[[#This Row],[Pre or Post]]="Post",1,0)+IF(ISNUMBER(Table44246665[[#This Row],[Response]])=TRUE,1,0)=2,Table44246665[[#This Row],[Response]],"")</f>
        <v>1</v>
      </c>
      <c r="M87" s="5" t="str">
        <f>IF(IF(ISNUMBER(K87),1,0)+IF(ISNUMBER(L88),1,0)=2,IF(IF(C88=C87,1,0)+IF(B88=B87,1,0)+IF(D88="Post",1,0)+IF(D87="Pre",1,0)=4,Table44246665[[#This Row],[Pre Total]],""),"")</f>
        <v/>
      </c>
      <c r="N87" s="5" t="str">
        <f>IF(IF(ISNUMBER(K86),1,0)+IF(ISNUMBER(Table44246665[[#This Row],[Post Total]]),1,0)=2,IF(IF(Table44246665[[#This Row],[Student Number]]=C86,1,0)+IF(Table44246665[[#This Row],[Session]]=B86,1,0)+IF(Table44246665[[#This Row],[Pre or Post]]="Post",1,0)+IF(D86="Pre",1,0)=4,Table44246665[[#This Row],[Post Total]],""),"")</f>
        <v/>
      </c>
      <c r="O87" s="5" t="str">
        <f>IF(IF(ISNUMBER(K86),1,0)+IF(ISNUMBER(Table44246665[[#This Row],[Post Total]]),1,0)=2,IF(IF(Table44246665[[#This Row],[Student Number]]=C86,1,0)+IF(Table44246665[[#This Row],[Session]]=B86,1,0)+IF(Table44246665[[#This Row],[Pre or Post]]="Post",1,0)+IF(D86="Pre",1,0)=4,Table44246665[[#This Row],[Post Total]]-K86,""),"")</f>
        <v/>
      </c>
      <c r="P87" s="5" t="b">
        <f>ISNUMBER(Table44246665[[#This Row],[Change]])</f>
        <v>0</v>
      </c>
      <c r="Q87" s="5" t="str">
        <f>IF(E86="Yes",Table44246665[[#This Row],[Change]],"")</f>
        <v/>
      </c>
      <c r="R87" s="5" t="str">
        <f>IF(E86="No",Table44246665[[#This Row],[Change]],"")</f>
        <v/>
      </c>
      <c r="S87" s="5" t="b">
        <f>ISNUMBER(Table44246665[[#This Row],[If Pre3 Yes]])</f>
        <v>0</v>
      </c>
      <c r="T87" s="5" t="b">
        <f>ISNUMBER(Table44246665[[#This Row],[If Pre3 No]])</f>
        <v>0</v>
      </c>
    </row>
    <row r="88" spans="1:20">
      <c r="A88" s="2" t="s">
        <v>24</v>
      </c>
      <c r="B88" s="2" t="s">
        <v>28</v>
      </c>
      <c r="C88" s="1">
        <v>1</v>
      </c>
      <c r="D88" s="1" t="s">
        <v>6</v>
      </c>
      <c r="E88" s="5" t="s">
        <v>8</v>
      </c>
      <c r="F88" s="1">
        <v>11</v>
      </c>
      <c r="G88" s="1">
        <v>1</v>
      </c>
      <c r="H88" s="2" t="s">
        <v>8</v>
      </c>
      <c r="I88" s="5">
        <f>IF(IF(Table44246665[[#This Row],[Pre or Post]]="Pre",1,0)+IF(ISNUMBER(Table44246665[[#This Row],[Response]])=TRUE,1,0)=2,1,"")</f>
        <v>1</v>
      </c>
      <c r="J88" s="5" t="str">
        <f>IF(IF(Table44246665[[#This Row],[Pre or Post]]="Post",1,0)+IF(ISNUMBER(Table44246665[[#This Row],[Response]])=TRUE,1,0)=2,1,"")</f>
        <v/>
      </c>
      <c r="K88" s="6">
        <f>IF(IF(Table44246665[[#This Row],[Pre or Post]]="Pre",1,0)+IF(ISNUMBER(Table44246665[[#This Row],[Response]])=TRUE,1,0)=2,Table44246665[[#This Row],[Response]],"")</f>
        <v>1</v>
      </c>
      <c r="L88" s="6" t="str">
        <f>IF(IF(Table44246665[[#This Row],[Pre or Post]]="Post",1,0)+IF(ISNUMBER(Table44246665[[#This Row],[Response]])=TRUE,1,0)=2,Table44246665[[#This Row],[Response]],"")</f>
        <v/>
      </c>
      <c r="M88" s="5">
        <f>IF(IF(ISNUMBER(K88),1,0)+IF(ISNUMBER(L89),1,0)=2,IF(IF(C89=C88,1,0)+IF(B89=B88,1,0)+IF(D89="Post",1,0)+IF(D88="Pre",1,0)=4,Table44246665[[#This Row],[Pre Total]],""),"")</f>
        <v>1</v>
      </c>
      <c r="N88" s="5" t="str">
        <f>IF(IF(ISNUMBER(K87),1,0)+IF(ISNUMBER(Table44246665[[#This Row],[Post Total]]),1,0)=2,IF(IF(Table44246665[[#This Row],[Student Number]]=C87,1,0)+IF(Table44246665[[#This Row],[Session]]=B87,1,0)+IF(Table44246665[[#This Row],[Pre or Post]]="Post",1,0)+IF(D87="Pre",1,0)=4,Table44246665[[#This Row],[Post Total]],""),"")</f>
        <v/>
      </c>
      <c r="O88" s="5" t="str">
        <f>IF(IF(ISNUMBER(K87),1,0)+IF(ISNUMBER(Table44246665[[#This Row],[Post Total]]),1,0)=2,IF(IF(Table44246665[[#This Row],[Student Number]]=C87,1,0)+IF(Table44246665[[#This Row],[Session]]=B87,1,0)+IF(Table44246665[[#This Row],[Pre or Post]]="Post",1,0)+IF(D87="Pre",1,0)=4,Table44246665[[#This Row],[Post Total]]-K87,""),"")</f>
        <v/>
      </c>
      <c r="P88" s="5" t="b">
        <f>ISNUMBER(Table44246665[[#This Row],[Change]])</f>
        <v>0</v>
      </c>
      <c r="Q88" s="5" t="str">
        <f>IF(E87="Yes",Table44246665[[#This Row],[Change]],"")</f>
        <v/>
      </c>
      <c r="R88" s="5" t="str">
        <f>IF(E87="No",Table44246665[[#This Row],[Change]],"")</f>
        <v/>
      </c>
      <c r="S88" s="5" t="b">
        <f>ISNUMBER(Table44246665[[#This Row],[If Pre3 Yes]])</f>
        <v>0</v>
      </c>
      <c r="T88" s="5" t="b">
        <f>ISNUMBER(Table44246665[[#This Row],[If Pre3 No]])</f>
        <v>0</v>
      </c>
    </row>
    <row r="89" spans="1:20">
      <c r="A89" s="2" t="s">
        <v>24</v>
      </c>
      <c r="B89" s="2" t="s">
        <v>28</v>
      </c>
      <c r="C89" s="1">
        <v>1</v>
      </c>
      <c r="D89" s="1" t="s">
        <v>16</v>
      </c>
      <c r="E89" s="5"/>
      <c r="F89" s="1">
        <v>4</v>
      </c>
      <c r="G89" s="2">
        <v>5</v>
      </c>
      <c r="H89" s="2" t="s">
        <v>8</v>
      </c>
      <c r="I89" s="5" t="str">
        <f>IF(IF(Table44246665[[#This Row],[Pre or Post]]="Pre",1,0)+IF(ISNUMBER(Table44246665[[#This Row],[Response]])=TRUE,1,0)=2,1,"")</f>
        <v/>
      </c>
      <c r="J89" s="5">
        <f>IF(IF(Table44246665[[#This Row],[Pre or Post]]="Post",1,0)+IF(ISNUMBER(Table44246665[[#This Row],[Response]])=TRUE,1,0)=2,1,"")</f>
        <v>1</v>
      </c>
      <c r="K89" s="6" t="str">
        <f>IF(IF(Table44246665[[#This Row],[Pre or Post]]="Pre",1,0)+IF(ISNUMBER(Table44246665[[#This Row],[Response]])=TRUE,1,0)=2,Table44246665[[#This Row],[Response]],"")</f>
        <v/>
      </c>
      <c r="L89" s="6">
        <f>IF(IF(Table44246665[[#This Row],[Pre or Post]]="Post",1,0)+IF(ISNUMBER(Table44246665[[#This Row],[Response]])=TRUE,1,0)=2,Table44246665[[#This Row],[Response]],"")</f>
        <v>5</v>
      </c>
      <c r="M89" s="5" t="str">
        <f>IF(IF(ISNUMBER(K89),1,0)+IF(ISNUMBER(L90),1,0)=2,IF(IF(C90=C89,1,0)+IF(B90=B89,1,0)+IF(D90="Post",1,0)+IF(D89="Pre",1,0)=4,Table44246665[[#This Row],[Pre Total]],""),"")</f>
        <v/>
      </c>
      <c r="N89" s="5">
        <f>IF(IF(ISNUMBER(K88),1,0)+IF(ISNUMBER(Table44246665[[#This Row],[Post Total]]),1,0)=2,IF(IF(Table44246665[[#This Row],[Student Number]]=C88,1,0)+IF(Table44246665[[#This Row],[Session]]=B88,1,0)+IF(Table44246665[[#This Row],[Pre or Post]]="Post",1,0)+IF(D88="Pre",1,0)=4,Table44246665[[#This Row],[Post Total]],""),"")</f>
        <v>5</v>
      </c>
      <c r="O89" s="5">
        <f>IF(IF(ISNUMBER(K88),1,0)+IF(ISNUMBER(Table44246665[[#This Row],[Post Total]]),1,0)=2,IF(IF(Table44246665[[#This Row],[Student Number]]=C88,1,0)+IF(Table44246665[[#This Row],[Session]]=B88,1,0)+IF(Table44246665[[#This Row],[Pre or Post]]="Post",1,0)+IF(D88="Pre",1,0)=4,Table44246665[[#This Row],[Post Total]]-K88,""),"")</f>
        <v>4</v>
      </c>
      <c r="P89" s="5" t="b">
        <f>ISNUMBER(Table44246665[[#This Row],[Change]])</f>
        <v>1</v>
      </c>
      <c r="Q89" s="5">
        <f>IF(E88="Yes",Table44246665[[#This Row],[Change]],"")</f>
        <v>4</v>
      </c>
      <c r="R89" s="5" t="str">
        <f>IF(E88="No",Table44246665[[#This Row],[Change]],"")</f>
        <v/>
      </c>
      <c r="S89" s="5" t="b">
        <f>ISNUMBER(Table44246665[[#This Row],[If Pre3 Yes]])</f>
        <v>1</v>
      </c>
      <c r="T89" s="5" t="b">
        <f>ISNUMBER(Table44246665[[#This Row],[If Pre3 No]])</f>
        <v>0</v>
      </c>
    </row>
    <row r="90" spans="1:20">
      <c r="A90" s="2" t="s">
        <v>24</v>
      </c>
      <c r="B90" s="2" t="s">
        <v>28</v>
      </c>
      <c r="C90" s="1">
        <v>2</v>
      </c>
      <c r="D90" s="1" t="s">
        <v>6</v>
      </c>
      <c r="E90" s="5" t="s">
        <v>8</v>
      </c>
      <c r="F90" s="1">
        <v>11</v>
      </c>
      <c r="G90" s="2">
        <v>2</v>
      </c>
      <c r="H90" s="2" t="s">
        <v>8</v>
      </c>
      <c r="I90" s="6">
        <f>IF(IF(Table44246665[[#This Row],[Pre or Post]]="Pre",1,0)+IF(ISNUMBER(Table44246665[[#This Row],[Response]])=TRUE,1,0)=2,1,"")</f>
        <v>1</v>
      </c>
      <c r="J90" s="6" t="str">
        <f>IF(IF(Table44246665[[#This Row],[Pre or Post]]="Post",1,0)+IF(ISNUMBER(Table44246665[[#This Row],[Response]])=TRUE,1,0)=2,1,"")</f>
        <v/>
      </c>
      <c r="K90" s="6">
        <f>IF(IF(Table44246665[[#This Row],[Pre or Post]]="Pre",1,0)+IF(ISNUMBER(Table44246665[[#This Row],[Response]])=TRUE,1,0)=2,Table44246665[[#This Row],[Response]],"")</f>
        <v>2</v>
      </c>
      <c r="L90" s="6" t="str">
        <f>IF(IF(Table44246665[[#This Row],[Pre or Post]]="Post",1,0)+IF(ISNUMBER(Table44246665[[#This Row],[Response]])=TRUE,1,0)=2,Table44246665[[#This Row],[Response]],"")</f>
        <v/>
      </c>
      <c r="M90" s="6">
        <f>IF(IF(ISNUMBER(K90),1,0)+IF(ISNUMBER(L91),1,0)=2,IF(IF(C91=C90,1,0)+IF(B91=B90,1,0)+IF(D91="Post",1,0)+IF(D90="Pre",1,0)=4,Table44246665[[#This Row],[Pre Total]],""),"")</f>
        <v>2</v>
      </c>
      <c r="N90" s="6" t="str">
        <f>IF(IF(ISNUMBER(K89),1,0)+IF(ISNUMBER(Table44246665[[#This Row],[Post Total]]),1,0)=2,IF(IF(Table44246665[[#This Row],[Student Number]]=C89,1,0)+IF(Table44246665[[#This Row],[Session]]=B89,1,0)+IF(Table44246665[[#This Row],[Pre or Post]]="Post",1,0)+IF(D89="Pre",1,0)=4,Table44246665[[#This Row],[Post Total]],""),"")</f>
        <v/>
      </c>
      <c r="O90" s="6" t="str">
        <f>IF(IF(ISNUMBER(K89),1,0)+IF(ISNUMBER(Table44246665[[#This Row],[Post Total]]),1,0)=2,IF(IF(Table44246665[[#This Row],[Student Number]]=C89,1,0)+IF(Table44246665[[#This Row],[Session]]=B89,1,0)+IF(Table44246665[[#This Row],[Pre or Post]]="Post",1,0)+IF(D89="Pre",1,0)=4,Table44246665[[#This Row],[Post Total]]-K89,""),"")</f>
        <v/>
      </c>
      <c r="P90" s="6" t="b">
        <f>ISNUMBER(Table44246665[[#This Row],[Change]])</f>
        <v>0</v>
      </c>
      <c r="Q90" s="5" t="str">
        <f>IF(E89="Yes",Table44246665[[#This Row],[Change]],"")</f>
        <v/>
      </c>
      <c r="R90" s="5" t="str">
        <f>IF(E89="No",Table44246665[[#This Row],[Change]],"")</f>
        <v/>
      </c>
      <c r="S90" s="5" t="b">
        <f>ISNUMBER(Table44246665[[#This Row],[If Pre3 Yes]])</f>
        <v>0</v>
      </c>
      <c r="T90" s="5" t="b">
        <f>ISNUMBER(Table44246665[[#This Row],[If Pre3 No]])</f>
        <v>0</v>
      </c>
    </row>
    <row r="91" spans="1:20">
      <c r="A91" s="2" t="s">
        <v>24</v>
      </c>
      <c r="B91" s="2" t="s">
        <v>28</v>
      </c>
      <c r="C91" s="1">
        <v>2</v>
      </c>
      <c r="D91" s="1" t="s">
        <v>16</v>
      </c>
      <c r="E91" s="5"/>
      <c r="F91" s="1">
        <v>4</v>
      </c>
      <c r="G91" s="2">
        <v>2</v>
      </c>
      <c r="H91" s="2" t="s">
        <v>8</v>
      </c>
      <c r="I91" s="6" t="str">
        <f>IF(IF(Table44246665[[#This Row],[Pre or Post]]="Pre",1,0)+IF(ISNUMBER(Table44246665[[#This Row],[Response]])=TRUE,1,0)=2,1,"")</f>
        <v/>
      </c>
      <c r="J91" s="6">
        <f>IF(IF(Table44246665[[#This Row],[Pre or Post]]="Post",1,0)+IF(ISNUMBER(Table44246665[[#This Row],[Response]])=TRUE,1,0)=2,1,"")</f>
        <v>1</v>
      </c>
      <c r="K91" s="6" t="str">
        <f>IF(IF(Table44246665[[#This Row],[Pre or Post]]="Pre",1,0)+IF(ISNUMBER(Table44246665[[#This Row],[Response]])=TRUE,1,0)=2,Table44246665[[#This Row],[Response]],"")</f>
        <v/>
      </c>
      <c r="L91" s="6">
        <f>IF(IF(Table44246665[[#This Row],[Pre or Post]]="Post",1,0)+IF(ISNUMBER(Table44246665[[#This Row],[Response]])=TRUE,1,0)=2,Table44246665[[#This Row],[Response]],"")</f>
        <v>2</v>
      </c>
      <c r="M91" s="6" t="str">
        <f>IF(IF(ISNUMBER(K91),1,0)+IF(ISNUMBER(L92),1,0)=2,IF(IF(C92=C91,1,0)+IF(B92=B91,1,0)+IF(D92="Post",1,0)+IF(D91="Pre",1,0)=4,Table44246665[[#This Row],[Pre Total]],""),"")</f>
        <v/>
      </c>
      <c r="N91" s="6">
        <f>IF(IF(ISNUMBER(K90),1,0)+IF(ISNUMBER(Table44246665[[#This Row],[Post Total]]),1,0)=2,IF(IF(Table44246665[[#This Row],[Student Number]]=C90,1,0)+IF(Table44246665[[#This Row],[Session]]=B90,1,0)+IF(Table44246665[[#This Row],[Pre or Post]]="Post",1,0)+IF(D90="Pre",1,0)=4,Table44246665[[#This Row],[Post Total]],""),"")</f>
        <v>2</v>
      </c>
      <c r="O91" s="6">
        <f>IF(IF(ISNUMBER(K90),1,0)+IF(ISNUMBER(Table44246665[[#This Row],[Post Total]]),1,0)=2,IF(IF(Table44246665[[#This Row],[Student Number]]=C90,1,0)+IF(Table44246665[[#This Row],[Session]]=B90,1,0)+IF(Table44246665[[#This Row],[Pre or Post]]="Post",1,0)+IF(D90="Pre",1,0)=4,Table44246665[[#This Row],[Post Total]]-K90,""),"")</f>
        <v>0</v>
      </c>
      <c r="P91" s="6" t="b">
        <f>ISNUMBER(Table44246665[[#This Row],[Change]])</f>
        <v>1</v>
      </c>
      <c r="Q91" s="5">
        <f>IF(E90="Yes",Table44246665[[#This Row],[Change]],"")</f>
        <v>0</v>
      </c>
      <c r="R91" s="5" t="str">
        <f>IF(E90="No",Table44246665[[#This Row],[Change]],"")</f>
        <v/>
      </c>
      <c r="S91" s="5" t="b">
        <f>ISNUMBER(Table44246665[[#This Row],[If Pre3 Yes]])</f>
        <v>1</v>
      </c>
      <c r="T91" s="5" t="b">
        <f>ISNUMBER(Table44246665[[#This Row],[If Pre3 No]])</f>
        <v>0</v>
      </c>
    </row>
    <row r="92" spans="1:20">
      <c r="A92" s="2" t="s">
        <v>24</v>
      </c>
      <c r="B92" s="2" t="s">
        <v>28</v>
      </c>
      <c r="C92" s="1">
        <v>3</v>
      </c>
      <c r="D92" s="1" t="s">
        <v>6</v>
      </c>
      <c r="E92" s="5" t="s">
        <v>8</v>
      </c>
      <c r="F92" s="1">
        <v>11</v>
      </c>
      <c r="G92" s="2">
        <v>3</v>
      </c>
      <c r="H92" s="2" t="s">
        <v>8</v>
      </c>
      <c r="I92" s="5">
        <f>IF(IF(Table44246665[[#This Row],[Pre or Post]]="Pre",1,0)+IF(ISNUMBER(Table44246665[[#This Row],[Response]])=TRUE,1,0)=2,1,"")</f>
        <v>1</v>
      </c>
      <c r="J92" s="5" t="str">
        <f>IF(IF(Table44246665[[#This Row],[Pre or Post]]="Post",1,0)+IF(ISNUMBER(Table44246665[[#This Row],[Response]])=TRUE,1,0)=2,1,"")</f>
        <v/>
      </c>
      <c r="K92" s="6">
        <f>IF(IF(Table44246665[[#This Row],[Pre or Post]]="Pre",1,0)+IF(ISNUMBER(Table44246665[[#This Row],[Response]])=TRUE,1,0)=2,Table44246665[[#This Row],[Response]],"")</f>
        <v>3</v>
      </c>
      <c r="L92" s="6" t="str">
        <f>IF(IF(Table44246665[[#This Row],[Pre or Post]]="Post",1,0)+IF(ISNUMBER(Table44246665[[#This Row],[Response]])=TRUE,1,0)=2,Table44246665[[#This Row],[Response]],"")</f>
        <v/>
      </c>
      <c r="M92" s="5">
        <f>IF(IF(ISNUMBER(K92),1,0)+IF(ISNUMBER(L93),1,0)=2,IF(IF(C93=C92,1,0)+IF(B93=B92,1,0)+IF(D93="Post",1,0)+IF(D92="Pre",1,0)=4,Table44246665[[#This Row],[Pre Total]],""),"")</f>
        <v>3</v>
      </c>
      <c r="N92" s="5" t="str">
        <f>IF(IF(ISNUMBER(K91),1,0)+IF(ISNUMBER(Table44246665[[#This Row],[Post Total]]),1,0)=2,IF(IF(Table44246665[[#This Row],[Student Number]]=C91,1,0)+IF(Table44246665[[#This Row],[Session]]=B91,1,0)+IF(Table44246665[[#This Row],[Pre or Post]]="Post",1,0)+IF(D91="Pre",1,0)=4,Table44246665[[#This Row],[Post Total]],""),"")</f>
        <v/>
      </c>
      <c r="O92" s="5" t="str">
        <f>IF(IF(ISNUMBER(K91),1,0)+IF(ISNUMBER(Table44246665[[#This Row],[Post Total]]),1,0)=2,IF(IF(Table44246665[[#This Row],[Student Number]]=C91,1,0)+IF(Table44246665[[#This Row],[Session]]=B91,1,0)+IF(Table44246665[[#This Row],[Pre or Post]]="Post",1,0)+IF(D91="Pre",1,0)=4,Table44246665[[#This Row],[Post Total]]-K91,""),"")</f>
        <v/>
      </c>
      <c r="P92" s="5" t="b">
        <f>ISNUMBER(Table44246665[[#This Row],[Change]])</f>
        <v>0</v>
      </c>
      <c r="Q92" s="5" t="str">
        <f>IF(E91="Yes",Table44246665[[#This Row],[Change]],"")</f>
        <v/>
      </c>
      <c r="R92" s="5" t="str">
        <f>IF(E91="No",Table44246665[[#This Row],[Change]],"")</f>
        <v/>
      </c>
      <c r="S92" s="5" t="b">
        <f>ISNUMBER(Table44246665[[#This Row],[If Pre3 Yes]])</f>
        <v>0</v>
      </c>
      <c r="T92" s="5" t="b">
        <f>ISNUMBER(Table44246665[[#This Row],[If Pre3 No]])</f>
        <v>0</v>
      </c>
    </row>
    <row r="93" spans="1:20">
      <c r="A93" s="2" t="s">
        <v>24</v>
      </c>
      <c r="B93" s="2" t="s">
        <v>28</v>
      </c>
      <c r="C93" s="1">
        <v>3</v>
      </c>
      <c r="D93" s="1" t="s">
        <v>16</v>
      </c>
      <c r="E93" s="5"/>
      <c r="F93" s="1">
        <v>4</v>
      </c>
      <c r="G93" s="2">
        <v>2</v>
      </c>
      <c r="H93" s="2" t="s">
        <v>8</v>
      </c>
      <c r="I93" s="5" t="str">
        <f>IF(IF(Table44246665[[#This Row],[Pre or Post]]="Pre",1,0)+IF(ISNUMBER(Table44246665[[#This Row],[Response]])=TRUE,1,0)=2,1,"")</f>
        <v/>
      </c>
      <c r="J93" s="5">
        <f>IF(IF(Table44246665[[#This Row],[Pre or Post]]="Post",1,0)+IF(ISNUMBER(Table44246665[[#This Row],[Response]])=TRUE,1,0)=2,1,"")</f>
        <v>1</v>
      </c>
      <c r="K93" s="6" t="str">
        <f>IF(IF(Table44246665[[#This Row],[Pre or Post]]="Pre",1,0)+IF(ISNUMBER(Table44246665[[#This Row],[Response]])=TRUE,1,0)=2,Table44246665[[#This Row],[Response]],"")</f>
        <v/>
      </c>
      <c r="L93" s="6">
        <f>IF(IF(Table44246665[[#This Row],[Pre or Post]]="Post",1,0)+IF(ISNUMBER(Table44246665[[#This Row],[Response]])=TRUE,1,0)=2,Table44246665[[#This Row],[Response]],"")</f>
        <v>2</v>
      </c>
      <c r="M93" s="5" t="str">
        <f>IF(IF(ISNUMBER(K93),1,0)+IF(ISNUMBER(L94),1,0)=2,IF(IF(C94=C93,1,0)+IF(B94=B93,1,0)+IF(D94="Post",1,0)+IF(D93="Pre",1,0)=4,Table44246665[[#This Row],[Pre Total]],""),"")</f>
        <v/>
      </c>
      <c r="N93" s="5">
        <f>IF(IF(ISNUMBER(K92),1,0)+IF(ISNUMBER(Table44246665[[#This Row],[Post Total]]),1,0)=2,IF(IF(Table44246665[[#This Row],[Student Number]]=C92,1,0)+IF(Table44246665[[#This Row],[Session]]=B92,1,0)+IF(Table44246665[[#This Row],[Pre or Post]]="Post",1,0)+IF(D92="Pre",1,0)=4,Table44246665[[#This Row],[Post Total]],""),"")</f>
        <v>2</v>
      </c>
      <c r="O93" s="5">
        <f>IF(IF(ISNUMBER(K92),1,0)+IF(ISNUMBER(Table44246665[[#This Row],[Post Total]]),1,0)=2,IF(IF(Table44246665[[#This Row],[Student Number]]=C92,1,0)+IF(Table44246665[[#This Row],[Session]]=B92,1,0)+IF(Table44246665[[#This Row],[Pre or Post]]="Post",1,0)+IF(D92="Pre",1,0)=4,Table44246665[[#This Row],[Post Total]]-K92,""),"")</f>
        <v>-1</v>
      </c>
      <c r="P93" s="5" t="b">
        <f>ISNUMBER(Table44246665[[#This Row],[Change]])</f>
        <v>1</v>
      </c>
      <c r="Q93" s="5">
        <f>IF(E92="Yes",Table44246665[[#This Row],[Change]],"")</f>
        <v>-1</v>
      </c>
      <c r="R93" s="5" t="str">
        <f>IF(E92="No",Table44246665[[#This Row],[Change]],"")</f>
        <v/>
      </c>
      <c r="S93" s="5" t="b">
        <f>ISNUMBER(Table44246665[[#This Row],[If Pre3 Yes]])</f>
        <v>1</v>
      </c>
      <c r="T93" s="5" t="b">
        <f>ISNUMBER(Table44246665[[#This Row],[If Pre3 No]])</f>
        <v>0</v>
      </c>
    </row>
    <row r="94" spans="1:20">
      <c r="A94" s="2" t="s">
        <v>24</v>
      </c>
      <c r="B94" s="2" t="s">
        <v>28</v>
      </c>
      <c r="C94" s="1">
        <v>4</v>
      </c>
      <c r="D94" s="1" t="s">
        <v>6</v>
      </c>
      <c r="E94" s="5" t="s">
        <v>8</v>
      </c>
      <c r="F94" s="1">
        <v>11</v>
      </c>
      <c r="G94" s="1">
        <v>5</v>
      </c>
      <c r="H94" s="2" t="s">
        <v>8</v>
      </c>
      <c r="I94" s="6">
        <f>IF(IF(Table44246665[[#This Row],[Pre or Post]]="Pre",1,0)+IF(ISNUMBER(Table44246665[[#This Row],[Response]])=TRUE,1,0)=2,1,"")</f>
        <v>1</v>
      </c>
      <c r="J94" s="6" t="str">
        <f>IF(IF(Table44246665[[#This Row],[Pre or Post]]="Post",1,0)+IF(ISNUMBER(Table44246665[[#This Row],[Response]])=TRUE,1,0)=2,1,"")</f>
        <v/>
      </c>
      <c r="K94" s="6">
        <f>IF(IF(Table44246665[[#This Row],[Pre or Post]]="Pre",1,0)+IF(ISNUMBER(Table44246665[[#This Row],[Response]])=TRUE,1,0)=2,Table44246665[[#This Row],[Response]],"")</f>
        <v>5</v>
      </c>
      <c r="L94" s="6" t="str">
        <f>IF(IF(Table44246665[[#This Row],[Pre or Post]]="Post",1,0)+IF(ISNUMBER(Table44246665[[#This Row],[Response]])=TRUE,1,0)=2,Table44246665[[#This Row],[Response]],"")</f>
        <v/>
      </c>
      <c r="M94" s="6">
        <f>IF(IF(ISNUMBER(K94),1,0)+IF(ISNUMBER(L95),1,0)=2,IF(IF(C95=C94,1,0)+IF(B95=B94,1,0)+IF(D95="Post",1,0)+IF(D94="Pre",1,0)=4,Table44246665[[#This Row],[Pre Total]],""),"")</f>
        <v>5</v>
      </c>
      <c r="N94" s="6" t="str">
        <f>IF(IF(ISNUMBER(K93),1,0)+IF(ISNUMBER(Table44246665[[#This Row],[Post Total]]),1,0)=2,IF(IF(Table44246665[[#This Row],[Student Number]]=C93,1,0)+IF(Table44246665[[#This Row],[Session]]=B93,1,0)+IF(Table44246665[[#This Row],[Pre or Post]]="Post",1,0)+IF(D93="Pre",1,0)=4,Table44246665[[#This Row],[Post Total]],""),"")</f>
        <v/>
      </c>
      <c r="O94" s="6" t="str">
        <f>IF(IF(ISNUMBER(K93),1,0)+IF(ISNUMBER(Table44246665[[#This Row],[Post Total]]),1,0)=2,IF(IF(Table44246665[[#This Row],[Student Number]]=C93,1,0)+IF(Table44246665[[#This Row],[Session]]=B93,1,0)+IF(Table44246665[[#This Row],[Pre or Post]]="Post",1,0)+IF(D93="Pre",1,0)=4,Table44246665[[#This Row],[Post Total]]-K93,""),"")</f>
        <v/>
      </c>
      <c r="P94" s="6" t="b">
        <f>ISNUMBER(Table44246665[[#This Row],[Change]])</f>
        <v>0</v>
      </c>
      <c r="Q94" s="5" t="str">
        <f>IF(E93="Yes",Table44246665[[#This Row],[Change]],"")</f>
        <v/>
      </c>
      <c r="R94" s="5" t="str">
        <f>IF(E93="No",Table44246665[[#This Row],[Change]],"")</f>
        <v/>
      </c>
      <c r="S94" s="5" t="b">
        <f>ISNUMBER(Table44246665[[#This Row],[If Pre3 Yes]])</f>
        <v>0</v>
      </c>
      <c r="T94" s="5" t="b">
        <f>ISNUMBER(Table44246665[[#This Row],[If Pre3 No]])</f>
        <v>0</v>
      </c>
    </row>
    <row r="95" spans="1:20">
      <c r="A95" s="2" t="s">
        <v>24</v>
      </c>
      <c r="B95" s="2" t="s">
        <v>28</v>
      </c>
      <c r="C95" s="1">
        <v>4</v>
      </c>
      <c r="D95" s="1" t="s">
        <v>16</v>
      </c>
      <c r="E95" s="5"/>
      <c r="F95" s="1">
        <v>4</v>
      </c>
      <c r="G95" s="2">
        <v>5</v>
      </c>
      <c r="H95" s="2" t="s">
        <v>8</v>
      </c>
      <c r="I95" s="5" t="str">
        <f>IF(IF(Table44246665[[#This Row],[Pre or Post]]="Pre",1,0)+IF(ISNUMBER(Table44246665[[#This Row],[Response]])=TRUE,1,0)=2,1,"")</f>
        <v/>
      </c>
      <c r="J95" s="5">
        <f>IF(IF(Table44246665[[#This Row],[Pre or Post]]="Post",1,0)+IF(ISNUMBER(Table44246665[[#This Row],[Response]])=TRUE,1,0)=2,1,"")</f>
        <v>1</v>
      </c>
      <c r="K95" s="6" t="str">
        <f>IF(IF(Table44246665[[#This Row],[Pre or Post]]="Pre",1,0)+IF(ISNUMBER(Table44246665[[#This Row],[Response]])=TRUE,1,0)=2,Table44246665[[#This Row],[Response]],"")</f>
        <v/>
      </c>
      <c r="L95" s="6">
        <f>IF(IF(Table44246665[[#This Row],[Pre or Post]]="Post",1,0)+IF(ISNUMBER(Table44246665[[#This Row],[Response]])=TRUE,1,0)=2,Table44246665[[#This Row],[Response]],"")</f>
        <v>5</v>
      </c>
      <c r="M95" s="5" t="str">
        <f>IF(IF(ISNUMBER(K95),1,0)+IF(ISNUMBER(L96),1,0)=2,IF(IF(C96=C95,1,0)+IF(B96=B95,1,0)+IF(D96="Post",1,0)+IF(D95="Pre",1,0)=4,Table44246665[[#This Row],[Pre Total]],""),"")</f>
        <v/>
      </c>
      <c r="N95" s="5">
        <f>IF(IF(ISNUMBER(K94),1,0)+IF(ISNUMBER(Table44246665[[#This Row],[Post Total]]),1,0)=2,IF(IF(Table44246665[[#This Row],[Student Number]]=C94,1,0)+IF(Table44246665[[#This Row],[Session]]=B94,1,0)+IF(Table44246665[[#This Row],[Pre or Post]]="Post",1,0)+IF(D94="Pre",1,0)=4,Table44246665[[#This Row],[Post Total]],""),"")</f>
        <v>5</v>
      </c>
      <c r="O95" s="5">
        <f>IF(IF(ISNUMBER(K94),1,0)+IF(ISNUMBER(Table44246665[[#This Row],[Post Total]]),1,0)=2,IF(IF(Table44246665[[#This Row],[Student Number]]=C94,1,0)+IF(Table44246665[[#This Row],[Session]]=B94,1,0)+IF(Table44246665[[#This Row],[Pre or Post]]="Post",1,0)+IF(D94="Pre",1,0)=4,Table44246665[[#This Row],[Post Total]]-K94,""),"")</f>
        <v>0</v>
      </c>
      <c r="P95" s="5" t="b">
        <f>ISNUMBER(Table44246665[[#This Row],[Change]])</f>
        <v>1</v>
      </c>
      <c r="Q95" s="5">
        <f>IF(E94="Yes",Table44246665[[#This Row],[Change]],"")</f>
        <v>0</v>
      </c>
      <c r="R95" s="5" t="str">
        <f>IF(E94="No",Table44246665[[#This Row],[Change]],"")</f>
        <v/>
      </c>
      <c r="S95" s="5" t="b">
        <f>ISNUMBER(Table44246665[[#This Row],[If Pre3 Yes]])</f>
        <v>1</v>
      </c>
      <c r="T95" s="5" t="b">
        <f>ISNUMBER(Table44246665[[#This Row],[If Pre3 No]])</f>
        <v>0</v>
      </c>
    </row>
    <row r="96" spans="1:20">
      <c r="A96" s="2" t="s">
        <v>24</v>
      </c>
      <c r="B96" s="2" t="s">
        <v>28</v>
      </c>
      <c r="C96" s="1">
        <v>5</v>
      </c>
      <c r="D96" s="1" t="s">
        <v>6</v>
      </c>
      <c r="E96" s="5" t="s">
        <v>9</v>
      </c>
      <c r="F96" s="1">
        <v>11</v>
      </c>
      <c r="G96" s="1">
        <v>2</v>
      </c>
      <c r="H96" s="2" t="s">
        <v>8</v>
      </c>
      <c r="I96" s="5">
        <f>IF(IF(Table44246665[[#This Row],[Pre or Post]]="Pre",1,0)+IF(ISNUMBER(Table44246665[[#This Row],[Response]])=TRUE,1,0)=2,1,"")</f>
        <v>1</v>
      </c>
      <c r="J96" s="5" t="str">
        <f>IF(IF(Table44246665[[#This Row],[Pre or Post]]="Post",1,0)+IF(ISNUMBER(Table44246665[[#This Row],[Response]])=TRUE,1,0)=2,1,"")</f>
        <v/>
      </c>
      <c r="K96" s="6">
        <f>IF(IF(Table44246665[[#This Row],[Pre or Post]]="Pre",1,0)+IF(ISNUMBER(Table44246665[[#This Row],[Response]])=TRUE,1,0)=2,Table44246665[[#This Row],[Response]],"")</f>
        <v>2</v>
      </c>
      <c r="L96" s="6" t="str">
        <f>IF(IF(Table44246665[[#This Row],[Pre or Post]]="Post",1,0)+IF(ISNUMBER(Table44246665[[#This Row],[Response]])=TRUE,1,0)=2,Table44246665[[#This Row],[Response]],"")</f>
        <v/>
      </c>
      <c r="M96" s="5">
        <f>IF(IF(ISNUMBER(K96),1,0)+IF(ISNUMBER(L97),1,0)=2,IF(IF(C97=C96,1,0)+IF(B97=B96,1,0)+IF(D97="Post",1,0)+IF(D96="Pre",1,0)=4,Table44246665[[#This Row],[Pre Total]],""),"")</f>
        <v>2</v>
      </c>
      <c r="N96" s="5" t="str">
        <f>IF(IF(ISNUMBER(K95),1,0)+IF(ISNUMBER(Table44246665[[#This Row],[Post Total]]),1,0)=2,IF(IF(Table44246665[[#This Row],[Student Number]]=C95,1,0)+IF(Table44246665[[#This Row],[Session]]=B95,1,0)+IF(Table44246665[[#This Row],[Pre or Post]]="Post",1,0)+IF(D95="Pre",1,0)=4,Table44246665[[#This Row],[Post Total]],""),"")</f>
        <v/>
      </c>
      <c r="O96" s="5" t="str">
        <f>IF(IF(ISNUMBER(K95),1,0)+IF(ISNUMBER(Table44246665[[#This Row],[Post Total]]),1,0)=2,IF(IF(Table44246665[[#This Row],[Student Number]]=C95,1,0)+IF(Table44246665[[#This Row],[Session]]=B95,1,0)+IF(Table44246665[[#This Row],[Pre or Post]]="Post",1,0)+IF(D95="Pre",1,0)=4,Table44246665[[#This Row],[Post Total]]-K95,""),"")</f>
        <v/>
      </c>
      <c r="P96" s="5" t="b">
        <f>ISNUMBER(Table44246665[[#This Row],[Change]])</f>
        <v>0</v>
      </c>
      <c r="Q96" s="5" t="str">
        <f>IF(E95="Yes",Table44246665[[#This Row],[Change]],"")</f>
        <v/>
      </c>
      <c r="R96" s="5" t="str">
        <f>IF(E95="No",Table44246665[[#This Row],[Change]],"")</f>
        <v/>
      </c>
      <c r="S96" s="5" t="b">
        <f>ISNUMBER(Table44246665[[#This Row],[If Pre3 Yes]])</f>
        <v>0</v>
      </c>
      <c r="T96" s="5" t="b">
        <f>ISNUMBER(Table44246665[[#This Row],[If Pre3 No]])</f>
        <v>0</v>
      </c>
    </row>
    <row r="97" spans="1:20">
      <c r="A97" s="2" t="s">
        <v>24</v>
      </c>
      <c r="B97" s="2" t="s">
        <v>28</v>
      </c>
      <c r="C97" s="1">
        <v>5</v>
      </c>
      <c r="D97" s="1" t="s">
        <v>16</v>
      </c>
      <c r="E97" s="5"/>
      <c r="F97" s="1">
        <v>4</v>
      </c>
      <c r="G97" s="2">
        <v>3</v>
      </c>
      <c r="H97" s="2" t="s">
        <v>8</v>
      </c>
      <c r="I97" s="5" t="str">
        <f>IF(IF(Table44246665[[#This Row],[Pre or Post]]="Pre",1,0)+IF(ISNUMBER(Table44246665[[#This Row],[Response]])=TRUE,1,0)=2,1,"")</f>
        <v/>
      </c>
      <c r="J97" s="5">
        <f>IF(IF(Table44246665[[#This Row],[Pre or Post]]="Post",1,0)+IF(ISNUMBER(Table44246665[[#This Row],[Response]])=TRUE,1,0)=2,1,"")</f>
        <v>1</v>
      </c>
      <c r="K97" s="6" t="str">
        <f>IF(IF(Table44246665[[#This Row],[Pre or Post]]="Pre",1,0)+IF(ISNUMBER(Table44246665[[#This Row],[Response]])=TRUE,1,0)=2,Table44246665[[#This Row],[Response]],"")</f>
        <v/>
      </c>
      <c r="L97" s="6">
        <f>IF(IF(Table44246665[[#This Row],[Pre or Post]]="Post",1,0)+IF(ISNUMBER(Table44246665[[#This Row],[Response]])=TRUE,1,0)=2,Table44246665[[#This Row],[Response]],"")</f>
        <v>3</v>
      </c>
      <c r="M97" s="5" t="str">
        <f>IF(IF(ISNUMBER(K97),1,0)+IF(ISNUMBER(L98),1,0)=2,IF(IF(C98=C97,1,0)+IF(B98=B97,1,0)+IF(D98="Post",1,0)+IF(D97="Pre",1,0)=4,Table44246665[[#This Row],[Pre Total]],""),"")</f>
        <v/>
      </c>
      <c r="N97" s="5">
        <f>IF(IF(ISNUMBER(K96),1,0)+IF(ISNUMBER(Table44246665[[#This Row],[Post Total]]),1,0)=2,IF(IF(Table44246665[[#This Row],[Student Number]]=C96,1,0)+IF(Table44246665[[#This Row],[Session]]=B96,1,0)+IF(Table44246665[[#This Row],[Pre or Post]]="Post",1,0)+IF(D96="Pre",1,0)=4,Table44246665[[#This Row],[Post Total]],""),"")</f>
        <v>3</v>
      </c>
      <c r="O97" s="5">
        <f>IF(IF(ISNUMBER(K96),1,0)+IF(ISNUMBER(Table44246665[[#This Row],[Post Total]]),1,0)=2,IF(IF(Table44246665[[#This Row],[Student Number]]=C96,1,0)+IF(Table44246665[[#This Row],[Session]]=B96,1,0)+IF(Table44246665[[#This Row],[Pre or Post]]="Post",1,0)+IF(D96="Pre",1,0)=4,Table44246665[[#This Row],[Post Total]]-K96,""),"")</f>
        <v>1</v>
      </c>
      <c r="P97" s="5" t="b">
        <f>ISNUMBER(Table44246665[[#This Row],[Change]])</f>
        <v>1</v>
      </c>
      <c r="Q97" s="5" t="str">
        <f>IF(E96="Yes",Table44246665[[#This Row],[Change]],"")</f>
        <v/>
      </c>
      <c r="R97" s="5">
        <f>IF(E96="No",Table44246665[[#This Row],[Change]],"")</f>
        <v>1</v>
      </c>
      <c r="S97" s="5" t="b">
        <f>ISNUMBER(Table44246665[[#This Row],[If Pre3 Yes]])</f>
        <v>0</v>
      </c>
      <c r="T97" s="5" t="b">
        <f>ISNUMBER(Table44246665[[#This Row],[If Pre3 No]])</f>
        <v>1</v>
      </c>
    </row>
    <row r="98" spans="1:20">
      <c r="A98" s="2" t="s">
        <v>24</v>
      </c>
      <c r="B98" s="2" t="s">
        <v>28</v>
      </c>
      <c r="C98" s="1">
        <v>6</v>
      </c>
      <c r="D98" s="1" t="s">
        <v>6</v>
      </c>
      <c r="E98" s="5" t="s">
        <v>9</v>
      </c>
      <c r="F98" s="1">
        <v>11</v>
      </c>
      <c r="G98" s="2">
        <v>2</v>
      </c>
      <c r="H98" s="2" t="s">
        <v>8</v>
      </c>
      <c r="I98" s="6">
        <f>IF(IF(Table44246665[[#This Row],[Pre or Post]]="Pre",1,0)+IF(ISNUMBER(Table44246665[[#This Row],[Response]])=TRUE,1,0)=2,1,"")</f>
        <v>1</v>
      </c>
      <c r="J98" s="6" t="str">
        <f>IF(IF(Table44246665[[#This Row],[Pre or Post]]="Post",1,0)+IF(ISNUMBER(Table44246665[[#This Row],[Response]])=TRUE,1,0)=2,1,"")</f>
        <v/>
      </c>
      <c r="K98" s="6">
        <f>IF(IF(Table44246665[[#This Row],[Pre or Post]]="Pre",1,0)+IF(ISNUMBER(Table44246665[[#This Row],[Response]])=TRUE,1,0)=2,Table44246665[[#This Row],[Response]],"")</f>
        <v>2</v>
      </c>
      <c r="L98" s="6" t="str">
        <f>IF(IF(Table44246665[[#This Row],[Pre or Post]]="Post",1,0)+IF(ISNUMBER(Table44246665[[#This Row],[Response]])=TRUE,1,0)=2,Table44246665[[#This Row],[Response]],"")</f>
        <v/>
      </c>
      <c r="M98" s="6">
        <f>IF(IF(ISNUMBER(K98),1,0)+IF(ISNUMBER(L99),1,0)=2,IF(IF(C99=C98,1,0)+IF(B99=B98,1,0)+IF(D99="Post",1,0)+IF(D98="Pre",1,0)=4,Table44246665[[#This Row],[Pre Total]],""),"")</f>
        <v>2</v>
      </c>
      <c r="N98" s="6" t="str">
        <f>IF(IF(ISNUMBER(K97),1,0)+IF(ISNUMBER(Table44246665[[#This Row],[Post Total]]),1,0)=2,IF(IF(Table44246665[[#This Row],[Student Number]]=C97,1,0)+IF(Table44246665[[#This Row],[Session]]=B97,1,0)+IF(Table44246665[[#This Row],[Pre or Post]]="Post",1,0)+IF(D97="Pre",1,0)=4,Table44246665[[#This Row],[Post Total]],""),"")</f>
        <v/>
      </c>
      <c r="O98" s="6" t="str">
        <f>IF(IF(ISNUMBER(K97),1,0)+IF(ISNUMBER(Table44246665[[#This Row],[Post Total]]),1,0)=2,IF(IF(Table44246665[[#This Row],[Student Number]]=C97,1,0)+IF(Table44246665[[#This Row],[Session]]=B97,1,0)+IF(Table44246665[[#This Row],[Pre or Post]]="Post",1,0)+IF(D97="Pre",1,0)=4,Table44246665[[#This Row],[Post Total]]-K97,""),"")</f>
        <v/>
      </c>
      <c r="P98" s="6" t="b">
        <f>ISNUMBER(Table44246665[[#This Row],[Change]])</f>
        <v>0</v>
      </c>
      <c r="Q98" s="5" t="str">
        <f>IF(E97="Yes",Table44246665[[#This Row],[Change]],"")</f>
        <v/>
      </c>
      <c r="R98" s="5" t="str">
        <f>IF(E97="No",Table44246665[[#This Row],[Change]],"")</f>
        <v/>
      </c>
      <c r="S98" s="5" t="b">
        <f>ISNUMBER(Table44246665[[#This Row],[If Pre3 Yes]])</f>
        <v>0</v>
      </c>
      <c r="T98" s="5" t="b">
        <f>ISNUMBER(Table44246665[[#This Row],[If Pre3 No]])</f>
        <v>0</v>
      </c>
    </row>
    <row r="99" spans="1:20">
      <c r="A99" s="2" t="s">
        <v>24</v>
      </c>
      <c r="B99" s="2" t="s">
        <v>28</v>
      </c>
      <c r="C99" s="1">
        <v>6</v>
      </c>
      <c r="D99" s="1" t="s">
        <v>16</v>
      </c>
      <c r="E99" s="5"/>
      <c r="F99" s="1">
        <v>4</v>
      </c>
      <c r="G99" s="2">
        <v>4</v>
      </c>
      <c r="H99" s="2" t="s">
        <v>8</v>
      </c>
      <c r="I99" s="5" t="str">
        <f>IF(IF(Table44246665[[#This Row],[Pre or Post]]="Pre",1,0)+IF(ISNUMBER(Table44246665[[#This Row],[Response]])=TRUE,1,0)=2,1,"")</f>
        <v/>
      </c>
      <c r="J99" s="5">
        <f>IF(IF(Table44246665[[#This Row],[Pre or Post]]="Post",1,0)+IF(ISNUMBER(Table44246665[[#This Row],[Response]])=TRUE,1,0)=2,1,"")</f>
        <v>1</v>
      </c>
      <c r="K99" s="6" t="str">
        <f>IF(IF(Table44246665[[#This Row],[Pre or Post]]="Pre",1,0)+IF(ISNUMBER(Table44246665[[#This Row],[Response]])=TRUE,1,0)=2,Table44246665[[#This Row],[Response]],"")</f>
        <v/>
      </c>
      <c r="L99" s="6">
        <f>IF(IF(Table44246665[[#This Row],[Pre or Post]]="Post",1,0)+IF(ISNUMBER(Table44246665[[#This Row],[Response]])=TRUE,1,0)=2,Table44246665[[#This Row],[Response]],"")</f>
        <v>4</v>
      </c>
      <c r="M99" s="5" t="str">
        <f>IF(IF(ISNUMBER(K99),1,0)+IF(ISNUMBER(L100),1,0)=2,IF(IF(C100=C99,1,0)+IF(B100=B99,1,0)+IF(D100="Post",1,0)+IF(D99="Pre",1,0)=4,Table44246665[[#This Row],[Pre Total]],""),"")</f>
        <v/>
      </c>
      <c r="N99" s="5">
        <f>IF(IF(ISNUMBER(K98),1,0)+IF(ISNUMBER(Table44246665[[#This Row],[Post Total]]),1,0)=2,IF(IF(Table44246665[[#This Row],[Student Number]]=C98,1,0)+IF(Table44246665[[#This Row],[Session]]=B98,1,0)+IF(Table44246665[[#This Row],[Pre or Post]]="Post",1,0)+IF(D98="Pre",1,0)=4,Table44246665[[#This Row],[Post Total]],""),"")</f>
        <v>4</v>
      </c>
      <c r="O99" s="5">
        <f>IF(IF(ISNUMBER(K98),1,0)+IF(ISNUMBER(Table44246665[[#This Row],[Post Total]]),1,0)=2,IF(IF(Table44246665[[#This Row],[Student Number]]=C98,1,0)+IF(Table44246665[[#This Row],[Session]]=B98,1,0)+IF(Table44246665[[#This Row],[Pre or Post]]="Post",1,0)+IF(D98="Pre",1,0)=4,Table44246665[[#This Row],[Post Total]]-K98,""),"")</f>
        <v>2</v>
      </c>
      <c r="P99" s="5" t="b">
        <f>ISNUMBER(Table44246665[[#This Row],[Change]])</f>
        <v>1</v>
      </c>
      <c r="Q99" s="5" t="str">
        <f>IF(E98="Yes",Table44246665[[#This Row],[Change]],"")</f>
        <v/>
      </c>
      <c r="R99" s="5">
        <f>IF(E98="No",Table44246665[[#This Row],[Change]],"")</f>
        <v>2</v>
      </c>
      <c r="S99" s="5" t="b">
        <f>ISNUMBER(Table44246665[[#This Row],[If Pre3 Yes]])</f>
        <v>0</v>
      </c>
      <c r="T99" s="5" t="b">
        <f>ISNUMBER(Table44246665[[#This Row],[If Pre3 No]])</f>
        <v>1</v>
      </c>
    </row>
    <row r="100" spans="1:20">
      <c r="A100" s="2" t="s">
        <v>24</v>
      </c>
      <c r="B100" s="2" t="s">
        <v>28</v>
      </c>
      <c r="C100" s="1">
        <v>7</v>
      </c>
      <c r="D100" s="1" t="s">
        <v>6</v>
      </c>
      <c r="E100" s="5" t="s">
        <v>8</v>
      </c>
      <c r="F100" s="1">
        <v>11</v>
      </c>
      <c r="G100" s="2">
        <v>2</v>
      </c>
      <c r="H100" s="2" t="s">
        <v>8</v>
      </c>
      <c r="I100" s="5">
        <f>IF(IF(Table44246665[[#This Row],[Pre or Post]]="Pre",1,0)+IF(ISNUMBER(Table44246665[[#This Row],[Response]])=TRUE,1,0)=2,1,"")</f>
        <v>1</v>
      </c>
      <c r="J100" s="5" t="str">
        <f>IF(IF(Table44246665[[#This Row],[Pre or Post]]="Post",1,0)+IF(ISNUMBER(Table44246665[[#This Row],[Response]])=TRUE,1,0)=2,1,"")</f>
        <v/>
      </c>
      <c r="K100" s="6">
        <f>IF(IF(Table44246665[[#This Row],[Pre or Post]]="Pre",1,0)+IF(ISNUMBER(Table44246665[[#This Row],[Response]])=TRUE,1,0)=2,Table44246665[[#This Row],[Response]],"")</f>
        <v>2</v>
      </c>
      <c r="L100" s="6" t="str">
        <f>IF(IF(Table44246665[[#This Row],[Pre or Post]]="Post",1,0)+IF(ISNUMBER(Table44246665[[#This Row],[Response]])=TRUE,1,0)=2,Table44246665[[#This Row],[Response]],"")</f>
        <v/>
      </c>
      <c r="M100" s="5">
        <f>IF(IF(ISNUMBER(K100),1,0)+IF(ISNUMBER(L101),1,0)=2,IF(IF(C101=C100,1,0)+IF(B101=B100,1,0)+IF(D101="Post",1,0)+IF(D100="Pre",1,0)=4,Table44246665[[#This Row],[Pre Total]],""),"")</f>
        <v>2</v>
      </c>
      <c r="N100" s="5" t="str">
        <f>IF(IF(ISNUMBER(K99),1,0)+IF(ISNUMBER(Table44246665[[#This Row],[Post Total]]),1,0)=2,IF(IF(Table44246665[[#This Row],[Student Number]]=C99,1,0)+IF(Table44246665[[#This Row],[Session]]=B99,1,0)+IF(Table44246665[[#This Row],[Pre or Post]]="Post",1,0)+IF(D99="Pre",1,0)=4,Table44246665[[#This Row],[Post Total]],""),"")</f>
        <v/>
      </c>
      <c r="O100" s="5" t="str">
        <f>IF(IF(ISNUMBER(K99),1,0)+IF(ISNUMBER(Table44246665[[#This Row],[Post Total]]),1,0)=2,IF(IF(Table44246665[[#This Row],[Student Number]]=C99,1,0)+IF(Table44246665[[#This Row],[Session]]=B99,1,0)+IF(Table44246665[[#This Row],[Pre or Post]]="Post",1,0)+IF(D99="Pre",1,0)=4,Table44246665[[#This Row],[Post Total]]-K99,""),"")</f>
        <v/>
      </c>
      <c r="P100" s="5" t="b">
        <f>ISNUMBER(Table44246665[[#This Row],[Change]])</f>
        <v>0</v>
      </c>
      <c r="Q100" s="5" t="str">
        <f>IF(E99="Yes",Table44246665[[#This Row],[Change]],"")</f>
        <v/>
      </c>
      <c r="R100" s="5" t="str">
        <f>IF(E99="No",Table44246665[[#This Row],[Change]],"")</f>
        <v/>
      </c>
      <c r="S100" s="5" t="b">
        <f>ISNUMBER(Table44246665[[#This Row],[If Pre3 Yes]])</f>
        <v>0</v>
      </c>
      <c r="T100" s="5" t="b">
        <f>ISNUMBER(Table44246665[[#This Row],[If Pre3 No]])</f>
        <v>0</v>
      </c>
    </row>
    <row r="101" spans="1:20">
      <c r="A101" s="2" t="s">
        <v>24</v>
      </c>
      <c r="B101" s="2" t="s">
        <v>28</v>
      </c>
      <c r="C101" s="1">
        <v>7</v>
      </c>
      <c r="D101" s="1" t="s">
        <v>16</v>
      </c>
      <c r="E101" s="5"/>
      <c r="F101" s="1">
        <v>4</v>
      </c>
      <c r="G101" s="2">
        <v>3</v>
      </c>
      <c r="H101" s="2" t="s">
        <v>8</v>
      </c>
      <c r="I101" s="5" t="str">
        <f>IF(IF(Table44246665[[#This Row],[Pre or Post]]="Pre",1,0)+IF(ISNUMBER(Table44246665[[#This Row],[Response]])=TRUE,1,0)=2,1,"")</f>
        <v/>
      </c>
      <c r="J101" s="5">
        <f>IF(IF(Table44246665[[#This Row],[Pre or Post]]="Post",1,0)+IF(ISNUMBER(Table44246665[[#This Row],[Response]])=TRUE,1,0)=2,1,"")</f>
        <v>1</v>
      </c>
      <c r="K101" s="6" t="str">
        <f>IF(IF(Table44246665[[#This Row],[Pre or Post]]="Pre",1,0)+IF(ISNUMBER(Table44246665[[#This Row],[Response]])=TRUE,1,0)=2,Table44246665[[#This Row],[Response]],"")</f>
        <v/>
      </c>
      <c r="L101" s="6">
        <f>IF(IF(Table44246665[[#This Row],[Pre or Post]]="Post",1,0)+IF(ISNUMBER(Table44246665[[#This Row],[Response]])=TRUE,1,0)=2,Table44246665[[#This Row],[Response]],"")</f>
        <v>3</v>
      </c>
      <c r="M101" s="5" t="str">
        <f>IF(IF(ISNUMBER(K101),1,0)+IF(ISNUMBER(L102),1,0)=2,IF(IF(C102=C101,1,0)+IF(B102=B101,1,0)+IF(D102="Post",1,0)+IF(D101="Pre",1,0)=4,Table44246665[[#This Row],[Pre Total]],""),"")</f>
        <v/>
      </c>
      <c r="N101" s="5">
        <f>IF(IF(ISNUMBER(K100),1,0)+IF(ISNUMBER(Table44246665[[#This Row],[Post Total]]),1,0)=2,IF(IF(Table44246665[[#This Row],[Student Number]]=C100,1,0)+IF(Table44246665[[#This Row],[Session]]=B100,1,0)+IF(Table44246665[[#This Row],[Pre or Post]]="Post",1,0)+IF(D100="Pre",1,0)=4,Table44246665[[#This Row],[Post Total]],""),"")</f>
        <v>3</v>
      </c>
      <c r="O101" s="5">
        <f>IF(IF(ISNUMBER(K100),1,0)+IF(ISNUMBER(Table44246665[[#This Row],[Post Total]]),1,0)=2,IF(IF(Table44246665[[#This Row],[Student Number]]=C100,1,0)+IF(Table44246665[[#This Row],[Session]]=B100,1,0)+IF(Table44246665[[#This Row],[Pre or Post]]="Post",1,0)+IF(D100="Pre",1,0)=4,Table44246665[[#This Row],[Post Total]]-K100,""),"")</f>
        <v>1</v>
      </c>
      <c r="P101" s="5" t="b">
        <f>ISNUMBER(Table44246665[[#This Row],[Change]])</f>
        <v>1</v>
      </c>
      <c r="Q101" s="5">
        <f>IF(E100="Yes",Table44246665[[#This Row],[Change]],"")</f>
        <v>1</v>
      </c>
      <c r="R101" s="5" t="str">
        <f>IF(E100="No",Table44246665[[#This Row],[Change]],"")</f>
        <v/>
      </c>
      <c r="S101" s="5" t="b">
        <f>ISNUMBER(Table44246665[[#This Row],[If Pre3 Yes]])</f>
        <v>1</v>
      </c>
      <c r="T101" s="5" t="b">
        <f>ISNUMBER(Table44246665[[#This Row],[If Pre3 No]])</f>
        <v>0</v>
      </c>
    </row>
    <row r="102" spans="1:20">
      <c r="A102" s="2" t="s">
        <v>24</v>
      </c>
      <c r="B102" s="2" t="s">
        <v>28</v>
      </c>
      <c r="C102" s="1">
        <v>8</v>
      </c>
      <c r="D102" s="1" t="s">
        <v>6</v>
      </c>
      <c r="E102" s="5" t="s">
        <v>8</v>
      </c>
      <c r="F102" s="2">
        <v>11</v>
      </c>
      <c r="G102" s="1">
        <v>2</v>
      </c>
      <c r="H102" s="2" t="s">
        <v>8</v>
      </c>
      <c r="I102" s="6">
        <f>IF(IF(Table44246665[[#This Row],[Pre or Post]]="Pre",1,0)+IF(ISNUMBER(Table44246665[[#This Row],[Response]])=TRUE,1,0)=2,1,"")</f>
        <v>1</v>
      </c>
      <c r="J102" s="6" t="str">
        <f>IF(IF(Table44246665[[#This Row],[Pre or Post]]="Post",1,0)+IF(ISNUMBER(Table44246665[[#This Row],[Response]])=TRUE,1,0)=2,1,"")</f>
        <v/>
      </c>
      <c r="K102" s="6">
        <f>IF(IF(Table44246665[[#This Row],[Pre or Post]]="Pre",1,0)+IF(ISNUMBER(Table44246665[[#This Row],[Response]])=TRUE,1,0)=2,Table44246665[[#This Row],[Response]],"")</f>
        <v>2</v>
      </c>
      <c r="L102" s="6" t="str">
        <f>IF(IF(Table44246665[[#This Row],[Pre or Post]]="Post",1,0)+IF(ISNUMBER(Table44246665[[#This Row],[Response]])=TRUE,1,0)=2,Table44246665[[#This Row],[Response]],"")</f>
        <v/>
      </c>
      <c r="M102" s="6">
        <f>IF(IF(ISNUMBER(K102),1,0)+IF(ISNUMBER(L103),1,0)=2,IF(IF(C103=C102,1,0)+IF(B103=B102,1,0)+IF(D103="Post",1,0)+IF(D102="Pre",1,0)=4,Table44246665[[#This Row],[Pre Total]],""),"")</f>
        <v>2</v>
      </c>
      <c r="N102" s="6" t="str">
        <f>IF(IF(ISNUMBER(K101),1,0)+IF(ISNUMBER(Table44246665[[#This Row],[Post Total]]),1,0)=2,IF(IF(Table44246665[[#This Row],[Student Number]]=C101,1,0)+IF(Table44246665[[#This Row],[Session]]=B101,1,0)+IF(Table44246665[[#This Row],[Pre or Post]]="Post",1,0)+IF(D101="Pre",1,0)=4,Table44246665[[#This Row],[Post Total]],""),"")</f>
        <v/>
      </c>
      <c r="O102" s="6" t="str">
        <f>IF(IF(ISNUMBER(K101),1,0)+IF(ISNUMBER(Table44246665[[#This Row],[Post Total]]),1,0)=2,IF(IF(Table44246665[[#This Row],[Student Number]]=C101,1,0)+IF(Table44246665[[#This Row],[Session]]=B101,1,0)+IF(Table44246665[[#This Row],[Pre or Post]]="Post",1,0)+IF(D101="Pre",1,0)=4,Table44246665[[#This Row],[Post Total]]-K101,""),"")</f>
        <v/>
      </c>
      <c r="P102" s="6" t="b">
        <f>ISNUMBER(Table44246665[[#This Row],[Change]])</f>
        <v>0</v>
      </c>
      <c r="Q102" s="5" t="str">
        <f>IF(E101="Yes",Table44246665[[#This Row],[Change]],"")</f>
        <v/>
      </c>
      <c r="R102" s="5" t="str">
        <f>IF(E101="No",Table44246665[[#This Row],[Change]],"")</f>
        <v/>
      </c>
      <c r="S102" s="5" t="b">
        <f>ISNUMBER(Table44246665[[#This Row],[If Pre3 Yes]])</f>
        <v>0</v>
      </c>
      <c r="T102" s="5" t="b">
        <f>ISNUMBER(Table44246665[[#This Row],[If Pre3 No]])</f>
        <v>0</v>
      </c>
    </row>
    <row r="103" spans="1:20">
      <c r="A103" s="2" t="s">
        <v>24</v>
      </c>
      <c r="B103" s="2" t="s">
        <v>28</v>
      </c>
      <c r="C103" s="1">
        <v>8</v>
      </c>
      <c r="D103" s="1" t="s">
        <v>16</v>
      </c>
      <c r="E103" s="5"/>
      <c r="F103" s="1">
        <v>4</v>
      </c>
      <c r="G103" s="1">
        <v>2</v>
      </c>
      <c r="H103" s="2" t="s">
        <v>8</v>
      </c>
      <c r="I103" s="5" t="str">
        <f>IF(IF(Table44246665[[#This Row],[Pre or Post]]="Pre",1,0)+IF(ISNUMBER(Table44246665[[#This Row],[Response]])=TRUE,1,0)=2,1,"")</f>
        <v/>
      </c>
      <c r="J103" s="5">
        <f>IF(IF(Table44246665[[#This Row],[Pre or Post]]="Post",1,0)+IF(ISNUMBER(Table44246665[[#This Row],[Response]])=TRUE,1,0)=2,1,"")</f>
        <v>1</v>
      </c>
      <c r="K103" s="6" t="str">
        <f>IF(IF(Table44246665[[#This Row],[Pre or Post]]="Pre",1,0)+IF(ISNUMBER(Table44246665[[#This Row],[Response]])=TRUE,1,0)=2,Table44246665[[#This Row],[Response]],"")</f>
        <v/>
      </c>
      <c r="L103" s="6">
        <f>IF(IF(Table44246665[[#This Row],[Pre or Post]]="Post",1,0)+IF(ISNUMBER(Table44246665[[#This Row],[Response]])=TRUE,1,0)=2,Table44246665[[#This Row],[Response]],"")</f>
        <v>2</v>
      </c>
      <c r="M103" s="5" t="str">
        <f>IF(IF(ISNUMBER(K103),1,0)+IF(ISNUMBER(L104),1,0)=2,IF(IF(C104=C103,1,0)+IF(B104=B103,1,0)+IF(D104="Post",1,0)+IF(D103="Pre",1,0)=4,Table44246665[[#This Row],[Pre Total]],""),"")</f>
        <v/>
      </c>
      <c r="N103" s="5">
        <f>IF(IF(ISNUMBER(K102),1,0)+IF(ISNUMBER(Table44246665[[#This Row],[Post Total]]),1,0)=2,IF(IF(Table44246665[[#This Row],[Student Number]]=C102,1,0)+IF(Table44246665[[#This Row],[Session]]=B102,1,0)+IF(Table44246665[[#This Row],[Pre or Post]]="Post",1,0)+IF(D102="Pre",1,0)=4,Table44246665[[#This Row],[Post Total]],""),"")</f>
        <v>2</v>
      </c>
      <c r="O103" s="5">
        <f>IF(IF(ISNUMBER(K102),1,0)+IF(ISNUMBER(Table44246665[[#This Row],[Post Total]]),1,0)=2,IF(IF(Table44246665[[#This Row],[Student Number]]=C102,1,0)+IF(Table44246665[[#This Row],[Session]]=B102,1,0)+IF(Table44246665[[#This Row],[Pre or Post]]="Post",1,0)+IF(D102="Pre",1,0)=4,Table44246665[[#This Row],[Post Total]]-K102,""),"")</f>
        <v>0</v>
      </c>
      <c r="P103" s="5" t="b">
        <f>ISNUMBER(Table44246665[[#This Row],[Change]])</f>
        <v>1</v>
      </c>
      <c r="Q103" s="5">
        <f>IF(E102="Yes",Table44246665[[#This Row],[Change]],"")</f>
        <v>0</v>
      </c>
      <c r="R103" s="5" t="str">
        <f>IF(E102="No",Table44246665[[#This Row],[Change]],"")</f>
        <v/>
      </c>
      <c r="S103" s="5" t="b">
        <f>ISNUMBER(Table44246665[[#This Row],[If Pre3 Yes]])</f>
        <v>1</v>
      </c>
      <c r="T103" s="5" t="b">
        <f>ISNUMBER(Table44246665[[#This Row],[If Pre3 No]])</f>
        <v>0</v>
      </c>
    </row>
    <row r="104" spans="1:20">
      <c r="A104" s="2" t="s">
        <v>24</v>
      </c>
      <c r="B104" s="2" t="s">
        <v>28</v>
      </c>
      <c r="C104" s="1">
        <v>9</v>
      </c>
      <c r="D104" s="1" t="s">
        <v>6</v>
      </c>
      <c r="E104" s="5" t="s">
        <v>8</v>
      </c>
      <c r="F104" s="1">
        <v>11</v>
      </c>
      <c r="G104" s="1">
        <v>3</v>
      </c>
      <c r="H104" s="2" t="s">
        <v>8</v>
      </c>
      <c r="I104" s="5">
        <f>IF(IF(Table44246665[[#This Row],[Pre or Post]]="Pre",1,0)+IF(ISNUMBER(Table44246665[[#This Row],[Response]])=TRUE,1,0)=2,1,"")</f>
        <v>1</v>
      </c>
      <c r="J104" s="5" t="str">
        <f>IF(IF(Table44246665[[#This Row],[Pre or Post]]="Post",1,0)+IF(ISNUMBER(Table44246665[[#This Row],[Response]])=TRUE,1,0)=2,1,"")</f>
        <v/>
      </c>
      <c r="K104" s="6">
        <f>IF(IF(Table44246665[[#This Row],[Pre or Post]]="Pre",1,0)+IF(ISNUMBER(Table44246665[[#This Row],[Response]])=TRUE,1,0)=2,Table44246665[[#This Row],[Response]],"")</f>
        <v>3</v>
      </c>
      <c r="L104" s="6" t="str">
        <f>IF(IF(Table44246665[[#This Row],[Pre or Post]]="Post",1,0)+IF(ISNUMBER(Table44246665[[#This Row],[Response]])=TRUE,1,0)=2,Table44246665[[#This Row],[Response]],"")</f>
        <v/>
      </c>
      <c r="M104" s="5">
        <f>IF(IF(ISNUMBER(K104),1,0)+IF(ISNUMBER(L105),1,0)=2,IF(IF(C105=C104,1,0)+IF(B105=B104,1,0)+IF(D105="Post",1,0)+IF(D104="Pre",1,0)=4,Table44246665[[#This Row],[Pre Total]],""),"")</f>
        <v>3</v>
      </c>
      <c r="N104" s="5" t="str">
        <f>IF(IF(ISNUMBER(K103),1,0)+IF(ISNUMBER(Table44246665[[#This Row],[Post Total]]),1,0)=2,IF(IF(Table44246665[[#This Row],[Student Number]]=C103,1,0)+IF(Table44246665[[#This Row],[Session]]=B103,1,0)+IF(Table44246665[[#This Row],[Pre or Post]]="Post",1,0)+IF(D103="Pre",1,0)=4,Table44246665[[#This Row],[Post Total]],""),"")</f>
        <v/>
      </c>
      <c r="O104" s="5" t="str">
        <f>IF(IF(ISNUMBER(K103),1,0)+IF(ISNUMBER(Table44246665[[#This Row],[Post Total]]),1,0)=2,IF(IF(Table44246665[[#This Row],[Student Number]]=C103,1,0)+IF(Table44246665[[#This Row],[Session]]=B103,1,0)+IF(Table44246665[[#This Row],[Pre or Post]]="Post",1,0)+IF(D103="Pre",1,0)=4,Table44246665[[#This Row],[Post Total]]-K103,""),"")</f>
        <v/>
      </c>
      <c r="P104" s="5" t="b">
        <f>ISNUMBER(Table44246665[[#This Row],[Change]])</f>
        <v>0</v>
      </c>
      <c r="Q104" s="5" t="str">
        <f>IF(E103="Yes",Table44246665[[#This Row],[Change]],"")</f>
        <v/>
      </c>
      <c r="R104" s="5" t="str">
        <f>IF(E103="No",Table44246665[[#This Row],[Change]],"")</f>
        <v/>
      </c>
      <c r="S104" s="5" t="b">
        <f>ISNUMBER(Table44246665[[#This Row],[If Pre3 Yes]])</f>
        <v>0</v>
      </c>
      <c r="T104" s="5" t="b">
        <f>ISNUMBER(Table44246665[[#This Row],[If Pre3 No]])</f>
        <v>0</v>
      </c>
    </row>
    <row r="105" spans="1:20">
      <c r="A105" s="2" t="s">
        <v>24</v>
      </c>
      <c r="B105" s="2" t="s">
        <v>28</v>
      </c>
      <c r="C105" s="1">
        <v>9</v>
      </c>
      <c r="D105" s="1" t="s">
        <v>16</v>
      </c>
      <c r="E105" s="5"/>
      <c r="F105" s="1">
        <v>4</v>
      </c>
      <c r="G105" s="1">
        <v>2</v>
      </c>
      <c r="H105" s="2" t="s">
        <v>8</v>
      </c>
      <c r="I105" s="5" t="str">
        <f>IF(IF(Table44246665[[#This Row],[Pre or Post]]="Pre",1,0)+IF(ISNUMBER(Table44246665[[#This Row],[Response]])=TRUE,1,0)=2,1,"")</f>
        <v/>
      </c>
      <c r="J105" s="5">
        <f>IF(IF(Table44246665[[#This Row],[Pre or Post]]="Post",1,0)+IF(ISNUMBER(Table44246665[[#This Row],[Response]])=TRUE,1,0)=2,1,"")</f>
        <v>1</v>
      </c>
      <c r="K105" s="6" t="str">
        <f>IF(IF(Table44246665[[#This Row],[Pre or Post]]="Pre",1,0)+IF(ISNUMBER(Table44246665[[#This Row],[Response]])=TRUE,1,0)=2,Table44246665[[#This Row],[Response]],"")</f>
        <v/>
      </c>
      <c r="L105" s="6">
        <f>IF(IF(Table44246665[[#This Row],[Pre or Post]]="Post",1,0)+IF(ISNUMBER(Table44246665[[#This Row],[Response]])=TRUE,1,0)=2,Table44246665[[#This Row],[Response]],"")</f>
        <v>2</v>
      </c>
      <c r="M105" s="5" t="str">
        <f>IF(IF(ISNUMBER(K105),1,0)+IF(ISNUMBER(L106),1,0)=2,IF(IF(C106=C105,1,0)+IF(B106=B105,1,0)+IF(D106="Post",1,0)+IF(D105="Pre",1,0)=4,Table44246665[[#This Row],[Pre Total]],""),"")</f>
        <v/>
      </c>
      <c r="N105" s="5">
        <f>IF(IF(ISNUMBER(K104),1,0)+IF(ISNUMBER(Table44246665[[#This Row],[Post Total]]),1,0)=2,IF(IF(Table44246665[[#This Row],[Student Number]]=C104,1,0)+IF(Table44246665[[#This Row],[Session]]=B104,1,0)+IF(Table44246665[[#This Row],[Pre or Post]]="Post",1,0)+IF(D104="Pre",1,0)=4,Table44246665[[#This Row],[Post Total]],""),"")</f>
        <v>2</v>
      </c>
      <c r="O105" s="5">
        <f>IF(IF(ISNUMBER(K104),1,0)+IF(ISNUMBER(Table44246665[[#This Row],[Post Total]]),1,0)=2,IF(IF(Table44246665[[#This Row],[Student Number]]=C104,1,0)+IF(Table44246665[[#This Row],[Session]]=B104,1,0)+IF(Table44246665[[#This Row],[Pre or Post]]="Post",1,0)+IF(D104="Pre",1,0)=4,Table44246665[[#This Row],[Post Total]]-K104,""),"")</f>
        <v>-1</v>
      </c>
      <c r="P105" s="5" t="b">
        <f>ISNUMBER(Table44246665[[#This Row],[Change]])</f>
        <v>1</v>
      </c>
      <c r="Q105" s="5">
        <f>IF(E104="Yes",Table44246665[[#This Row],[Change]],"")</f>
        <v>-1</v>
      </c>
      <c r="R105" s="5" t="str">
        <f>IF(E104="No",Table44246665[[#This Row],[Change]],"")</f>
        <v/>
      </c>
      <c r="S105" s="5" t="b">
        <f>ISNUMBER(Table44246665[[#This Row],[If Pre3 Yes]])</f>
        <v>1</v>
      </c>
      <c r="T105" s="5" t="b">
        <f>ISNUMBER(Table44246665[[#This Row],[If Pre3 No]])</f>
        <v>0</v>
      </c>
    </row>
    <row r="106" spans="1:20">
      <c r="A106" s="2" t="s">
        <v>24</v>
      </c>
      <c r="B106" s="2" t="s">
        <v>28</v>
      </c>
      <c r="C106" s="1">
        <v>10</v>
      </c>
      <c r="D106" s="1" t="s">
        <v>6</v>
      </c>
      <c r="E106" s="5" t="s">
        <v>8</v>
      </c>
      <c r="F106" s="1">
        <v>11</v>
      </c>
      <c r="G106" s="1">
        <v>3</v>
      </c>
      <c r="H106" s="2" t="s">
        <v>8</v>
      </c>
      <c r="I106" s="5">
        <f>IF(IF(Table44246665[[#This Row],[Pre or Post]]="Pre",1,0)+IF(ISNUMBER(Table44246665[[#This Row],[Response]])=TRUE,1,0)=2,1,"")</f>
        <v>1</v>
      </c>
      <c r="J106" s="5" t="str">
        <f>IF(IF(Table44246665[[#This Row],[Pre or Post]]="Post",1,0)+IF(ISNUMBER(Table44246665[[#This Row],[Response]])=TRUE,1,0)=2,1,"")</f>
        <v/>
      </c>
      <c r="K106" s="6">
        <f>IF(IF(Table44246665[[#This Row],[Pre or Post]]="Pre",1,0)+IF(ISNUMBER(Table44246665[[#This Row],[Response]])=TRUE,1,0)=2,Table44246665[[#This Row],[Response]],"")</f>
        <v>3</v>
      </c>
      <c r="L106" s="6" t="str">
        <f>IF(IF(Table44246665[[#This Row],[Pre or Post]]="Post",1,0)+IF(ISNUMBER(Table44246665[[#This Row],[Response]])=TRUE,1,0)=2,Table44246665[[#This Row],[Response]],"")</f>
        <v/>
      </c>
      <c r="M106" s="5">
        <f>IF(IF(ISNUMBER(K106),1,0)+IF(ISNUMBER(L107),1,0)=2,IF(IF(C107=C106,1,0)+IF(B107=B106,1,0)+IF(D107="Post",1,0)+IF(D106="Pre",1,0)=4,Table44246665[[#This Row],[Pre Total]],""),"")</f>
        <v>3</v>
      </c>
      <c r="N106" s="5" t="str">
        <f>IF(IF(ISNUMBER(K105),1,0)+IF(ISNUMBER(Table44246665[[#This Row],[Post Total]]),1,0)=2,IF(IF(Table44246665[[#This Row],[Student Number]]=C105,1,0)+IF(Table44246665[[#This Row],[Session]]=B105,1,0)+IF(Table44246665[[#This Row],[Pre or Post]]="Post",1,0)+IF(D105="Pre",1,0)=4,Table44246665[[#This Row],[Post Total]],""),"")</f>
        <v/>
      </c>
      <c r="O106" s="5" t="str">
        <f>IF(IF(ISNUMBER(K105),1,0)+IF(ISNUMBER(Table44246665[[#This Row],[Post Total]]),1,0)=2,IF(IF(Table44246665[[#This Row],[Student Number]]=C105,1,0)+IF(Table44246665[[#This Row],[Session]]=B105,1,0)+IF(Table44246665[[#This Row],[Pre or Post]]="Post",1,0)+IF(D105="Pre",1,0)=4,Table44246665[[#This Row],[Post Total]]-K105,""),"")</f>
        <v/>
      </c>
      <c r="P106" s="5" t="b">
        <f>ISNUMBER(Table44246665[[#This Row],[Change]])</f>
        <v>0</v>
      </c>
      <c r="Q106" s="5" t="str">
        <f>IF(E105="Yes",Table44246665[[#This Row],[Change]],"")</f>
        <v/>
      </c>
      <c r="R106" s="5" t="str">
        <f>IF(E105="No",Table44246665[[#This Row],[Change]],"")</f>
        <v/>
      </c>
      <c r="S106" s="5" t="b">
        <f>ISNUMBER(Table44246665[[#This Row],[If Pre3 Yes]])</f>
        <v>0</v>
      </c>
      <c r="T106" s="5" t="b">
        <f>ISNUMBER(Table44246665[[#This Row],[If Pre3 No]])</f>
        <v>0</v>
      </c>
    </row>
    <row r="107" spans="1:20">
      <c r="A107" s="2" t="s">
        <v>24</v>
      </c>
      <c r="B107" s="2" t="s">
        <v>28</v>
      </c>
      <c r="C107" s="1">
        <v>10</v>
      </c>
      <c r="D107" s="1" t="s">
        <v>16</v>
      </c>
      <c r="E107" s="5"/>
      <c r="F107" s="1">
        <v>4</v>
      </c>
      <c r="G107" s="1">
        <v>4</v>
      </c>
      <c r="H107" s="2" t="s">
        <v>8</v>
      </c>
      <c r="I107" s="5" t="str">
        <f>IF(IF(Table44246665[[#This Row],[Pre or Post]]="Pre",1,0)+IF(ISNUMBER(Table44246665[[#This Row],[Response]])=TRUE,1,0)=2,1,"")</f>
        <v/>
      </c>
      <c r="J107" s="5">
        <f>IF(IF(Table44246665[[#This Row],[Pre or Post]]="Post",1,0)+IF(ISNUMBER(Table44246665[[#This Row],[Response]])=TRUE,1,0)=2,1,"")</f>
        <v>1</v>
      </c>
      <c r="K107" s="6" t="str">
        <f>IF(IF(Table44246665[[#This Row],[Pre or Post]]="Pre",1,0)+IF(ISNUMBER(Table44246665[[#This Row],[Response]])=TRUE,1,0)=2,Table44246665[[#This Row],[Response]],"")</f>
        <v/>
      </c>
      <c r="L107" s="6">
        <f>IF(IF(Table44246665[[#This Row],[Pre or Post]]="Post",1,0)+IF(ISNUMBER(Table44246665[[#This Row],[Response]])=TRUE,1,0)=2,Table44246665[[#This Row],[Response]],"")</f>
        <v>4</v>
      </c>
      <c r="M107" s="5" t="str">
        <f>IF(IF(ISNUMBER(K107),1,0)+IF(ISNUMBER(L108),1,0)=2,IF(IF(C108=C107,1,0)+IF(B108=B107,1,0)+IF(D108="Post",1,0)+IF(D107="Pre",1,0)=4,Table44246665[[#This Row],[Pre Total]],""),"")</f>
        <v/>
      </c>
      <c r="N107" s="5">
        <f>IF(IF(ISNUMBER(K106),1,0)+IF(ISNUMBER(Table44246665[[#This Row],[Post Total]]),1,0)=2,IF(IF(Table44246665[[#This Row],[Student Number]]=C106,1,0)+IF(Table44246665[[#This Row],[Session]]=B106,1,0)+IF(Table44246665[[#This Row],[Pre or Post]]="Post",1,0)+IF(D106="Pre",1,0)=4,Table44246665[[#This Row],[Post Total]],""),"")</f>
        <v>4</v>
      </c>
      <c r="O107" s="5">
        <f>IF(IF(ISNUMBER(K106),1,0)+IF(ISNUMBER(Table44246665[[#This Row],[Post Total]]),1,0)=2,IF(IF(Table44246665[[#This Row],[Student Number]]=C106,1,0)+IF(Table44246665[[#This Row],[Session]]=B106,1,0)+IF(Table44246665[[#This Row],[Pre or Post]]="Post",1,0)+IF(D106="Pre",1,0)=4,Table44246665[[#This Row],[Post Total]]-K106,""),"")</f>
        <v>1</v>
      </c>
      <c r="P107" s="5" t="b">
        <f>ISNUMBER(Table44246665[[#This Row],[Change]])</f>
        <v>1</v>
      </c>
      <c r="Q107" s="5">
        <f>IF(E106="Yes",Table44246665[[#This Row],[Change]],"")</f>
        <v>1</v>
      </c>
      <c r="R107" s="5" t="str">
        <f>IF(E106="No",Table44246665[[#This Row],[Change]],"")</f>
        <v/>
      </c>
      <c r="S107" s="5" t="b">
        <f>ISNUMBER(Table44246665[[#This Row],[If Pre3 Yes]])</f>
        <v>1</v>
      </c>
      <c r="T107" s="5" t="b">
        <f>ISNUMBER(Table44246665[[#This Row],[If Pre3 No]])</f>
        <v>0</v>
      </c>
    </row>
    <row r="108" spans="1:20">
      <c r="A108" s="2" t="s">
        <v>24</v>
      </c>
      <c r="B108" s="2" t="s">
        <v>28</v>
      </c>
      <c r="C108" s="1">
        <v>11</v>
      </c>
      <c r="D108" s="1" t="s">
        <v>6</v>
      </c>
      <c r="E108" s="5" t="s">
        <v>8</v>
      </c>
      <c r="F108" s="1">
        <v>11</v>
      </c>
      <c r="G108" s="1">
        <v>3</v>
      </c>
      <c r="H108" s="2" t="s">
        <v>8</v>
      </c>
      <c r="I108" s="5">
        <f>IF(IF(Table44246665[[#This Row],[Pre or Post]]="Pre",1,0)+IF(ISNUMBER(Table44246665[[#This Row],[Response]])=TRUE,1,0)=2,1,"")</f>
        <v>1</v>
      </c>
      <c r="J108" s="5" t="str">
        <f>IF(IF(Table44246665[[#This Row],[Pre or Post]]="Post",1,0)+IF(ISNUMBER(Table44246665[[#This Row],[Response]])=TRUE,1,0)=2,1,"")</f>
        <v/>
      </c>
      <c r="K108" s="6">
        <f>IF(IF(Table44246665[[#This Row],[Pre or Post]]="Pre",1,0)+IF(ISNUMBER(Table44246665[[#This Row],[Response]])=TRUE,1,0)=2,Table44246665[[#This Row],[Response]],"")</f>
        <v>3</v>
      </c>
      <c r="L108" s="6" t="str">
        <f>IF(IF(Table44246665[[#This Row],[Pre or Post]]="Post",1,0)+IF(ISNUMBER(Table44246665[[#This Row],[Response]])=TRUE,1,0)=2,Table44246665[[#This Row],[Response]],"")</f>
        <v/>
      </c>
      <c r="M108" s="5">
        <f>IF(IF(ISNUMBER(K108),1,0)+IF(ISNUMBER(L109),1,0)=2,IF(IF(C109=C108,1,0)+IF(B109=B108,1,0)+IF(D109="Post",1,0)+IF(D108="Pre",1,0)=4,Table44246665[[#This Row],[Pre Total]],""),"")</f>
        <v>3</v>
      </c>
      <c r="N108" s="5" t="str">
        <f>IF(IF(ISNUMBER(K107),1,0)+IF(ISNUMBER(Table44246665[[#This Row],[Post Total]]),1,0)=2,IF(IF(Table44246665[[#This Row],[Student Number]]=C107,1,0)+IF(Table44246665[[#This Row],[Session]]=B107,1,0)+IF(Table44246665[[#This Row],[Pre or Post]]="Post",1,0)+IF(D107="Pre",1,0)=4,Table44246665[[#This Row],[Post Total]],""),"")</f>
        <v/>
      </c>
      <c r="O108" s="5" t="str">
        <f>IF(IF(ISNUMBER(K107),1,0)+IF(ISNUMBER(Table44246665[[#This Row],[Post Total]]),1,0)=2,IF(IF(Table44246665[[#This Row],[Student Number]]=C107,1,0)+IF(Table44246665[[#This Row],[Session]]=B107,1,0)+IF(Table44246665[[#This Row],[Pre or Post]]="Post",1,0)+IF(D107="Pre",1,0)=4,Table44246665[[#This Row],[Post Total]]-K107,""),"")</f>
        <v/>
      </c>
      <c r="P108" s="5" t="b">
        <f>ISNUMBER(Table44246665[[#This Row],[Change]])</f>
        <v>0</v>
      </c>
      <c r="Q108" s="5" t="str">
        <f>IF(E107="Yes",Table44246665[[#This Row],[Change]],"")</f>
        <v/>
      </c>
      <c r="R108" s="5" t="str">
        <f>IF(E107="No",Table44246665[[#This Row],[Change]],"")</f>
        <v/>
      </c>
      <c r="S108" s="5" t="b">
        <f>ISNUMBER(Table44246665[[#This Row],[If Pre3 Yes]])</f>
        <v>0</v>
      </c>
      <c r="T108" s="5" t="b">
        <f>ISNUMBER(Table44246665[[#This Row],[If Pre3 No]])</f>
        <v>0</v>
      </c>
    </row>
    <row r="109" spans="1:20" s="16" customFormat="1">
      <c r="A109" s="2" t="s">
        <v>24</v>
      </c>
      <c r="B109" s="2" t="s">
        <v>28</v>
      </c>
      <c r="C109" s="1">
        <v>11</v>
      </c>
      <c r="D109" s="1" t="s">
        <v>16</v>
      </c>
      <c r="E109" s="5"/>
      <c r="F109" s="1">
        <v>4</v>
      </c>
      <c r="G109" s="1">
        <v>3</v>
      </c>
      <c r="H109" s="2" t="s">
        <v>8</v>
      </c>
      <c r="I109" s="6" t="str">
        <f>IF(IF(Table44246665[[#This Row],[Pre or Post]]="Pre",1,0)+IF(ISNUMBER(Table44246665[[#This Row],[Response]])=TRUE,1,0)=2,1,"")</f>
        <v/>
      </c>
      <c r="J109" s="6">
        <f>IF(IF(Table44246665[[#This Row],[Pre or Post]]="Post",1,0)+IF(ISNUMBER(Table44246665[[#This Row],[Response]])=TRUE,1,0)=2,1,"")</f>
        <v>1</v>
      </c>
      <c r="K109" s="6" t="str">
        <f>IF(IF(Table44246665[[#This Row],[Pre or Post]]="Pre",1,0)+IF(ISNUMBER(Table44246665[[#This Row],[Response]])=TRUE,1,0)=2,Table44246665[[#This Row],[Response]],"")</f>
        <v/>
      </c>
      <c r="L109" s="6">
        <f>IF(IF(Table44246665[[#This Row],[Pre or Post]]="Post",1,0)+IF(ISNUMBER(Table44246665[[#This Row],[Response]])=TRUE,1,0)=2,Table44246665[[#This Row],[Response]],"")</f>
        <v>3</v>
      </c>
      <c r="M109" s="6" t="str">
        <f>IF(IF(ISNUMBER(K109),1,0)+IF(ISNUMBER(L110),1,0)=2,IF(IF(C110=C109,1,0)+IF(B110=B109,1,0)+IF(D110="Post",1,0)+IF(D109="Pre",1,0)=4,Table44246665[[#This Row],[Pre Total]],""),"")</f>
        <v/>
      </c>
      <c r="N109" s="6">
        <f>IF(IF(ISNUMBER(K108),1,0)+IF(ISNUMBER(Table44246665[[#This Row],[Post Total]]),1,0)=2,IF(IF(Table44246665[[#This Row],[Student Number]]=C108,1,0)+IF(Table44246665[[#This Row],[Session]]=B108,1,0)+IF(Table44246665[[#This Row],[Pre or Post]]="Post",1,0)+IF(D108="Pre",1,0)=4,Table44246665[[#This Row],[Post Total]],""),"")</f>
        <v>3</v>
      </c>
      <c r="O109" s="6">
        <f>IF(IF(ISNUMBER(K108),1,0)+IF(ISNUMBER(Table44246665[[#This Row],[Post Total]]),1,0)=2,IF(IF(Table44246665[[#This Row],[Student Number]]=C108,1,0)+IF(Table44246665[[#This Row],[Session]]=B108,1,0)+IF(Table44246665[[#This Row],[Pre or Post]]="Post",1,0)+IF(D108="Pre",1,0)=4,Table44246665[[#This Row],[Post Total]]-K108,""),"")</f>
        <v>0</v>
      </c>
      <c r="P109" s="6" t="b">
        <f>ISNUMBER(Table44246665[[#This Row],[Change]])</f>
        <v>1</v>
      </c>
      <c r="Q109" s="5">
        <f>IF(E108="Yes",Table44246665[[#This Row],[Change]],"")</f>
        <v>0</v>
      </c>
      <c r="R109" s="5" t="str">
        <f>IF(E108="No",Table44246665[[#This Row],[Change]],"")</f>
        <v/>
      </c>
      <c r="S109" s="5" t="b">
        <f>ISNUMBER(Table44246665[[#This Row],[If Pre3 Yes]])</f>
        <v>1</v>
      </c>
      <c r="T109" s="5" t="b">
        <f>ISNUMBER(Table44246665[[#This Row],[If Pre3 No]])</f>
        <v>0</v>
      </c>
    </row>
    <row r="110" spans="1:20">
      <c r="A110" s="2" t="s">
        <v>24</v>
      </c>
      <c r="B110" s="2" t="s">
        <v>28</v>
      </c>
      <c r="C110" s="1">
        <v>12</v>
      </c>
      <c r="D110" s="1" t="s">
        <v>6</v>
      </c>
      <c r="E110" s="5" t="s">
        <v>8</v>
      </c>
      <c r="F110" s="1">
        <v>11</v>
      </c>
      <c r="G110" s="2">
        <v>3</v>
      </c>
      <c r="H110" s="2" t="s">
        <v>8</v>
      </c>
      <c r="I110" s="5">
        <f>IF(IF(Table44246665[[#This Row],[Pre or Post]]="Pre",1,0)+IF(ISNUMBER(Table44246665[[#This Row],[Response]])=TRUE,1,0)=2,1,"")</f>
        <v>1</v>
      </c>
      <c r="J110" s="5" t="str">
        <f>IF(IF(Table44246665[[#This Row],[Pre or Post]]="Post",1,0)+IF(ISNUMBER(Table44246665[[#This Row],[Response]])=TRUE,1,0)=2,1,"")</f>
        <v/>
      </c>
      <c r="K110" s="6">
        <f>IF(IF(Table44246665[[#This Row],[Pre or Post]]="Pre",1,0)+IF(ISNUMBER(Table44246665[[#This Row],[Response]])=TRUE,1,0)=2,Table44246665[[#This Row],[Response]],"")</f>
        <v>3</v>
      </c>
      <c r="L110" s="6" t="str">
        <f>IF(IF(Table44246665[[#This Row],[Pre or Post]]="Post",1,0)+IF(ISNUMBER(Table44246665[[#This Row],[Response]])=TRUE,1,0)=2,Table44246665[[#This Row],[Response]],"")</f>
        <v/>
      </c>
      <c r="M110" s="5">
        <f>IF(IF(ISNUMBER(K110),1,0)+IF(ISNUMBER(L111),1,0)=2,IF(IF(C111=C110,1,0)+IF(B111=B110,1,0)+IF(D111="Post",1,0)+IF(D110="Pre",1,0)=4,Table44246665[[#This Row],[Pre Total]],""),"")</f>
        <v>3</v>
      </c>
      <c r="N110" s="5" t="str">
        <f>IF(IF(ISNUMBER(K109),1,0)+IF(ISNUMBER(Table44246665[[#This Row],[Post Total]]),1,0)=2,IF(IF(Table44246665[[#This Row],[Student Number]]=C109,1,0)+IF(Table44246665[[#This Row],[Session]]=B109,1,0)+IF(Table44246665[[#This Row],[Pre or Post]]="Post",1,0)+IF(D109="Pre",1,0)=4,Table44246665[[#This Row],[Post Total]],""),"")</f>
        <v/>
      </c>
      <c r="O110" s="5" t="str">
        <f>IF(IF(ISNUMBER(K109),1,0)+IF(ISNUMBER(Table44246665[[#This Row],[Post Total]]),1,0)=2,IF(IF(Table44246665[[#This Row],[Student Number]]=C109,1,0)+IF(Table44246665[[#This Row],[Session]]=B109,1,0)+IF(Table44246665[[#This Row],[Pre or Post]]="Post",1,0)+IF(D109="Pre",1,0)=4,Table44246665[[#This Row],[Post Total]]-K109,""),"")</f>
        <v/>
      </c>
      <c r="P110" s="5" t="b">
        <f>ISNUMBER(Table44246665[[#This Row],[Change]])</f>
        <v>0</v>
      </c>
      <c r="Q110" s="5" t="str">
        <f>IF(E109="Yes",Table44246665[[#This Row],[Change]],"")</f>
        <v/>
      </c>
      <c r="R110" s="5" t="str">
        <f>IF(E109="No",Table44246665[[#This Row],[Change]],"")</f>
        <v/>
      </c>
      <c r="S110" s="5" t="b">
        <f>ISNUMBER(Table44246665[[#This Row],[If Pre3 Yes]])</f>
        <v>0</v>
      </c>
      <c r="T110" s="5" t="b">
        <f>ISNUMBER(Table44246665[[#This Row],[If Pre3 No]])</f>
        <v>0</v>
      </c>
    </row>
    <row r="111" spans="1:20">
      <c r="A111" s="2" t="s">
        <v>24</v>
      </c>
      <c r="B111" s="2" t="s">
        <v>28</v>
      </c>
      <c r="C111" s="1">
        <v>12</v>
      </c>
      <c r="D111" s="1" t="s">
        <v>16</v>
      </c>
      <c r="E111" s="5"/>
      <c r="F111" s="1">
        <v>4</v>
      </c>
      <c r="G111" s="1">
        <v>2</v>
      </c>
      <c r="H111" s="2" t="s">
        <v>8</v>
      </c>
      <c r="I111" s="5" t="str">
        <f>IF(IF(Table44246665[[#This Row],[Pre or Post]]="Pre",1,0)+IF(ISNUMBER(Table44246665[[#This Row],[Response]])=TRUE,1,0)=2,1,"")</f>
        <v/>
      </c>
      <c r="J111" s="5">
        <f>IF(IF(Table44246665[[#This Row],[Pre or Post]]="Post",1,0)+IF(ISNUMBER(Table44246665[[#This Row],[Response]])=TRUE,1,0)=2,1,"")</f>
        <v>1</v>
      </c>
      <c r="K111" s="6" t="str">
        <f>IF(IF(Table44246665[[#This Row],[Pre or Post]]="Pre",1,0)+IF(ISNUMBER(Table44246665[[#This Row],[Response]])=TRUE,1,0)=2,Table44246665[[#This Row],[Response]],"")</f>
        <v/>
      </c>
      <c r="L111" s="6">
        <f>IF(IF(Table44246665[[#This Row],[Pre or Post]]="Post",1,0)+IF(ISNUMBER(Table44246665[[#This Row],[Response]])=TRUE,1,0)=2,Table44246665[[#This Row],[Response]],"")</f>
        <v>2</v>
      </c>
      <c r="M111" s="5" t="str">
        <f>IF(IF(ISNUMBER(K111),1,0)+IF(ISNUMBER(L112),1,0)=2,IF(IF(C112=C111,1,0)+IF(B112=B111,1,0)+IF(D112="Post",1,0)+IF(D111="Pre",1,0)=4,Table44246665[[#This Row],[Pre Total]],""),"")</f>
        <v/>
      </c>
      <c r="N111" s="5">
        <f>IF(IF(ISNUMBER(K110),1,0)+IF(ISNUMBER(Table44246665[[#This Row],[Post Total]]),1,0)=2,IF(IF(Table44246665[[#This Row],[Student Number]]=C110,1,0)+IF(Table44246665[[#This Row],[Session]]=B110,1,0)+IF(Table44246665[[#This Row],[Pre or Post]]="Post",1,0)+IF(D110="Pre",1,0)=4,Table44246665[[#This Row],[Post Total]],""),"")</f>
        <v>2</v>
      </c>
      <c r="O111" s="5">
        <f>IF(IF(ISNUMBER(K110),1,0)+IF(ISNUMBER(Table44246665[[#This Row],[Post Total]]),1,0)=2,IF(IF(Table44246665[[#This Row],[Student Number]]=C110,1,0)+IF(Table44246665[[#This Row],[Session]]=B110,1,0)+IF(Table44246665[[#This Row],[Pre or Post]]="Post",1,0)+IF(D110="Pre",1,0)=4,Table44246665[[#This Row],[Post Total]]-K110,""),"")</f>
        <v>-1</v>
      </c>
      <c r="P111" s="5" t="b">
        <f>ISNUMBER(Table44246665[[#This Row],[Change]])</f>
        <v>1</v>
      </c>
      <c r="Q111" s="5">
        <f>IF(E110="Yes",Table44246665[[#This Row],[Change]],"")</f>
        <v>-1</v>
      </c>
      <c r="R111" s="5" t="str">
        <f>IF(E110="No",Table44246665[[#This Row],[Change]],"")</f>
        <v/>
      </c>
      <c r="S111" s="5" t="b">
        <f>ISNUMBER(Table44246665[[#This Row],[If Pre3 Yes]])</f>
        <v>1</v>
      </c>
      <c r="T111" s="5" t="b">
        <f>ISNUMBER(Table44246665[[#This Row],[If Pre3 No]])</f>
        <v>0</v>
      </c>
    </row>
    <row r="112" spans="1:20">
      <c r="A112" s="2" t="s">
        <v>24</v>
      </c>
      <c r="B112" s="2" t="s">
        <v>28</v>
      </c>
      <c r="C112" s="1">
        <v>13</v>
      </c>
      <c r="D112" s="1" t="s">
        <v>6</v>
      </c>
      <c r="E112" s="5" t="s">
        <v>8</v>
      </c>
      <c r="F112" s="1">
        <v>11</v>
      </c>
      <c r="G112" s="2">
        <v>3</v>
      </c>
      <c r="H112" s="2" t="s">
        <v>8</v>
      </c>
      <c r="I112" s="5">
        <f>IF(IF(Table44246665[[#This Row],[Pre or Post]]="Pre",1,0)+IF(ISNUMBER(Table44246665[[#This Row],[Response]])=TRUE,1,0)=2,1,"")</f>
        <v>1</v>
      </c>
      <c r="J112" s="5" t="str">
        <f>IF(IF(Table44246665[[#This Row],[Pre or Post]]="Post",1,0)+IF(ISNUMBER(Table44246665[[#This Row],[Response]])=TRUE,1,0)=2,1,"")</f>
        <v/>
      </c>
      <c r="K112" s="6">
        <f>IF(IF(Table44246665[[#This Row],[Pre or Post]]="Pre",1,0)+IF(ISNUMBER(Table44246665[[#This Row],[Response]])=TRUE,1,0)=2,Table44246665[[#This Row],[Response]],"")</f>
        <v>3</v>
      </c>
      <c r="L112" s="6" t="str">
        <f>IF(IF(Table44246665[[#This Row],[Pre or Post]]="Post",1,0)+IF(ISNUMBER(Table44246665[[#This Row],[Response]])=TRUE,1,0)=2,Table44246665[[#This Row],[Response]],"")</f>
        <v/>
      </c>
      <c r="M112" s="5">
        <f>IF(IF(ISNUMBER(K112),1,0)+IF(ISNUMBER(L113),1,0)=2,IF(IF(C113=C112,1,0)+IF(B113=B112,1,0)+IF(D113="Post",1,0)+IF(D112="Pre",1,0)=4,Table44246665[[#This Row],[Pre Total]],""),"")</f>
        <v>3</v>
      </c>
      <c r="N112" s="5" t="str">
        <f>IF(IF(ISNUMBER(K111),1,0)+IF(ISNUMBER(Table44246665[[#This Row],[Post Total]]),1,0)=2,IF(IF(Table44246665[[#This Row],[Student Number]]=C111,1,0)+IF(Table44246665[[#This Row],[Session]]=B111,1,0)+IF(Table44246665[[#This Row],[Pre or Post]]="Post",1,0)+IF(D111="Pre",1,0)=4,Table44246665[[#This Row],[Post Total]],""),"")</f>
        <v/>
      </c>
      <c r="O112" s="5" t="str">
        <f>IF(IF(ISNUMBER(K111),1,0)+IF(ISNUMBER(Table44246665[[#This Row],[Post Total]]),1,0)=2,IF(IF(Table44246665[[#This Row],[Student Number]]=C111,1,0)+IF(Table44246665[[#This Row],[Session]]=B111,1,0)+IF(Table44246665[[#This Row],[Pre or Post]]="Post",1,0)+IF(D111="Pre",1,0)=4,Table44246665[[#This Row],[Post Total]]-K111,""),"")</f>
        <v/>
      </c>
      <c r="P112" s="5" t="b">
        <f>ISNUMBER(Table44246665[[#This Row],[Change]])</f>
        <v>0</v>
      </c>
      <c r="Q112" s="5" t="str">
        <f>IF(E111="Yes",Table44246665[[#This Row],[Change]],"")</f>
        <v/>
      </c>
      <c r="R112" s="5" t="str">
        <f>IF(E111="No",Table44246665[[#This Row],[Change]],"")</f>
        <v/>
      </c>
      <c r="S112" s="5" t="b">
        <f>ISNUMBER(Table44246665[[#This Row],[If Pre3 Yes]])</f>
        <v>0</v>
      </c>
      <c r="T112" s="5" t="b">
        <f>ISNUMBER(Table44246665[[#This Row],[If Pre3 No]])</f>
        <v>0</v>
      </c>
    </row>
    <row r="113" spans="1:20">
      <c r="A113" s="2" t="s">
        <v>24</v>
      </c>
      <c r="B113" s="2" t="s">
        <v>28</v>
      </c>
      <c r="C113" s="1">
        <v>13</v>
      </c>
      <c r="D113" s="1" t="s">
        <v>16</v>
      </c>
      <c r="E113" s="5"/>
      <c r="F113" s="1">
        <v>4</v>
      </c>
      <c r="G113" s="1">
        <v>3</v>
      </c>
      <c r="H113" s="2" t="s">
        <v>8</v>
      </c>
      <c r="I113" s="6" t="str">
        <f>IF(IF(Table44246665[[#This Row],[Pre or Post]]="Pre",1,0)+IF(ISNUMBER(Table44246665[[#This Row],[Response]])=TRUE,1,0)=2,1,"")</f>
        <v/>
      </c>
      <c r="J113" s="6">
        <f>IF(IF(Table44246665[[#This Row],[Pre or Post]]="Post",1,0)+IF(ISNUMBER(Table44246665[[#This Row],[Response]])=TRUE,1,0)=2,1,"")</f>
        <v>1</v>
      </c>
      <c r="K113" s="6" t="str">
        <f>IF(IF(Table44246665[[#This Row],[Pre or Post]]="Pre",1,0)+IF(ISNUMBER(Table44246665[[#This Row],[Response]])=TRUE,1,0)=2,Table44246665[[#This Row],[Response]],"")</f>
        <v/>
      </c>
      <c r="L113" s="6">
        <f>IF(IF(Table44246665[[#This Row],[Pre or Post]]="Post",1,0)+IF(ISNUMBER(Table44246665[[#This Row],[Response]])=TRUE,1,0)=2,Table44246665[[#This Row],[Response]],"")</f>
        <v>3</v>
      </c>
      <c r="M113" s="6" t="str">
        <f>IF(IF(ISNUMBER(K113),1,0)+IF(ISNUMBER(L114),1,0)=2,IF(IF(C114=C113,1,0)+IF(B114=B113,1,0)+IF(D114="Post",1,0)+IF(D113="Pre",1,0)=4,Table44246665[[#This Row],[Pre Total]],""),"")</f>
        <v/>
      </c>
      <c r="N113" s="6">
        <f>IF(IF(ISNUMBER(K112),1,0)+IF(ISNUMBER(Table44246665[[#This Row],[Post Total]]),1,0)=2,IF(IF(Table44246665[[#This Row],[Student Number]]=C112,1,0)+IF(Table44246665[[#This Row],[Session]]=B112,1,0)+IF(Table44246665[[#This Row],[Pre or Post]]="Post",1,0)+IF(D112="Pre",1,0)=4,Table44246665[[#This Row],[Post Total]],""),"")</f>
        <v>3</v>
      </c>
      <c r="O113" s="6">
        <f>IF(IF(ISNUMBER(K112),1,0)+IF(ISNUMBER(Table44246665[[#This Row],[Post Total]]),1,0)=2,IF(IF(Table44246665[[#This Row],[Student Number]]=C112,1,0)+IF(Table44246665[[#This Row],[Session]]=B112,1,0)+IF(Table44246665[[#This Row],[Pre or Post]]="Post",1,0)+IF(D112="Pre",1,0)=4,Table44246665[[#This Row],[Post Total]]-K112,""),"")</f>
        <v>0</v>
      </c>
      <c r="P113" s="6" t="b">
        <f>ISNUMBER(Table44246665[[#This Row],[Change]])</f>
        <v>1</v>
      </c>
      <c r="Q113" s="5">
        <f>IF(E112="Yes",Table44246665[[#This Row],[Change]],"")</f>
        <v>0</v>
      </c>
      <c r="R113" s="5" t="str">
        <f>IF(E112="No",Table44246665[[#This Row],[Change]],"")</f>
        <v/>
      </c>
      <c r="S113" s="5" t="b">
        <f>ISNUMBER(Table44246665[[#This Row],[If Pre3 Yes]])</f>
        <v>1</v>
      </c>
      <c r="T113" s="5" t="b">
        <f>ISNUMBER(Table44246665[[#This Row],[If Pre3 No]])</f>
        <v>0</v>
      </c>
    </row>
    <row r="114" spans="1:20">
      <c r="A114" s="2" t="s">
        <v>24</v>
      </c>
      <c r="B114" s="2" t="s">
        <v>31</v>
      </c>
      <c r="C114" s="1">
        <v>1</v>
      </c>
      <c r="D114" s="2" t="s">
        <v>16</v>
      </c>
      <c r="E114" s="6" t="s">
        <v>171</v>
      </c>
      <c r="F114" s="1">
        <v>4</v>
      </c>
      <c r="G114" s="1">
        <v>5</v>
      </c>
      <c r="H114" s="2" t="s">
        <v>9</v>
      </c>
      <c r="I114" s="5" t="str">
        <f>IF(IF(Table44246665[[#This Row],[Pre or Post]]="Pre",1,0)+IF(ISNUMBER(Table44246665[[#This Row],[Response]])=TRUE,1,0)=2,1,"")</f>
        <v/>
      </c>
      <c r="J114" s="5">
        <f>IF(IF(Table44246665[[#This Row],[Pre or Post]]="Post",1,0)+IF(ISNUMBER(Table44246665[[#This Row],[Response]])=TRUE,1,0)=2,1,"")</f>
        <v>1</v>
      </c>
      <c r="K114" s="6" t="str">
        <f>IF(IF(Table44246665[[#This Row],[Pre or Post]]="Pre",1,0)+IF(ISNUMBER(Table44246665[[#This Row],[Response]])=TRUE,1,0)=2,Table44246665[[#This Row],[Response]],"")</f>
        <v/>
      </c>
      <c r="L114" s="6">
        <f>IF(IF(Table44246665[[#This Row],[Pre or Post]]="Post",1,0)+IF(ISNUMBER(Table44246665[[#This Row],[Response]])=TRUE,1,0)=2,Table44246665[[#This Row],[Response]],"")</f>
        <v>5</v>
      </c>
      <c r="M114" s="5" t="str">
        <f>IF(IF(ISNUMBER(K114),1,0)+IF(ISNUMBER(L115),1,0)=2,IF(IF(C115=C114,1,0)+IF(B115=B114,1,0)+IF(D115="Post",1,0)+IF(D114="Pre",1,0)=4,Table44246665[[#This Row],[Pre Total]],""),"")</f>
        <v/>
      </c>
      <c r="N114" s="5" t="str">
        <f>IF(IF(ISNUMBER(K113),1,0)+IF(ISNUMBER(Table44246665[[#This Row],[Post Total]]),1,0)=2,IF(IF(Table44246665[[#This Row],[Student Number]]=C113,1,0)+IF(Table44246665[[#This Row],[Session]]=B113,1,0)+IF(Table44246665[[#This Row],[Pre or Post]]="Post",1,0)+IF(D113="Pre",1,0)=4,Table44246665[[#This Row],[Post Total]],""),"")</f>
        <v/>
      </c>
      <c r="O114" s="5" t="str">
        <f>IF(IF(ISNUMBER(K113),1,0)+IF(ISNUMBER(Table44246665[[#This Row],[Post Total]]),1,0)=2,IF(IF(Table44246665[[#This Row],[Student Number]]=C113,1,0)+IF(Table44246665[[#This Row],[Session]]=B113,1,0)+IF(Table44246665[[#This Row],[Pre or Post]]="Post",1,0)+IF(D113="Pre",1,0)=4,Table44246665[[#This Row],[Post Total]]-K113,""),"")</f>
        <v/>
      </c>
      <c r="P114" s="5" t="b">
        <f>ISNUMBER(Table44246665[[#This Row],[Change]])</f>
        <v>0</v>
      </c>
      <c r="Q114" s="5" t="str">
        <f>IF(E113="Yes",Table44246665[[#This Row],[Change]],"")</f>
        <v/>
      </c>
      <c r="R114" s="5" t="str">
        <f>IF(E113="No",Table44246665[[#This Row],[Change]],"")</f>
        <v/>
      </c>
      <c r="S114" s="5" t="b">
        <f>ISNUMBER(Table44246665[[#This Row],[If Pre3 Yes]])</f>
        <v>0</v>
      </c>
      <c r="T114" s="5" t="b">
        <f>ISNUMBER(Table44246665[[#This Row],[If Pre3 No]])</f>
        <v>0</v>
      </c>
    </row>
    <row r="115" spans="1:20">
      <c r="A115" s="2" t="s">
        <v>24</v>
      </c>
      <c r="B115" s="2" t="s">
        <v>31</v>
      </c>
      <c r="C115" s="1">
        <v>2</v>
      </c>
      <c r="D115" s="2" t="s">
        <v>16</v>
      </c>
      <c r="E115" s="6" t="s">
        <v>171</v>
      </c>
      <c r="F115" s="1">
        <v>4</v>
      </c>
      <c r="G115" s="1">
        <v>2</v>
      </c>
      <c r="H115" s="2" t="s">
        <v>9</v>
      </c>
      <c r="I115" s="5" t="str">
        <f>IF(IF(Table44246665[[#This Row],[Pre or Post]]="Pre",1,0)+IF(ISNUMBER(Table44246665[[#This Row],[Response]])=TRUE,1,0)=2,1,"")</f>
        <v/>
      </c>
      <c r="J115" s="5">
        <f>IF(IF(Table44246665[[#This Row],[Pre or Post]]="Post",1,0)+IF(ISNUMBER(Table44246665[[#This Row],[Response]])=TRUE,1,0)=2,1,"")</f>
        <v>1</v>
      </c>
      <c r="K115" s="6" t="str">
        <f>IF(IF(Table44246665[[#This Row],[Pre or Post]]="Pre",1,0)+IF(ISNUMBER(Table44246665[[#This Row],[Response]])=TRUE,1,0)=2,Table44246665[[#This Row],[Response]],"")</f>
        <v/>
      </c>
      <c r="L115" s="6">
        <f>IF(IF(Table44246665[[#This Row],[Pre or Post]]="Post",1,0)+IF(ISNUMBER(Table44246665[[#This Row],[Response]])=TRUE,1,0)=2,Table44246665[[#This Row],[Response]],"")</f>
        <v>2</v>
      </c>
      <c r="M115" s="5" t="str">
        <f>IF(IF(ISNUMBER(K115),1,0)+IF(ISNUMBER(L116),1,0)=2,IF(IF(C116=C115,1,0)+IF(B116=B115,1,0)+IF(D116="Post",1,0)+IF(D115="Pre",1,0)=4,Table44246665[[#This Row],[Pre Total]],""),"")</f>
        <v/>
      </c>
      <c r="N115" s="5" t="str">
        <f>IF(IF(ISNUMBER(K114),1,0)+IF(ISNUMBER(Table44246665[[#This Row],[Post Total]]),1,0)=2,IF(IF(Table44246665[[#This Row],[Student Number]]=C114,1,0)+IF(Table44246665[[#This Row],[Session]]=B114,1,0)+IF(Table44246665[[#This Row],[Pre or Post]]="Post",1,0)+IF(D114="Pre",1,0)=4,Table44246665[[#This Row],[Post Total]],""),"")</f>
        <v/>
      </c>
      <c r="O115" s="5" t="str">
        <f>IF(IF(ISNUMBER(K114),1,0)+IF(ISNUMBER(Table44246665[[#This Row],[Post Total]]),1,0)=2,IF(IF(Table44246665[[#This Row],[Student Number]]=C114,1,0)+IF(Table44246665[[#This Row],[Session]]=B114,1,0)+IF(Table44246665[[#This Row],[Pre or Post]]="Post",1,0)+IF(D114="Pre",1,0)=4,Table44246665[[#This Row],[Post Total]]-K114,""),"")</f>
        <v/>
      </c>
      <c r="P115" s="5" t="b">
        <f>ISNUMBER(Table44246665[[#This Row],[Change]])</f>
        <v>0</v>
      </c>
      <c r="Q115" s="5" t="str">
        <f>IF(E114="Yes",Table44246665[[#This Row],[Change]],"")</f>
        <v/>
      </c>
      <c r="R115" s="5" t="str">
        <f>IF(E114="No",Table44246665[[#This Row],[Change]],"")</f>
        <v/>
      </c>
      <c r="S115" s="5" t="b">
        <f>ISNUMBER(Table44246665[[#This Row],[If Pre3 Yes]])</f>
        <v>0</v>
      </c>
      <c r="T115" s="5" t="b">
        <f>ISNUMBER(Table44246665[[#This Row],[If Pre3 No]])</f>
        <v>0</v>
      </c>
    </row>
    <row r="116" spans="1:20">
      <c r="A116" s="2" t="s">
        <v>24</v>
      </c>
      <c r="B116" s="2" t="s">
        <v>31</v>
      </c>
      <c r="C116" s="1">
        <v>3</v>
      </c>
      <c r="D116" s="2" t="s">
        <v>16</v>
      </c>
      <c r="E116" s="6" t="s">
        <v>171</v>
      </c>
      <c r="F116" s="1">
        <v>4</v>
      </c>
      <c r="G116" s="1">
        <v>4</v>
      </c>
      <c r="H116" s="2" t="s">
        <v>9</v>
      </c>
      <c r="I116" s="6" t="str">
        <f>IF(IF(Table44246665[[#This Row],[Pre or Post]]="Pre",1,0)+IF(ISNUMBER(Table44246665[[#This Row],[Response]])=TRUE,1,0)=2,1,"")</f>
        <v/>
      </c>
      <c r="J116" s="6">
        <f>IF(IF(Table44246665[[#This Row],[Pre or Post]]="Post",1,0)+IF(ISNUMBER(Table44246665[[#This Row],[Response]])=TRUE,1,0)=2,1,"")</f>
        <v>1</v>
      </c>
      <c r="K116" s="6" t="str">
        <f>IF(IF(Table44246665[[#This Row],[Pre or Post]]="Pre",1,0)+IF(ISNUMBER(Table44246665[[#This Row],[Response]])=TRUE,1,0)=2,Table44246665[[#This Row],[Response]],"")</f>
        <v/>
      </c>
      <c r="L116" s="6">
        <f>IF(IF(Table44246665[[#This Row],[Pre or Post]]="Post",1,0)+IF(ISNUMBER(Table44246665[[#This Row],[Response]])=TRUE,1,0)=2,Table44246665[[#This Row],[Response]],"")</f>
        <v>4</v>
      </c>
      <c r="M116" s="6" t="str">
        <f>IF(IF(ISNUMBER(K116),1,0)+IF(ISNUMBER(L117),1,0)=2,IF(IF(C117=C116,1,0)+IF(B117=B116,1,0)+IF(D117="Post",1,0)+IF(D116="Pre",1,0)=4,Table44246665[[#This Row],[Pre Total]],""),"")</f>
        <v/>
      </c>
      <c r="N116" s="6" t="str">
        <f>IF(IF(ISNUMBER(K115),1,0)+IF(ISNUMBER(Table44246665[[#This Row],[Post Total]]),1,0)=2,IF(IF(Table44246665[[#This Row],[Student Number]]=C115,1,0)+IF(Table44246665[[#This Row],[Session]]=B115,1,0)+IF(Table44246665[[#This Row],[Pre or Post]]="Post",1,0)+IF(D115="Pre",1,0)=4,Table44246665[[#This Row],[Post Total]],""),"")</f>
        <v/>
      </c>
      <c r="O116" s="6" t="str">
        <f>IF(IF(ISNUMBER(K115),1,0)+IF(ISNUMBER(Table44246665[[#This Row],[Post Total]]),1,0)=2,IF(IF(Table44246665[[#This Row],[Student Number]]=C115,1,0)+IF(Table44246665[[#This Row],[Session]]=B115,1,0)+IF(Table44246665[[#This Row],[Pre or Post]]="Post",1,0)+IF(D115="Pre",1,0)=4,Table44246665[[#This Row],[Post Total]]-K115,""),"")</f>
        <v/>
      </c>
      <c r="P116" s="6" t="b">
        <f>ISNUMBER(Table44246665[[#This Row],[Change]])</f>
        <v>0</v>
      </c>
      <c r="Q116" s="5" t="str">
        <f>IF(E115="Yes",Table44246665[[#This Row],[Change]],"")</f>
        <v/>
      </c>
      <c r="R116" s="5" t="str">
        <f>IF(E115="No",Table44246665[[#This Row],[Change]],"")</f>
        <v/>
      </c>
      <c r="S116" s="5" t="b">
        <f>ISNUMBER(Table44246665[[#This Row],[If Pre3 Yes]])</f>
        <v>0</v>
      </c>
      <c r="T116" s="5" t="b">
        <f>ISNUMBER(Table44246665[[#This Row],[If Pre3 No]])</f>
        <v>0</v>
      </c>
    </row>
    <row r="117" spans="1:20">
      <c r="A117" s="2" t="s">
        <v>24</v>
      </c>
      <c r="B117" s="2" t="s">
        <v>31</v>
      </c>
      <c r="C117" s="1">
        <v>4</v>
      </c>
      <c r="D117" s="2" t="s">
        <v>16</v>
      </c>
      <c r="E117" s="6" t="s">
        <v>171</v>
      </c>
      <c r="F117" s="1">
        <v>4</v>
      </c>
      <c r="G117" s="1">
        <v>4</v>
      </c>
      <c r="H117" s="2" t="s">
        <v>9</v>
      </c>
      <c r="I117" s="5" t="str">
        <f>IF(IF(Table44246665[[#This Row],[Pre or Post]]="Pre",1,0)+IF(ISNUMBER(Table44246665[[#This Row],[Response]])=TRUE,1,0)=2,1,"")</f>
        <v/>
      </c>
      <c r="J117" s="5">
        <f>IF(IF(Table44246665[[#This Row],[Pre or Post]]="Post",1,0)+IF(ISNUMBER(Table44246665[[#This Row],[Response]])=TRUE,1,0)=2,1,"")</f>
        <v>1</v>
      </c>
      <c r="K117" s="6" t="str">
        <f>IF(IF(Table44246665[[#This Row],[Pre or Post]]="Pre",1,0)+IF(ISNUMBER(Table44246665[[#This Row],[Response]])=TRUE,1,0)=2,Table44246665[[#This Row],[Response]],"")</f>
        <v/>
      </c>
      <c r="L117" s="6">
        <f>IF(IF(Table44246665[[#This Row],[Pre or Post]]="Post",1,0)+IF(ISNUMBER(Table44246665[[#This Row],[Response]])=TRUE,1,0)=2,Table44246665[[#This Row],[Response]],"")</f>
        <v>4</v>
      </c>
      <c r="M117" s="5" t="str">
        <f>IF(IF(ISNUMBER(K117),1,0)+IF(ISNUMBER(L118),1,0)=2,IF(IF(C118=C117,1,0)+IF(B118=B117,1,0)+IF(D118="Post",1,0)+IF(D117="Pre",1,0)=4,Table44246665[[#This Row],[Pre Total]],""),"")</f>
        <v/>
      </c>
      <c r="N117" s="5" t="str">
        <f>IF(IF(ISNUMBER(K116),1,0)+IF(ISNUMBER(Table44246665[[#This Row],[Post Total]]),1,0)=2,IF(IF(Table44246665[[#This Row],[Student Number]]=C116,1,0)+IF(Table44246665[[#This Row],[Session]]=B116,1,0)+IF(Table44246665[[#This Row],[Pre or Post]]="Post",1,0)+IF(D116="Pre",1,0)=4,Table44246665[[#This Row],[Post Total]],""),"")</f>
        <v/>
      </c>
      <c r="O117" s="5" t="str">
        <f>IF(IF(ISNUMBER(K116),1,0)+IF(ISNUMBER(Table44246665[[#This Row],[Post Total]]),1,0)=2,IF(IF(Table44246665[[#This Row],[Student Number]]=C116,1,0)+IF(Table44246665[[#This Row],[Session]]=B116,1,0)+IF(Table44246665[[#This Row],[Pre or Post]]="Post",1,0)+IF(D116="Pre",1,0)=4,Table44246665[[#This Row],[Post Total]]-K116,""),"")</f>
        <v/>
      </c>
      <c r="P117" s="5" t="b">
        <f>ISNUMBER(Table44246665[[#This Row],[Change]])</f>
        <v>0</v>
      </c>
      <c r="Q117" s="5" t="str">
        <f>IF(E116="Yes",Table44246665[[#This Row],[Change]],"")</f>
        <v/>
      </c>
      <c r="R117" s="5" t="str">
        <f>IF(E116="No",Table44246665[[#This Row],[Change]],"")</f>
        <v/>
      </c>
      <c r="S117" s="5" t="b">
        <f>ISNUMBER(Table44246665[[#This Row],[If Pre3 Yes]])</f>
        <v>0</v>
      </c>
      <c r="T117" s="5" t="b">
        <f>ISNUMBER(Table44246665[[#This Row],[If Pre3 No]])</f>
        <v>0</v>
      </c>
    </row>
    <row r="118" spans="1:20">
      <c r="A118" s="2" t="s">
        <v>24</v>
      </c>
      <c r="B118" s="2" t="s">
        <v>31</v>
      </c>
      <c r="C118" s="1">
        <v>5</v>
      </c>
      <c r="D118" s="2" t="s">
        <v>16</v>
      </c>
      <c r="E118" s="6" t="s">
        <v>171</v>
      </c>
      <c r="F118" s="1">
        <v>4</v>
      </c>
      <c r="G118" s="1">
        <v>5</v>
      </c>
      <c r="H118" s="2" t="s">
        <v>9</v>
      </c>
      <c r="I118" s="5" t="str">
        <f>IF(IF(Table44246665[[#This Row],[Pre or Post]]="Pre",1,0)+IF(ISNUMBER(Table44246665[[#This Row],[Response]])=TRUE,1,0)=2,1,"")</f>
        <v/>
      </c>
      <c r="J118" s="5">
        <f>IF(IF(Table44246665[[#This Row],[Pre or Post]]="Post",1,0)+IF(ISNUMBER(Table44246665[[#This Row],[Response]])=TRUE,1,0)=2,1,"")</f>
        <v>1</v>
      </c>
      <c r="K118" s="6" t="str">
        <f>IF(IF(Table44246665[[#This Row],[Pre or Post]]="Pre",1,0)+IF(ISNUMBER(Table44246665[[#This Row],[Response]])=TRUE,1,0)=2,Table44246665[[#This Row],[Response]],"")</f>
        <v/>
      </c>
      <c r="L118" s="6">
        <f>IF(IF(Table44246665[[#This Row],[Pre or Post]]="Post",1,0)+IF(ISNUMBER(Table44246665[[#This Row],[Response]])=TRUE,1,0)=2,Table44246665[[#This Row],[Response]],"")</f>
        <v>5</v>
      </c>
      <c r="M118" s="5" t="str">
        <f>IF(IF(ISNUMBER(K118),1,0)+IF(ISNUMBER(L119),1,0)=2,IF(IF(C119=C118,1,0)+IF(B119=B118,1,0)+IF(D119="Post",1,0)+IF(D118="Pre",1,0)=4,Table44246665[[#This Row],[Pre Total]],""),"")</f>
        <v/>
      </c>
      <c r="N118" s="5" t="str">
        <f>IF(IF(ISNUMBER(K117),1,0)+IF(ISNUMBER(Table44246665[[#This Row],[Post Total]]),1,0)=2,IF(IF(Table44246665[[#This Row],[Student Number]]=C117,1,0)+IF(Table44246665[[#This Row],[Session]]=B117,1,0)+IF(Table44246665[[#This Row],[Pre or Post]]="Post",1,0)+IF(D117="Pre",1,0)=4,Table44246665[[#This Row],[Post Total]],""),"")</f>
        <v/>
      </c>
      <c r="O118" s="5" t="str">
        <f>IF(IF(ISNUMBER(K117),1,0)+IF(ISNUMBER(Table44246665[[#This Row],[Post Total]]),1,0)=2,IF(IF(Table44246665[[#This Row],[Student Number]]=C117,1,0)+IF(Table44246665[[#This Row],[Session]]=B117,1,0)+IF(Table44246665[[#This Row],[Pre or Post]]="Post",1,0)+IF(D117="Pre",1,0)=4,Table44246665[[#This Row],[Post Total]]-K117,""),"")</f>
        <v/>
      </c>
      <c r="P118" s="5" t="b">
        <f>ISNUMBER(Table44246665[[#This Row],[Change]])</f>
        <v>0</v>
      </c>
      <c r="Q118" s="5" t="str">
        <f>IF(E117="Yes",Table44246665[[#This Row],[Change]],"")</f>
        <v/>
      </c>
      <c r="R118" s="5" t="str">
        <f>IF(E117="No",Table44246665[[#This Row],[Change]],"")</f>
        <v/>
      </c>
      <c r="S118" s="5" t="b">
        <f>ISNUMBER(Table44246665[[#This Row],[If Pre3 Yes]])</f>
        <v>0</v>
      </c>
      <c r="T118" s="5" t="b">
        <f>ISNUMBER(Table44246665[[#This Row],[If Pre3 No]])</f>
        <v>0</v>
      </c>
    </row>
    <row r="119" spans="1:20">
      <c r="A119" s="2" t="s">
        <v>24</v>
      </c>
      <c r="B119" s="2" t="s">
        <v>31</v>
      </c>
      <c r="C119" s="1">
        <v>6</v>
      </c>
      <c r="D119" s="2" t="s">
        <v>16</v>
      </c>
      <c r="E119" s="6" t="s">
        <v>171</v>
      </c>
      <c r="F119" s="1">
        <v>4</v>
      </c>
      <c r="G119" s="1">
        <v>3</v>
      </c>
      <c r="H119" s="2" t="s">
        <v>9</v>
      </c>
      <c r="I119" s="5" t="str">
        <f>IF(IF(Table44246665[[#This Row],[Pre or Post]]="Pre",1,0)+IF(ISNUMBER(Table44246665[[#This Row],[Response]])=TRUE,1,0)=2,1,"")</f>
        <v/>
      </c>
      <c r="J119" s="5">
        <f>IF(IF(Table44246665[[#This Row],[Pre or Post]]="Post",1,0)+IF(ISNUMBER(Table44246665[[#This Row],[Response]])=TRUE,1,0)=2,1,"")</f>
        <v>1</v>
      </c>
      <c r="K119" s="6" t="str">
        <f>IF(IF(Table44246665[[#This Row],[Pre or Post]]="Pre",1,0)+IF(ISNUMBER(Table44246665[[#This Row],[Response]])=TRUE,1,0)=2,Table44246665[[#This Row],[Response]],"")</f>
        <v/>
      </c>
      <c r="L119" s="6">
        <f>IF(IF(Table44246665[[#This Row],[Pre or Post]]="Post",1,0)+IF(ISNUMBER(Table44246665[[#This Row],[Response]])=TRUE,1,0)=2,Table44246665[[#This Row],[Response]],"")</f>
        <v>3</v>
      </c>
      <c r="M119" s="5" t="str">
        <f>IF(IF(ISNUMBER(K119),1,0)+IF(ISNUMBER(L120),1,0)=2,IF(IF(C120=C119,1,0)+IF(B120=B119,1,0)+IF(D120="Post",1,0)+IF(D119="Pre",1,0)=4,Table44246665[[#This Row],[Pre Total]],""),"")</f>
        <v/>
      </c>
      <c r="N119" s="5" t="str">
        <f>IF(IF(ISNUMBER(K118),1,0)+IF(ISNUMBER(Table44246665[[#This Row],[Post Total]]),1,0)=2,IF(IF(Table44246665[[#This Row],[Student Number]]=C118,1,0)+IF(Table44246665[[#This Row],[Session]]=B118,1,0)+IF(Table44246665[[#This Row],[Pre or Post]]="Post",1,0)+IF(D118="Pre",1,0)=4,Table44246665[[#This Row],[Post Total]],""),"")</f>
        <v/>
      </c>
      <c r="O119" s="5" t="str">
        <f>IF(IF(ISNUMBER(K118),1,0)+IF(ISNUMBER(Table44246665[[#This Row],[Post Total]]),1,0)=2,IF(IF(Table44246665[[#This Row],[Student Number]]=C118,1,0)+IF(Table44246665[[#This Row],[Session]]=B118,1,0)+IF(Table44246665[[#This Row],[Pre or Post]]="Post",1,0)+IF(D118="Pre",1,0)=4,Table44246665[[#This Row],[Post Total]]-K118,""),"")</f>
        <v/>
      </c>
      <c r="P119" s="5" t="b">
        <f>ISNUMBER(Table44246665[[#This Row],[Change]])</f>
        <v>0</v>
      </c>
      <c r="Q119" s="5" t="str">
        <f>IF(E118="Yes",Table44246665[[#This Row],[Change]],"")</f>
        <v/>
      </c>
      <c r="R119" s="5" t="str">
        <f>IF(E118="No",Table44246665[[#This Row],[Change]],"")</f>
        <v/>
      </c>
      <c r="S119" s="5" t="b">
        <f>ISNUMBER(Table44246665[[#This Row],[If Pre3 Yes]])</f>
        <v>0</v>
      </c>
      <c r="T119" s="5" t="b">
        <f>ISNUMBER(Table44246665[[#This Row],[If Pre3 No]])</f>
        <v>0</v>
      </c>
    </row>
    <row r="120" spans="1:20">
      <c r="A120" s="2" t="s">
        <v>24</v>
      </c>
      <c r="B120" s="2" t="s">
        <v>31</v>
      </c>
      <c r="C120" s="1">
        <v>7</v>
      </c>
      <c r="D120" s="2" t="s">
        <v>16</v>
      </c>
      <c r="E120" s="6" t="s">
        <v>171</v>
      </c>
      <c r="F120" s="1">
        <v>4</v>
      </c>
      <c r="G120" s="1">
        <v>5</v>
      </c>
      <c r="H120" s="2" t="s">
        <v>9</v>
      </c>
      <c r="I120" s="6" t="str">
        <f>IF(IF(Table44246665[[#This Row],[Pre or Post]]="Pre",1,0)+IF(ISNUMBER(Table44246665[[#This Row],[Response]])=TRUE,1,0)=2,1,"")</f>
        <v/>
      </c>
      <c r="J120" s="6">
        <f>IF(IF(Table44246665[[#This Row],[Pre or Post]]="Post",1,0)+IF(ISNUMBER(Table44246665[[#This Row],[Response]])=TRUE,1,0)=2,1,"")</f>
        <v>1</v>
      </c>
      <c r="K120" s="6" t="str">
        <f>IF(IF(Table44246665[[#This Row],[Pre or Post]]="Pre",1,0)+IF(ISNUMBER(Table44246665[[#This Row],[Response]])=TRUE,1,0)=2,Table44246665[[#This Row],[Response]],"")</f>
        <v/>
      </c>
      <c r="L120" s="6">
        <f>IF(IF(Table44246665[[#This Row],[Pre or Post]]="Post",1,0)+IF(ISNUMBER(Table44246665[[#This Row],[Response]])=TRUE,1,0)=2,Table44246665[[#This Row],[Response]],"")</f>
        <v>5</v>
      </c>
      <c r="M120" s="6" t="str">
        <f>IF(IF(ISNUMBER(K120),1,0)+IF(ISNUMBER(L121),1,0)=2,IF(IF(C121=C120,1,0)+IF(B121=B120,1,0)+IF(D121="Post",1,0)+IF(D120="Pre",1,0)=4,Table44246665[[#This Row],[Pre Total]],""),"")</f>
        <v/>
      </c>
      <c r="N120" s="6" t="str">
        <f>IF(IF(ISNUMBER(K119),1,0)+IF(ISNUMBER(Table44246665[[#This Row],[Post Total]]),1,0)=2,IF(IF(Table44246665[[#This Row],[Student Number]]=C119,1,0)+IF(Table44246665[[#This Row],[Session]]=B119,1,0)+IF(Table44246665[[#This Row],[Pre or Post]]="Post",1,0)+IF(D119="Pre",1,0)=4,Table44246665[[#This Row],[Post Total]],""),"")</f>
        <v/>
      </c>
      <c r="O120" s="6" t="str">
        <f>IF(IF(ISNUMBER(K119),1,0)+IF(ISNUMBER(Table44246665[[#This Row],[Post Total]]),1,0)=2,IF(IF(Table44246665[[#This Row],[Student Number]]=C119,1,0)+IF(Table44246665[[#This Row],[Session]]=B119,1,0)+IF(Table44246665[[#This Row],[Pre or Post]]="Post",1,0)+IF(D119="Pre",1,0)=4,Table44246665[[#This Row],[Post Total]]-K119,""),"")</f>
        <v/>
      </c>
      <c r="P120" s="6" t="b">
        <f>ISNUMBER(Table44246665[[#This Row],[Change]])</f>
        <v>0</v>
      </c>
      <c r="Q120" s="5" t="str">
        <f>IF(E119="Yes",Table44246665[[#This Row],[Change]],"")</f>
        <v/>
      </c>
      <c r="R120" s="5" t="str">
        <f>IF(E119="No",Table44246665[[#This Row],[Change]],"")</f>
        <v/>
      </c>
      <c r="S120" s="5" t="b">
        <f>ISNUMBER(Table44246665[[#This Row],[If Pre3 Yes]])</f>
        <v>0</v>
      </c>
      <c r="T120" s="5" t="b">
        <f>ISNUMBER(Table44246665[[#This Row],[If Pre3 No]])</f>
        <v>0</v>
      </c>
    </row>
    <row r="121" spans="1:20">
      <c r="A121" s="2" t="s">
        <v>24</v>
      </c>
      <c r="B121" s="2" t="s">
        <v>31</v>
      </c>
      <c r="C121" s="1">
        <v>8</v>
      </c>
      <c r="D121" s="2" t="s">
        <v>16</v>
      </c>
      <c r="E121" s="6" t="s">
        <v>171</v>
      </c>
      <c r="F121" s="1">
        <v>4</v>
      </c>
      <c r="G121" s="1">
        <v>5</v>
      </c>
      <c r="H121" s="2" t="s">
        <v>9</v>
      </c>
      <c r="I121" s="5" t="str">
        <f>IF(IF(Table44246665[[#This Row],[Pre or Post]]="Pre",1,0)+IF(ISNUMBER(Table44246665[[#This Row],[Response]])=TRUE,1,0)=2,1,"")</f>
        <v/>
      </c>
      <c r="J121" s="5">
        <f>IF(IF(Table44246665[[#This Row],[Pre or Post]]="Post",1,0)+IF(ISNUMBER(Table44246665[[#This Row],[Response]])=TRUE,1,0)=2,1,"")</f>
        <v>1</v>
      </c>
      <c r="K121" s="6" t="str">
        <f>IF(IF(Table44246665[[#This Row],[Pre or Post]]="Pre",1,0)+IF(ISNUMBER(Table44246665[[#This Row],[Response]])=TRUE,1,0)=2,Table44246665[[#This Row],[Response]],"")</f>
        <v/>
      </c>
      <c r="L121" s="6">
        <f>IF(IF(Table44246665[[#This Row],[Pre or Post]]="Post",1,0)+IF(ISNUMBER(Table44246665[[#This Row],[Response]])=TRUE,1,0)=2,Table44246665[[#This Row],[Response]],"")</f>
        <v>5</v>
      </c>
      <c r="M121" s="5" t="str">
        <f>IF(IF(ISNUMBER(K121),1,0)+IF(ISNUMBER(L122),1,0)=2,IF(IF(C122=C121,1,0)+IF(B122=B121,1,0)+IF(D122="Post",1,0)+IF(D121="Pre",1,0)=4,Table44246665[[#This Row],[Pre Total]],""),"")</f>
        <v/>
      </c>
      <c r="N121" s="5" t="str">
        <f>IF(IF(ISNUMBER(K120),1,0)+IF(ISNUMBER(Table44246665[[#This Row],[Post Total]]),1,0)=2,IF(IF(Table44246665[[#This Row],[Student Number]]=C120,1,0)+IF(Table44246665[[#This Row],[Session]]=B120,1,0)+IF(Table44246665[[#This Row],[Pre or Post]]="Post",1,0)+IF(D120="Pre",1,0)=4,Table44246665[[#This Row],[Post Total]],""),"")</f>
        <v/>
      </c>
      <c r="O121" s="5" t="str">
        <f>IF(IF(ISNUMBER(K120),1,0)+IF(ISNUMBER(Table44246665[[#This Row],[Post Total]]),1,0)=2,IF(IF(Table44246665[[#This Row],[Student Number]]=C120,1,0)+IF(Table44246665[[#This Row],[Session]]=B120,1,0)+IF(Table44246665[[#This Row],[Pre or Post]]="Post",1,0)+IF(D120="Pre",1,0)=4,Table44246665[[#This Row],[Post Total]]-K120,""),"")</f>
        <v/>
      </c>
      <c r="P121" s="5" t="b">
        <f>ISNUMBER(Table44246665[[#This Row],[Change]])</f>
        <v>0</v>
      </c>
      <c r="Q121" s="5" t="str">
        <f>IF(E120="Yes",Table44246665[[#This Row],[Change]],"")</f>
        <v/>
      </c>
      <c r="R121" s="5" t="str">
        <f>IF(E120="No",Table44246665[[#This Row],[Change]],"")</f>
        <v/>
      </c>
      <c r="S121" s="5" t="b">
        <f>ISNUMBER(Table44246665[[#This Row],[If Pre3 Yes]])</f>
        <v>0</v>
      </c>
      <c r="T121" s="5" t="b">
        <f>ISNUMBER(Table44246665[[#This Row],[If Pre3 No]])</f>
        <v>0</v>
      </c>
    </row>
    <row r="122" spans="1:20">
      <c r="A122" s="2" t="s">
        <v>24</v>
      </c>
      <c r="B122" s="2" t="s">
        <v>31</v>
      </c>
      <c r="C122" s="1">
        <v>9</v>
      </c>
      <c r="D122" s="2" t="s">
        <v>16</v>
      </c>
      <c r="E122" s="6" t="s">
        <v>171</v>
      </c>
      <c r="F122" s="1">
        <v>4</v>
      </c>
      <c r="G122" s="1">
        <v>5</v>
      </c>
      <c r="H122" s="2" t="s">
        <v>9</v>
      </c>
      <c r="I122" s="5" t="str">
        <f>IF(IF(Table44246665[[#This Row],[Pre or Post]]="Pre",1,0)+IF(ISNUMBER(Table44246665[[#This Row],[Response]])=TRUE,1,0)=2,1,"")</f>
        <v/>
      </c>
      <c r="J122" s="5">
        <f>IF(IF(Table44246665[[#This Row],[Pre or Post]]="Post",1,0)+IF(ISNUMBER(Table44246665[[#This Row],[Response]])=TRUE,1,0)=2,1,"")</f>
        <v>1</v>
      </c>
      <c r="K122" s="6" t="str">
        <f>IF(IF(Table44246665[[#This Row],[Pre or Post]]="Pre",1,0)+IF(ISNUMBER(Table44246665[[#This Row],[Response]])=TRUE,1,0)=2,Table44246665[[#This Row],[Response]],"")</f>
        <v/>
      </c>
      <c r="L122" s="6">
        <f>IF(IF(Table44246665[[#This Row],[Pre or Post]]="Post",1,0)+IF(ISNUMBER(Table44246665[[#This Row],[Response]])=TRUE,1,0)=2,Table44246665[[#This Row],[Response]],"")</f>
        <v>5</v>
      </c>
      <c r="M122" s="5" t="str">
        <f>IF(IF(ISNUMBER(K122),1,0)+IF(ISNUMBER(L123),1,0)=2,IF(IF(C123=C122,1,0)+IF(B123=B122,1,0)+IF(D123="Post",1,0)+IF(D122="Pre",1,0)=4,Table44246665[[#This Row],[Pre Total]],""),"")</f>
        <v/>
      </c>
      <c r="N122" s="5" t="str">
        <f>IF(IF(ISNUMBER(K121),1,0)+IF(ISNUMBER(Table44246665[[#This Row],[Post Total]]),1,0)=2,IF(IF(Table44246665[[#This Row],[Student Number]]=C121,1,0)+IF(Table44246665[[#This Row],[Session]]=B121,1,0)+IF(Table44246665[[#This Row],[Pre or Post]]="Post",1,0)+IF(D121="Pre",1,0)=4,Table44246665[[#This Row],[Post Total]],""),"")</f>
        <v/>
      </c>
      <c r="O122" s="5" t="str">
        <f>IF(IF(ISNUMBER(K121),1,0)+IF(ISNUMBER(Table44246665[[#This Row],[Post Total]]),1,0)=2,IF(IF(Table44246665[[#This Row],[Student Number]]=C121,1,0)+IF(Table44246665[[#This Row],[Session]]=B121,1,0)+IF(Table44246665[[#This Row],[Pre or Post]]="Post",1,0)+IF(D121="Pre",1,0)=4,Table44246665[[#This Row],[Post Total]]-K121,""),"")</f>
        <v/>
      </c>
      <c r="P122" s="5" t="b">
        <f>ISNUMBER(Table44246665[[#This Row],[Change]])</f>
        <v>0</v>
      </c>
      <c r="Q122" s="5" t="str">
        <f>IF(E121="Yes",Table44246665[[#This Row],[Change]],"")</f>
        <v/>
      </c>
      <c r="R122" s="5" t="str">
        <f>IF(E121="No",Table44246665[[#This Row],[Change]],"")</f>
        <v/>
      </c>
      <c r="S122" s="5" t="b">
        <f>ISNUMBER(Table44246665[[#This Row],[If Pre3 Yes]])</f>
        <v>0</v>
      </c>
      <c r="T122" s="5" t="b">
        <f>ISNUMBER(Table44246665[[#This Row],[If Pre3 No]])</f>
        <v>0</v>
      </c>
    </row>
    <row r="123" spans="1:20">
      <c r="A123" s="2" t="s">
        <v>24</v>
      </c>
      <c r="B123" s="2" t="s">
        <v>31</v>
      </c>
      <c r="C123" s="1">
        <v>10</v>
      </c>
      <c r="D123" s="2" t="s">
        <v>16</v>
      </c>
      <c r="E123" s="6" t="s">
        <v>171</v>
      </c>
      <c r="F123" s="1">
        <v>4</v>
      </c>
      <c r="G123" s="1">
        <v>3</v>
      </c>
      <c r="H123" s="2" t="s">
        <v>9</v>
      </c>
      <c r="I123" s="5" t="str">
        <f>IF(IF(Table44246665[[#This Row],[Pre or Post]]="Pre",1,0)+IF(ISNUMBER(Table44246665[[#This Row],[Response]])=TRUE,1,0)=2,1,"")</f>
        <v/>
      </c>
      <c r="J123" s="5">
        <f>IF(IF(Table44246665[[#This Row],[Pre or Post]]="Post",1,0)+IF(ISNUMBER(Table44246665[[#This Row],[Response]])=TRUE,1,0)=2,1,"")</f>
        <v>1</v>
      </c>
      <c r="K123" s="6" t="str">
        <f>IF(IF(Table44246665[[#This Row],[Pre or Post]]="Pre",1,0)+IF(ISNUMBER(Table44246665[[#This Row],[Response]])=TRUE,1,0)=2,Table44246665[[#This Row],[Response]],"")</f>
        <v/>
      </c>
      <c r="L123" s="6">
        <f>IF(IF(Table44246665[[#This Row],[Pre or Post]]="Post",1,0)+IF(ISNUMBER(Table44246665[[#This Row],[Response]])=TRUE,1,0)=2,Table44246665[[#This Row],[Response]],"")</f>
        <v>3</v>
      </c>
      <c r="M123" s="5" t="str">
        <f>IF(IF(ISNUMBER(K123),1,0)+IF(ISNUMBER(L124),1,0)=2,IF(IF(C124=C123,1,0)+IF(B124=B123,1,0)+IF(D124="Post",1,0)+IF(D123="Pre",1,0)=4,Table44246665[[#This Row],[Pre Total]],""),"")</f>
        <v/>
      </c>
      <c r="N123" s="5" t="str">
        <f>IF(IF(ISNUMBER(K122),1,0)+IF(ISNUMBER(Table44246665[[#This Row],[Post Total]]),1,0)=2,IF(IF(Table44246665[[#This Row],[Student Number]]=C122,1,0)+IF(Table44246665[[#This Row],[Session]]=B122,1,0)+IF(Table44246665[[#This Row],[Pre or Post]]="Post",1,0)+IF(D122="Pre",1,0)=4,Table44246665[[#This Row],[Post Total]],""),"")</f>
        <v/>
      </c>
      <c r="O123" s="5" t="str">
        <f>IF(IF(ISNUMBER(K122),1,0)+IF(ISNUMBER(Table44246665[[#This Row],[Post Total]]),1,0)=2,IF(IF(Table44246665[[#This Row],[Student Number]]=C122,1,0)+IF(Table44246665[[#This Row],[Session]]=B122,1,0)+IF(Table44246665[[#This Row],[Pre or Post]]="Post",1,0)+IF(D122="Pre",1,0)=4,Table44246665[[#This Row],[Post Total]]-K122,""),"")</f>
        <v/>
      </c>
      <c r="P123" s="5" t="b">
        <f>ISNUMBER(Table44246665[[#This Row],[Change]])</f>
        <v>0</v>
      </c>
      <c r="Q123" s="5" t="str">
        <f>IF(E122="Yes",Table44246665[[#This Row],[Change]],"")</f>
        <v/>
      </c>
      <c r="R123" s="5" t="str">
        <f>IF(E122="No",Table44246665[[#This Row],[Change]],"")</f>
        <v/>
      </c>
      <c r="S123" s="5" t="b">
        <f>ISNUMBER(Table44246665[[#This Row],[If Pre3 Yes]])</f>
        <v>0</v>
      </c>
      <c r="T123" s="5" t="b">
        <f>ISNUMBER(Table44246665[[#This Row],[If Pre3 No]])</f>
        <v>0</v>
      </c>
    </row>
    <row r="124" spans="1:20">
      <c r="A124" s="2" t="s">
        <v>24</v>
      </c>
      <c r="B124" s="2" t="s">
        <v>31</v>
      </c>
      <c r="C124" s="1">
        <v>11</v>
      </c>
      <c r="D124" s="2" t="s">
        <v>16</v>
      </c>
      <c r="E124" s="6" t="s">
        <v>171</v>
      </c>
      <c r="F124" s="1">
        <v>4</v>
      </c>
      <c r="G124" s="1">
        <v>4</v>
      </c>
      <c r="H124" s="2" t="s">
        <v>9</v>
      </c>
      <c r="I124" s="6" t="str">
        <f>IF(IF(Table44246665[[#This Row],[Pre or Post]]="Pre",1,0)+IF(ISNUMBER(Table44246665[[#This Row],[Response]])=TRUE,1,0)=2,1,"")</f>
        <v/>
      </c>
      <c r="J124" s="6">
        <f>IF(IF(Table44246665[[#This Row],[Pre or Post]]="Post",1,0)+IF(ISNUMBER(Table44246665[[#This Row],[Response]])=TRUE,1,0)=2,1,"")</f>
        <v>1</v>
      </c>
      <c r="K124" s="6" t="str">
        <f>IF(IF(Table44246665[[#This Row],[Pre or Post]]="Pre",1,0)+IF(ISNUMBER(Table44246665[[#This Row],[Response]])=TRUE,1,0)=2,Table44246665[[#This Row],[Response]],"")</f>
        <v/>
      </c>
      <c r="L124" s="6">
        <f>IF(IF(Table44246665[[#This Row],[Pre or Post]]="Post",1,0)+IF(ISNUMBER(Table44246665[[#This Row],[Response]])=TRUE,1,0)=2,Table44246665[[#This Row],[Response]],"")</f>
        <v>4</v>
      </c>
      <c r="M124" s="6" t="str">
        <f>IF(IF(ISNUMBER(K124),1,0)+IF(ISNUMBER(L125),1,0)=2,IF(IF(C125=C124,1,0)+IF(B125=B124,1,0)+IF(D125="Post",1,0)+IF(D124="Pre",1,0)=4,Table44246665[[#This Row],[Pre Total]],""),"")</f>
        <v/>
      </c>
      <c r="N124" s="6" t="str">
        <f>IF(IF(ISNUMBER(K123),1,0)+IF(ISNUMBER(Table44246665[[#This Row],[Post Total]]),1,0)=2,IF(IF(Table44246665[[#This Row],[Student Number]]=C123,1,0)+IF(Table44246665[[#This Row],[Session]]=B123,1,0)+IF(Table44246665[[#This Row],[Pre or Post]]="Post",1,0)+IF(D123="Pre",1,0)=4,Table44246665[[#This Row],[Post Total]],""),"")</f>
        <v/>
      </c>
      <c r="O124" s="6" t="str">
        <f>IF(IF(ISNUMBER(K123),1,0)+IF(ISNUMBER(Table44246665[[#This Row],[Post Total]]),1,0)=2,IF(IF(Table44246665[[#This Row],[Student Number]]=C123,1,0)+IF(Table44246665[[#This Row],[Session]]=B123,1,0)+IF(Table44246665[[#This Row],[Pre or Post]]="Post",1,0)+IF(D123="Pre",1,0)=4,Table44246665[[#This Row],[Post Total]]-K123,""),"")</f>
        <v/>
      </c>
      <c r="P124" s="6" t="b">
        <f>ISNUMBER(Table44246665[[#This Row],[Change]])</f>
        <v>0</v>
      </c>
      <c r="Q124" s="5" t="str">
        <f>IF(E123="Yes",Table44246665[[#This Row],[Change]],"")</f>
        <v/>
      </c>
      <c r="R124" s="5" t="str">
        <f>IF(E123="No",Table44246665[[#This Row],[Change]],"")</f>
        <v/>
      </c>
      <c r="S124" s="5" t="b">
        <f>ISNUMBER(Table44246665[[#This Row],[If Pre3 Yes]])</f>
        <v>0</v>
      </c>
      <c r="T124" s="5" t="b">
        <f>ISNUMBER(Table44246665[[#This Row],[If Pre3 No]])</f>
        <v>0</v>
      </c>
    </row>
    <row r="125" spans="1:20">
      <c r="A125" s="2" t="s">
        <v>24</v>
      </c>
      <c r="B125" s="2" t="s">
        <v>31</v>
      </c>
      <c r="C125" s="1">
        <v>12</v>
      </c>
      <c r="D125" s="2" t="s">
        <v>16</v>
      </c>
      <c r="E125" s="6" t="s">
        <v>171</v>
      </c>
      <c r="F125" s="1">
        <v>4</v>
      </c>
      <c r="G125" s="1">
        <v>5</v>
      </c>
      <c r="H125" s="2" t="s">
        <v>9</v>
      </c>
      <c r="I125" s="5" t="str">
        <f>IF(IF(Table44246665[[#This Row],[Pre or Post]]="Pre",1,0)+IF(ISNUMBER(Table44246665[[#This Row],[Response]])=TRUE,1,0)=2,1,"")</f>
        <v/>
      </c>
      <c r="J125" s="5">
        <f>IF(IF(Table44246665[[#This Row],[Pre or Post]]="Post",1,0)+IF(ISNUMBER(Table44246665[[#This Row],[Response]])=TRUE,1,0)=2,1,"")</f>
        <v>1</v>
      </c>
      <c r="K125" s="6" t="str">
        <f>IF(IF(Table44246665[[#This Row],[Pre or Post]]="Pre",1,0)+IF(ISNUMBER(Table44246665[[#This Row],[Response]])=TRUE,1,0)=2,Table44246665[[#This Row],[Response]],"")</f>
        <v/>
      </c>
      <c r="L125" s="6">
        <f>IF(IF(Table44246665[[#This Row],[Pre or Post]]="Post",1,0)+IF(ISNUMBER(Table44246665[[#This Row],[Response]])=TRUE,1,0)=2,Table44246665[[#This Row],[Response]],"")</f>
        <v>5</v>
      </c>
      <c r="M125" s="5" t="str">
        <f>IF(IF(ISNUMBER(K125),1,0)+IF(ISNUMBER(L126),1,0)=2,IF(IF(C126=C125,1,0)+IF(B126=B125,1,0)+IF(D126="Post",1,0)+IF(D125="Pre",1,0)=4,Table44246665[[#This Row],[Pre Total]],""),"")</f>
        <v/>
      </c>
      <c r="N125" s="5" t="str">
        <f>IF(IF(ISNUMBER(K124),1,0)+IF(ISNUMBER(Table44246665[[#This Row],[Post Total]]),1,0)=2,IF(IF(Table44246665[[#This Row],[Student Number]]=C124,1,0)+IF(Table44246665[[#This Row],[Session]]=B124,1,0)+IF(Table44246665[[#This Row],[Pre or Post]]="Post",1,0)+IF(D124="Pre",1,0)=4,Table44246665[[#This Row],[Post Total]],""),"")</f>
        <v/>
      </c>
      <c r="O125" s="5" t="str">
        <f>IF(IF(ISNUMBER(K124),1,0)+IF(ISNUMBER(Table44246665[[#This Row],[Post Total]]),1,0)=2,IF(IF(Table44246665[[#This Row],[Student Number]]=C124,1,0)+IF(Table44246665[[#This Row],[Session]]=B124,1,0)+IF(Table44246665[[#This Row],[Pre or Post]]="Post",1,0)+IF(D124="Pre",1,0)=4,Table44246665[[#This Row],[Post Total]]-K124,""),"")</f>
        <v/>
      </c>
      <c r="P125" s="5" t="b">
        <f>ISNUMBER(Table44246665[[#This Row],[Change]])</f>
        <v>0</v>
      </c>
      <c r="Q125" s="5" t="str">
        <f>IF(E124="Yes",Table44246665[[#This Row],[Change]],"")</f>
        <v/>
      </c>
      <c r="R125" s="5" t="str">
        <f>IF(E124="No",Table44246665[[#This Row],[Change]],"")</f>
        <v/>
      </c>
      <c r="S125" s="5" t="b">
        <f>ISNUMBER(Table44246665[[#This Row],[If Pre3 Yes]])</f>
        <v>0</v>
      </c>
      <c r="T125" s="5" t="b">
        <f>ISNUMBER(Table44246665[[#This Row],[If Pre3 No]])</f>
        <v>0</v>
      </c>
    </row>
    <row r="126" spans="1:20">
      <c r="A126" s="2" t="s">
        <v>24</v>
      </c>
      <c r="B126" s="2" t="s">
        <v>31</v>
      </c>
      <c r="C126" s="1">
        <v>13</v>
      </c>
      <c r="D126" s="2" t="s">
        <v>16</v>
      </c>
      <c r="E126" s="6" t="s">
        <v>171</v>
      </c>
      <c r="F126" s="1">
        <v>4</v>
      </c>
      <c r="G126" s="1">
        <v>1</v>
      </c>
      <c r="H126" s="2" t="s">
        <v>9</v>
      </c>
      <c r="I126" s="5" t="str">
        <f>IF(IF(Table44246665[[#This Row],[Pre or Post]]="Pre",1,0)+IF(ISNUMBER(Table44246665[[#This Row],[Response]])=TRUE,1,0)=2,1,"")</f>
        <v/>
      </c>
      <c r="J126" s="5">
        <f>IF(IF(Table44246665[[#This Row],[Pre or Post]]="Post",1,0)+IF(ISNUMBER(Table44246665[[#This Row],[Response]])=TRUE,1,0)=2,1,"")</f>
        <v>1</v>
      </c>
      <c r="K126" s="6" t="str">
        <f>IF(IF(Table44246665[[#This Row],[Pre or Post]]="Pre",1,0)+IF(ISNUMBER(Table44246665[[#This Row],[Response]])=TRUE,1,0)=2,Table44246665[[#This Row],[Response]],"")</f>
        <v/>
      </c>
      <c r="L126" s="6">
        <f>IF(IF(Table44246665[[#This Row],[Pre or Post]]="Post",1,0)+IF(ISNUMBER(Table44246665[[#This Row],[Response]])=TRUE,1,0)=2,Table44246665[[#This Row],[Response]],"")</f>
        <v>1</v>
      </c>
      <c r="M126" s="5" t="str">
        <f>IF(IF(ISNUMBER(K126),1,0)+IF(ISNUMBER(L127),1,0)=2,IF(IF(C127=C126,1,0)+IF(B127=B126,1,0)+IF(D127="Post",1,0)+IF(D126="Pre",1,0)=4,Table44246665[[#This Row],[Pre Total]],""),"")</f>
        <v/>
      </c>
      <c r="N126" s="5" t="str">
        <f>IF(IF(ISNUMBER(K125),1,0)+IF(ISNUMBER(Table44246665[[#This Row],[Post Total]]),1,0)=2,IF(IF(Table44246665[[#This Row],[Student Number]]=C125,1,0)+IF(Table44246665[[#This Row],[Session]]=B125,1,0)+IF(Table44246665[[#This Row],[Pre or Post]]="Post",1,0)+IF(D125="Pre",1,0)=4,Table44246665[[#This Row],[Post Total]],""),"")</f>
        <v/>
      </c>
      <c r="O126" s="5" t="str">
        <f>IF(IF(ISNUMBER(K125),1,0)+IF(ISNUMBER(Table44246665[[#This Row],[Post Total]]),1,0)=2,IF(IF(Table44246665[[#This Row],[Student Number]]=C125,1,0)+IF(Table44246665[[#This Row],[Session]]=B125,1,0)+IF(Table44246665[[#This Row],[Pre or Post]]="Post",1,0)+IF(D125="Pre",1,0)=4,Table44246665[[#This Row],[Post Total]]-K125,""),"")</f>
        <v/>
      </c>
      <c r="P126" s="5" t="b">
        <f>ISNUMBER(Table44246665[[#This Row],[Change]])</f>
        <v>0</v>
      </c>
      <c r="Q126" s="5" t="str">
        <f>IF(E125="Yes",Table44246665[[#This Row],[Change]],"")</f>
        <v/>
      </c>
      <c r="R126" s="5" t="str">
        <f>IF(E125="No",Table44246665[[#This Row],[Change]],"")</f>
        <v/>
      </c>
      <c r="S126" s="5" t="b">
        <f>ISNUMBER(Table44246665[[#This Row],[If Pre3 Yes]])</f>
        <v>0</v>
      </c>
      <c r="T126" s="5" t="b">
        <f>ISNUMBER(Table44246665[[#This Row],[If Pre3 No]])</f>
        <v>0</v>
      </c>
    </row>
    <row r="127" spans="1:20">
      <c r="A127" s="2" t="s">
        <v>24</v>
      </c>
      <c r="B127" s="2" t="s">
        <v>31</v>
      </c>
      <c r="C127" s="1">
        <v>14</v>
      </c>
      <c r="D127" s="2" t="s">
        <v>16</v>
      </c>
      <c r="E127" s="6" t="s">
        <v>171</v>
      </c>
      <c r="F127" s="1">
        <v>4</v>
      </c>
      <c r="G127" s="1">
        <v>3</v>
      </c>
      <c r="H127" s="2" t="s">
        <v>9</v>
      </c>
      <c r="I127" s="5" t="str">
        <f>IF(IF(Table44246665[[#This Row],[Pre or Post]]="Pre",1,0)+IF(ISNUMBER(Table44246665[[#This Row],[Response]])=TRUE,1,0)=2,1,"")</f>
        <v/>
      </c>
      <c r="J127" s="5">
        <f>IF(IF(Table44246665[[#This Row],[Pre or Post]]="Post",1,0)+IF(ISNUMBER(Table44246665[[#This Row],[Response]])=TRUE,1,0)=2,1,"")</f>
        <v>1</v>
      </c>
      <c r="K127" s="6" t="str">
        <f>IF(IF(Table44246665[[#This Row],[Pre or Post]]="Pre",1,0)+IF(ISNUMBER(Table44246665[[#This Row],[Response]])=TRUE,1,0)=2,Table44246665[[#This Row],[Response]],"")</f>
        <v/>
      </c>
      <c r="L127" s="6">
        <f>IF(IF(Table44246665[[#This Row],[Pre or Post]]="Post",1,0)+IF(ISNUMBER(Table44246665[[#This Row],[Response]])=TRUE,1,0)=2,Table44246665[[#This Row],[Response]],"")</f>
        <v>3</v>
      </c>
      <c r="M127" s="5" t="str">
        <f>IF(IF(ISNUMBER(K127),1,0)+IF(ISNUMBER(L128),1,0)=2,IF(IF(C128=C127,1,0)+IF(B128=B127,1,0)+IF(D128="Post",1,0)+IF(D127="Pre",1,0)=4,Table44246665[[#This Row],[Pre Total]],""),"")</f>
        <v/>
      </c>
      <c r="N127" s="5" t="str">
        <f>IF(IF(ISNUMBER(K126),1,0)+IF(ISNUMBER(Table44246665[[#This Row],[Post Total]]),1,0)=2,IF(IF(Table44246665[[#This Row],[Student Number]]=C126,1,0)+IF(Table44246665[[#This Row],[Session]]=B126,1,0)+IF(Table44246665[[#This Row],[Pre or Post]]="Post",1,0)+IF(D126="Pre",1,0)=4,Table44246665[[#This Row],[Post Total]],""),"")</f>
        <v/>
      </c>
      <c r="O127" s="5" t="str">
        <f>IF(IF(ISNUMBER(K126),1,0)+IF(ISNUMBER(Table44246665[[#This Row],[Post Total]]),1,0)=2,IF(IF(Table44246665[[#This Row],[Student Number]]=C126,1,0)+IF(Table44246665[[#This Row],[Session]]=B126,1,0)+IF(Table44246665[[#This Row],[Pre or Post]]="Post",1,0)+IF(D126="Pre",1,0)=4,Table44246665[[#This Row],[Post Total]]-K126,""),"")</f>
        <v/>
      </c>
      <c r="P127" s="5" t="b">
        <f>ISNUMBER(Table44246665[[#This Row],[Change]])</f>
        <v>0</v>
      </c>
      <c r="Q127" s="5" t="str">
        <f>IF(E126="Yes",Table44246665[[#This Row],[Change]],"")</f>
        <v/>
      </c>
      <c r="R127" s="5" t="str">
        <f>IF(E126="No",Table44246665[[#This Row],[Change]],"")</f>
        <v/>
      </c>
      <c r="S127" s="5" t="b">
        <f>ISNUMBER(Table44246665[[#This Row],[If Pre3 Yes]])</f>
        <v>0</v>
      </c>
      <c r="T127" s="5" t="b">
        <f>ISNUMBER(Table44246665[[#This Row],[If Pre3 No]])</f>
        <v>0</v>
      </c>
    </row>
    <row r="128" spans="1:20">
      <c r="A128" s="2" t="s">
        <v>24</v>
      </c>
      <c r="B128" s="2" t="s">
        <v>31</v>
      </c>
      <c r="C128" s="1">
        <v>15</v>
      </c>
      <c r="D128" s="2" t="s">
        <v>16</v>
      </c>
      <c r="E128" s="6" t="s">
        <v>171</v>
      </c>
      <c r="F128" s="1">
        <v>4</v>
      </c>
      <c r="G128" s="1">
        <v>5</v>
      </c>
      <c r="H128" s="2" t="s">
        <v>9</v>
      </c>
      <c r="I128" s="6" t="str">
        <f>IF(IF(Table44246665[[#This Row],[Pre or Post]]="Pre",1,0)+IF(ISNUMBER(Table44246665[[#This Row],[Response]])=TRUE,1,0)=2,1,"")</f>
        <v/>
      </c>
      <c r="J128" s="6">
        <f>IF(IF(Table44246665[[#This Row],[Pre or Post]]="Post",1,0)+IF(ISNUMBER(Table44246665[[#This Row],[Response]])=TRUE,1,0)=2,1,"")</f>
        <v>1</v>
      </c>
      <c r="K128" s="6" t="str">
        <f>IF(IF(Table44246665[[#This Row],[Pre or Post]]="Pre",1,0)+IF(ISNUMBER(Table44246665[[#This Row],[Response]])=TRUE,1,0)=2,Table44246665[[#This Row],[Response]],"")</f>
        <v/>
      </c>
      <c r="L128" s="6">
        <f>IF(IF(Table44246665[[#This Row],[Pre or Post]]="Post",1,0)+IF(ISNUMBER(Table44246665[[#This Row],[Response]])=TRUE,1,0)=2,Table44246665[[#This Row],[Response]],"")</f>
        <v>5</v>
      </c>
      <c r="M128" s="6" t="str">
        <f>IF(IF(ISNUMBER(K128),1,0)+IF(ISNUMBER(L129),1,0)=2,IF(IF(C129=C128,1,0)+IF(B129=B128,1,0)+IF(D129="Post",1,0)+IF(D128="Pre",1,0)=4,Table44246665[[#This Row],[Pre Total]],""),"")</f>
        <v/>
      </c>
      <c r="N128" s="6" t="str">
        <f>IF(IF(ISNUMBER(K127),1,0)+IF(ISNUMBER(Table44246665[[#This Row],[Post Total]]),1,0)=2,IF(IF(Table44246665[[#This Row],[Student Number]]=C127,1,0)+IF(Table44246665[[#This Row],[Session]]=B127,1,0)+IF(Table44246665[[#This Row],[Pre or Post]]="Post",1,0)+IF(D127="Pre",1,0)=4,Table44246665[[#This Row],[Post Total]],""),"")</f>
        <v/>
      </c>
      <c r="O128" s="6" t="str">
        <f>IF(IF(ISNUMBER(K127),1,0)+IF(ISNUMBER(Table44246665[[#This Row],[Post Total]]),1,0)=2,IF(IF(Table44246665[[#This Row],[Student Number]]=C127,1,0)+IF(Table44246665[[#This Row],[Session]]=B127,1,0)+IF(Table44246665[[#This Row],[Pre or Post]]="Post",1,0)+IF(D127="Pre",1,0)=4,Table44246665[[#This Row],[Post Total]]-K127,""),"")</f>
        <v/>
      </c>
      <c r="P128" s="6" t="b">
        <f>ISNUMBER(Table44246665[[#This Row],[Change]])</f>
        <v>0</v>
      </c>
      <c r="Q128" s="5" t="str">
        <f>IF(E127="Yes",Table44246665[[#This Row],[Change]],"")</f>
        <v/>
      </c>
      <c r="R128" s="5" t="str">
        <f>IF(E127="No",Table44246665[[#This Row],[Change]],"")</f>
        <v/>
      </c>
      <c r="S128" s="5" t="b">
        <f>ISNUMBER(Table44246665[[#This Row],[If Pre3 Yes]])</f>
        <v>0</v>
      </c>
      <c r="T128" s="5" t="b">
        <f>ISNUMBER(Table44246665[[#This Row],[If Pre3 No]])</f>
        <v>0</v>
      </c>
    </row>
    <row r="129" spans="1:20">
      <c r="A129" s="2" t="s">
        <v>24</v>
      </c>
      <c r="B129" s="2" t="s">
        <v>26</v>
      </c>
      <c r="C129" s="1">
        <v>1</v>
      </c>
      <c r="D129" s="1" t="s">
        <v>6</v>
      </c>
      <c r="E129" s="5" t="s">
        <v>8</v>
      </c>
      <c r="F129" s="1">
        <v>11</v>
      </c>
      <c r="G129" s="1">
        <v>3</v>
      </c>
      <c r="H129" s="2" t="s">
        <v>8</v>
      </c>
      <c r="I129" s="6">
        <f>IF(IF(Table44246665[[#This Row],[Pre or Post]]="Pre",1,0)+IF(ISNUMBER(Table44246665[[#This Row],[Response]])=TRUE,1,0)=2,1,"")</f>
        <v>1</v>
      </c>
      <c r="J129" s="6" t="str">
        <f>IF(IF(Table44246665[[#This Row],[Pre or Post]]="Post",1,0)+IF(ISNUMBER(Table44246665[[#This Row],[Response]])=TRUE,1,0)=2,1,"")</f>
        <v/>
      </c>
      <c r="K129" s="6">
        <f>IF(IF(Table44246665[[#This Row],[Pre or Post]]="Pre",1,0)+IF(ISNUMBER(Table44246665[[#This Row],[Response]])=TRUE,1,0)=2,Table44246665[[#This Row],[Response]],"")</f>
        <v>3</v>
      </c>
      <c r="L129" s="6" t="str">
        <f>IF(IF(Table44246665[[#This Row],[Pre or Post]]="Post",1,0)+IF(ISNUMBER(Table44246665[[#This Row],[Response]])=TRUE,1,0)=2,Table44246665[[#This Row],[Response]],"")</f>
        <v/>
      </c>
      <c r="M129" s="6">
        <f>IF(IF(ISNUMBER(K129),1,0)+IF(ISNUMBER(L130),1,0)=2,IF(IF(C130=C129,1,0)+IF(B130=B129,1,0)+IF(D130="Post",1,0)+IF(D129="Pre",1,0)=4,Table44246665[[#This Row],[Pre Total]],""),"")</f>
        <v>3</v>
      </c>
      <c r="N129" s="6" t="str">
        <f>IF(IF(ISNUMBER(K128),1,0)+IF(ISNUMBER(Table44246665[[#This Row],[Post Total]]),1,0)=2,IF(IF(Table44246665[[#This Row],[Student Number]]=C128,1,0)+IF(Table44246665[[#This Row],[Session]]=B128,1,0)+IF(Table44246665[[#This Row],[Pre or Post]]="Post",1,0)+IF(D128="Pre",1,0)=4,Table44246665[[#This Row],[Post Total]],""),"")</f>
        <v/>
      </c>
      <c r="O129" s="6" t="str">
        <f>IF(IF(ISNUMBER(K128),1,0)+IF(ISNUMBER(Table44246665[[#This Row],[Post Total]]),1,0)=2,IF(IF(Table44246665[[#This Row],[Student Number]]=C128,1,0)+IF(Table44246665[[#This Row],[Session]]=B128,1,0)+IF(Table44246665[[#This Row],[Pre or Post]]="Post",1,0)+IF(D128="Pre",1,0)=4,Table44246665[[#This Row],[Post Total]]-K128,""),"")</f>
        <v/>
      </c>
      <c r="P129" s="6" t="b">
        <f>ISNUMBER(Table44246665[[#This Row],[Change]])</f>
        <v>0</v>
      </c>
      <c r="Q129" s="5" t="str">
        <f>IF(E128="Yes",Table44246665[[#This Row],[Change]],"")</f>
        <v/>
      </c>
      <c r="R129" s="5" t="str">
        <f>IF(E128="No",Table44246665[[#This Row],[Change]],"")</f>
        <v/>
      </c>
      <c r="S129" s="5" t="b">
        <f>ISNUMBER(Table44246665[[#This Row],[If Pre3 Yes]])</f>
        <v>0</v>
      </c>
      <c r="T129" s="5" t="b">
        <f>ISNUMBER(Table44246665[[#This Row],[If Pre3 No]])</f>
        <v>0</v>
      </c>
    </row>
    <row r="130" spans="1:20">
      <c r="A130" s="2" t="s">
        <v>24</v>
      </c>
      <c r="B130" s="2" t="s">
        <v>26</v>
      </c>
      <c r="C130" s="1">
        <v>1</v>
      </c>
      <c r="D130" s="1" t="s">
        <v>16</v>
      </c>
      <c r="E130" s="5"/>
      <c r="F130" s="1">
        <v>4</v>
      </c>
      <c r="G130" s="1">
        <v>3</v>
      </c>
      <c r="H130" s="2" t="s">
        <v>8</v>
      </c>
      <c r="I130" s="6" t="str">
        <f>IF(IF(Table44246665[[#This Row],[Pre or Post]]="Pre",1,0)+IF(ISNUMBER(Table44246665[[#This Row],[Response]])=TRUE,1,0)=2,1,"")</f>
        <v/>
      </c>
      <c r="J130" s="6">
        <f>IF(IF(Table44246665[[#This Row],[Pre or Post]]="Post",1,0)+IF(ISNUMBER(Table44246665[[#This Row],[Response]])=TRUE,1,0)=2,1,"")</f>
        <v>1</v>
      </c>
      <c r="K130" s="6" t="str">
        <f>IF(IF(Table44246665[[#This Row],[Pre or Post]]="Pre",1,0)+IF(ISNUMBER(Table44246665[[#This Row],[Response]])=TRUE,1,0)=2,Table44246665[[#This Row],[Response]],"")</f>
        <v/>
      </c>
      <c r="L130" s="6">
        <f>IF(IF(Table44246665[[#This Row],[Pre or Post]]="Post",1,0)+IF(ISNUMBER(Table44246665[[#This Row],[Response]])=TRUE,1,0)=2,Table44246665[[#This Row],[Response]],"")</f>
        <v>3</v>
      </c>
      <c r="M130" s="6" t="str">
        <f>IF(IF(ISNUMBER(K130),1,0)+IF(ISNUMBER(L131),1,0)=2,IF(IF(C131=C130,1,0)+IF(B131=B130,1,0)+IF(D131="Post",1,0)+IF(D130="Pre",1,0)=4,Table44246665[[#This Row],[Pre Total]],""),"")</f>
        <v/>
      </c>
      <c r="N130" s="6">
        <f>IF(IF(ISNUMBER(K129),1,0)+IF(ISNUMBER(Table44246665[[#This Row],[Post Total]]),1,0)=2,IF(IF(Table44246665[[#This Row],[Student Number]]=C129,1,0)+IF(Table44246665[[#This Row],[Session]]=B129,1,0)+IF(Table44246665[[#This Row],[Pre or Post]]="Post",1,0)+IF(D129="Pre",1,0)=4,Table44246665[[#This Row],[Post Total]],""),"")</f>
        <v>3</v>
      </c>
      <c r="O130" s="6">
        <f>IF(IF(ISNUMBER(K129),1,0)+IF(ISNUMBER(Table44246665[[#This Row],[Post Total]]),1,0)=2,IF(IF(Table44246665[[#This Row],[Student Number]]=C129,1,0)+IF(Table44246665[[#This Row],[Session]]=B129,1,0)+IF(Table44246665[[#This Row],[Pre or Post]]="Post",1,0)+IF(D129="Pre",1,0)=4,Table44246665[[#This Row],[Post Total]]-K129,""),"")</f>
        <v>0</v>
      </c>
      <c r="P130" s="6" t="b">
        <f>ISNUMBER(Table44246665[[#This Row],[Change]])</f>
        <v>1</v>
      </c>
      <c r="Q130" s="5">
        <f>IF(E129="Yes",Table44246665[[#This Row],[Change]],"")</f>
        <v>0</v>
      </c>
      <c r="R130" s="5" t="str">
        <f>IF(E129="No",Table44246665[[#This Row],[Change]],"")</f>
        <v/>
      </c>
      <c r="S130" s="5" t="b">
        <f>ISNUMBER(Table44246665[[#This Row],[If Pre3 Yes]])</f>
        <v>1</v>
      </c>
      <c r="T130" s="5" t="b">
        <f>ISNUMBER(Table44246665[[#This Row],[If Pre3 No]])</f>
        <v>0</v>
      </c>
    </row>
    <row r="131" spans="1:20">
      <c r="A131" s="2" t="s">
        <v>24</v>
      </c>
      <c r="B131" s="2" t="s">
        <v>26</v>
      </c>
      <c r="C131" s="1">
        <v>2</v>
      </c>
      <c r="D131" s="1" t="s">
        <v>6</v>
      </c>
      <c r="E131" s="5" t="s">
        <v>9</v>
      </c>
      <c r="F131" s="1">
        <v>11</v>
      </c>
      <c r="G131" s="1">
        <v>1</v>
      </c>
      <c r="H131" s="2" t="s">
        <v>8</v>
      </c>
      <c r="I131" s="5">
        <f>IF(IF(Table44246665[[#This Row],[Pre or Post]]="Pre",1,0)+IF(ISNUMBER(Table44246665[[#This Row],[Response]])=TRUE,1,0)=2,1,"")</f>
        <v>1</v>
      </c>
      <c r="J131" s="5" t="str">
        <f>IF(IF(Table44246665[[#This Row],[Pre or Post]]="Post",1,0)+IF(ISNUMBER(Table44246665[[#This Row],[Response]])=TRUE,1,0)=2,1,"")</f>
        <v/>
      </c>
      <c r="K131" s="6">
        <f>IF(IF(Table44246665[[#This Row],[Pre or Post]]="Pre",1,0)+IF(ISNUMBER(Table44246665[[#This Row],[Response]])=TRUE,1,0)=2,Table44246665[[#This Row],[Response]],"")</f>
        <v>1</v>
      </c>
      <c r="L131" s="6" t="str">
        <f>IF(IF(Table44246665[[#This Row],[Pre or Post]]="Post",1,0)+IF(ISNUMBER(Table44246665[[#This Row],[Response]])=TRUE,1,0)=2,Table44246665[[#This Row],[Response]],"")</f>
        <v/>
      </c>
      <c r="M131" s="5">
        <f>IF(IF(ISNUMBER(K131),1,0)+IF(ISNUMBER(L132),1,0)=2,IF(IF(C132=C131,1,0)+IF(B132=B131,1,0)+IF(D132="Post",1,0)+IF(D131="Pre",1,0)=4,Table44246665[[#This Row],[Pre Total]],""),"")</f>
        <v>1</v>
      </c>
      <c r="N131" s="5" t="str">
        <f>IF(IF(ISNUMBER(K130),1,0)+IF(ISNUMBER(Table44246665[[#This Row],[Post Total]]),1,0)=2,IF(IF(Table44246665[[#This Row],[Student Number]]=C130,1,0)+IF(Table44246665[[#This Row],[Session]]=B130,1,0)+IF(Table44246665[[#This Row],[Pre or Post]]="Post",1,0)+IF(D130="Pre",1,0)=4,Table44246665[[#This Row],[Post Total]],""),"")</f>
        <v/>
      </c>
      <c r="O131" s="5" t="str">
        <f>IF(IF(ISNUMBER(K130),1,0)+IF(ISNUMBER(Table44246665[[#This Row],[Post Total]]),1,0)=2,IF(IF(Table44246665[[#This Row],[Student Number]]=C130,1,0)+IF(Table44246665[[#This Row],[Session]]=B130,1,0)+IF(Table44246665[[#This Row],[Pre or Post]]="Post",1,0)+IF(D130="Pre",1,0)=4,Table44246665[[#This Row],[Post Total]]-K130,""),"")</f>
        <v/>
      </c>
      <c r="P131" s="5" t="b">
        <f>ISNUMBER(Table44246665[[#This Row],[Change]])</f>
        <v>0</v>
      </c>
      <c r="Q131" s="5" t="str">
        <f>IF(E130="Yes",Table44246665[[#This Row],[Change]],"")</f>
        <v/>
      </c>
      <c r="R131" s="5" t="str">
        <f>IF(E130="No",Table44246665[[#This Row],[Change]],"")</f>
        <v/>
      </c>
      <c r="S131" s="5" t="b">
        <f>ISNUMBER(Table44246665[[#This Row],[If Pre3 Yes]])</f>
        <v>0</v>
      </c>
      <c r="T131" s="5" t="b">
        <f>ISNUMBER(Table44246665[[#This Row],[If Pre3 No]])</f>
        <v>0</v>
      </c>
    </row>
    <row r="132" spans="1:20">
      <c r="A132" s="2" t="s">
        <v>24</v>
      </c>
      <c r="B132" s="2" t="s">
        <v>26</v>
      </c>
      <c r="C132" s="1">
        <v>2</v>
      </c>
      <c r="D132" s="1" t="s">
        <v>16</v>
      </c>
      <c r="E132" s="5"/>
      <c r="F132" s="1">
        <v>4</v>
      </c>
      <c r="G132" s="1">
        <v>1</v>
      </c>
      <c r="H132" s="2" t="s">
        <v>8</v>
      </c>
      <c r="I132" s="5" t="str">
        <f>IF(IF(Table44246665[[#This Row],[Pre or Post]]="Pre",1,0)+IF(ISNUMBER(Table44246665[[#This Row],[Response]])=TRUE,1,0)=2,1,"")</f>
        <v/>
      </c>
      <c r="J132" s="5">
        <f>IF(IF(Table44246665[[#This Row],[Pre or Post]]="Post",1,0)+IF(ISNUMBER(Table44246665[[#This Row],[Response]])=TRUE,1,0)=2,1,"")</f>
        <v>1</v>
      </c>
      <c r="K132" s="6" t="str">
        <f>IF(IF(Table44246665[[#This Row],[Pre or Post]]="Pre",1,0)+IF(ISNUMBER(Table44246665[[#This Row],[Response]])=TRUE,1,0)=2,Table44246665[[#This Row],[Response]],"")</f>
        <v/>
      </c>
      <c r="L132" s="6">
        <f>IF(IF(Table44246665[[#This Row],[Pre or Post]]="Post",1,0)+IF(ISNUMBER(Table44246665[[#This Row],[Response]])=TRUE,1,0)=2,Table44246665[[#This Row],[Response]],"")</f>
        <v>1</v>
      </c>
      <c r="M132" s="5" t="str">
        <f>IF(IF(ISNUMBER(K132),1,0)+IF(ISNUMBER(L133),1,0)=2,IF(IF(C133=C132,1,0)+IF(B133=B132,1,0)+IF(D133="Post",1,0)+IF(D132="Pre",1,0)=4,Table44246665[[#This Row],[Pre Total]],""),"")</f>
        <v/>
      </c>
      <c r="N132" s="5">
        <f>IF(IF(ISNUMBER(K131),1,0)+IF(ISNUMBER(Table44246665[[#This Row],[Post Total]]),1,0)=2,IF(IF(Table44246665[[#This Row],[Student Number]]=C131,1,0)+IF(Table44246665[[#This Row],[Session]]=B131,1,0)+IF(Table44246665[[#This Row],[Pre or Post]]="Post",1,0)+IF(D131="Pre",1,0)=4,Table44246665[[#This Row],[Post Total]],""),"")</f>
        <v>1</v>
      </c>
      <c r="O132" s="5">
        <f>IF(IF(ISNUMBER(K131),1,0)+IF(ISNUMBER(Table44246665[[#This Row],[Post Total]]),1,0)=2,IF(IF(Table44246665[[#This Row],[Student Number]]=C131,1,0)+IF(Table44246665[[#This Row],[Session]]=B131,1,0)+IF(Table44246665[[#This Row],[Pre or Post]]="Post",1,0)+IF(D131="Pre",1,0)=4,Table44246665[[#This Row],[Post Total]]-K131,""),"")</f>
        <v>0</v>
      </c>
      <c r="P132" s="5" t="b">
        <f>ISNUMBER(Table44246665[[#This Row],[Change]])</f>
        <v>1</v>
      </c>
      <c r="Q132" s="5" t="str">
        <f>IF(E131="Yes",Table44246665[[#This Row],[Change]],"")</f>
        <v/>
      </c>
      <c r="R132" s="5">
        <f>IF(E131="No",Table44246665[[#This Row],[Change]],"")</f>
        <v>0</v>
      </c>
      <c r="S132" s="5" t="b">
        <f>ISNUMBER(Table44246665[[#This Row],[If Pre3 Yes]])</f>
        <v>0</v>
      </c>
      <c r="T132" s="5" t="b">
        <f>ISNUMBER(Table44246665[[#This Row],[If Pre3 No]])</f>
        <v>1</v>
      </c>
    </row>
    <row r="133" spans="1:20">
      <c r="A133" s="2" t="s">
        <v>24</v>
      </c>
      <c r="B133" s="2" t="s">
        <v>26</v>
      </c>
      <c r="C133" s="1">
        <v>3</v>
      </c>
      <c r="D133" s="1" t="s">
        <v>6</v>
      </c>
      <c r="E133" s="5" t="s">
        <v>8</v>
      </c>
      <c r="F133" s="1">
        <v>11</v>
      </c>
      <c r="G133" s="1">
        <v>2</v>
      </c>
      <c r="H133" s="2" t="s">
        <v>8</v>
      </c>
      <c r="I133" s="6">
        <f>IF(IF(Table44246665[[#This Row],[Pre or Post]]="Pre",1,0)+IF(ISNUMBER(Table44246665[[#This Row],[Response]])=TRUE,1,0)=2,1,"")</f>
        <v>1</v>
      </c>
      <c r="J133" s="6" t="str">
        <f>IF(IF(Table44246665[[#This Row],[Pre or Post]]="Post",1,0)+IF(ISNUMBER(Table44246665[[#This Row],[Response]])=TRUE,1,0)=2,1,"")</f>
        <v/>
      </c>
      <c r="K133" s="6">
        <f>IF(IF(Table44246665[[#This Row],[Pre or Post]]="Pre",1,0)+IF(ISNUMBER(Table44246665[[#This Row],[Response]])=TRUE,1,0)=2,Table44246665[[#This Row],[Response]],"")</f>
        <v>2</v>
      </c>
      <c r="L133" s="6" t="str">
        <f>IF(IF(Table44246665[[#This Row],[Pre or Post]]="Post",1,0)+IF(ISNUMBER(Table44246665[[#This Row],[Response]])=TRUE,1,0)=2,Table44246665[[#This Row],[Response]],"")</f>
        <v/>
      </c>
      <c r="M133" s="6">
        <f>IF(IF(ISNUMBER(K133),1,0)+IF(ISNUMBER(L134),1,0)=2,IF(IF(C134=C133,1,0)+IF(B134=B133,1,0)+IF(D134="Post",1,0)+IF(D133="Pre",1,0)=4,Table44246665[[#This Row],[Pre Total]],""),"")</f>
        <v>2</v>
      </c>
      <c r="N133" s="6" t="str">
        <f>IF(IF(ISNUMBER(K132),1,0)+IF(ISNUMBER(Table44246665[[#This Row],[Post Total]]),1,0)=2,IF(IF(Table44246665[[#This Row],[Student Number]]=C132,1,0)+IF(Table44246665[[#This Row],[Session]]=B132,1,0)+IF(Table44246665[[#This Row],[Pre or Post]]="Post",1,0)+IF(D132="Pre",1,0)=4,Table44246665[[#This Row],[Post Total]],""),"")</f>
        <v/>
      </c>
      <c r="O133" s="6" t="str">
        <f>IF(IF(ISNUMBER(K132),1,0)+IF(ISNUMBER(Table44246665[[#This Row],[Post Total]]),1,0)=2,IF(IF(Table44246665[[#This Row],[Student Number]]=C132,1,0)+IF(Table44246665[[#This Row],[Session]]=B132,1,0)+IF(Table44246665[[#This Row],[Pre or Post]]="Post",1,0)+IF(D132="Pre",1,0)=4,Table44246665[[#This Row],[Post Total]]-K132,""),"")</f>
        <v/>
      </c>
      <c r="P133" s="6" t="b">
        <f>ISNUMBER(Table44246665[[#This Row],[Change]])</f>
        <v>0</v>
      </c>
      <c r="Q133" s="5" t="str">
        <f>IF(E132="Yes",Table44246665[[#This Row],[Change]],"")</f>
        <v/>
      </c>
      <c r="R133" s="5" t="str">
        <f>IF(E132="No",Table44246665[[#This Row],[Change]],"")</f>
        <v/>
      </c>
      <c r="S133" s="5" t="b">
        <f>ISNUMBER(Table44246665[[#This Row],[If Pre3 Yes]])</f>
        <v>0</v>
      </c>
      <c r="T133" s="5" t="b">
        <f>ISNUMBER(Table44246665[[#This Row],[If Pre3 No]])</f>
        <v>0</v>
      </c>
    </row>
    <row r="134" spans="1:20">
      <c r="A134" s="2" t="s">
        <v>24</v>
      </c>
      <c r="B134" s="2" t="s">
        <v>26</v>
      </c>
      <c r="C134" s="1">
        <v>3</v>
      </c>
      <c r="D134" s="1" t="s">
        <v>16</v>
      </c>
      <c r="E134" s="5"/>
      <c r="F134" s="1">
        <v>4</v>
      </c>
      <c r="G134" s="1">
        <v>2</v>
      </c>
      <c r="H134" s="2" t="s">
        <v>8</v>
      </c>
      <c r="I134" s="6" t="str">
        <f>IF(IF(Table44246665[[#This Row],[Pre or Post]]="Pre",1,0)+IF(ISNUMBER(Table44246665[[#This Row],[Response]])=TRUE,1,0)=2,1,"")</f>
        <v/>
      </c>
      <c r="J134" s="6">
        <f>IF(IF(Table44246665[[#This Row],[Pre or Post]]="Post",1,0)+IF(ISNUMBER(Table44246665[[#This Row],[Response]])=TRUE,1,0)=2,1,"")</f>
        <v>1</v>
      </c>
      <c r="K134" s="6" t="str">
        <f>IF(IF(Table44246665[[#This Row],[Pre or Post]]="Pre",1,0)+IF(ISNUMBER(Table44246665[[#This Row],[Response]])=TRUE,1,0)=2,Table44246665[[#This Row],[Response]],"")</f>
        <v/>
      </c>
      <c r="L134" s="6">
        <f>IF(IF(Table44246665[[#This Row],[Pre or Post]]="Post",1,0)+IF(ISNUMBER(Table44246665[[#This Row],[Response]])=TRUE,1,0)=2,Table44246665[[#This Row],[Response]],"")</f>
        <v>2</v>
      </c>
      <c r="M134" s="6" t="str">
        <f>IF(IF(ISNUMBER(K134),1,0)+IF(ISNUMBER(L135),1,0)=2,IF(IF(C135=C134,1,0)+IF(B135=B134,1,0)+IF(D135="Post",1,0)+IF(D134="Pre",1,0)=4,Table44246665[[#This Row],[Pre Total]],""),"")</f>
        <v/>
      </c>
      <c r="N134" s="6">
        <f>IF(IF(ISNUMBER(K133),1,0)+IF(ISNUMBER(Table44246665[[#This Row],[Post Total]]),1,0)=2,IF(IF(Table44246665[[#This Row],[Student Number]]=C133,1,0)+IF(Table44246665[[#This Row],[Session]]=B133,1,0)+IF(Table44246665[[#This Row],[Pre or Post]]="Post",1,0)+IF(D133="Pre",1,0)=4,Table44246665[[#This Row],[Post Total]],""),"")</f>
        <v>2</v>
      </c>
      <c r="O134" s="6">
        <f>IF(IF(ISNUMBER(K133),1,0)+IF(ISNUMBER(Table44246665[[#This Row],[Post Total]]),1,0)=2,IF(IF(Table44246665[[#This Row],[Student Number]]=C133,1,0)+IF(Table44246665[[#This Row],[Session]]=B133,1,0)+IF(Table44246665[[#This Row],[Pre or Post]]="Post",1,0)+IF(D133="Pre",1,0)=4,Table44246665[[#This Row],[Post Total]]-K133,""),"")</f>
        <v>0</v>
      </c>
      <c r="P134" s="6" t="b">
        <f>ISNUMBER(Table44246665[[#This Row],[Change]])</f>
        <v>1</v>
      </c>
      <c r="Q134" s="5">
        <f>IF(E133="Yes",Table44246665[[#This Row],[Change]],"")</f>
        <v>0</v>
      </c>
      <c r="R134" s="5" t="str">
        <f>IF(E133="No",Table44246665[[#This Row],[Change]],"")</f>
        <v/>
      </c>
      <c r="S134" s="5" t="b">
        <f>ISNUMBER(Table44246665[[#This Row],[If Pre3 Yes]])</f>
        <v>1</v>
      </c>
      <c r="T134" s="5" t="b">
        <f>ISNUMBER(Table44246665[[#This Row],[If Pre3 No]])</f>
        <v>0</v>
      </c>
    </row>
    <row r="135" spans="1:20">
      <c r="A135" s="2" t="s">
        <v>24</v>
      </c>
      <c r="B135" s="2" t="s">
        <v>26</v>
      </c>
      <c r="C135" s="1">
        <v>4</v>
      </c>
      <c r="D135" s="1" t="s">
        <v>6</v>
      </c>
      <c r="E135" s="5" t="s">
        <v>9</v>
      </c>
      <c r="F135" s="1">
        <v>11</v>
      </c>
      <c r="G135" s="1">
        <v>2</v>
      </c>
      <c r="H135" s="2" t="s">
        <v>8</v>
      </c>
      <c r="I135" s="5">
        <f>IF(IF(Table44246665[[#This Row],[Pre or Post]]="Pre",1,0)+IF(ISNUMBER(Table44246665[[#This Row],[Response]])=TRUE,1,0)=2,1,"")</f>
        <v>1</v>
      </c>
      <c r="J135" s="5" t="str">
        <f>IF(IF(Table44246665[[#This Row],[Pre or Post]]="Post",1,0)+IF(ISNUMBER(Table44246665[[#This Row],[Response]])=TRUE,1,0)=2,1,"")</f>
        <v/>
      </c>
      <c r="K135" s="6">
        <f>IF(IF(Table44246665[[#This Row],[Pre or Post]]="Pre",1,0)+IF(ISNUMBER(Table44246665[[#This Row],[Response]])=TRUE,1,0)=2,Table44246665[[#This Row],[Response]],"")</f>
        <v>2</v>
      </c>
      <c r="L135" s="6" t="str">
        <f>IF(IF(Table44246665[[#This Row],[Pre or Post]]="Post",1,0)+IF(ISNUMBER(Table44246665[[#This Row],[Response]])=TRUE,1,0)=2,Table44246665[[#This Row],[Response]],"")</f>
        <v/>
      </c>
      <c r="M135" s="5">
        <f>IF(IF(ISNUMBER(K135),1,0)+IF(ISNUMBER(L136),1,0)=2,IF(IF(C136=C135,1,0)+IF(B136=B135,1,0)+IF(D136="Post",1,0)+IF(D135="Pre",1,0)=4,Table44246665[[#This Row],[Pre Total]],""),"")</f>
        <v>2</v>
      </c>
      <c r="N135" s="5" t="str">
        <f>IF(IF(ISNUMBER(K134),1,0)+IF(ISNUMBER(Table44246665[[#This Row],[Post Total]]),1,0)=2,IF(IF(Table44246665[[#This Row],[Student Number]]=C134,1,0)+IF(Table44246665[[#This Row],[Session]]=B134,1,0)+IF(Table44246665[[#This Row],[Pre or Post]]="Post",1,0)+IF(D134="Pre",1,0)=4,Table44246665[[#This Row],[Post Total]],""),"")</f>
        <v/>
      </c>
      <c r="O135" s="5" t="str">
        <f>IF(IF(ISNUMBER(K134),1,0)+IF(ISNUMBER(Table44246665[[#This Row],[Post Total]]),1,0)=2,IF(IF(Table44246665[[#This Row],[Student Number]]=C134,1,0)+IF(Table44246665[[#This Row],[Session]]=B134,1,0)+IF(Table44246665[[#This Row],[Pre or Post]]="Post",1,0)+IF(D134="Pre",1,0)=4,Table44246665[[#This Row],[Post Total]]-K134,""),"")</f>
        <v/>
      </c>
      <c r="P135" s="5" t="b">
        <f>ISNUMBER(Table44246665[[#This Row],[Change]])</f>
        <v>0</v>
      </c>
      <c r="Q135" s="5" t="str">
        <f>IF(E134="Yes",Table44246665[[#This Row],[Change]],"")</f>
        <v/>
      </c>
      <c r="R135" s="5" t="str">
        <f>IF(E134="No",Table44246665[[#This Row],[Change]],"")</f>
        <v/>
      </c>
      <c r="S135" s="5" t="b">
        <f>ISNUMBER(Table44246665[[#This Row],[If Pre3 Yes]])</f>
        <v>0</v>
      </c>
      <c r="T135" s="5" t="b">
        <f>ISNUMBER(Table44246665[[#This Row],[If Pre3 No]])</f>
        <v>0</v>
      </c>
    </row>
    <row r="136" spans="1:20">
      <c r="A136" s="2" t="s">
        <v>24</v>
      </c>
      <c r="B136" s="2" t="s">
        <v>26</v>
      </c>
      <c r="C136" s="1">
        <v>4</v>
      </c>
      <c r="D136" s="1" t="s">
        <v>16</v>
      </c>
      <c r="E136" s="5"/>
      <c r="F136" s="1">
        <v>4</v>
      </c>
      <c r="G136" s="1">
        <v>1</v>
      </c>
      <c r="H136" s="2" t="s">
        <v>8</v>
      </c>
      <c r="I136" s="5" t="str">
        <f>IF(IF(Table44246665[[#This Row],[Pre or Post]]="Pre",1,0)+IF(ISNUMBER(Table44246665[[#This Row],[Response]])=TRUE,1,0)=2,1,"")</f>
        <v/>
      </c>
      <c r="J136" s="5">
        <f>IF(IF(Table44246665[[#This Row],[Pre or Post]]="Post",1,0)+IF(ISNUMBER(Table44246665[[#This Row],[Response]])=TRUE,1,0)=2,1,"")</f>
        <v>1</v>
      </c>
      <c r="K136" s="6" t="str">
        <f>IF(IF(Table44246665[[#This Row],[Pre or Post]]="Pre",1,0)+IF(ISNUMBER(Table44246665[[#This Row],[Response]])=TRUE,1,0)=2,Table44246665[[#This Row],[Response]],"")</f>
        <v/>
      </c>
      <c r="L136" s="6">
        <f>IF(IF(Table44246665[[#This Row],[Pre or Post]]="Post",1,0)+IF(ISNUMBER(Table44246665[[#This Row],[Response]])=TRUE,1,0)=2,Table44246665[[#This Row],[Response]],"")</f>
        <v>1</v>
      </c>
      <c r="M136" s="5" t="str">
        <f>IF(IF(ISNUMBER(K136),1,0)+IF(ISNUMBER(L137),1,0)=2,IF(IF(C137=C136,1,0)+IF(B137=B136,1,0)+IF(D137="Post",1,0)+IF(D136="Pre",1,0)=4,Table44246665[[#This Row],[Pre Total]],""),"")</f>
        <v/>
      </c>
      <c r="N136" s="5">
        <f>IF(IF(ISNUMBER(K135),1,0)+IF(ISNUMBER(Table44246665[[#This Row],[Post Total]]),1,0)=2,IF(IF(Table44246665[[#This Row],[Student Number]]=C135,1,0)+IF(Table44246665[[#This Row],[Session]]=B135,1,0)+IF(Table44246665[[#This Row],[Pre or Post]]="Post",1,0)+IF(D135="Pre",1,0)=4,Table44246665[[#This Row],[Post Total]],""),"")</f>
        <v>1</v>
      </c>
      <c r="O136" s="5">
        <f>IF(IF(ISNUMBER(K135),1,0)+IF(ISNUMBER(Table44246665[[#This Row],[Post Total]]),1,0)=2,IF(IF(Table44246665[[#This Row],[Student Number]]=C135,1,0)+IF(Table44246665[[#This Row],[Session]]=B135,1,0)+IF(Table44246665[[#This Row],[Pre or Post]]="Post",1,0)+IF(D135="Pre",1,0)=4,Table44246665[[#This Row],[Post Total]]-K135,""),"")</f>
        <v>-1</v>
      </c>
      <c r="P136" s="5" t="b">
        <f>ISNUMBER(Table44246665[[#This Row],[Change]])</f>
        <v>1</v>
      </c>
      <c r="Q136" s="5" t="str">
        <f>IF(E135="Yes",Table44246665[[#This Row],[Change]],"")</f>
        <v/>
      </c>
      <c r="R136" s="5">
        <f>IF(E135="No",Table44246665[[#This Row],[Change]],"")</f>
        <v>-1</v>
      </c>
      <c r="S136" s="5" t="b">
        <f>ISNUMBER(Table44246665[[#This Row],[If Pre3 Yes]])</f>
        <v>0</v>
      </c>
      <c r="T136" s="5" t="b">
        <f>ISNUMBER(Table44246665[[#This Row],[If Pre3 No]])</f>
        <v>1</v>
      </c>
    </row>
    <row r="137" spans="1:20">
      <c r="A137" s="2" t="s">
        <v>24</v>
      </c>
      <c r="B137" s="2" t="s">
        <v>26</v>
      </c>
      <c r="C137" s="1">
        <v>5</v>
      </c>
      <c r="D137" s="1" t="s">
        <v>6</v>
      </c>
      <c r="E137" s="5" t="s">
        <v>8</v>
      </c>
      <c r="F137" s="1">
        <v>11</v>
      </c>
      <c r="G137" s="1">
        <v>2</v>
      </c>
      <c r="H137" s="2" t="s">
        <v>8</v>
      </c>
      <c r="I137" s="6">
        <f>IF(IF(Table44246665[[#This Row],[Pre or Post]]="Pre",1,0)+IF(ISNUMBER(Table44246665[[#This Row],[Response]])=TRUE,1,0)=2,1,"")</f>
        <v>1</v>
      </c>
      <c r="J137" s="6" t="str">
        <f>IF(IF(Table44246665[[#This Row],[Pre or Post]]="Post",1,0)+IF(ISNUMBER(Table44246665[[#This Row],[Response]])=TRUE,1,0)=2,1,"")</f>
        <v/>
      </c>
      <c r="K137" s="6">
        <f>IF(IF(Table44246665[[#This Row],[Pre or Post]]="Pre",1,0)+IF(ISNUMBER(Table44246665[[#This Row],[Response]])=TRUE,1,0)=2,Table44246665[[#This Row],[Response]],"")</f>
        <v>2</v>
      </c>
      <c r="L137" s="6" t="str">
        <f>IF(IF(Table44246665[[#This Row],[Pre or Post]]="Post",1,0)+IF(ISNUMBER(Table44246665[[#This Row],[Response]])=TRUE,1,0)=2,Table44246665[[#This Row],[Response]],"")</f>
        <v/>
      </c>
      <c r="M137" s="6">
        <f>IF(IF(ISNUMBER(K137),1,0)+IF(ISNUMBER(L138),1,0)=2,IF(IF(C138=C137,1,0)+IF(B138=B137,1,0)+IF(D138="Post",1,0)+IF(D137="Pre",1,0)=4,Table44246665[[#This Row],[Pre Total]],""),"")</f>
        <v>2</v>
      </c>
      <c r="N137" s="6" t="str">
        <f>IF(IF(ISNUMBER(K136),1,0)+IF(ISNUMBER(Table44246665[[#This Row],[Post Total]]),1,0)=2,IF(IF(Table44246665[[#This Row],[Student Number]]=C136,1,0)+IF(Table44246665[[#This Row],[Session]]=B136,1,0)+IF(Table44246665[[#This Row],[Pre or Post]]="Post",1,0)+IF(D136="Pre",1,0)=4,Table44246665[[#This Row],[Post Total]],""),"")</f>
        <v/>
      </c>
      <c r="O137" s="6" t="str">
        <f>IF(IF(ISNUMBER(K136),1,0)+IF(ISNUMBER(Table44246665[[#This Row],[Post Total]]),1,0)=2,IF(IF(Table44246665[[#This Row],[Student Number]]=C136,1,0)+IF(Table44246665[[#This Row],[Session]]=B136,1,0)+IF(Table44246665[[#This Row],[Pre or Post]]="Post",1,0)+IF(D136="Pre",1,0)=4,Table44246665[[#This Row],[Post Total]]-K136,""),"")</f>
        <v/>
      </c>
      <c r="P137" s="6" t="b">
        <f>ISNUMBER(Table44246665[[#This Row],[Change]])</f>
        <v>0</v>
      </c>
      <c r="Q137" s="5" t="str">
        <f>IF(E136="Yes",Table44246665[[#This Row],[Change]],"")</f>
        <v/>
      </c>
      <c r="R137" s="5" t="str">
        <f>IF(E136="No",Table44246665[[#This Row],[Change]],"")</f>
        <v/>
      </c>
      <c r="S137" s="5" t="b">
        <f>ISNUMBER(Table44246665[[#This Row],[If Pre3 Yes]])</f>
        <v>0</v>
      </c>
      <c r="T137" s="5" t="b">
        <f>ISNUMBER(Table44246665[[#This Row],[If Pre3 No]])</f>
        <v>0</v>
      </c>
    </row>
    <row r="138" spans="1:20">
      <c r="A138" s="2" t="s">
        <v>24</v>
      </c>
      <c r="B138" s="2" t="s">
        <v>26</v>
      </c>
      <c r="C138" s="1">
        <v>5</v>
      </c>
      <c r="D138" s="1" t="s">
        <v>16</v>
      </c>
      <c r="E138" s="5"/>
      <c r="F138" s="1">
        <v>4</v>
      </c>
      <c r="G138" s="1">
        <v>2</v>
      </c>
      <c r="H138" s="2" t="s">
        <v>8</v>
      </c>
      <c r="I138" s="6" t="str">
        <f>IF(IF(Table44246665[[#This Row],[Pre or Post]]="Pre",1,0)+IF(ISNUMBER(Table44246665[[#This Row],[Response]])=TRUE,1,0)=2,1,"")</f>
        <v/>
      </c>
      <c r="J138" s="6">
        <f>IF(IF(Table44246665[[#This Row],[Pre or Post]]="Post",1,0)+IF(ISNUMBER(Table44246665[[#This Row],[Response]])=TRUE,1,0)=2,1,"")</f>
        <v>1</v>
      </c>
      <c r="K138" s="6" t="str">
        <f>IF(IF(Table44246665[[#This Row],[Pre or Post]]="Pre",1,0)+IF(ISNUMBER(Table44246665[[#This Row],[Response]])=TRUE,1,0)=2,Table44246665[[#This Row],[Response]],"")</f>
        <v/>
      </c>
      <c r="L138" s="6">
        <f>IF(IF(Table44246665[[#This Row],[Pre or Post]]="Post",1,0)+IF(ISNUMBER(Table44246665[[#This Row],[Response]])=TRUE,1,0)=2,Table44246665[[#This Row],[Response]],"")</f>
        <v>2</v>
      </c>
      <c r="M138" s="6" t="str">
        <f>IF(IF(ISNUMBER(K138),1,0)+IF(ISNUMBER(L139),1,0)=2,IF(IF(C139=C138,1,0)+IF(B139=B138,1,0)+IF(D139="Post",1,0)+IF(D138="Pre",1,0)=4,Table44246665[[#This Row],[Pre Total]],""),"")</f>
        <v/>
      </c>
      <c r="N138" s="6">
        <f>IF(IF(ISNUMBER(K137),1,0)+IF(ISNUMBER(Table44246665[[#This Row],[Post Total]]),1,0)=2,IF(IF(Table44246665[[#This Row],[Student Number]]=C137,1,0)+IF(Table44246665[[#This Row],[Session]]=B137,1,0)+IF(Table44246665[[#This Row],[Pre or Post]]="Post",1,0)+IF(D137="Pre",1,0)=4,Table44246665[[#This Row],[Post Total]],""),"")</f>
        <v>2</v>
      </c>
      <c r="O138" s="6">
        <f>IF(IF(ISNUMBER(K137),1,0)+IF(ISNUMBER(Table44246665[[#This Row],[Post Total]]),1,0)=2,IF(IF(Table44246665[[#This Row],[Student Number]]=C137,1,0)+IF(Table44246665[[#This Row],[Session]]=B137,1,0)+IF(Table44246665[[#This Row],[Pre or Post]]="Post",1,0)+IF(D137="Pre",1,0)=4,Table44246665[[#This Row],[Post Total]]-K137,""),"")</f>
        <v>0</v>
      </c>
      <c r="P138" s="6" t="b">
        <f>ISNUMBER(Table44246665[[#This Row],[Change]])</f>
        <v>1</v>
      </c>
      <c r="Q138" s="5">
        <f>IF(E137="Yes",Table44246665[[#This Row],[Change]],"")</f>
        <v>0</v>
      </c>
      <c r="R138" s="5" t="str">
        <f>IF(E137="No",Table44246665[[#This Row],[Change]],"")</f>
        <v/>
      </c>
      <c r="S138" s="5" t="b">
        <f>ISNUMBER(Table44246665[[#This Row],[If Pre3 Yes]])</f>
        <v>1</v>
      </c>
      <c r="T138" s="5" t="b">
        <f>ISNUMBER(Table44246665[[#This Row],[If Pre3 No]])</f>
        <v>0</v>
      </c>
    </row>
    <row r="139" spans="1:20">
      <c r="A139" s="2" t="s">
        <v>24</v>
      </c>
      <c r="B139" s="2" t="s">
        <v>26</v>
      </c>
      <c r="C139" s="1">
        <v>6</v>
      </c>
      <c r="D139" s="1" t="s">
        <v>6</v>
      </c>
      <c r="E139" s="5" t="s">
        <v>8</v>
      </c>
      <c r="F139" s="1">
        <v>11</v>
      </c>
      <c r="G139" s="1">
        <v>1</v>
      </c>
      <c r="H139" s="2" t="s">
        <v>8</v>
      </c>
      <c r="I139" s="5">
        <f>IF(IF(Table44246665[[#This Row],[Pre or Post]]="Pre",1,0)+IF(ISNUMBER(Table44246665[[#This Row],[Response]])=TRUE,1,0)=2,1,"")</f>
        <v>1</v>
      </c>
      <c r="J139" s="5" t="str">
        <f>IF(IF(Table44246665[[#This Row],[Pre or Post]]="Post",1,0)+IF(ISNUMBER(Table44246665[[#This Row],[Response]])=TRUE,1,0)=2,1,"")</f>
        <v/>
      </c>
      <c r="K139" s="6">
        <f>IF(IF(Table44246665[[#This Row],[Pre or Post]]="Pre",1,0)+IF(ISNUMBER(Table44246665[[#This Row],[Response]])=TRUE,1,0)=2,Table44246665[[#This Row],[Response]],"")</f>
        <v>1</v>
      </c>
      <c r="L139" s="6" t="str">
        <f>IF(IF(Table44246665[[#This Row],[Pre or Post]]="Post",1,0)+IF(ISNUMBER(Table44246665[[#This Row],[Response]])=TRUE,1,0)=2,Table44246665[[#This Row],[Response]],"")</f>
        <v/>
      </c>
      <c r="M139" s="5">
        <f>IF(IF(ISNUMBER(K139),1,0)+IF(ISNUMBER(L140),1,0)=2,IF(IF(C140=C139,1,0)+IF(B140=B139,1,0)+IF(D140="Post",1,0)+IF(D139="Pre",1,0)=4,Table44246665[[#This Row],[Pre Total]],""),"")</f>
        <v>1</v>
      </c>
      <c r="N139" s="5" t="str">
        <f>IF(IF(ISNUMBER(K138),1,0)+IF(ISNUMBER(Table44246665[[#This Row],[Post Total]]),1,0)=2,IF(IF(Table44246665[[#This Row],[Student Number]]=C138,1,0)+IF(Table44246665[[#This Row],[Session]]=B138,1,0)+IF(Table44246665[[#This Row],[Pre or Post]]="Post",1,0)+IF(D138="Pre",1,0)=4,Table44246665[[#This Row],[Post Total]],""),"")</f>
        <v/>
      </c>
      <c r="O139" s="5" t="str">
        <f>IF(IF(ISNUMBER(K138),1,0)+IF(ISNUMBER(Table44246665[[#This Row],[Post Total]]),1,0)=2,IF(IF(Table44246665[[#This Row],[Student Number]]=C138,1,0)+IF(Table44246665[[#This Row],[Session]]=B138,1,0)+IF(Table44246665[[#This Row],[Pre or Post]]="Post",1,0)+IF(D138="Pre",1,0)=4,Table44246665[[#This Row],[Post Total]]-K138,""),"")</f>
        <v/>
      </c>
      <c r="P139" s="5" t="b">
        <f>ISNUMBER(Table44246665[[#This Row],[Change]])</f>
        <v>0</v>
      </c>
      <c r="Q139" s="5" t="str">
        <f>IF(E138="Yes",Table44246665[[#This Row],[Change]],"")</f>
        <v/>
      </c>
      <c r="R139" s="5" t="str">
        <f>IF(E138="No",Table44246665[[#This Row],[Change]],"")</f>
        <v/>
      </c>
      <c r="S139" s="5" t="b">
        <f>ISNUMBER(Table44246665[[#This Row],[If Pre3 Yes]])</f>
        <v>0</v>
      </c>
      <c r="T139" s="5" t="b">
        <f>ISNUMBER(Table44246665[[#This Row],[If Pre3 No]])</f>
        <v>0</v>
      </c>
    </row>
    <row r="140" spans="1:20">
      <c r="A140" s="2" t="s">
        <v>24</v>
      </c>
      <c r="B140" s="2" t="s">
        <v>26</v>
      </c>
      <c r="C140" s="1">
        <v>6</v>
      </c>
      <c r="D140" s="1" t="s">
        <v>16</v>
      </c>
      <c r="E140" s="5"/>
      <c r="F140" s="1">
        <v>4</v>
      </c>
      <c r="G140" s="1">
        <v>2</v>
      </c>
      <c r="H140" s="2" t="s">
        <v>8</v>
      </c>
      <c r="I140" s="5" t="str">
        <f>IF(IF(Table44246665[[#This Row],[Pre or Post]]="Pre",1,0)+IF(ISNUMBER(Table44246665[[#This Row],[Response]])=TRUE,1,0)=2,1,"")</f>
        <v/>
      </c>
      <c r="J140" s="5">
        <f>IF(IF(Table44246665[[#This Row],[Pre or Post]]="Post",1,0)+IF(ISNUMBER(Table44246665[[#This Row],[Response]])=TRUE,1,0)=2,1,"")</f>
        <v>1</v>
      </c>
      <c r="K140" s="6" t="str">
        <f>IF(IF(Table44246665[[#This Row],[Pre or Post]]="Pre",1,0)+IF(ISNUMBER(Table44246665[[#This Row],[Response]])=TRUE,1,0)=2,Table44246665[[#This Row],[Response]],"")</f>
        <v/>
      </c>
      <c r="L140" s="6">
        <f>IF(IF(Table44246665[[#This Row],[Pre or Post]]="Post",1,0)+IF(ISNUMBER(Table44246665[[#This Row],[Response]])=TRUE,1,0)=2,Table44246665[[#This Row],[Response]],"")</f>
        <v>2</v>
      </c>
      <c r="M140" s="5" t="str">
        <f>IF(IF(ISNUMBER(K140),1,0)+IF(ISNUMBER(L141),1,0)=2,IF(IF(C141=C140,1,0)+IF(B141=B140,1,0)+IF(D141="Post",1,0)+IF(D140="Pre",1,0)=4,Table44246665[[#This Row],[Pre Total]],""),"")</f>
        <v/>
      </c>
      <c r="N140" s="5">
        <f>IF(IF(ISNUMBER(K139),1,0)+IF(ISNUMBER(Table44246665[[#This Row],[Post Total]]),1,0)=2,IF(IF(Table44246665[[#This Row],[Student Number]]=C139,1,0)+IF(Table44246665[[#This Row],[Session]]=B139,1,0)+IF(Table44246665[[#This Row],[Pre or Post]]="Post",1,0)+IF(D139="Pre",1,0)=4,Table44246665[[#This Row],[Post Total]],""),"")</f>
        <v>2</v>
      </c>
      <c r="O140" s="5">
        <f>IF(IF(ISNUMBER(K139),1,0)+IF(ISNUMBER(Table44246665[[#This Row],[Post Total]]),1,0)=2,IF(IF(Table44246665[[#This Row],[Student Number]]=C139,1,0)+IF(Table44246665[[#This Row],[Session]]=B139,1,0)+IF(Table44246665[[#This Row],[Pre or Post]]="Post",1,0)+IF(D139="Pre",1,0)=4,Table44246665[[#This Row],[Post Total]]-K139,""),"")</f>
        <v>1</v>
      </c>
      <c r="P140" s="5" t="b">
        <f>ISNUMBER(Table44246665[[#This Row],[Change]])</f>
        <v>1</v>
      </c>
      <c r="Q140" s="5">
        <f>IF(E139="Yes",Table44246665[[#This Row],[Change]],"")</f>
        <v>1</v>
      </c>
      <c r="R140" s="5" t="str">
        <f>IF(E139="No",Table44246665[[#This Row],[Change]],"")</f>
        <v/>
      </c>
      <c r="S140" s="5" t="b">
        <f>ISNUMBER(Table44246665[[#This Row],[If Pre3 Yes]])</f>
        <v>1</v>
      </c>
      <c r="T140" s="5" t="b">
        <f>ISNUMBER(Table44246665[[#This Row],[If Pre3 No]])</f>
        <v>0</v>
      </c>
    </row>
    <row r="141" spans="1:20">
      <c r="A141" s="2" t="s">
        <v>24</v>
      </c>
      <c r="B141" s="2" t="s">
        <v>26</v>
      </c>
      <c r="C141" s="1">
        <v>7</v>
      </c>
      <c r="D141" s="1" t="s">
        <v>6</v>
      </c>
      <c r="E141" s="5" t="s">
        <v>9</v>
      </c>
      <c r="F141" s="1">
        <v>11</v>
      </c>
      <c r="G141" s="1">
        <v>2</v>
      </c>
      <c r="H141" s="2" t="s">
        <v>8</v>
      </c>
      <c r="I141" s="6">
        <f>IF(IF(Table44246665[[#This Row],[Pre or Post]]="Pre",1,0)+IF(ISNUMBER(Table44246665[[#This Row],[Response]])=TRUE,1,0)=2,1,"")</f>
        <v>1</v>
      </c>
      <c r="J141" s="6" t="str">
        <f>IF(IF(Table44246665[[#This Row],[Pre or Post]]="Post",1,0)+IF(ISNUMBER(Table44246665[[#This Row],[Response]])=TRUE,1,0)=2,1,"")</f>
        <v/>
      </c>
      <c r="K141" s="6">
        <f>IF(IF(Table44246665[[#This Row],[Pre or Post]]="Pre",1,0)+IF(ISNUMBER(Table44246665[[#This Row],[Response]])=TRUE,1,0)=2,Table44246665[[#This Row],[Response]],"")</f>
        <v>2</v>
      </c>
      <c r="L141" s="6" t="str">
        <f>IF(IF(Table44246665[[#This Row],[Pre or Post]]="Post",1,0)+IF(ISNUMBER(Table44246665[[#This Row],[Response]])=TRUE,1,0)=2,Table44246665[[#This Row],[Response]],"")</f>
        <v/>
      </c>
      <c r="M141" s="6">
        <f>IF(IF(ISNUMBER(K141),1,0)+IF(ISNUMBER(L142),1,0)=2,IF(IF(C142=C141,1,0)+IF(B142=B141,1,0)+IF(D142="Post",1,0)+IF(D141="Pre",1,0)=4,Table44246665[[#This Row],[Pre Total]],""),"")</f>
        <v>2</v>
      </c>
      <c r="N141" s="6" t="str">
        <f>IF(IF(ISNUMBER(K140),1,0)+IF(ISNUMBER(Table44246665[[#This Row],[Post Total]]),1,0)=2,IF(IF(Table44246665[[#This Row],[Student Number]]=C140,1,0)+IF(Table44246665[[#This Row],[Session]]=B140,1,0)+IF(Table44246665[[#This Row],[Pre or Post]]="Post",1,0)+IF(D140="Pre",1,0)=4,Table44246665[[#This Row],[Post Total]],""),"")</f>
        <v/>
      </c>
      <c r="O141" s="6" t="str">
        <f>IF(IF(ISNUMBER(K140),1,0)+IF(ISNUMBER(Table44246665[[#This Row],[Post Total]]),1,0)=2,IF(IF(Table44246665[[#This Row],[Student Number]]=C140,1,0)+IF(Table44246665[[#This Row],[Session]]=B140,1,0)+IF(Table44246665[[#This Row],[Pre or Post]]="Post",1,0)+IF(D140="Pre",1,0)=4,Table44246665[[#This Row],[Post Total]]-K140,""),"")</f>
        <v/>
      </c>
      <c r="P141" s="6" t="b">
        <f>ISNUMBER(Table44246665[[#This Row],[Change]])</f>
        <v>0</v>
      </c>
      <c r="Q141" s="5" t="str">
        <f>IF(E140="Yes",Table44246665[[#This Row],[Change]],"")</f>
        <v/>
      </c>
      <c r="R141" s="5" t="str">
        <f>IF(E140="No",Table44246665[[#This Row],[Change]],"")</f>
        <v/>
      </c>
      <c r="S141" s="5" t="b">
        <f>ISNUMBER(Table44246665[[#This Row],[If Pre3 Yes]])</f>
        <v>0</v>
      </c>
      <c r="T141" s="5" t="b">
        <f>ISNUMBER(Table44246665[[#This Row],[If Pre3 No]])</f>
        <v>0</v>
      </c>
    </row>
    <row r="142" spans="1:20">
      <c r="A142" s="2" t="s">
        <v>24</v>
      </c>
      <c r="B142" s="2" t="s">
        <v>26</v>
      </c>
      <c r="C142" s="1">
        <v>7</v>
      </c>
      <c r="D142" s="1" t="s">
        <v>16</v>
      </c>
      <c r="E142" s="5"/>
      <c r="F142" s="1">
        <v>4</v>
      </c>
      <c r="G142" s="1">
        <v>4</v>
      </c>
      <c r="H142" s="2" t="s">
        <v>8</v>
      </c>
      <c r="I142" s="6" t="str">
        <f>IF(IF(Table44246665[[#This Row],[Pre or Post]]="Pre",1,0)+IF(ISNUMBER(Table44246665[[#This Row],[Response]])=TRUE,1,0)=2,1,"")</f>
        <v/>
      </c>
      <c r="J142" s="6">
        <f>IF(IF(Table44246665[[#This Row],[Pre or Post]]="Post",1,0)+IF(ISNUMBER(Table44246665[[#This Row],[Response]])=TRUE,1,0)=2,1,"")</f>
        <v>1</v>
      </c>
      <c r="K142" s="6" t="str">
        <f>IF(IF(Table44246665[[#This Row],[Pre or Post]]="Pre",1,0)+IF(ISNUMBER(Table44246665[[#This Row],[Response]])=TRUE,1,0)=2,Table44246665[[#This Row],[Response]],"")</f>
        <v/>
      </c>
      <c r="L142" s="6">
        <f>IF(IF(Table44246665[[#This Row],[Pre or Post]]="Post",1,0)+IF(ISNUMBER(Table44246665[[#This Row],[Response]])=TRUE,1,0)=2,Table44246665[[#This Row],[Response]],"")</f>
        <v>4</v>
      </c>
      <c r="M142" s="6" t="str">
        <f>IF(IF(ISNUMBER(K142),1,0)+IF(ISNUMBER(L143),1,0)=2,IF(IF(C143=C142,1,0)+IF(B143=B142,1,0)+IF(D143="Post",1,0)+IF(D142="Pre",1,0)=4,Table44246665[[#This Row],[Pre Total]],""),"")</f>
        <v/>
      </c>
      <c r="N142" s="6">
        <f>IF(IF(ISNUMBER(K141),1,0)+IF(ISNUMBER(Table44246665[[#This Row],[Post Total]]),1,0)=2,IF(IF(Table44246665[[#This Row],[Student Number]]=C141,1,0)+IF(Table44246665[[#This Row],[Session]]=B141,1,0)+IF(Table44246665[[#This Row],[Pre or Post]]="Post",1,0)+IF(D141="Pre",1,0)=4,Table44246665[[#This Row],[Post Total]],""),"")</f>
        <v>4</v>
      </c>
      <c r="O142" s="6">
        <f>IF(IF(ISNUMBER(K141),1,0)+IF(ISNUMBER(Table44246665[[#This Row],[Post Total]]),1,0)=2,IF(IF(Table44246665[[#This Row],[Student Number]]=C141,1,0)+IF(Table44246665[[#This Row],[Session]]=B141,1,0)+IF(Table44246665[[#This Row],[Pre or Post]]="Post",1,0)+IF(D141="Pre",1,0)=4,Table44246665[[#This Row],[Post Total]]-K141,""),"")</f>
        <v>2</v>
      </c>
      <c r="P142" s="6" t="b">
        <f>ISNUMBER(Table44246665[[#This Row],[Change]])</f>
        <v>1</v>
      </c>
      <c r="Q142" s="5" t="str">
        <f>IF(E141="Yes",Table44246665[[#This Row],[Change]],"")</f>
        <v/>
      </c>
      <c r="R142" s="5">
        <f>IF(E141="No",Table44246665[[#This Row],[Change]],"")</f>
        <v>2</v>
      </c>
      <c r="S142" s="5" t="b">
        <f>ISNUMBER(Table44246665[[#This Row],[If Pre3 Yes]])</f>
        <v>0</v>
      </c>
      <c r="T142" s="5" t="b">
        <f>ISNUMBER(Table44246665[[#This Row],[If Pre3 No]])</f>
        <v>1</v>
      </c>
    </row>
    <row r="143" spans="1:20">
      <c r="A143" s="2" t="s">
        <v>24</v>
      </c>
      <c r="B143" s="2" t="s">
        <v>26</v>
      </c>
      <c r="C143" s="1">
        <v>8</v>
      </c>
      <c r="D143" s="1" t="s">
        <v>6</v>
      </c>
      <c r="E143" s="5" t="s">
        <v>8</v>
      </c>
      <c r="F143" s="2">
        <v>11</v>
      </c>
      <c r="G143" s="1">
        <v>1</v>
      </c>
      <c r="H143" s="2" t="s">
        <v>8</v>
      </c>
      <c r="I143" s="5">
        <f>IF(IF(Table44246665[[#This Row],[Pre or Post]]="Pre",1,0)+IF(ISNUMBER(Table44246665[[#This Row],[Response]])=TRUE,1,0)=2,1,"")</f>
        <v>1</v>
      </c>
      <c r="J143" s="5" t="str">
        <f>IF(IF(Table44246665[[#This Row],[Pre or Post]]="Post",1,0)+IF(ISNUMBER(Table44246665[[#This Row],[Response]])=TRUE,1,0)=2,1,"")</f>
        <v/>
      </c>
      <c r="K143" s="6">
        <f>IF(IF(Table44246665[[#This Row],[Pre or Post]]="Pre",1,0)+IF(ISNUMBER(Table44246665[[#This Row],[Response]])=TRUE,1,0)=2,Table44246665[[#This Row],[Response]],"")</f>
        <v>1</v>
      </c>
      <c r="L143" s="6" t="str">
        <f>IF(IF(Table44246665[[#This Row],[Pre or Post]]="Post",1,0)+IF(ISNUMBER(Table44246665[[#This Row],[Response]])=TRUE,1,0)=2,Table44246665[[#This Row],[Response]],"")</f>
        <v/>
      </c>
      <c r="M143" s="5">
        <f>IF(IF(ISNUMBER(K143),1,0)+IF(ISNUMBER(L144),1,0)=2,IF(IF(C144=C143,1,0)+IF(B144=B143,1,0)+IF(D144="Post",1,0)+IF(D143="Pre",1,0)=4,Table44246665[[#This Row],[Pre Total]],""),"")</f>
        <v>1</v>
      </c>
      <c r="N143" s="5" t="str">
        <f>IF(IF(ISNUMBER(K142),1,0)+IF(ISNUMBER(Table44246665[[#This Row],[Post Total]]),1,0)=2,IF(IF(Table44246665[[#This Row],[Student Number]]=C142,1,0)+IF(Table44246665[[#This Row],[Session]]=B142,1,0)+IF(Table44246665[[#This Row],[Pre or Post]]="Post",1,0)+IF(D142="Pre",1,0)=4,Table44246665[[#This Row],[Post Total]],""),"")</f>
        <v/>
      </c>
      <c r="O143" s="5" t="str">
        <f>IF(IF(ISNUMBER(K142),1,0)+IF(ISNUMBER(Table44246665[[#This Row],[Post Total]]),1,0)=2,IF(IF(Table44246665[[#This Row],[Student Number]]=C142,1,0)+IF(Table44246665[[#This Row],[Session]]=B142,1,0)+IF(Table44246665[[#This Row],[Pre or Post]]="Post",1,0)+IF(D142="Pre",1,0)=4,Table44246665[[#This Row],[Post Total]]-K142,""),"")</f>
        <v/>
      </c>
      <c r="P143" s="5" t="b">
        <f>ISNUMBER(Table44246665[[#This Row],[Change]])</f>
        <v>0</v>
      </c>
      <c r="Q143" s="5" t="str">
        <f>IF(E142="Yes",Table44246665[[#This Row],[Change]],"")</f>
        <v/>
      </c>
      <c r="R143" s="5" t="str">
        <f>IF(E142="No",Table44246665[[#This Row],[Change]],"")</f>
        <v/>
      </c>
      <c r="S143" s="5" t="b">
        <f>ISNUMBER(Table44246665[[#This Row],[If Pre3 Yes]])</f>
        <v>0</v>
      </c>
      <c r="T143" s="5" t="b">
        <f>ISNUMBER(Table44246665[[#This Row],[If Pre3 No]])</f>
        <v>0</v>
      </c>
    </row>
    <row r="144" spans="1:20">
      <c r="A144" s="2" t="s">
        <v>24</v>
      </c>
      <c r="B144" s="2" t="s">
        <v>26</v>
      </c>
      <c r="C144" s="1">
        <v>8</v>
      </c>
      <c r="D144" s="1" t="s">
        <v>16</v>
      </c>
      <c r="E144" s="5"/>
      <c r="F144" s="1">
        <v>4</v>
      </c>
      <c r="G144" s="1">
        <v>5</v>
      </c>
      <c r="H144" s="2" t="s">
        <v>8</v>
      </c>
      <c r="I144" s="5" t="str">
        <f>IF(IF(Table44246665[[#This Row],[Pre or Post]]="Pre",1,0)+IF(ISNUMBER(Table44246665[[#This Row],[Response]])=TRUE,1,0)=2,1,"")</f>
        <v/>
      </c>
      <c r="J144" s="5">
        <f>IF(IF(Table44246665[[#This Row],[Pre or Post]]="Post",1,0)+IF(ISNUMBER(Table44246665[[#This Row],[Response]])=TRUE,1,0)=2,1,"")</f>
        <v>1</v>
      </c>
      <c r="K144" s="6" t="str">
        <f>IF(IF(Table44246665[[#This Row],[Pre or Post]]="Pre",1,0)+IF(ISNUMBER(Table44246665[[#This Row],[Response]])=TRUE,1,0)=2,Table44246665[[#This Row],[Response]],"")</f>
        <v/>
      </c>
      <c r="L144" s="6">
        <f>IF(IF(Table44246665[[#This Row],[Pre or Post]]="Post",1,0)+IF(ISNUMBER(Table44246665[[#This Row],[Response]])=TRUE,1,0)=2,Table44246665[[#This Row],[Response]],"")</f>
        <v>5</v>
      </c>
      <c r="M144" s="5" t="str">
        <f>IF(IF(ISNUMBER(K144),1,0)+IF(ISNUMBER(L145),1,0)=2,IF(IF(C145=C144,1,0)+IF(B145=B144,1,0)+IF(D145="Post",1,0)+IF(D144="Pre",1,0)=4,Table44246665[[#This Row],[Pre Total]],""),"")</f>
        <v/>
      </c>
      <c r="N144" s="5">
        <f>IF(IF(ISNUMBER(K143),1,0)+IF(ISNUMBER(Table44246665[[#This Row],[Post Total]]),1,0)=2,IF(IF(Table44246665[[#This Row],[Student Number]]=C143,1,0)+IF(Table44246665[[#This Row],[Session]]=B143,1,0)+IF(Table44246665[[#This Row],[Pre or Post]]="Post",1,0)+IF(D143="Pre",1,0)=4,Table44246665[[#This Row],[Post Total]],""),"")</f>
        <v>5</v>
      </c>
      <c r="O144" s="5">
        <f>IF(IF(ISNUMBER(K143),1,0)+IF(ISNUMBER(Table44246665[[#This Row],[Post Total]]),1,0)=2,IF(IF(Table44246665[[#This Row],[Student Number]]=C143,1,0)+IF(Table44246665[[#This Row],[Session]]=B143,1,0)+IF(Table44246665[[#This Row],[Pre or Post]]="Post",1,0)+IF(D143="Pre",1,0)=4,Table44246665[[#This Row],[Post Total]]-K143,""),"")</f>
        <v>4</v>
      </c>
      <c r="P144" s="5" t="b">
        <f>ISNUMBER(Table44246665[[#This Row],[Change]])</f>
        <v>1</v>
      </c>
      <c r="Q144" s="5">
        <f>IF(E143="Yes",Table44246665[[#This Row],[Change]],"")</f>
        <v>4</v>
      </c>
      <c r="R144" s="5" t="str">
        <f>IF(E143="No",Table44246665[[#This Row],[Change]],"")</f>
        <v/>
      </c>
      <c r="S144" s="5" t="b">
        <f>ISNUMBER(Table44246665[[#This Row],[If Pre3 Yes]])</f>
        <v>1</v>
      </c>
      <c r="T144" s="5" t="b">
        <f>ISNUMBER(Table44246665[[#This Row],[If Pre3 No]])</f>
        <v>0</v>
      </c>
    </row>
    <row r="145" spans="1:20">
      <c r="A145" s="2" t="s">
        <v>24</v>
      </c>
      <c r="B145" s="2" t="s">
        <v>26</v>
      </c>
      <c r="C145" s="1">
        <v>9</v>
      </c>
      <c r="D145" s="1" t="s">
        <v>6</v>
      </c>
      <c r="E145" s="5" t="s">
        <v>8</v>
      </c>
      <c r="F145" s="1">
        <v>11</v>
      </c>
      <c r="G145" s="1">
        <v>2</v>
      </c>
      <c r="H145" s="2" t="s">
        <v>8</v>
      </c>
      <c r="I145" s="6">
        <f>IF(IF(Table44246665[[#This Row],[Pre or Post]]="Pre",1,0)+IF(ISNUMBER(Table44246665[[#This Row],[Response]])=TRUE,1,0)=2,1,"")</f>
        <v>1</v>
      </c>
      <c r="J145" s="6" t="str">
        <f>IF(IF(Table44246665[[#This Row],[Pre or Post]]="Post",1,0)+IF(ISNUMBER(Table44246665[[#This Row],[Response]])=TRUE,1,0)=2,1,"")</f>
        <v/>
      </c>
      <c r="K145" s="6">
        <f>IF(IF(Table44246665[[#This Row],[Pre or Post]]="Pre",1,0)+IF(ISNUMBER(Table44246665[[#This Row],[Response]])=TRUE,1,0)=2,Table44246665[[#This Row],[Response]],"")</f>
        <v>2</v>
      </c>
      <c r="L145" s="6" t="str">
        <f>IF(IF(Table44246665[[#This Row],[Pre or Post]]="Post",1,0)+IF(ISNUMBER(Table44246665[[#This Row],[Response]])=TRUE,1,0)=2,Table44246665[[#This Row],[Response]],"")</f>
        <v/>
      </c>
      <c r="M145" s="6">
        <f>IF(IF(ISNUMBER(K145),1,0)+IF(ISNUMBER(L146),1,0)=2,IF(IF(C146=C145,1,0)+IF(B146=B145,1,0)+IF(D146="Post",1,0)+IF(D145="Pre",1,0)=4,Table44246665[[#This Row],[Pre Total]],""),"")</f>
        <v>2</v>
      </c>
      <c r="N145" s="6" t="str">
        <f>IF(IF(ISNUMBER(K144),1,0)+IF(ISNUMBER(Table44246665[[#This Row],[Post Total]]),1,0)=2,IF(IF(Table44246665[[#This Row],[Student Number]]=C144,1,0)+IF(Table44246665[[#This Row],[Session]]=B144,1,0)+IF(Table44246665[[#This Row],[Pre or Post]]="Post",1,0)+IF(D144="Pre",1,0)=4,Table44246665[[#This Row],[Post Total]],""),"")</f>
        <v/>
      </c>
      <c r="O145" s="6" t="str">
        <f>IF(IF(ISNUMBER(K144),1,0)+IF(ISNUMBER(Table44246665[[#This Row],[Post Total]]),1,0)=2,IF(IF(Table44246665[[#This Row],[Student Number]]=C144,1,0)+IF(Table44246665[[#This Row],[Session]]=B144,1,0)+IF(Table44246665[[#This Row],[Pre or Post]]="Post",1,0)+IF(D144="Pre",1,0)=4,Table44246665[[#This Row],[Post Total]]-K144,""),"")</f>
        <v/>
      </c>
      <c r="P145" s="6" t="b">
        <f>ISNUMBER(Table44246665[[#This Row],[Change]])</f>
        <v>0</v>
      </c>
      <c r="Q145" s="5" t="str">
        <f>IF(E144="Yes",Table44246665[[#This Row],[Change]],"")</f>
        <v/>
      </c>
      <c r="R145" s="5" t="str">
        <f>IF(E144="No",Table44246665[[#This Row],[Change]],"")</f>
        <v/>
      </c>
      <c r="S145" s="5" t="b">
        <f>ISNUMBER(Table44246665[[#This Row],[If Pre3 Yes]])</f>
        <v>0</v>
      </c>
      <c r="T145" s="5" t="b">
        <f>ISNUMBER(Table44246665[[#This Row],[If Pre3 No]])</f>
        <v>0</v>
      </c>
    </row>
    <row r="146" spans="1:20">
      <c r="A146" s="2" t="s">
        <v>24</v>
      </c>
      <c r="B146" s="2" t="s">
        <v>26</v>
      </c>
      <c r="C146" s="1">
        <v>9</v>
      </c>
      <c r="D146" s="1" t="s">
        <v>16</v>
      </c>
      <c r="E146" s="5"/>
      <c r="F146" s="1">
        <v>4</v>
      </c>
      <c r="G146" s="1">
        <v>3</v>
      </c>
      <c r="H146" s="2" t="s">
        <v>8</v>
      </c>
      <c r="I146" s="6" t="str">
        <f>IF(IF(Table44246665[[#This Row],[Pre or Post]]="Pre",1,0)+IF(ISNUMBER(Table44246665[[#This Row],[Response]])=TRUE,1,0)=2,1,"")</f>
        <v/>
      </c>
      <c r="J146" s="6">
        <f>IF(IF(Table44246665[[#This Row],[Pre or Post]]="Post",1,0)+IF(ISNUMBER(Table44246665[[#This Row],[Response]])=TRUE,1,0)=2,1,"")</f>
        <v>1</v>
      </c>
      <c r="K146" s="6" t="str">
        <f>IF(IF(Table44246665[[#This Row],[Pre or Post]]="Pre",1,0)+IF(ISNUMBER(Table44246665[[#This Row],[Response]])=TRUE,1,0)=2,Table44246665[[#This Row],[Response]],"")</f>
        <v/>
      </c>
      <c r="L146" s="6">
        <f>IF(IF(Table44246665[[#This Row],[Pre or Post]]="Post",1,0)+IF(ISNUMBER(Table44246665[[#This Row],[Response]])=TRUE,1,0)=2,Table44246665[[#This Row],[Response]],"")</f>
        <v>3</v>
      </c>
      <c r="M146" s="6" t="str">
        <f>IF(IF(ISNUMBER(K146),1,0)+IF(ISNUMBER(L147),1,0)=2,IF(IF(C147=C146,1,0)+IF(B147=B146,1,0)+IF(D147="Post",1,0)+IF(D146="Pre",1,0)=4,Table44246665[[#This Row],[Pre Total]],""),"")</f>
        <v/>
      </c>
      <c r="N146" s="6">
        <f>IF(IF(ISNUMBER(K145),1,0)+IF(ISNUMBER(Table44246665[[#This Row],[Post Total]]),1,0)=2,IF(IF(Table44246665[[#This Row],[Student Number]]=C145,1,0)+IF(Table44246665[[#This Row],[Session]]=B145,1,0)+IF(Table44246665[[#This Row],[Pre or Post]]="Post",1,0)+IF(D145="Pre",1,0)=4,Table44246665[[#This Row],[Post Total]],""),"")</f>
        <v>3</v>
      </c>
      <c r="O146" s="6">
        <f>IF(IF(ISNUMBER(K145),1,0)+IF(ISNUMBER(Table44246665[[#This Row],[Post Total]]),1,0)=2,IF(IF(Table44246665[[#This Row],[Student Number]]=C145,1,0)+IF(Table44246665[[#This Row],[Session]]=B145,1,0)+IF(Table44246665[[#This Row],[Pre or Post]]="Post",1,0)+IF(D145="Pre",1,0)=4,Table44246665[[#This Row],[Post Total]]-K145,""),"")</f>
        <v>1</v>
      </c>
      <c r="P146" s="6" t="b">
        <f>ISNUMBER(Table44246665[[#This Row],[Change]])</f>
        <v>1</v>
      </c>
      <c r="Q146" s="5">
        <f>IF(E145="Yes",Table44246665[[#This Row],[Change]],"")</f>
        <v>1</v>
      </c>
      <c r="R146" s="5" t="str">
        <f>IF(E145="No",Table44246665[[#This Row],[Change]],"")</f>
        <v/>
      </c>
      <c r="S146" s="5" t="b">
        <f>ISNUMBER(Table44246665[[#This Row],[If Pre3 Yes]])</f>
        <v>1</v>
      </c>
      <c r="T146" s="5" t="b">
        <f>ISNUMBER(Table44246665[[#This Row],[If Pre3 No]])</f>
        <v>0</v>
      </c>
    </row>
    <row r="147" spans="1:20">
      <c r="A147" s="2" t="s">
        <v>24</v>
      </c>
      <c r="B147" s="2" t="s">
        <v>26</v>
      </c>
      <c r="C147" s="1">
        <v>10</v>
      </c>
      <c r="D147" s="1" t="s">
        <v>6</v>
      </c>
      <c r="E147" s="5" t="s">
        <v>8</v>
      </c>
      <c r="F147" s="1">
        <v>11</v>
      </c>
      <c r="G147" s="1">
        <v>3</v>
      </c>
      <c r="H147" s="2" t="s">
        <v>8</v>
      </c>
      <c r="I147" s="5">
        <f>IF(IF(Table44246665[[#This Row],[Pre or Post]]="Pre",1,0)+IF(ISNUMBER(Table44246665[[#This Row],[Response]])=TRUE,1,0)=2,1,"")</f>
        <v>1</v>
      </c>
      <c r="J147" s="5" t="str">
        <f>IF(IF(Table44246665[[#This Row],[Pre or Post]]="Post",1,0)+IF(ISNUMBER(Table44246665[[#This Row],[Response]])=TRUE,1,0)=2,1,"")</f>
        <v/>
      </c>
      <c r="K147" s="6">
        <f>IF(IF(Table44246665[[#This Row],[Pre or Post]]="Pre",1,0)+IF(ISNUMBER(Table44246665[[#This Row],[Response]])=TRUE,1,0)=2,Table44246665[[#This Row],[Response]],"")</f>
        <v>3</v>
      </c>
      <c r="L147" s="6" t="str">
        <f>IF(IF(Table44246665[[#This Row],[Pre or Post]]="Post",1,0)+IF(ISNUMBER(Table44246665[[#This Row],[Response]])=TRUE,1,0)=2,Table44246665[[#This Row],[Response]],"")</f>
        <v/>
      </c>
      <c r="M147" s="5">
        <f>IF(IF(ISNUMBER(K147),1,0)+IF(ISNUMBER(L148),1,0)=2,IF(IF(C148=C147,1,0)+IF(B148=B147,1,0)+IF(D148="Post",1,0)+IF(D147="Pre",1,0)=4,Table44246665[[#This Row],[Pre Total]],""),"")</f>
        <v>3</v>
      </c>
      <c r="N147" s="5" t="str">
        <f>IF(IF(ISNUMBER(K146),1,0)+IF(ISNUMBER(Table44246665[[#This Row],[Post Total]]),1,0)=2,IF(IF(Table44246665[[#This Row],[Student Number]]=C146,1,0)+IF(Table44246665[[#This Row],[Session]]=B146,1,0)+IF(Table44246665[[#This Row],[Pre or Post]]="Post",1,0)+IF(D146="Pre",1,0)=4,Table44246665[[#This Row],[Post Total]],""),"")</f>
        <v/>
      </c>
      <c r="O147" s="5" t="str">
        <f>IF(IF(ISNUMBER(K146),1,0)+IF(ISNUMBER(Table44246665[[#This Row],[Post Total]]),1,0)=2,IF(IF(Table44246665[[#This Row],[Student Number]]=C146,1,0)+IF(Table44246665[[#This Row],[Session]]=B146,1,0)+IF(Table44246665[[#This Row],[Pre or Post]]="Post",1,0)+IF(D146="Pre",1,0)=4,Table44246665[[#This Row],[Post Total]]-K146,""),"")</f>
        <v/>
      </c>
      <c r="P147" s="5" t="b">
        <f>ISNUMBER(Table44246665[[#This Row],[Change]])</f>
        <v>0</v>
      </c>
      <c r="Q147" s="5" t="str">
        <f>IF(E146="Yes",Table44246665[[#This Row],[Change]],"")</f>
        <v/>
      </c>
      <c r="R147" s="5" t="str">
        <f>IF(E146="No",Table44246665[[#This Row],[Change]],"")</f>
        <v/>
      </c>
      <c r="S147" s="5" t="b">
        <f>ISNUMBER(Table44246665[[#This Row],[If Pre3 Yes]])</f>
        <v>0</v>
      </c>
      <c r="T147" s="5" t="b">
        <f>ISNUMBER(Table44246665[[#This Row],[If Pre3 No]])</f>
        <v>0</v>
      </c>
    </row>
    <row r="148" spans="1:20">
      <c r="A148" s="2" t="s">
        <v>24</v>
      </c>
      <c r="B148" s="2" t="s">
        <v>26</v>
      </c>
      <c r="C148" s="1">
        <v>10</v>
      </c>
      <c r="D148" s="1" t="s">
        <v>16</v>
      </c>
      <c r="E148" s="5"/>
      <c r="F148" s="1">
        <v>4</v>
      </c>
      <c r="G148" s="1">
        <v>4</v>
      </c>
      <c r="H148" s="2" t="s">
        <v>8</v>
      </c>
      <c r="I148" s="5" t="str">
        <f>IF(IF(Table44246665[[#This Row],[Pre or Post]]="Pre",1,0)+IF(ISNUMBER(Table44246665[[#This Row],[Response]])=TRUE,1,0)=2,1,"")</f>
        <v/>
      </c>
      <c r="J148" s="5">
        <f>IF(IF(Table44246665[[#This Row],[Pre or Post]]="Post",1,0)+IF(ISNUMBER(Table44246665[[#This Row],[Response]])=TRUE,1,0)=2,1,"")</f>
        <v>1</v>
      </c>
      <c r="K148" s="6" t="str">
        <f>IF(IF(Table44246665[[#This Row],[Pre or Post]]="Pre",1,0)+IF(ISNUMBER(Table44246665[[#This Row],[Response]])=TRUE,1,0)=2,Table44246665[[#This Row],[Response]],"")</f>
        <v/>
      </c>
      <c r="L148" s="6">
        <f>IF(IF(Table44246665[[#This Row],[Pre or Post]]="Post",1,0)+IF(ISNUMBER(Table44246665[[#This Row],[Response]])=TRUE,1,0)=2,Table44246665[[#This Row],[Response]],"")</f>
        <v>4</v>
      </c>
      <c r="M148" s="5" t="str">
        <f>IF(IF(ISNUMBER(K148),1,0)+IF(ISNUMBER(L149),1,0)=2,IF(IF(C149=C148,1,0)+IF(B149=B148,1,0)+IF(D149="Post",1,0)+IF(D148="Pre",1,0)=4,Table44246665[[#This Row],[Pre Total]],""),"")</f>
        <v/>
      </c>
      <c r="N148" s="5">
        <f>IF(IF(ISNUMBER(K147),1,0)+IF(ISNUMBER(Table44246665[[#This Row],[Post Total]]),1,0)=2,IF(IF(Table44246665[[#This Row],[Student Number]]=C147,1,0)+IF(Table44246665[[#This Row],[Session]]=B147,1,0)+IF(Table44246665[[#This Row],[Pre or Post]]="Post",1,0)+IF(D147="Pre",1,0)=4,Table44246665[[#This Row],[Post Total]],""),"")</f>
        <v>4</v>
      </c>
      <c r="O148" s="5">
        <f>IF(IF(ISNUMBER(K147),1,0)+IF(ISNUMBER(Table44246665[[#This Row],[Post Total]]),1,0)=2,IF(IF(Table44246665[[#This Row],[Student Number]]=C147,1,0)+IF(Table44246665[[#This Row],[Session]]=B147,1,0)+IF(Table44246665[[#This Row],[Pre or Post]]="Post",1,0)+IF(D147="Pre",1,0)=4,Table44246665[[#This Row],[Post Total]]-K147,""),"")</f>
        <v>1</v>
      </c>
      <c r="P148" s="5" t="b">
        <f>ISNUMBER(Table44246665[[#This Row],[Change]])</f>
        <v>1</v>
      </c>
      <c r="Q148" s="5">
        <f>IF(E147="Yes",Table44246665[[#This Row],[Change]],"")</f>
        <v>1</v>
      </c>
      <c r="R148" s="5" t="str">
        <f>IF(E147="No",Table44246665[[#This Row],[Change]],"")</f>
        <v/>
      </c>
      <c r="S148" s="5" t="b">
        <f>ISNUMBER(Table44246665[[#This Row],[If Pre3 Yes]])</f>
        <v>1</v>
      </c>
      <c r="T148" s="5" t="b">
        <f>ISNUMBER(Table44246665[[#This Row],[If Pre3 No]])</f>
        <v>0</v>
      </c>
    </row>
    <row r="149" spans="1:20">
      <c r="A149" s="2" t="s">
        <v>24</v>
      </c>
      <c r="B149" s="2" t="s">
        <v>26</v>
      </c>
      <c r="C149" s="1">
        <v>11</v>
      </c>
      <c r="D149" s="1" t="s">
        <v>6</v>
      </c>
      <c r="E149" s="5" t="s">
        <v>9</v>
      </c>
      <c r="F149" s="1">
        <v>11</v>
      </c>
      <c r="G149" s="1">
        <v>2</v>
      </c>
      <c r="H149" s="2" t="s">
        <v>8</v>
      </c>
      <c r="I149" s="6">
        <f>IF(IF(Table44246665[[#This Row],[Pre or Post]]="Pre",1,0)+IF(ISNUMBER(Table44246665[[#This Row],[Response]])=TRUE,1,0)=2,1,"")</f>
        <v>1</v>
      </c>
      <c r="J149" s="6" t="str">
        <f>IF(IF(Table44246665[[#This Row],[Pre or Post]]="Post",1,0)+IF(ISNUMBER(Table44246665[[#This Row],[Response]])=TRUE,1,0)=2,1,"")</f>
        <v/>
      </c>
      <c r="K149" s="6">
        <f>IF(IF(Table44246665[[#This Row],[Pre or Post]]="Pre",1,0)+IF(ISNUMBER(Table44246665[[#This Row],[Response]])=TRUE,1,0)=2,Table44246665[[#This Row],[Response]],"")</f>
        <v>2</v>
      </c>
      <c r="L149" s="6" t="str">
        <f>IF(IF(Table44246665[[#This Row],[Pre or Post]]="Post",1,0)+IF(ISNUMBER(Table44246665[[#This Row],[Response]])=TRUE,1,0)=2,Table44246665[[#This Row],[Response]],"")</f>
        <v/>
      </c>
      <c r="M149" s="6">
        <f>IF(IF(ISNUMBER(K149),1,0)+IF(ISNUMBER(L150),1,0)=2,IF(IF(C150=C149,1,0)+IF(B150=B149,1,0)+IF(D150="Post",1,0)+IF(D149="Pre",1,0)=4,Table44246665[[#This Row],[Pre Total]],""),"")</f>
        <v>2</v>
      </c>
      <c r="N149" s="6" t="str">
        <f>IF(IF(ISNUMBER(K148),1,0)+IF(ISNUMBER(Table44246665[[#This Row],[Post Total]]),1,0)=2,IF(IF(Table44246665[[#This Row],[Student Number]]=C148,1,0)+IF(Table44246665[[#This Row],[Session]]=B148,1,0)+IF(Table44246665[[#This Row],[Pre or Post]]="Post",1,0)+IF(D148="Pre",1,0)=4,Table44246665[[#This Row],[Post Total]],""),"")</f>
        <v/>
      </c>
      <c r="O149" s="6" t="str">
        <f>IF(IF(ISNUMBER(K148),1,0)+IF(ISNUMBER(Table44246665[[#This Row],[Post Total]]),1,0)=2,IF(IF(Table44246665[[#This Row],[Student Number]]=C148,1,0)+IF(Table44246665[[#This Row],[Session]]=B148,1,0)+IF(Table44246665[[#This Row],[Pre or Post]]="Post",1,0)+IF(D148="Pre",1,0)=4,Table44246665[[#This Row],[Post Total]]-K148,""),"")</f>
        <v/>
      </c>
      <c r="P149" s="6" t="b">
        <f>ISNUMBER(Table44246665[[#This Row],[Change]])</f>
        <v>0</v>
      </c>
      <c r="Q149" s="5" t="str">
        <f>IF(E148="Yes",Table44246665[[#This Row],[Change]],"")</f>
        <v/>
      </c>
      <c r="R149" s="5" t="str">
        <f>IF(E148="No",Table44246665[[#This Row],[Change]],"")</f>
        <v/>
      </c>
      <c r="S149" s="5" t="b">
        <f>ISNUMBER(Table44246665[[#This Row],[If Pre3 Yes]])</f>
        <v>0</v>
      </c>
      <c r="T149" s="5" t="b">
        <f>ISNUMBER(Table44246665[[#This Row],[If Pre3 No]])</f>
        <v>0</v>
      </c>
    </row>
    <row r="150" spans="1:20">
      <c r="A150" s="2" t="s">
        <v>24</v>
      </c>
      <c r="B150" s="2" t="s">
        <v>26</v>
      </c>
      <c r="C150" s="1">
        <v>11</v>
      </c>
      <c r="D150" s="1" t="s">
        <v>16</v>
      </c>
      <c r="E150" s="5"/>
      <c r="F150" s="1">
        <v>4</v>
      </c>
      <c r="G150" s="1">
        <v>3</v>
      </c>
      <c r="H150" s="2" t="s">
        <v>8</v>
      </c>
      <c r="I150" s="6" t="str">
        <f>IF(IF(Table44246665[[#This Row],[Pre or Post]]="Pre",1,0)+IF(ISNUMBER(Table44246665[[#This Row],[Response]])=TRUE,1,0)=2,1,"")</f>
        <v/>
      </c>
      <c r="J150" s="6">
        <f>IF(IF(Table44246665[[#This Row],[Pre or Post]]="Post",1,0)+IF(ISNUMBER(Table44246665[[#This Row],[Response]])=TRUE,1,0)=2,1,"")</f>
        <v>1</v>
      </c>
      <c r="K150" s="6" t="str">
        <f>IF(IF(Table44246665[[#This Row],[Pre or Post]]="Pre",1,0)+IF(ISNUMBER(Table44246665[[#This Row],[Response]])=TRUE,1,0)=2,Table44246665[[#This Row],[Response]],"")</f>
        <v/>
      </c>
      <c r="L150" s="6">
        <f>IF(IF(Table44246665[[#This Row],[Pre or Post]]="Post",1,0)+IF(ISNUMBER(Table44246665[[#This Row],[Response]])=TRUE,1,0)=2,Table44246665[[#This Row],[Response]],"")</f>
        <v>3</v>
      </c>
      <c r="M150" s="6" t="str">
        <f>IF(IF(ISNUMBER(K150),1,0)+IF(ISNUMBER(L151),1,0)=2,IF(IF(C151=C150,1,0)+IF(B151=B150,1,0)+IF(D151="Post",1,0)+IF(D150="Pre",1,0)=4,Table44246665[[#This Row],[Pre Total]],""),"")</f>
        <v/>
      </c>
      <c r="N150" s="6">
        <f>IF(IF(ISNUMBER(K149),1,0)+IF(ISNUMBER(Table44246665[[#This Row],[Post Total]]),1,0)=2,IF(IF(Table44246665[[#This Row],[Student Number]]=C149,1,0)+IF(Table44246665[[#This Row],[Session]]=B149,1,0)+IF(Table44246665[[#This Row],[Pre or Post]]="Post",1,0)+IF(D149="Pre",1,0)=4,Table44246665[[#This Row],[Post Total]],""),"")</f>
        <v>3</v>
      </c>
      <c r="O150" s="6">
        <f>IF(IF(ISNUMBER(K149),1,0)+IF(ISNUMBER(Table44246665[[#This Row],[Post Total]]),1,0)=2,IF(IF(Table44246665[[#This Row],[Student Number]]=C149,1,0)+IF(Table44246665[[#This Row],[Session]]=B149,1,0)+IF(Table44246665[[#This Row],[Pre or Post]]="Post",1,0)+IF(D149="Pre",1,0)=4,Table44246665[[#This Row],[Post Total]]-K149,""),"")</f>
        <v>1</v>
      </c>
      <c r="P150" s="6" t="b">
        <f>ISNUMBER(Table44246665[[#This Row],[Change]])</f>
        <v>1</v>
      </c>
      <c r="Q150" s="5" t="str">
        <f>IF(E149="Yes",Table44246665[[#This Row],[Change]],"")</f>
        <v/>
      </c>
      <c r="R150" s="5">
        <f>IF(E149="No",Table44246665[[#This Row],[Change]],"")</f>
        <v>1</v>
      </c>
      <c r="S150" s="5" t="b">
        <f>ISNUMBER(Table44246665[[#This Row],[If Pre3 Yes]])</f>
        <v>0</v>
      </c>
      <c r="T150" s="5" t="b">
        <f>ISNUMBER(Table44246665[[#This Row],[If Pre3 No]])</f>
        <v>1</v>
      </c>
    </row>
    <row r="151" spans="1:20">
      <c r="A151" s="2" t="s">
        <v>24</v>
      </c>
      <c r="B151" s="2" t="s">
        <v>26</v>
      </c>
      <c r="C151" s="1">
        <v>12</v>
      </c>
      <c r="D151" s="1" t="s">
        <v>6</v>
      </c>
      <c r="E151" s="5" t="s">
        <v>9</v>
      </c>
      <c r="F151" s="1">
        <v>11</v>
      </c>
      <c r="G151" s="1">
        <v>1</v>
      </c>
      <c r="H151" s="2" t="s">
        <v>8</v>
      </c>
      <c r="I151" s="5">
        <f>IF(IF(Table44246665[[#This Row],[Pre or Post]]="Pre",1,0)+IF(ISNUMBER(Table44246665[[#This Row],[Response]])=TRUE,1,0)=2,1,"")</f>
        <v>1</v>
      </c>
      <c r="J151" s="5" t="str">
        <f>IF(IF(Table44246665[[#This Row],[Pre or Post]]="Post",1,0)+IF(ISNUMBER(Table44246665[[#This Row],[Response]])=TRUE,1,0)=2,1,"")</f>
        <v/>
      </c>
      <c r="K151" s="6">
        <f>IF(IF(Table44246665[[#This Row],[Pre or Post]]="Pre",1,0)+IF(ISNUMBER(Table44246665[[#This Row],[Response]])=TRUE,1,0)=2,Table44246665[[#This Row],[Response]],"")</f>
        <v>1</v>
      </c>
      <c r="L151" s="6" t="str">
        <f>IF(IF(Table44246665[[#This Row],[Pre or Post]]="Post",1,0)+IF(ISNUMBER(Table44246665[[#This Row],[Response]])=TRUE,1,0)=2,Table44246665[[#This Row],[Response]],"")</f>
        <v/>
      </c>
      <c r="M151" s="5">
        <f>IF(IF(ISNUMBER(K151),1,0)+IF(ISNUMBER(L152),1,0)=2,IF(IF(C152=C151,1,0)+IF(B152=B151,1,0)+IF(D152="Post",1,0)+IF(D151="Pre",1,0)=4,Table44246665[[#This Row],[Pre Total]],""),"")</f>
        <v>1</v>
      </c>
      <c r="N151" s="5" t="str">
        <f>IF(IF(ISNUMBER(K150),1,0)+IF(ISNUMBER(Table44246665[[#This Row],[Post Total]]),1,0)=2,IF(IF(Table44246665[[#This Row],[Student Number]]=C150,1,0)+IF(Table44246665[[#This Row],[Session]]=B150,1,0)+IF(Table44246665[[#This Row],[Pre or Post]]="Post",1,0)+IF(D150="Pre",1,0)=4,Table44246665[[#This Row],[Post Total]],""),"")</f>
        <v/>
      </c>
      <c r="O151" s="5" t="str">
        <f>IF(IF(ISNUMBER(K150),1,0)+IF(ISNUMBER(Table44246665[[#This Row],[Post Total]]),1,0)=2,IF(IF(Table44246665[[#This Row],[Student Number]]=C150,1,0)+IF(Table44246665[[#This Row],[Session]]=B150,1,0)+IF(Table44246665[[#This Row],[Pre or Post]]="Post",1,0)+IF(D150="Pre",1,0)=4,Table44246665[[#This Row],[Post Total]]-K150,""),"")</f>
        <v/>
      </c>
      <c r="P151" s="5" t="b">
        <f>ISNUMBER(Table44246665[[#This Row],[Change]])</f>
        <v>0</v>
      </c>
      <c r="Q151" s="5" t="str">
        <f>IF(E150="Yes",Table44246665[[#This Row],[Change]],"")</f>
        <v/>
      </c>
      <c r="R151" s="5" t="str">
        <f>IF(E150="No",Table44246665[[#This Row],[Change]],"")</f>
        <v/>
      </c>
      <c r="S151" s="5" t="b">
        <f>ISNUMBER(Table44246665[[#This Row],[If Pre3 Yes]])</f>
        <v>0</v>
      </c>
      <c r="T151" s="5" t="b">
        <f>ISNUMBER(Table44246665[[#This Row],[If Pre3 No]])</f>
        <v>0</v>
      </c>
    </row>
    <row r="152" spans="1:20">
      <c r="A152" s="2" t="s">
        <v>24</v>
      </c>
      <c r="B152" s="2" t="s">
        <v>26</v>
      </c>
      <c r="C152" s="1">
        <v>12</v>
      </c>
      <c r="D152" s="1" t="s">
        <v>16</v>
      </c>
      <c r="E152" s="5"/>
      <c r="F152" s="1">
        <v>4</v>
      </c>
      <c r="G152" s="1">
        <v>3</v>
      </c>
      <c r="H152" s="2" t="s">
        <v>8</v>
      </c>
      <c r="I152" s="5" t="str">
        <f>IF(IF(Table44246665[[#This Row],[Pre or Post]]="Pre",1,0)+IF(ISNUMBER(Table44246665[[#This Row],[Response]])=TRUE,1,0)=2,1,"")</f>
        <v/>
      </c>
      <c r="J152" s="5">
        <f>IF(IF(Table44246665[[#This Row],[Pre or Post]]="Post",1,0)+IF(ISNUMBER(Table44246665[[#This Row],[Response]])=TRUE,1,0)=2,1,"")</f>
        <v>1</v>
      </c>
      <c r="K152" s="6" t="str">
        <f>IF(IF(Table44246665[[#This Row],[Pre or Post]]="Pre",1,0)+IF(ISNUMBER(Table44246665[[#This Row],[Response]])=TRUE,1,0)=2,Table44246665[[#This Row],[Response]],"")</f>
        <v/>
      </c>
      <c r="L152" s="6">
        <f>IF(IF(Table44246665[[#This Row],[Pre or Post]]="Post",1,0)+IF(ISNUMBER(Table44246665[[#This Row],[Response]])=TRUE,1,0)=2,Table44246665[[#This Row],[Response]],"")</f>
        <v>3</v>
      </c>
      <c r="M152" s="5" t="str">
        <f>IF(IF(ISNUMBER(K152),1,0)+IF(ISNUMBER(L153),1,0)=2,IF(IF(C153=C152,1,0)+IF(B153=B152,1,0)+IF(D153="Post",1,0)+IF(D152="Pre",1,0)=4,Table44246665[[#This Row],[Pre Total]],""),"")</f>
        <v/>
      </c>
      <c r="N152" s="5">
        <f>IF(IF(ISNUMBER(K151),1,0)+IF(ISNUMBER(Table44246665[[#This Row],[Post Total]]),1,0)=2,IF(IF(Table44246665[[#This Row],[Student Number]]=C151,1,0)+IF(Table44246665[[#This Row],[Session]]=B151,1,0)+IF(Table44246665[[#This Row],[Pre or Post]]="Post",1,0)+IF(D151="Pre",1,0)=4,Table44246665[[#This Row],[Post Total]],""),"")</f>
        <v>3</v>
      </c>
      <c r="O152" s="5">
        <f>IF(IF(ISNUMBER(K151),1,0)+IF(ISNUMBER(Table44246665[[#This Row],[Post Total]]),1,0)=2,IF(IF(Table44246665[[#This Row],[Student Number]]=C151,1,0)+IF(Table44246665[[#This Row],[Session]]=B151,1,0)+IF(Table44246665[[#This Row],[Pre or Post]]="Post",1,0)+IF(D151="Pre",1,0)=4,Table44246665[[#This Row],[Post Total]]-K151,""),"")</f>
        <v>2</v>
      </c>
      <c r="P152" s="5" t="b">
        <f>ISNUMBER(Table44246665[[#This Row],[Change]])</f>
        <v>1</v>
      </c>
      <c r="Q152" s="5" t="str">
        <f>IF(E151="Yes",Table44246665[[#This Row],[Change]],"")</f>
        <v/>
      </c>
      <c r="R152" s="5">
        <f>IF(E151="No",Table44246665[[#This Row],[Change]],"")</f>
        <v>2</v>
      </c>
      <c r="S152" s="5" t="b">
        <f>ISNUMBER(Table44246665[[#This Row],[If Pre3 Yes]])</f>
        <v>0</v>
      </c>
      <c r="T152" s="5" t="b">
        <f>ISNUMBER(Table44246665[[#This Row],[If Pre3 No]])</f>
        <v>1</v>
      </c>
    </row>
    <row r="153" spans="1:20">
      <c r="A153" s="2" t="s">
        <v>24</v>
      </c>
      <c r="B153" s="2" t="s">
        <v>26</v>
      </c>
      <c r="C153" s="1">
        <v>13</v>
      </c>
      <c r="D153" s="1" t="s">
        <v>6</v>
      </c>
      <c r="E153" s="5" t="s">
        <v>9</v>
      </c>
      <c r="F153" s="1">
        <v>11</v>
      </c>
      <c r="G153" s="1">
        <v>1</v>
      </c>
      <c r="H153" s="2" t="s">
        <v>8</v>
      </c>
      <c r="I153" s="6">
        <f>IF(IF(Table44246665[[#This Row],[Pre or Post]]="Pre",1,0)+IF(ISNUMBER(Table44246665[[#This Row],[Response]])=TRUE,1,0)=2,1,"")</f>
        <v>1</v>
      </c>
      <c r="J153" s="6" t="str">
        <f>IF(IF(Table44246665[[#This Row],[Pre or Post]]="Post",1,0)+IF(ISNUMBER(Table44246665[[#This Row],[Response]])=TRUE,1,0)=2,1,"")</f>
        <v/>
      </c>
      <c r="K153" s="6">
        <f>IF(IF(Table44246665[[#This Row],[Pre or Post]]="Pre",1,0)+IF(ISNUMBER(Table44246665[[#This Row],[Response]])=TRUE,1,0)=2,Table44246665[[#This Row],[Response]],"")</f>
        <v>1</v>
      </c>
      <c r="L153" s="6" t="str">
        <f>IF(IF(Table44246665[[#This Row],[Pre or Post]]="Post",1,0)+IF(ISNUMBER(Table44246665[[#This Row],[Response]])=TRUE,1,0)=2,Table44246665[[#This Row],[Response]],"")</f>
        <v/>
      </c>
      <c r="M153" s="6">
        <f>IF(IF(ISNUMBER(K153),1,0)+IF(ISNUMBER(L154),1,0)=2,IF(IF(C154=C153,1,0)+IF(B154=B153,1,0)+IF(D154="Post",1,0)+IF(D153="Pre",1,0)=4,Table44246665[[#This Row],[Pre Total]],""),"")</f>
        <v>1</v>
      </c>
      <c r="N153" s="6" t="str">
        <f>IF(IF(ISNUMBER(K152),1,0)+IF(ISNUMBER(Table44246665[[#This Row],[Post Total]]),1,0)=2,IF(IF(Table44246665[[#This Row],[Student Number]]=C152,1,0)+IF(Table44246665[[#This Row],[Session]]=B152,1,0)+IF(Table44246665[[#This Row],[Pre or Post]]="Post",1,0)+IF(D152="Pre",1,0)=4,Table44246665[[#This Row],[Post Total]],""),"")</f>
        <v/>
      </c>
      <c r="O153" s="6" t="str">
        <f>IF(IF(ISNUMBER(K152),1,0)+IF(ISNUMBER(Table44246665[[#This Row],[Post Total]]),1,0)=2,IF(IF(Table44246665[[#This Row],[Student Number]]=C152,1,0)+IF(Table44246665[[#This Row],[Session]]=B152,1,0)+IF(Table44246665[[#This Row],[Pre or Post]]="Post",1,0)+IF(D152="Pre",1,0)=4,Table44246665[[#This Row],[Post Total]]-K152,""),"")</f>
        <v/>
      </c>
      <c r="P153" s="6" t="b">
        <f>ISNUMBER(Table44246665[[#This Row],[Change]])</f>
        <v>0</v>
      </c>
      <c r="Q153" s="5" t="str">
        <f>IF(E152="Yes",Table44246665[[#This Row],[Change]],"")</f>
        <v/>
      </c>
      <c r="R153" s="5" t="str">
        <f>IF(E152="No",Table44246665[[#This Row],[Change]],"")</f>
        <v/>
      </c>
      <c r="S153" s="5" t="b">
        <f>ISNUMBER(Table44246665[[#This Row],[If Pre3 Yes]])</f>
        <v>0</v>
      </c>
      <c r="T153" s="5" t="b">
        <f>ISNUMBER(Table44246665[[#This Row],[If Pre3 No]])</f>
        <v>0</v>
      </c>
    </row>
    <row r="154" spans="1:20">
      <c r="A154" s="2" t="s">
        <v>24</v>
      </c>
      <c r="B154" s="2" t="s">
        <v>26</v>
      </c>
      <c r="C154" s="1">
        <v>13</v>
      </c>
      <c r="D154" s="1" t="s">
        <v>16</v>
      </c>
      <c r="E154" s="5"/>
      <c r="F154" s="1">
        <v>4</v>
      </c>
      <c r="G154" s="1">
        <v>2</v>
      </c>
      <c r="H154" s="2" t="s">
        <v>8</v>
      </c>
      <c r="I154" s="6" t="str">
        <f>IF(IF(Table44246665[[#This Row],[Pre or Post]]="Pre",1,0)+IF(ISNUMBER(Table44246665[[#This Row],[Response]])=TRUE,1,0)=2,1,"")</f>
        <v/>
      </c>
      <c r="J154" s="6">
        <f>IF(IF(Table44246665[[#This Row],[Pre or Post]]="Post",1,0)+IF(ISNUMBER(Table44246665[[#This Row],[Response]])=TRUE,1,0)=2,1,"")</f>
        <v>1</v>
      </c>
      <c r="K154" s="6" t="str">
        <f>IF(IF(Table44246665[[#This Row],[Pre or Post]]="Pre",1,0)+IF(ISNUMBER(Table44246665[[#This Row],[Response]])=TRUE,1,0)=2,Table44246665[[#This Row],[Response]],"")</f>
        <v/>
      </c>
      <c r="L154" s="6">
        <f>IF(IF(Table44246665[[#This Row],[Pre or Post]]="Post",1,0)+IF(ISNUMBER(Table44246665[[#This Row],[Response]])=TRUE,1,0)=2,Table44246665[[#This Row],[Response]],"")</f>
        <v>2</v>
      </c>
      <c r="M154" s="6" t="str">
        <f>IF(IF(ISNUMBER(K154),1,0)+IF(ISNUMBER(L155),1,0)=2,IF(IF(C155=C154,1,0)+IF(B155=B154,1,0)+IF(D155="Post",1,0)+IF(D154="Pre",1,0)=4,Table44246665[[#This Row],[Pre Total]],""),"")</f>
        <v/>
      </c>
      <c r="N154" s="6">
        <f>IF(IF(ISNUMBER(K153),1,0)+IF(ISNUMBER(Table44246665[[#This Row],[Post Total]]),1,0)=2,IF(IF(Table44246665[[#This Row],[Student Number]]=C153,1,0)+IF(Table44246665[[#This Row],[Session]]=B153,1,0)+IF(Table44246665[[#This Row],[Pre or Post]]="Post",1,0)+IF(D153="Pre",1,0)=4,Table44246665[[#This Row],[Post Total]],""),"")</f>
        <v>2</v>
      </c>
      <c r="O154" s="6">
        <f>IF(IF(ISNUMBER(K153),1,0)+IF(ISNUMBER(Table44246665[[#This Row],[Post Total]]),1,0)=2,IF(IF(Table44246665[[#This Row],[Student Number]]=C153,1,0)+IF(Table44246665[[#This Row],[Session]]=B153,1,0)+IF(Table44246665[[#This Row],[Pre or Post]]="Post",1,0)+IF(D153="Pre",1,0)=4,Table44246665[[#This Row],[Post Total]]-K153,""),"")</f>
        <v>1</v>
      </c>
      <c r="P154" s="6" t="b">
        <f>ISNUMBER(Table44246665[[#This Row],[Change]])</f>
        <v>1</v>
      </c>
      <c r="Q154" s="5" t="str">
        <f>IF(E153="Yes",Table44246665[[#This Row],[Change]],"")</f>
        <v/>
      </c>
      <c r="R154" s="5">
        <f>IF(E153="No",Table44246665[[#This Row],[Change]],"")</f>
        <v>1</v>
      </c>
      <c r="S154" s="5" t="b">
        <f>ISNUMBER(Table44246665[[#This Row],[If Pre3 Yes]])</f>
        <v>0</v>
      </c>
      <c r="T154" s="5" t="b">
        <f>ISNUMBER(Table44246665[[#This Row],[If Pre3 No]])</f>
        <v>1</v>
      </c>
    </row>
    <row r="155" spans="1:20">
      <c r="A155" s="2" t="s">
        <v>24</v>
      </c>
      <c r="B155" s="2" t="s">
        <v>26</v>
      </c>
      <c r="C155" s="1">
        <v>14</v>
      </c>
      <c r="D155" s="1" t="s">
        <v>6</v>
      </c>
      <c r="E155" s="5" t="s">
        <v>8</v>
      </c>
      <c r="F155" s="1">
        <v>11</v>
      </c>
      <c r="G155" s="1">
        <v>2</v>
      </c>
      <c r="H155" s="2" t="s">
        <v>8</v>
      </c>
      <c r="I155" s="5">
        <f>IF(IF(Table44246665[[#This Row],[Pre or Post]]="Pre",1,0)+IF(ISNUMBER(Table44246665[[#This Row],[Response]])=TRUE,1,0)=2,1,"")</f>
        <v>1</v>
      </c>
      <c r="J155" s="5" t="str">
        <f>IF(IF(Table44246665[[#This Row],[Pre or Post]]="Post",1,0)+IF(ISNUMBER(Table44246665[[#This Row],[Response]])=TRUE,1,0)=2,1,"")</f>
        <v/>
      </c>
      <c r="K155" s="6">
        <f>IF(IF(Table44246665[[#This Row],[Pre or Post]]="Pre",1,0)+IF(ISNUMBER(Table44246665[[#This Row],[Response]])=TRUE,1,0)=2,Table44246665[[#This Row],[Response]],"")</f>
        <v>2</v>
      </c>
      <c r="L155" s="6" t="str">
        <f>IF(IF(Table44246665[[#This Row],[Pre or Post]]="Post",1,0)+IF(ISNUMBER(Table44246665[[#This Row],[Response]])=TRUE,1,0)=2,Table44246665[[#This Row],[Response]],"")</f>
        <v/>
      </c>
      <c r="M155" s="5">
        <f>IF(IF(ISNUMBER(K155),1,0)+IF(ISNUMBER(L156),1,0)=2,IF(IF(C156=C155,1,0)+IF(B156=B155,1,0)+IF(D156="Post",1,0)+IF(D155="Pre",1,0)=4,Table44246665[[#This Row],[Pre Total]],""),"")</f>
        <v>2</v>
      </c>
      <c r="N155" s="5" t="str">
        <f>IF(IF(ISNUMBER(K154),1,0)+IF(ISNUMBER(Table44246665[[#This Row],[Post Total]]),1,0)=2,IF(IF(Table44246665[[#This Row],[Student Number]]=C154,1,0)+IF(Table44246665[[#This Row],[Session]]=B154,1,0)+IF(Table44246665[[#This Row],[Pre or Post]]="Post",1,0)+IF(D154="Pre",1,0)=4,Table44246665[[#This Row],[Post Total]],""),"")</f>
        <v/>
      </c>
      <c r="O155" s="5" t="str">
        <f>IF(IF(ISNUMBER(K154),1,0)+IF(ISNUMBER(Table44246665[[#This Row],[Post Total]]),1,0)=2,IF(IF(Table44246665[[#This Row],[Student Number]]=C154,1,0)+IF(Table44246665[[#This Row],[Session]]=B154,1,0)+IF(Table44246665[[#This Row],[Pre or Post]]="Post",1,0)+IF(D154="Pre",1,0)=4,Table44246665[[#This Row],[Post Total]]-K154,""),"")</f>
        <v/>
      </c>
      <c r="P155" s="5" t="b">
        <f>ISNUMBER(Table44246665[[#This Row],[Change]])</f>
        <v>0</v>
      </c>
      <c r="Q155" s="5" t="str">
        <f>IF(E154="Yes",Table44246665[[#This Row],[Change]],"")</f>
        <v/>
      </c>
      <c r="R155" s="5" t="str">
        <f>IF(E154="No",Table44246665[[#This Row],[Change]],"")</f>
        <v/>
      </c>
      <c r="S155" s="5" t="b">
        <f>ISNUMBER(Table44246665[[#This Row],[If Pre3 Yes]])</f>
        <v>0</v>
      </c>
      <c r="T155" s="5" t="b">
        <f>ISNUMBER(Table44246665[[#This Row],[If Pre3 No]])</f>
        <v>0</v>
      </c>
    </row>
    <row r="156" spans="1:20">
      <c r="A156" s="2" t="s">
        <v>24</v>
      </c>
      <c r="B156" s="2" t="s">
        <v>26</v>
      </c>
      <c r="C156" s="1">
        <v>14</v>
      </c>
      <c r="D156" s="1" t="s">
        <v>16</v>
      </c>
      <c r="E156" s="5"/>
      <c r="F156" s="1">
        <v>4</v>
      </c>
      <c r="G156" s="1">
        <v>3</v>
      </c>
      <c r="H156" s="2" t="s">
        <v>8</v>
      </c>
      <c r="I156" s="5" t="str">
        <f>IF(IF(Table44246665[[#This Row],[Pre or Post]]="Pre",1,0)+IF(ISNUMBER(Table44246665[[#This Row],[Response]])=TRUE,1,0)=2,1,"")</f>
        <v/>
      </c>
      <c r="J156" s="5">
        <f>IF(IF(Table44246665[[#This Row],[Pre or Post]]="Post",1,0)+IF(ISNUMBER(Table44246665[[#This Row],[Response]])=TRUE,1,0)=2,1,"")</f>
        <v>1</v>
      </c>
      <c r="K156" s="6" t="str">
        <f>IF(IF(Table44246665[[#This Row],[Pre or Post]]="Pre",1,0)+IF(ISNUMBER(Table44246665[[#This Row],[Response]])=TRUE,1,0)=2,Table44246665[[#This Row],[Response]],"")</f>
        <v/>
      </c>
      <c r="L156" s="6">
        <f>IF(IF(Table44246665[[#This Row],[Pre or Post]]="Post",1,0)+IF(ISNUMBER(Table44246665[[#This Row],[Response]])=TRUE,1,0)=2,Table44246665[[#This Row],[Response]],"")</f>
        <v>3</v>
      </c>
      <c r="M156" s="5" t="str">
        <f>IF(IF(ISNUMBER(K156),1,0)+IF(ISNUMBER(L157),1,0)=2,IF(IF(C157=C156,1,0)+IF(B157=B156,1,0)+IF(D157="Post",1,0)+IF(D156="Pre",1,0)=4,Table44246665[[#This Row],[Pre Total]],""),"")</f>
        <v/>
      </c>
      <c r="N156" s="5">
        <f>IF(IF(ISNUMBER(K155),1,0)+IF(ISNUMBER(Table44246665[[#This Row],[Post Total]]),1,0)=2,IF(IF(Table44246665[[#This Row],[Student Number]]=C155,1,0)+IF(Table44246665[[#This Row],[Session]]=B155,1,0)+IF(Table44246665[[#This Row],[Pre or Post]]="Post",1,0)+IF(D155="Pre",1,0)=4,Table44246665[[#This Row],[Post Total]],""),"")</f>
        <v>3</v>
      </c>
      <c r="O156" s="5">
        <f>IF(IF(ISNUMBER(K155),1,0)+IF(ISNUMBER(Table44246665[[#This Row],[Post Total]]),1,0)=2,IF(IF(Table44246665[[#This Row],[Student Number]]=C155,1,0)+IF(Table44246665[[#This Row],[Session]]=B155,1,0)+IF(Table44246665[[#This Row],[Pre or Post]]="Post",1,0)+IF(D155="Pre",1,0)=4,Table44246665[[#This Row],[Post Total]]-K155,""),"")</f>
        <v>1</v>
      </c>
      <c r="P156" s="5" t="b">
        <f>ISNUMBER(Table44246665[[#This Row],[Change]])</f>
        <v>1</v>
      </c>
      <c r="Q156" s="5">
        <f>IF(E155="Yes",Table44246665[[#This Row],[Change]],"")</f>
        <v>1</v>
      </c>
      <c r="R156" s="5" t="str">
        <f>IF(E155="No",Table44246665[[#This Row],[Change]],"")</f>
        <v/>
      </c>
      <c r="S156" s="5" t="b">
        <f>ISNUMBER(Table44246665[[#This Row],[If Pre3 Yes]])</f>
        <v>1</v>
      </c>
      <c r="T156" s="5" t="b">
        <f>ISNUMBER(Table44246665[[#This Row],[If Pre3 No]])</f>
        <v>0</v>
      </c>
    </row>
    <row r="157" spans="1:20">
      <c r="A157" s="2" t="s">
        <v>24</v>
      </c>
      <c r="B157" s="2" t="s">
        <v>26</v>
      </c>
      <c r="C157" s="1">
        <v>15</v>
      </c>
      <c r="D157" s="1" t="s">
        <v>6</v>
      </c>
      <c r="E157" s="5" t="s">
        <v>8</v>
      </c>
      <c r="F157" s="1">
        <v>11</v>
      </c>
      <c r="G157" s="1">
        <v>3</v>
      </c>
      <c r="H157" s="2" t="s">
        <v>8</v>
      </c>
      <c r="I157" s="6">
        <f>IF(IF(Table44246665[[#This Row],[Pre or Post]]="Pre",1,0)+IF(ISNUMBER(Table44246665[[#This Row],[Response]])=TRUE,1,0)=2,1,"")</f>
        <v>1</v>
      </c>
      <c r="J157" s="6" t="str">
        <f>IF(IF(Table44246665[[#This Row],[Pre or Post]]="Post",1,0)+IF(ISNUMBER(Table44246665[[#This Row],[Response]])=TRUE,1,0)=2,1,"")</f>
        <v/>
      </c>
      <c r="K157" s="6">
        <f>IF(IF(Table44246665[[#This Row],[Pre or Post]]="Pre",1,0)+IF(ISNUMBER(Table44246665[[#This Row],[Response]])=TRUE,1,0)=2,Table44246665[[#This Row],[Response]],"")</f>
        <v>3</v>
      </c>
      <c r="L157" s="6" t="str">
        <f>IF(IF(Table44246665[[#This Row],[Pre or Post]]="Post",1,0)+IF(ISNUMBER(Table44246665[[#This Row],[Response]])=TRUE,1,0)=2,Table44246665[[#This Row],[Response]],"")</f>
        <v/>
      </c>
      <c r="M157" s="6">
        <f>IF(IF(ISNUMBER(K157),1,0)+IF(ISNUMBER(L158),1,0)=2,IF(IF(C158=C157,1,0)+IF(B158=B157,1,0)+IF(D158="Post",1,0)+IF(D157="Pre",1,0)=4,Table44246665[[#This Row],[Pre Total]],""),"")</f>
        <v>3</v>
      </c>
      <c r="N157" s="6" t="str">
        <f>IF(IF(ISNUMBER(K156),1,0)+IF(ISNUMBER(Table44246665[[#This Row],[Post Total]]),1,0)=2,IF(IF(Table44246665[[#This Row],[Student Number]]=C156,1,0)+IF(Table44246665[[#This Row],[Session]]=B156,1,0)+IF(Table44246665[[#This Row],[Pre or Post]]="Post",1,0)+IF(D156="Pre",1,0)=4,Table44246665[[#This Row],[Post Total]],""),"")</f>
        <v/>
      </c>
      <c r="O157" s="6" t="str">
        <f>IF(IF(ISNUMBER(K156),1,0)+IF(ISNUMBER(Table44246665[[#This Row],[Post Total]]),1,0)=2,IF(IF(Table44246665[[#This Row],[Student Number]]=C156,1,0)+IF(Table44246665[[#This Row],[Session]]=B156,1,0)+IF(Table44246665[[#This Row],[Pre or Post]]="Post",1,0)+IF(D156="Pre",1,0)=4,Table44246665[[#This Row],[Post Total]]-K156,""),"")</f>
        <v/>
      </c>
      <c r="P157" s="6" t="b">
        <f>ISNUMBER(Table44246665[[#This Row],[Change]])</f>
        <v>0</v>
      </c>
      <c r="Q157" s="5" t="str">
        <f>IF(E156="Yes",Table44246665[[#This Row],[Change]],"")</f>
        <v/>
      </c>
      <c r="R157" s="5" t="str">
        <f>IF(E156="No",Table44246665[[#This Row],[Change]],"")</f>
        <v/>
      </c>
      <c r="S157" s="5" t="b">
        <f>ISNUMBER(Table44246665[[#This Row],[If Pre3 Yes]])</f>
        <v>0</v>
      </c>
      <c r="T157" s="5" t="b">
        <f>ISNUMBER(Table44246665[[#This Row],[If Pre3 No]])</f>
        <v>0</v>
      </c>
    </row>
    <row r="158" spans="1:20">
      <c r="A158" s="2" t="s">
        <v>24</v>
      </c>
      <c r="B158" s="2" t="s">
        <v>26</v>
      </c>
      <c r="C158" s="1">
        <v>15</v>
      </c>
      <c r="D158" s="1" t="s">
        <v>16</v>
      </c>
      <c r="E158" s="5"/>
      <c r="F158" s="1">
        <v>4</v>
      </c>
      <c r="G158" s="1">
        <v>3</v>
      </c>
      <c r="H158" s="2" t="s">
        <v>8</v>
      </c>
      <c r="I158" s="6" t="str">
        <f>IF(IF(Table44246665[[#This Row],[Pre or Post]]="Pre",1,0)+IF(ISNUMBER(Table44246665[[#This Row],[Response]])=TRUE,1,0)=2,1,"")</f>
        <v/>
      </c>
      <c r="J158" s="6">
        <f>IF(IF(Table44246665[[#This Row],[Pre or Post]]="Post",1,0)+IF(ISNUMBER(Table44246665[[#This Row],[Response]])=TRUE,1,0)=2,1,"")</f>
        <v>1</v>
      </c>
      <c r="K158" s="6" t="str">
        <f>IF(IF(Table44246665[[#This Row],[Pre or Post]]="Pre",1,0)+IF(ISNUMBER(Table44246665[[#This Row],[Response]])=TRUE,1,0)=2,Table44246665[[#This Row],[Response]],"")</f>
        <v/>
      </c>
      <c r="L158" s="6">
        <f>IF(IF(Table44246665[[#This Row],[Pre or Post]]="Post",1,0)+IF(ISNUMBER(Table44246665[[#This Row],[Response]])=TRUE,1,0)=2,Table44246665[[#This Row],[Response]],"")</f>
        <v>3</v>
      </c>
      <c r="M158" s="6" t="str">
        <f>IF(IF(ISNUMBER(K158),1,0)+IF(ISNUMBER(L159),1,0)=2,IF(IF(C159=C158,1,0)+IF(B159=B158,1,0)+IF(D159="Post",1,0)+IF(D158="Pre",1,0)=4,Table44246665[[#This Row],[Pre Total]],""),"")</f>
        <v/>
      </c>
      <c r="N158" s="6">
        <f>IF(IF(ISNUMBER(K157),1,0)+IF(ISNUMBER(Table44246665[[#This Row],[Post Total]]),1,0)=2,IF(IF(Table44246665[[#This Row],[Student Number]]=C157,1,0)+IF(Table44246665[[#This Row],[Session]]=B157,1,0)+IF(Table44246665[[#This Row],[Pre or Post]]="Post",1,0)+IF(D157="Pre",1,0)=4,Table44246665[[#This Row],[Post Total]],""),"")</f>
        <v>3</v>
      </c>
      <c r="O158" s="6">
        <f>IF(IF(ISNUMBER(K157),1,0)+IF(ISNUMBER(Table44246665[[#This Row],[Post Total]]),1,0)=2,IF(IF(Table44246665[[#This Row],[Student Number]]=C157,1,0)+IF(Table44246665[[#This Row],[Session]]=B157,1,0)+IF(Table44246665[[#This Row],[Pre or Post]]="Post",1,0)+IF(D157="Pre",1,0)=4,Table44246665[[#This Row],[Post Total]]-K157,""),"")</f>
        <v>0</v>
      </c>
      <c r="P158" s="6" t="b">
        <f>ISNUMBER(Table44246665[[#This Row],[Change]])</f>
        <v>1</v>
      </c>
      <c r="Q158" s="5">
        <f>IF(E157="Yes",Table44246665[[#This Row],[Change]],"")</f>
        <v>0</v>
      </c>
      <c r="R158" s="5" t="str">
        <f>IF(E157="No",Table44246665[[#This Row],[Change]],"")</f>
        <v/>
      </c>
      <c r="S158" s="5" t="b">
        <f>ISNUMBER(Table44246665[[#This Row],[If Pre3 Yes]])</f>
        <v>1</v>
      </c>
      <c r="T158" s="5" t="b">
        <f>ISNUMBER(Table44246665[[#This Row],[If Pre3 No]])</f>
        <v>0</v>
      </c>
    </row>
    <row r="159" spans="1:20">
      <c r="A159" s="2"/>
      <c r="B159" s="2"/>
      <c r="C159" s="2"/>
      <c r="D159" s="2"/>
      <c r="E159" s="2"/>
      <c r="F159" s="2"/>
      <c r="G159" s="2"/>
      <c r="H159" s="2"/>
      <c r="I159" s="6">
        <f>SUM([Pre Answers])</f>
        <v>61</v>
      </c>
      <c r="J159" s="6">
        <f>SUM([Post Answers])</f>
        <v>96</v>
      </c>
      <c r="K159" s="2">
        <f>SUM([Pre Total])</f>
        <v>126</v>
      </c>
      <c r="L159" s="2">
        <f>SUM([Post Total])</f>
        <v>316</v>
      </c>
      <c r="M159" s="2">
        <f>SUM([Pre Total (Pooled)])</f>
        <v>119</v>
      </c>
      <c r="N159" s="2">
        <f>SUM([Post Total (Pooled)])</f>
        <v>185</v>
      </c>
      <c r="O159" s="2">
        <f>SUM([Change])</f>
        <v>66</v>
      </c>
      <c r="P159" s="2">
        <f>COUNTIF([Number 2 Resp],TRUE)</f>
        <v>58</v>
      </c>
      <c r="Q159" s="2">
        <f>SUM([If Pre3 Yes])</f>
        <v>55</v>
      </c>
      <c r="R159" s="2">
        <f>SUM([If Pre3 No])</f>
        <v>11</v>
      </c>
      <c r="S159" s="2">
        <f>COUNTIF([Pre3 Yes Answers],"TRUE")</f>
        <v>48</v>
      </c>
      <c r="T159" s="2">
        <f>COUNTIF([Pre3 No Answers],"TRUE")</f>
        <v>10</v>
      </c>
    </row>
    <row r="160" spans="1:20">
      <c r="A160" s="2"/>
      <c r="B160" s="2"/>
      <c r="C160" s="2"/>
      <c r="D160" s="2"/>
      <c r="E160" s="2"/>
      <c r="F160" s="2"/>
      <c r="G160" s="2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11">
      <c r="A161" s="1" t="s">
        <v>175</v>
      </c>
    </row>
    <row r="162" spans="1:11" ht="30">
      <c r="A162" s="16" t="s">
        <v>186</v>
      </c>
      <c r="B162" s="16" t="s">
        <v>36</v>
      </c>
      <c r="C162" s="16" t="s">
        <v>37</v>
      </c>
      <c r="D162" s="16" t="s">
        <v>68</v>
      </c>
      <c r="E162" s="16" t="s">
        <v>69</v>
      </c>
      <c r="F162" s="16"/>
      <c r="G162" s="16"/>
      <c r="H162" s="16"/>
      <c r="I162" s="16"/>
      <c r="J162" s="16"/>
      <c r="K162" s="16"/>
    </row>
    <row r="163" spans="1:11">
      <c r="A163" s="1" t="s">
        <v>8</v>
      </c>
      <c r="B163" s="1">
        <f>COUNTIF(Table44246665[Pre3 Yes or No],"Yes")</f>
        <v>50</v>
      </c>
      <c r="C163" s="1">
        <f>Table44246665[[#Totals],[Pre3 Yes Answers]]</f>
        <v>48</v>
      </c>
      <c r="D163" s="1">
        <f>Table44246665[[#Totals],[If Pre3 Yes]]/Table512256768[[#This Row],[Total Answers]]</f>
        <v>1.1458333333333333</v>
      </c>
      <c r="E163" s="1">
        <f>STDEV(Table44246665[If Pre3 Yes])</f>
        <v>1.3836366411055792</v>
      </c>
    </row>
    <row r="164" spans="1:11">
      <c r="A164" s="1" t="s">
        <v>9</v>
      </c>
      <c r="B164" s="1">
        <f>COUNTIF(Table44246665[Pre3 Yes or No],"No")</f>
        <v>11</v>
      </c>
      <c r="C164" s="1">
        <f>Table44246665[[#Totals],[Pre3 No Answers]]</f>
        <v>10</v>
      </c>
      <c r="D164" s="1">
        <f>Table44246665[[#Totals],[If Pre3 No]]/Table512256768[[#This Row],[Total Answers]]</f>
        <v>1.1000000000000001</v>
      </c>
      <c r="E164" s="1">
        <f>STDEV(Table44246665[If Pre3 No])</f>
        <v>1.1972189997378648</v>
      </c>
    </row>
    <row r="168" spans="1:11">
      <c r="A168"/>
      <c r="B168" s="16"/>
      <c r="C168" s="16"/>
      <c r="D168" s="16"/>
      <c r="E168" s="16"/>
    </row>
    <row r="169" spans="1:11">
      <c r="A169"/>
      <c r="D169" s="5"/>
    </row>
    <row r="170" spans="1:11">
      <c r="A170"/>
      <c r="D170" s="5"/>
    </row>
  </sheetData>
  <conditionalFormatting sqref="C168 G2:H158 F161 F165:F205 G159:G160">
    <cfRule type="cellIs" dxfId="347" priority="3" operator="equal">
      <formula>"No"</formula>
    </cfRule>
    <cfRule type="cellIs" dxfId="346" priority="4" operator="equal">
      <formula>"Yes"</formula>
    </cfRule>
  </conditionalFormatting>
  <conditionalFormatting sqref="G161 G165:G205 F162:F164 H2:H160">
    <cfRule type="cellIs" dxfId="345" priority="1" operator="equal">
      <formula>"Yes"</formula>
    </cfRule>
    <cfRule type="cellIs" dxfId="344" priority="2" operator="equal">
      <formula>"No"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/>
  </sheetPr>
  <dimension ref="A1:T118"/>
  <sheetViews>
    <sheetView workbookViewId="0">
      <pane ySplit="1" topLeftCell="A75" activePane="bottomLeft" state="frozen"/>
      <selection pane="bottomLeft" activeCell="C109" sqref="A1:XFD1048576"/>
    </sheetView>
  </sheetViews>
  <sheetFormatPr defaultColWidth="16.7109375" defaultRowHeight="15"/>
  <cols>
    <col min="1" max="16384" width="16.7109375" style="1"/>
  </cols>
  <sheetData>
    <row r="1" spans="1:20">
      <c r="A1" s="1" t="s">
        <v>11</v>
      </c>
      <c r="B1" s="1" t="s">
        <v>0</v>
      </c>
      <c r="C1" s="1" t="s">
        <v>1</v>
      </c>
      <c r="D1" s="1" t="s">
        <v>4</v>
      </c>
      <c r="E1" s="1" t="s">
        <v>186</v>
      </c>
      <c r="F1" s="1" t="s">
        <v>2</v>
      </c>
      <c r="G1" s="1" t="s">
        <v>3</v>
      </c>
      <c r="H1" s="1" t="s">
        <v>20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88</v>
      </c>
      <c r="N1" s="1" t="s">
        <v>89</v>
      </c>
      <c r="O1" s="1" t="s">
        <v>72</v>
      </c>
      <c r="P1" s="1" t="s">
        <v>83</v>
      </c>
      <c r="Q1" s="19" t="s">
        <v>187</v>
      </c>
      <c r="R1" s="19" t="s">
        <v>188</v>
      </c>
      <c r="S1" s="19" t="s">
        <v>189</v>
      </c>
      <c r="T1" s="19" t="s">
        <v>190</v>
      </c>
    </row>
    <row r="2" spans="1:20">
      <c r="A2" s="1" t="s">
        <v>12</v>
      </c>
      <c r="B2" s="2" t="s">
        <v>5</v>
      </c>
      <c r="C2" s="1">
        <v>1</v>
      </c>
      <c r="D2" s="2" t="s">
        <v>16</v>
      </c>
      <c r="E2" s="5" t="s">
        <v>171</v>
      </c>
      <c r="F2" s="1">
        <v>4</v>
      </c>
      <c r="G2" s="1">
        <v>5</v>
      </c>
      <c r="H2" s="2" t="s">
        <v>9</v>
      </c>
      <c r="I2" s="5" t="str">
        <f>IF(IF(Table4424666569[[#This Row],[Pre or Post]]="Pre",1,0)+IF(ISNUMBER(Table4424666569[[#This Row],[Response]])=TRUE,1,0)=2,1,"")</f>
        <v/>
      </c>
      <c r="J2" s="5">
        <f>IF(IF(Table4424666569[[#This Row],[Pre or Post]]="Post",1,0)+IF(ISNUMBER(Table4424666569[[#This Row],[Response]])=TRUE,1,0)=2,1,"")</f>
        <v>1</v>
      </c>
      <c r="K2" s="6" t="str">
        <f>IF(IF(Table4424666569[[#This Row],[Pre or Post]]="Pre",1,0)+IF(ISNUMBER(Table4424666569[[#This Row],[Response]])=TRUE,1,0)=2,Table4424666569[[#This Row],[Response]],"")</f>
        <v/>
      </c>
      <c r="L2" s="6">
        <f>IF(IF(Table4424666569[[#This Row],[Pre or Post]]="Post",1,0)+IF(ISNUMBER(Table4424666569[[#This Row],[Response]])=TRUE,1,0)=2,Table4424666569[[#This Row],[Response]],"")</f>
        <v>5</v>
      </c>
      <c r="M2" s="5" t="str">
        <f>IF(IF(ISNUMBER(K2),1,0)+IF(ISNUMBER(L3),1,0)=2,IF(IF(C3=C2,1,0)+IF(B3=B2,1,0)+IF(D3="Post",1,0)+IF(D2="Pre",1,0)=4,Table4424666569[[#This Row],[Pre Total]],""),"")</f>
        <v/>
      </c>
      <c r="N2" s="5" t="str">
        <f>IF(IF(ISNUMBER(K1),1,0)+IF(ISNUMBER(Table4424666569[[#This Row],[Post Total]]),1,0)=2,IF(IF(Table4424666569[[#This Row],[Student Number]]=C1,1,0)+IF(Table4424666569[[#This Row],[Session]]=B1,1,0)+IF(Table4424666569[[#This Row],[Pre or Post]]="Post",1,0)+IF(D1="Pre",1,0)=4,Table4424666569[[#This Row],[Post Total]],""),"")</f>
        <v/>
      </c>
      <c r="O2" s="5" t="str">
        <f>IF(IF(ISNUMBER(K1),1,0)+IF(ISNUMBER(Table4424666569[[#This Row],[Post Total]]),1,0)=2,IF(IF(Table4424666569[[#This Row],[Student Number]]=C1,1,0)+IF(Table4424666569[[#This Row],[Session]]=B1,1,0)+IF(Table4424666569[[#This Row],[Pre or Post]]="Post",1,0)+IF(D1="Pre",1,0)=4,Table4424666569[[#This Row],[Post Total]]-K1,""),"")</f>
        <v/>
      </c>
      <c r="P2" s="5" t="b">
        <f>ISNUMBER(Table4424666569[[#This Row],[Change]])</f>
        <v>0</v>
      </c>
      <c r="Q2" s="5" t="str">
        <f>IF(E1="Yes",Table4424666569[[#This Row],[Change]],"")</f>
        <v/>
      </c>
      <c r="R2" s="5" t="str">
        <f>IF(E1="No",Table4424666569[[#This Row],[Change]],"")</f>
        <v/>
      </c>
      <c r="S2" s="5" t="b">
        <f>ISNUMBER(Table4424666569[[#This Row],[If Pre3 Yes]])</f>
        <v>0</v>
      </c>
      <c r="T2" s="5" t="b">
        <f>ISNUMBER(Table4424666569[[#This Row],[If Pre3 No]])</f>
        <v>0</v>
      </c>
    </row>
    <row r="3" spans="1:20">
      <c r="A3" s="1" t="s">
        <v>12</v>
      </c>
      <c r="B3" s="2" t="s">
        <v>5</v>
      </c>
      <c r="C3" s="1">
        <v>2</v>
      </c>
      <c r="D3" s="2" t="s">
        <v>16</v>
      </c>
      <c r="E3" s="5" t="s">
        <v>171</v>
      </c>
      <c r="F3" s="1">
        <v>4</v>
      </c>
      <c r="G3" s="1">
        <v>4</v>
      </c>
      <c r="H3" s="2" t="s">
        <v>9</v>
      </c>
      <c r="I3" s="6" t="str">
        <f>IF(IF(Table4424666569[[#This Row],[Pre or Post]]="Pre",1,0)+IF(ISNUMBER(Table4424666569[[#This Row],[Response]])=TRUE,1,0)=2,1,"")</f>
        <v/>
      </c>
      <c r="J3" s="6">
        <f>IF(IF(Table4424666569[[#This Row],[Pre or Post]]="Post",1,0)+IF(ISNUMBER(Table4424666569[[#This Row],[Response]])=TRUE,1,0)=2,1,"")</f>
        <v>1</v>
      </c>
      <c r="K3" s="6" t="str">
        <f>IF(IF(Table4424666569[[#This Row],[Pre or Post]]="Pre",1,0)+IF(ISNUMBER(Table4424666569[[#This Row],[Response]])=TRUE,1,0)=2,Table4424666569[[#This Row],[Response]],"")</f>
        <v/>
      </c>
      <c r="L3" s="6">
        <f>IF(IF(Table4424666569[[#This Row],[Pre or Post]]="Post",1,0)+IF(ISNUMBER(Table4424666569[[#This Row],[Response]])=TRUE,1,0)=2,Table4424666569[[#This Row],[Response]],"")</f>
        <v>4</v>
      </c>
      <c r="M3" s="5" t="str">
        <f>IF(IF(ISNUMBER(K3),1,0)+IF(ISNUMBER(L4),1,0)=2,IF(IF(C4=C3,1,0)+IF(B4=B3,1,0)+IF(D4="Post",1,0)+IF(D3="Pre",1,0)=4,Table4424666569[[#This Row],[Pre Total]],""),"")</f>
        <v/>
      </c>
      <c r="N3" s="6" t="str">
        <f>IF(IF(ISNUMBER(K2),1,0)+IF(ISNUMBER(Table4424666569[[#This Row],[Post Total]]),1,0)=2,IF(IF(Table4424666569[[#This Row],[Student Number]]=C2,1,0)+IF(Table4424666569[[#This Row],[Session]]=B2,1,0)+IF(Table4424666569[[#This Row],[Pre or Post]]="Post",1,0)+IF(D2="Pre",1,0)=4,Table4424666569[[#This Row],[Post Total]],""),"")</f>
        <v/>
      </c>
      <c r="O3" s="6" t="str">
        <f>IF(IF(ISNUMBER(K2),1,0)+IF(ISNUMBER(Table4424666569[[#This Row],[Post Total]]),1,0)=2,IF(IF(Table4424666569[[#This Row],[Student Number]]=C2,1,0)+IF(Table4424666569[[#This Row],[Session]]=B2,1,0)+IF(Table4424666569[[#This Row],[Pre or Post]]="Post",1,0)+IF(D2="Pre",1,0)=4,Table4424666569[[#This Row],[Post Total]]-K2,""),"")</f>
        <v/>
      </c>
      <c r="P3" s="6" t="b">
        <f>ISNUMBER(Table4424666569[[#This Row],[Change]])</f>
        <v>0</v>
      </c>
      <c r="Q3" s="5" t="str">
        <f>IF(E2="Yes",Table4424666569[[#This Row],[Change]],"")</f>
        <v/>
      </c>
      <c r="R3" s="5" t="str">
        <f>IF(E2="No",Table4424666569[[#This Row],[Change]],"")</f>
        <v/>
      </c>
      <c r="S3" s="5" t="b">
        <f>ISNUMBER(Table4424666569[[#This Row],[If Pre3 Yes]])</f>
        <v>0</v>
      </c>
      <c r="T3" s="5" t="b">
        <f>ISNUMBER(Table4424666569[[#This Row],[If Pre3 No]])</f>
        <v>0</v>
      </c>
    </row>
    <row r="4" spans="1:20">
      <c r="A4" s="1" t="s">
        <v>12</v>
      </c>
      <c r="B4" s="2" t="s">
        <v>5</v>
      </c>
      <c r="C4" s="1">
        <v>3</v>
      </c>
      <c r="D4" s="2" t="s">
        <v>16</v>
      </c>
      <c r="E4" s="5" t="s">
        <v>171</v>
      </c>
      <c r="F4" s="1">
        <v>4</v>
      </c>
      <c r="G4" s="1">
        <v>3</v>
      </c>
      <c r="H4" s="2" t="s">
        <v>9</v>
      </c>
      <c r="I4" s="5" t="str">
        <f>IF(IF(Table4424666569[[#This Row],[Pre or Post]]="Pre",1,0)+IF(ISNUMBER(Table4424666569[[#This Row],[Response]])=TRUE,1,0)=2,1,"")</f>
        <v/>
      </c>
      <c r="J4" s="5">
        <f>IF(IF(Table4424666569[[#This Row],[Pre or Post]]="Post",1,0)+IF(ISNUMBER(Table4424666569[[#This Row],[Response]])=TRUE,1,0)=2,1,"")</f>
        <v>1</v>
      </c>
      <c r="K4" s="6" t="str">
        <f>IF(IF(Table4424666569[[#This Row],[Pre or Post]]="Pre",1,0)+IF(ISNUMBER(Table4424666569[[#This Row],[Response]])=TRUE,1,0)=2,Table4424666569[[#This Row],[Response]],"")</f>
        <v/>
      </c>
      <c r="L4" s="6">
        <f>IF(IF(Table4424666569[[#This Row],[Pre or Post]]="Post",1,0)+IF(ISNUMBER(Table4424666569[[#This Row],[Response]])=TRUE,1,0)=2,Table4424666569[[#This Row],[Response]],"")</f>
        <v>3</v>
      </c>
      <c r="M4" s="5" t="str">
        <f>IF(IF(ISNUMBER(K4),1,0)+IF(ISNUMBER(L5),1,0)=2,IF(IF(C5=C4,1,0)+IF(B5=B4,1,0)+IF(D5="Post",1,0)+IF(D4="Pre",1,0)=4,Table4424666569[[#This Row],[Pre Total]],""),"")</f>
        <v/>
      </c>
      <c r="N4" s="5" t="str">
        <f>IF(IF(ISNUMBER(K3),1,0)+IF(ISNUMBER(Table4424666569[[#This Row],[Post Total]]),1,0)=2,IF(IF(Table4424666569[[#This Row],[Student Number]]=C3,1,0)+IF(Table4424666569[[#This Row],[Session]]=B3,1,0)+IF(Table4424666569[[#This Row],[Pre or Post]]="Post",1,0)+IF(D3="Pre",1,0)=4,Table4424666569[[#This Row],[Post Total]],""),"")</f>
        <v/>
      </c>
      <c r="O4" s="5" t="str">
        <f>IF(IF(ISNUMBER(K3),1,0)+IF(ISNUMBER(Table4424666569[[#This Row],[Post Total]]),1,0)=2,IF(IF(Table4424666569[[#This Row],[Student Number]]=C3,1,0)+IF(Table4424666569[[#This Row],[Session]]=B3,1,0)+IF(Table4424666569[[#This Row],[Pre or Post]]="Post",1,0)+IF(D3="Pre",1,0)=4,Table4424666569[[#This Row],[Post Total]]-K3,""),"")</f>
        <v/>
      </c>
      <c r="P4" s="5" t="b">
        <f>ISNUMBER(Table4424666569[[#This Row],[Change]])</f>
        <v>0</v>
      </c>
      <c r="Q4" s="5" t="str">
        <f>IF(E3="Yes",Table4424666569[[#This Row],[Change]],"")</f>
        <v/>
      </c>
      <c r="R4" s="5" t="str">
        <f>IF(E3="No",Table4424666569[[#This Row],[Change]],"")</f>
        <v/>
      </c>
      <c r="S4" s="5" t="b">
        <f>ISNUMBER(Table4424666569[[#This Row],[If Pre3 Yes]])</f>
        <v>0</v>
      </c>
      <c r="T4" s="5" t="b">
        <f>ISNUMBER(Table4424666569[[#This Row],[If Pre3 No]])</f>
        <v>0</v>
      </c>
    </row>
    <row r="5" spans="1:20">
      <c r="A5" s="1" t="s">
        <v>12</v>
      </c>
      <c r="B5" s="2" t="s">
        <v>5</v>
      </c>
      <c r="C5" s="1">
        <v>4</v>
      </c>
      <c r="D5" s="2" t="s">
        <v>16</v>
      </c>
      <c r="E5" s="5" t="s">
        <v>171</v>
      </c>
      <c r="F5" s="1">
        <v>4</v>
      </c>
      <c r="G5" s="1">
        <v>3</v>
      </c>
      <c r="H5" s="2" t="s">
        <v>9</v>
      </c>
      <c r="I5" s="6" t="str">
        <f>IF(IF(Table4424666569[[#This Row],[Pre or Post]]="Pre",1,0)+IF(ISNUMBER(Table4424666569[[#This Row],[Response]])=TRUE,1,0)=2,1,"")</f>
        <v/>
      </c>
      <c r="J5" s="6">
        <f>IF(IF(Table4424666569[[#This Row],[Pre or Post]]="Post",1,0)+IF(ISNUMBER(Table4424666569[[#This Row],[Response]])=TRUE,1,0)=2,1,"")</f>
        <v>1</v>
      </c>
      <c r="K5" s="6" t="str">
        <f>IF(IF(Table4424666569[[#This Row],[Pre or Post]]="Pre",1,0)+IF(ISNUMBER(Table4424666569[[#This Row],[Response]])=TRUE,1,0)=2,Table4424666569[[#This Row],[Response]],"")</f>
        <v/>
      </c>
      <c r="L5" s="6">
        <f>IF(IF(Table4424666569[[#This Row],[Pre or Post]]="Post",1,0)+IF(ISNUMBER(Table4424666569[[#This Row],[Response]])=TRUE,1,0)=2,Table4424666569[[#This Row],[Response]],"")</f>
        <v>3</v>
      </c>
      <c r="M5" s="5" t="str">
        <f>IF(IF(ISNUMBER(K5),1,0)+IF(ISNUMBER(L6),1,0)=2,IF(IF(C6=C5,1,0)+IF(B6=B5,1,0)+IF(D6="Post",1,0)+IF(D5="Pre",1,0)=4,Table4424666569[[#This Row],[Pre Total]],""),"")</f>
        <v/>
      </c>
      <c r="N5" s="6" t="str">
        <f>IF(IF(ISNUMBER(K4),1,0)+IF(ISNUMBER(Table4424666569[[#This Row],[Post Total]]),1,0)=2,IF(IF(Table4424666569[[#This Row],[Student Number]]=C4,1,0)+IF(Table4424666569[[#This Row],[Session]]=B4,1,0)+IF(Table4424666569[[#This Row],[Pre or Post]]="Post",1,0)+IF(D4="Pre",1,0)=4,Table4424666569[[#This Row],[Post Total]],""),"")</f>
        <v/>
      </c>
      <c r="O5" s="6" t="str">
        <f>IF(IF(ISNUMBER(K4),1,0)+IF(ISNUMBER(Table4424666569[[#This Row],[Post Total]]),1,0)=2,IF(IF(Table4424666569[[#This Row],[Student Number]]=C4,1,0)+IF(Table4424666569[[#This Row],[Session]]=B4,1,0)+IF(Table4424666569[[#This Row],[Pre or Post]]="Post",1,0)+IF(D4="Pre",1,0)=4,Table4424666569[[#This Row],[Post Total]]-K4,""),"")</f>
        <v/>
      </c>
      <c r="P5" s="6" t="b">
        <f>ISNUMBER(Table4424666569[[#This Row],[Change]])</f>
        <v>0</v>
      </c>
      <c r="Q5" s="5" t="str">
        <f>IF(E4="Yes",Table4424666569[[#This Row],[Change]],"")</f>
        <v/>
      </c>
      <c r="R5" s="5" t="str">
        <f>IF(E4="No",Table4424666569[[#This Row],[Change]],"")</f>
        <v/>
      </c>
      <c r="S5" s="5" t="b">
        <f>ISNUMBER(Table4424666569[[#This Row],[If Pre3 Yes]])</f>
        <v>0</v>
      </c>
      <c r="T5" s="5" t="b">
        <f>ISNUMBER(Table4424666569[[#This Row],[If Pre3 No]])</f>
        <v>0</v>
      </c>
    </row>
    <row r="6" spans="1:20">
      <c r="A6" s="1" t="s">
        <v>12</v>
      </c>
      <c r="B6" s="2" t="s">
        <v>5</v>
      </c>
      <c r="C6" s="1">
        <v>5</v>
      </c>
      <c r="D6" s="2" t="s">
        <v>16</v>
      </c>
      <c r="E6" s="5" t="s">
        <v>171</v>
      </c>
      <c r="F6" s="1">
        <v>4</v>
      </c>
      <c r="G6" s="1">
        <v>4</v>
      </c>
      <c r="H6" s="2" t="s">
        <v>9</v>
      </c>
      <c r="I6" s="5" t="str">
        <f>IF(IF(Table4424666569[[#This Row],[Pre or Post]]="Pre",1,0)+IF(ISNUMBER(Table4424666569[[#This Row],[Response]])=TRUE,1,0)=2,1,"")</f>
        <v/>
      </c>
      <c r="J6" s="5">
        <f>IF(IF(Table4424666569[[#This Row],[Pre or Post]]="Post",1,0)+IF(ISNUMBER(Table4424666569[[#This Row],[Response]])=TRUE,1,0)=2,1,"")</f>
        <v>1</v>
      </c>
      <c r="K6" s="6" t="str">
        <f>IF(IF(Table4424666569[[#This Row],[Pre or Post]]="Pre",1,0)+IF(ISNUMBER(Table4424666569[[#This Row],[Response]])=TRUE,1,0)=2,Table4424666569[[#This Row],[Response]],"")</f>
        <v/>
      </c>
      <c r="L6" s="6">
        <f>IF(IF(Table4424666569[[#This Row],[Pre or Post]]="Post",1,0)+IF(ISNUMBER(Table4424666569[[#This Row],[Response]])=TRUE,1,0)=2,Table4424666569[[#This Row],[Response]],"")</f>
        <v>4</v>
      </c>
      <c r="M6" s="5" t="str">
        <f>IF(IF(ISNUMBER(K6),1,0)+IF(ISNUMBER(L7),1,0)=2,IF(IF(C7=C6,1,0)+IF(B7=B6,1,0)+IF(D7="Post",1,0)+IF(D6="Pre",1,0)=4,Table4424666569[[#This Row],[Pre Total]],""),"")</f>
        <v/>
      </c>
      <c r="N6" s="5" t="str">
        <f>IF(IF(ISNUMBER(K5),1,0)+IF(ISNUMBER(Table4424666569[[#This Row],[Post Total]]),1,0)=2,IF(IF(Table4424666569[[#This Row],[Student Number]]=C5,1,0)+IF(Table4424666569[[#This Row],[Session]]=B5,1,0)+IF(Table4424666569[[#This Row],[Pre or Post]]="Post",1,0)+IF(D5="Pre",1,0)=4,Table4424666569[[#This Row],[Post Total]],""),"")</f>
        <v/>
      </c>
      <c r="O6" s="5" t="str">
        <f>IF(IF(ISNUMBER(K5),1,0)+IF(ISNUMBER(Table4424666569[[#This Row],[Post Total]]),1,0)=2,IF(IF(Table4424666569[[#This Row],[Student Number]]=C5,1,0)+IF(Table4424666569[[#This Row],[Session]]=B5,1,0)+IF(Table4424666569[[#This Row],[Pre or Post]]="Post",1,0)+IF(D5="Pre",1,0)=4,Table4424666569[[#This Row],[Post Total]]-K5,""),"")</f>
        <v/>
      </c>
      <c r="P6" s="5" t="b">
        <f>ISNUMBER(Table4424666569[[#This Row],[Change]])</f>
        <v>0</v>
      </c>
      <c r="Q6" s="5" t="str">
        <f>IF(E5="Yes",Table4424666569[[#This Row],[Change]],"")</f>
        <v/>
      </c>
      <c r="R6" s="5" t="str">
        <f>IF(E5="No",Table4424666569[[#This Row],[Change]],"")</f>
        <v/>
      </c>
      <c r="S6" s="5" t="b">
        <f>ISNUMBER(Table4424666569[[#This Row],[If Pre3 Yes]])</f>
        <v>0</v>
      </c>
      <c r="T6" s="5" t="b">
        <f>ISNUMBER(Table4424666569[[#This Row],[If Pre3 No]])</f>
        <v>0</v>
      </c>
    </row>
    <row r="7" spans="1:20">
      <c r="A7" s="1" t="s">
        <v>12</v>
      </c>
      <c r="B7" s="2" t="s">
        <v>5</v>
      </c>
      <c r="C7" s="1">
        <v>6</v>
      </c>
      <c r="D7" s="2" t="s">
        <v>16</v>
      </c>
      <c r="E7" s="5" t="s">
        <v>171</v>
      </c>
      <c r="F7" s="1">
        <v>4</v>
      </c>
      <c r="G7" s="1">
        <v>4</v>
      </c>
      <c r="H7" s="2" t="s">
        <v>9</v>
      </c>
      <c r="I7" s="5" t="str">
        <f>IF(IF(Table4424666569[[#This Row],[Pre or Post]]="Pre",1,0)+IF(ISNUMBER(Table4424666569[[#This Row],[Response]])=TRUE,1,0)=2,1,"")</f>
        <v/>
      </c>
      <c r="J7" s="5">
        <f>IF(IF(Table4424666569[[#This Row],[Pre or Post]]="Post",1,0)+IF(ISNUMBER(Table4424666569[[#This Row],[Response]])=TRUE,1,0)=2,1,"")</f>
        <v>1</v>
      </c>
      <c r="K7" s="6" t="str">
        <f>IF(IF(Table4424666569[[#This Row],[Pre or Post]]="Pre",1,0)+IF(ISNUMBER(Table4424666569[[#This Row],[Response]])=TRUE,1,0)=2,Table4424666569[[#This Row],[Response]],"")</f>
        <v/>
      </c>
      <c r="L7" s="6">
        <f>IF(IF(Table4424666569[[#This Row],[Pre or Post]]="Post",1,0)+IF(ISNUMBER(Table4424666569[[#This Row],[Response]])=TRUE,1,0)=2,Table4424666569[[#This Row],[Response]],"")</f>
        <v>4</v>
      </c>
      <c r="M7" s="5" t="str">
        <f>IF(IF(ISNUMBER(K7),1,0)+IF(ISNUMBER(L8),1,0)=2,IF(IF(C8=C7,1,0)+IF(B8=B7,1,0)+IF(D8="Post",1,0)+IF(D7="Pre",1,0)=4,Table4424666569[[#This Row],[Pre Total]],""),"")</f>
        <v/>
      </c>
      <c r="N7" s="5" t="str">
        <f>IF(IF(ISNUMBER(K6),1,0)+IF(ISNUMBER(Table4424666569[[#This Row],[Post Total]]),1,0)=2,IF(IF(Table4424666569[[#This Row],[Student Number]]=C6,1,0)+IF(Table4424666569[[#This Row],[Session]]=B6,1,0)+IF(Table4424666569[[#This Row],[Pre or Post]]="Post",1,0)+IF(D6="Pre",1,0)=4,Table4424666569[[#This Row],[Post Total]],""),"")</f>
        <v/>
      </c>
      <c r="O7" s="5" t="str">
        <f>IF(IF(ISNUMBER(K6),1,0)+IF(ISNUMBER(Table4424666569[[#This Row],[Post Total]]),1,0)=2,IF(IF(Table4424666569[[#This Row],[Student Number]]=C6,1,0)+IF(Table4424666569[[#This Row],[Session]]=B6,1,0)+IF(Table4424666569[[#This Row],[Pre or Post]]="Post",1,0)+IF(D6="Pre",1,0)=4,Table4424666569[[#This Row],[Post Total]]-K6,""),"")</f>
        <v/>
      </c>
      <c r="P7" s="5" t="b">
        <f>ISNUMBER(Table4424666569[[#This Row],[Change]])</f>
        <v>0</v>
      </c>
      <c r="Q7" s="5" t="str">
        <f>IF(E6="Yes",Table4424666569[[#This Row],[Change]],"")</f>
        <v/>
      </c>
      <c r="R7" s="5" t="str">
        <f>IF(E6="No",Table4424666569[[#This Row],[Change]],"")</f>
        <v/>
      </c>
      <c r="S7" s="5" t="b">
        <f>ISNUMBER(Table4424666569[[#This Row],[If Pre3 Yes]])</f>
        <v>0</v>
      </c>
      <c r="T7" s="5" t="b">
        <f>ISNUMBER(Table4424666569[[#This Row],[If Pre3 No]])</f>
        <v>0</v>
      </c>
    </row>
    <row r="8" spans="1:20">
      <c r="A8" s="1" t="s">
        <v>12</v>
      </c>
      <c r="B8" s="2" t="s">
        <v>5</v>
      </c>
      <c r="C8" s="1">
        <v>7</v>
      </c>
      <c r="D8" s="2" t="s">
        <v>16</v>
      </c>
      <c r="E8" s="5" t="s">
        <v>171</v>
      </c>
      <c r="F8" s="1">
        <v>4</v>
      </c>
      <c r="G8" s="1">
        <v>4</v>
      </c>
      <c r="H8" s="2" t="s">
        <v>9</v>
      </c>
      <c r="I8" s="5" t="str">
        <f>IF(IF(Table4424666569[[#This Row],[Pre or Post]]="Pre",1,0)+IF(ISNUMBER(Table4424666569[[#This Row],[Response]])=TRUE,1,0)=2,1,"")</f>
        <v/>
      </c>
      <c r="J8" s="5">
        <f>IF(IF(Table4424666569[[#This Row],[Pre or Post]]="Post",1,0)+IF(ISNUMBER(Table4424666569[[#This Row],[Response]])=TRUE,1,0)=2,1,"")</f>
        <v>1</v>
      </c>
      <c r="K8" s="6" t="str">
        <f>IF(IF(Table4424666569[[#This Row],[Pre or Post]]="Pre",1,0)+IF(ISNUMBER(Table4424666569[[#This Row],[Response]])=TRUE,1,0)=2,Table4424666569[[#This Row],[Response]],"")</f>
        <v/>
      </c>
      <c r="L8" s="6">
        <f>IF(IF(Table4424666569[[#This Row],[Pre or Post]]="Post",1,0)+IF(ISNUMBER(Table4424666569[[#This Row],[Response]])=TRUE,1,0)=2,Table4424666569[[#This Row],[Response]],"")</f>
        <v>4</v>
      </c>
      <c r="M8" s="5" t="str">
        <f>IF(IF(ISNUMBER(K8),1,0)+IF(ISNUMBER(L9),1,0)=2,IF(IF(C9=C8,1,0)+IF(B9=B8,1,0)+IF(D9="Post",1,0)+IF(D8="Pre",1,0)=4,Table4424666569[[#This Row],[Pre Total]],""),"")</f>
        <v/>
      </c>
      <c r="N8" s="5" t="str">
        <f>IF(IF(ISNUMBER(K7),1,0)+IF(ISNUMBER(Table4424666569[[#This Row],[Post Total]]),1,0)=2,IF(IF(Table4424666569[[#This Row],[Student Number]]=C7,1,0)+IF(Table4424666569[[#This Row],[Session]]=B7,1,0)+IF(Table4424666569[[#This Row],[Pre or Post]]="Post",1,0)+IF(D7="Pre",1,0)=4,Table4424666569[[#This Row],[Post Total]],""),"")</f>
        <v/>
      </c>
      <c r="O8" s="5" t="str">
        <f>IF(IF(ISNUMBER(K7),1,0)+IF(ISNUMBER(Table4424666569[[#This Row],[Post Total]]),1,0)=2,IF(IF(Table4424666569[[#This Row],[Student Number]]=C7,1,0)+IF(Table4424666569[[#This Row],[Session]]=B7,1,0)+IF(Table4424666569[[#This Row],[Pre or Post]]="Post",1,0)+IF(D7="Pre",1,0)=4,Table4424666569[[#This Row],[Post Total]]-K7,""),"")</f>
        <v/>
      </c>
      <c r="P8" s="5" t="b">
        <f>ISNUMBER(Table4424666569[[#This Row],[Change]])</f>
        <v>0</v>
      </c>
      <c r="Q8" s="5" t="str">
        <f>IF(E7="Yes",Table4424666569[[#This Row],[Change]],"")</f>
        <v/>
      </c>
      <c r="R8" s="5" t="str">
        <f>IF(E7="No",Table4424666569[[#This Row],[Change]],"")</f>
        <v/>
      </c>
      <c r="S8" s="5" t="b">
        <f>ISNUMBER(Table4424666569[[#This Row],[If Pre3 Yes]])</f>
        <v>0</v>
      </c>
      <c r="T8" s="5" t="b">
        <f>ISNUMBER(Table4424666569[[#This Row],[If Pre3 No]])</f>
        <v>0</v>
      </c>
    </row>
    <row r="9" spans="1:20">
      <c r="A9" s="1" t="s">
        <v>12</v>
      </c>
      <c r="B9" s="2" t="s">
        <v>5</v>
      </c>
      <c r="C9" s="1">
        <v>8</v>
      </c>
      <c r="D9" s="2" t="s">
        <v>16</v>
      </c>
      <c r="E9" s="5" t="s">
        <v>171</v>
      </c>
      <c r="F9" s="1">
        <v>4</v>
      </c>
      <c r="G9" s="1">
        <v>4</v>
      </c>
      <c r="H9" s="2" t="s">
        <v>9</v>
      </c>
      <c r="I9" s="5" t="str">
        <f>IF(IF(Table4424666569[[#This Row],[Pre or Post]]="Pre",1,0)+IF(ISNUMBER(Table4424666569[[#This Row],[Response]])=TRUE,1,0)=2,1,"")</f>
        <v/>
      </c>
      <c r="J9" s="5">
        <f>IF(IF(Table4424666569[[#This Row],[Pre or Post]]="Post",1,0)+IF(ISNUMBER(Table4424666569[[#This Row],[Response]])=TRUE,1,0)=2,1,"")</f>
        <v>1</v>
      </c>
      <c r="K9" s="6" t="str">
        <f>IF(IF(Table4424666569[[#This Row],[Pre or Post]]="Pre",1,0)+IF(ISNUMBER(Table4424666569[[#This Row],[Response]])=TRUE,1,0)=2,Table4424666569[[#This Row],[Response]],"")</f>
        <v/>
      </c>
      <c r="L9" s="6">
        <f>IF(IF(Table4424666569[[#This Row],[Pre or Post]]="Post",1,0)+IF(ISNUMBER(Table4424666569[[#This Row],[Response]])=TRUE,1,0)=2,Table4424666569[[#This Row],[Response]],"")</f>
        <v>4</v>
      </c>
      <c r="M9" s="5" t="str">
        <f>IF(IF(ISNUMBER(K9),1,0)+IF(ISNUMBER(L10),1,0)=2,IF(IF(C10=C9,1,0)+IF(B10=B9,1,0)+IF(D10="Post",1,0)+IF(D9="Pre",1,0)=4,Table4424666569[[#This Row],[Pre Total]],""),"")</f>
        <v/>
      </c>
      <c r="N9" s="5" t="str">
        <f>IF(IF(ISNUMBER(K8),1,0)+IF(ISNUMBER(Table4424666569[[#This Row],[Post Total]]),1,0)=2,IF(IF(Table4424666569[[#This Row],[Student Number]]=C8,1,0)+IF(Table4424666569[[#This Row],[Session]]=B8,1,0)+IF(Table4424666569[[#This Row],[Pre or Post]]="Post",1,0)+IF(D8="Pre",1,0)=4,Table4424666569[[#This Row],[Post Total]],""),"")</f>
        <v/>
      </c>
      <c r="O9" s="5" t="str">
        <f>IF(IF(ISNUMBER(K8),1,0)+IF(ISNUMBER(Table4424666569[[#This Row],[Post Total]]),1,0)=2,IF(IF(Table4424666569[[#This Row],[Student Number]]=C8,1,0)+IF(Table4424666569[[#This Row],[Session]]=B8,1,0)+IF(Table4424666569[[#This Row],[Pre or Post]]="Post",1,0)+IF(D8="Pre",1,0)=4,Table4424666569[[#This Row],[Post Total]]-K8,""),"")</f>
        <v/>
      </c>
      <c r="P9" s="5" t="b">
        <f>ISNUMBER(Table4424666569[[#This Row],[Change]])</f>
        <v>0</v>
      </c>
      <c r="Q9" s="5" t="str">
        <f>IF(E8="Yes",Table4424666569[[#This Row],[Change]],"")</f>
        <v/>
      </c>
      <c r="R9" s="5" t="str">
        <f>IF(E8="No",Table4424666569[[#This Row],[Change]],"")</f>
        <v/>
      </c>
      <c r="S9" s="5" t="b">
        <f>ISNUMBER(Table4424666569[[#This Row],[If Pre3 Yes]])</f>
        <v>0</v>
      </c>
      <c r="T9" s="5" t="b">
        <f>ISNUMBER(Table4424666569[[#This Row],[If Pre3 No]])</f>
        <v>0</v>
      </c>
    </row>
    <row r="10" spans="1:20">
      <c r="A10" s="1" t="s">
        <v>12</v>
      </c>
      <c r="B10" s="2" t="s">
        <v>5</v>
      </c>
      <c r="C10" s="1">
        <v>9</v>
      </c>
      <c r="D10" s="2" t="s">
        <v>16</v>
      </c>
      <c r="E10" s="5" t="s">
        <v>171</v>
      </c>
      <c r="F10" s="1">
        <v>4</v>
      </c>
      <c r="G10" s="1">
        <v>4</v>
      </c>
      <c r="H10" s="2" t="s">
        <v>9</v>
      </c>
      <c r="I10" s="6" t="str">
        <f>IF(IF(Table4424666569[[#This Row],[Pre or Post]]="Pre",1,0)+IF(ISNUMBER(Table4424666569[[#This Row],[Response]])=TRUE,1,0)=2,1,"")</f>
        <v/>
      </c>
      <c r="J10" s="6">
        <f>IF(IF(Table4424666569[[#This Row],[Pre or Post]]="Post",1,0)+IF(ISNUMBER(Table4424666569[[#This Row],[Response]])=TRUE,1,0)=2,1,"")</f>
        <v>1</v>
      </c>
      <c r="K10" s="6" t="str">
        <f>IF(IF(Table4424666569[[#This Row],[Pre or Post]]="Pre",1,0)+IF(ISNUMBER(Table4424666569[[#This Row],[Response]])=TRUE,1,0)=2,Table4424666569[[#This Row],[Response]],"")</f>
        <v/>
      </c>
      <c r="L10" s="6">
        <f>IF(IF(Table4424666569[[#This Row],[Pre or Post]]="Post",1,0)+IF(ISNUMBER(Table4424666569[[#This Row],[Response]])=TRUE,1,0)=2,Table4424666569[[#This Row],[Response]],"")</f>
        <v>4</v>
      </c>
      <c r="M10" s="5" t="str">
        <f>IF(IF(ISNUMBER(K10),1,0)+IF(ISNUMBER(L11),1,0)=2,IF(IF(C11=C10,1,0)+IF(B11=B10,1,0)+IF(D11="Post",1,0)+IF(D10="Pre",1,0)=4,Table4424666569[[#This Row],[Pre Total]],""),"")</f>
        <v/>
      </c>
      <c r="N10" s="6" t="str">
        <f>IF(IF(ISNUMBER(K9),1,0)+IF(ISNUMBER(Table4424666569[[#This Row],[Post Total]]),1,0)=2,IF(IF(Table4424666569[[#This Row],[Student Number]]=C9,1,0)+IF(Table4424666569[[#This Row],[Session]]=B9,1,0)+IF(Table4424666569[[#This Row],[Pre or Post]]="Post",1,0)+IF(D9="Pre",1,0)=4,Table4424666569[[#This Row],[Post Total]],""),"")</f>
        <v/>
      </c>
      <c r="O10" s="6" t="str">
        <f>IF(IF(ISNUMBER(K9),1,0)+IF(ISNUMBER(Table4424666569[[#This Row],[Post Total]]),1,0)=2,IF(IF(Table4424666569[[#This Row],[Student Number]]=C9,1,0)+IF(Table4424666569[[#This Row],[Session]]=B9,1,0)+IF(Table4424666569[[#This Row],[Pre or Post]]="Post",1,0)+IF(D9="Pre",1,0)=4,Table4424666569[[#This Row],[Post Total]]-K9,""),"")</f>
        <v/>
      </c>
      <c r="P10" s="6" t="b">
        <f>ISNUMBER(Table4424666569[[#This Row],[Change]])</f>
        <v>0</v>
      </c>
      <c r="Q10" s="5" t="str">
        <f>IF(E9="Yes",Table4424666569[[#This Row],[Change]],"")</f>
        <v/>
      </c>
      <c r="R10" s="5" t="str">
        <f>IF(E9="No",Table4424666569[[#This Row],[Change]],"")</f>
        <v/>
      </c>
      <c r="S10" s="5" t="b">
        <f>ISNUMBER(Table4424666569[[#This Row],[If Pre3 Yes]])</f>
        <v>0</v>
      </c>
      <c r="T10" s="5" t="b">
        <f>ISNUMBER(Table4424666569[[#This Row],[If Pre3 No]])</f>
        <v>0</v>
      </c>
    </row>
    <row r="11" spans="1:20">
      <c r="A11" s="1" t="s">
        <v>12</v>
      </c>
      <c r="B11" s="2" t="s">
        <v>5</v>
      </c>
      <c r="C11" s="1">
        <v>10</v>
      </c>
      <c r="D11" s="2" t="s">
        <v>16</v>
      </c>
      <c r="E11" s="5" t="s">
        <v>171</v>
      </c>
      <c r="F11" s="1">
        <v>4</v>
      </c>
      <c r="G11" s="1">
        <v>5</v>
      </c>
      <c r="H11" s="2" t="s">
        <v>9</v>
      </c>
      <c r="I11" s="5" t="str">
        <f>IF(IF(Table4424666569[[#This Row],[Pre or Post]]="Pre",1,0)+IF(ISNUMBER(Table4424666569[[#This Row],[Response]])=TRUE,1,0)=2,1,"")</f>
        <v/>
      </c>
      <c r="J11" s="5">
        <f>IF(IF(Table4424666569[[#This Row],[Pre or Post]]="Post",1,0)+IF(ISNUMBER(Table4424666569[[#This Row],[Response]])=TRUE,1,0)=2,1,"")</f>
        <v>1</v>
      </c>
      <c r="K11" s="6" t="str">
        <f>IF(IF(Table4424666569[[#This Row],[Pre or Post]]="Pre",1,0)+IF(ISNUMBER(Table4424666569[[#This Row],[Response]])=TRUE,1,0)=2,Table4424666569[[#This Row],[Response]],"")</f>
        <v/>
      </c>
      <c r="L11" s="6">
        <f>IF(IF(Table4424666569[[#This Row],[Pre or Post]]="Post",1,0)+IF(ISNUMBER(Table4424666569[[#This Row],[Response]])=TRUE,1,0)=2,Table4424666569[[#This Row],[Response]],"")</f>
        <v>5</v>
      </c>
      <c r="M11" s="5" t="str">
        <f>IF(IF(ISNUMBER(K11),1,0)+IF(ISNUMBER(L12),1,0)=2,IF(IF(C12=C11,1,0)+IF(B12=B11,1,0)+IF(D12="Post",1,0)+IF(D11="Pre",1,0)=4,Table4424666569[[#This Row],[Pre Total]],""),"")</f>
        <v/>
      </c>
      <c r="N11" s="5" t="str">
        <f>IF(IF(ISNUMBER(K10),1,0)+IF(ISNUMBER(Table4424666569[[#This Row],[Post Total]]),1,0)=2,IF(IF(Table4424666569[[#This Row],[Student Number]]=C10,1,0)+IF(Table4424666569[[#This Row],[Session]]=B10,1,0)+IF(Table4424666569[[#This Row],[Pre or Post]]="Post",1,0)+IF(D10="Pre",1,0)=4,Table4424666569[[#This Row],[Post Total]],""),"")</f>
        <v/>
      </c>
      <c r="O11" s="5" t="str">
        <f>IF(IF(ISNUMBER(K10),1,0)+IF(ISNUMBER(Table4424666569[[#This Row],[Post Total]]),1,0)=2,IF(IF(Table4424666569[[#This Row],[Student Number]]=C10,1,0)+IF(Table4424666569[[#This Row],[Session]]=B10,1,0)+IF(Table4424666569[[#This Row],[Pre or Post]]="Post",1,0)+IF(D10="Pre",1,0)=4,Table4424666569[[#This Row],[Post Total]]-K10,""),"")</f>
        <v/>
      </c>
      <c r="P11" s="5" t="b">
        <f>ISNUMBER(Table4424666569[[#This Row],[Change]])</f>
        <v>0</v>
      </c>
      <c r="Q11" s="5" t="str">
        <f>IF(E10="Yes",Table4424666569[[#This Row],[Change]],"")</f>
        <v/>
      </c>
      <c r="R11" s="5" t="str">
        <f>IF(E10="No",Table4424666569[[#This Row],[Change]],"")</f>
        <v/>
      </c>
      <c r="S11" s="5" t="b">
        <f>ISNUMBER(Table4424666569[[#This Row],[If Pre3 Yes]])</f>
        <v>0</v>
      </c>
      <c r="T11" s="5" t="b">
        <f>ISNUMBER(Table4424666569[[#This Row],[If Pre3 No]])</f>
        <v>0</v>
      </c>
    </row>
    <row r="12" spans="1:20">
      <c r="A12" s="1" t="s">
        <v>12</v>
      </c>
      <c r="B12" s="2" t="s">
        <v>5</v>
      </c>
      <c r="C12" s="1">
        <v>11</v>
      </c>
      <c r="D12" s="2" t="s">
        <v>16</v>
      </c>
      <c r="E12" s="5" t="s">
        <v>171</v>
      </c>
      <c r="F12" s="1">
        <v>4</v>
      </c>
      <c r="G12" s="1">
        <v>4</v>
      </c>
      <c r="H12" s="2" t="s">
        <v>9</v>
      </c>
      <c r="I12" s="6" t="str">
        <f>IF(IF(Table4424666569[[#This Row],[Pre or Post]]="Pre",1,0)+IF(ISNUMBER(Table4424666569[[#This Row],[Response]])=TRUE,1,0)=2,1,"")</f>
        <v/>
      </c>
      <c r="J12" s="6">
        <f>IF(IF(Table4424666569[[#This Row],[Pre or Post]]="Post",1,0)+IF(ISNUMBER(Table4424666569[[#This Row],[Response]])=TRUE,1,0)=2,1,"")</f>
        <v>1</v>
      </c>
      <c r="K12" s="6" t="str">
        <f>IF(IF(Table4424666569[[#This Row],[Pre or Post]]="Pre",1,0)+IF(ISNUMBER(Table4424666569[[#This Row],[Response]])=TRUE,1,0)=2,Table4424666569[[#This Row],[Response]],"")</f>
        <v/>
      </c>
      <c r="L12" s="6">
        <f>IF(IF(Table4424666569[[#This Row],[Pre or Post]]="Post",1,0)+IF(ISNUMBER(Table4424666569[[#This Row],[Response]])=TRUE,1,0)=2,Table4424666569[[#This Row],[Response]],"")</f>
        <v>4</v>
      </c>
      <c r="M12" s="5" t="str">
        <f>IF(IF(ISNUMBER(K12),1,0)+IF(ISNUMBER(L13),1,0)=2,IF(IF(C13=C12,1,0)+IF(B13=B12,1,0)+IF(D13="Post",1,0)+IF(D12="Pre",1,0)=4,Table4424666569[[#This Row],[Pre Total]],""),"")</f>
        <v/>
      </c>
      <c r="N12" s="6" t="str">
        <f>IF(IF(ISNUMBER(K11),1,0)+IF(ISNUMBER(Table4424666569[[#This Row],[Post Total]]),1,0)=2,IF(IF(Table4424666569[[#This Row],[Student Number]]=C11,1,0)+IF(Table4424666569[[#This Row],[Session]]=B11,1,0)+IF(Table4424666569[[#This Row],[Pre or Post]]="Post",1,0)+IF(D11="Pre",1,0)=4,Table4424666569[[#This Row],[Post Total]],""),"")</f>
        <v/>
      </c>
      <c r="O12" s="6" t="str">
        <f>IF(IF(ISNUMBER(K11),1,0)+IF(ISNUMBER(Table4424666569[[#This Row],[Post Total]]),1,0)=2,IF(IF(Table4424666569[[#This Row],[Student Number]]=C11,1,0)+IF(Table4424666569[[#This Row],[Session]]=B11,1,0)+IF(Table4424666569[[#This Row],[Pre or Post]]="Post",1,0)+IF(D11="Pre",1,0)=4,Table4424666569[[#This Row],[Post Total]]-K11,""),"")</f>
        <v/>
      </c>
      <c r="P12" s="6" t="b">
        <f>ISNUMBER(Table4424666569[[#This Row],[Change]])</f>
        <v>0</v>
      </c>
      <c r="Q12" s="5" t="str">
        <f>IF(E11="Yes",Table4424666569[[#This Row],[Change]],"")</f>
        <v/>
      </c>
      <c r="R12" s="5" t="str">
        <f>IF(E11="No",Table4424666569[[#This Row],[Change]],"")</f>
        <v/>
      </c>
      <c r="S12" s="5" t="b">
        <f>ISNUMBER(Table4424666569[[#This Row],[If Pre3 Yes]])</f>
        <v>0</v>
      </c>
      <c r="T12" s="5" t="b">
        <f>ISNUMBER(Table4424666569[[#This Row],[If Pre3 No]])</f>
        <v>0</v>
      </c>
    </row>
    <row r="13" spans="1:20">
      <c r="A13" s="1" t="s">
        <v>12</v>
      </c>
      <c r="B13" s="2" t="s">
        <v>5</v>
      </c>
      <c r="C13" s="1">
        <v>12</v>
      </c>
      <c r="D13" s="2" t="s">
        <v>16</v>
      </c>
      <c r="E13" s="5" t="s">
        <v>171</v>
      </c>
      <c r="F13" s="1">
        <v>4</v>
      </c>
      <c r="G13" s="1">
        <v>3</v>
      </c>
      <c r="H13" s="2" t="s">
        <v>9</v>
      </c>
      <c r="I13" s="5" t="str">
        <f>IF(IF(Table4424666569[[#This Row],[Pre or Post]]="Pre",1,0)+IF(ISNUMBER(Table4424666569[[#This Row],[Response]])=TRUE,1,0)=2,1,"")</f>
        <v/>
      </c>
      <c r="J13" s="5">
        <f>IF(IF(Table4424666569[[#This Row],[Pre or Post]]="Post",1,0)+IF(ISNUMBER(Table4424666569[[#This Row],[Response]])=TRUE,1,0)=2,1,"")</f>
        <v>1</v>
      </c>
      <c r="K13" s="6" t="str">
        <f>IF(IF(Table4424666569[[#This Row],[Pre or Post]]="Pre",1,0)+IF(ISNUMBER(Table4424666569[[#This Row],[Response]])=TRUE,1,0)=2,Table4424666569[[#This Row],[Response]],"")</f>
        <v/>
      </c>
      <c r="L13" s="6">
        <f>IF(IF(Table4424666569[[#This Row],[Pre or Post]]="Post",1,0)+IF(ISNUMBER(Table4424666569[[#This Row],[Response]])=TRUE,1,0)=2,Table4424666569[[#This Row],[Response]],"")</f>
        <v>3</v>
      </c>
      <c r="M13" s="5" t="str">
        <f>IF(IF(ISNUMBER(K13),1,0)+IF(ISNUMBER(L14),1,0)=2,IF(IF(C14=C13,1,0)+IF(B14=B13,1,0)+IF(D14="Post",1,0)+IF(D13="Pre",1,0)=4,Table4424666569[[#This Row],[Pre Total]],""),"")</f>
        <v/>
      </c>
      <c r="N13" s="5" t="str">
        <f>IF(IF(ISNUMBER(K12),1,0)+IF(ISNUMBER(Table4424666569[[#This Row],[Post Total]]),1,0)=2,IF(IF(Table4424666569[[#This Row],[Student Number]]=C12,1,0)+IF(Table4424666569[[#This Row],[Session]]=B12,1,0)+IF(Table4424666569[[#This Row],[Pre or Post]]="Post",1,0)+IF(D12="Pre",1,0)=4,Table4424666569[[#This Row],[Post Total]],""),"")</f>
        <v/>
      </c>
      <c r="O13" s="5" t="str">
        <f>IF(IF(ISNUMBER(K12),1,0)+IF(ISNUMBER(Table4424666569[[#This Row],[Post Total]]),1,0)=2,IF(IF(Table4424666569[[#This Row],[Student Number]]=C12,1,0)+IF(Table4424666569[[#This Row],[Session]]=B12,1,0)+IF(Table4424666569[[#This Row],[Pre or Post]]="Post",1,0)+IF(D12="Pre",1,0)=4,Table4424666569[[#This Row],[Post Total]]-K12,""),"")</f>
        <v/>
      </c>
      <c r="P13" s="5" t="b">
        <f>ISNUMBER(Table4424666569[[#This Row],[Change]])</f>
        <v>0</v>
      </c>
      <c r="Q13" s="5" t="str">
        <f>IF(E12="Yes",Table4424666569[[#This Row],[Change]],"")</f>
        <v/>
      </c>
      <c r="R13" s="5" t="str">
        <f>IF(E12="No",Table4424666569[[#This Row],[Change]],"")</f>
        <v/>
      </c>
      <c r="S13" s="5" t="b">
        <f>ISNUMBER(Table4424666569[[#This Row],[If Pre3 Yes]])</f>
        <v>0</v>
      </c>
      <c r="T13" s="5" t="b">
        <f>ISNUMBER(Table4424666569[[#This Row],[If Pre3 No]])</f>
        <v>0</v>
      </c>
    </row>
    <row r="14" spans="1:20">
      <c r="A14" s="1" t="s">
        <v>12</v>
      </c>
      <c r="B14" s="2" t="s">
        <v>5</v>
      </c>
      <c r="C14" s="1">
        <v>13</v>
      </c>
      <c r="D14" s="2" t="s">
        <v>16</v>
      </c>
      <c r="E14" s="5" t="s">
        <v>171</v>
      </c>
      <c r="F14" s="1">
        <v>4</v>
      </c>
      <c r="G14" s="1">
        <v>2</v>
      </c>
      <c r="H14" s="2" t="s">
        <v>9</v>
      </c>
      <c r="I14" s="6" t="str">
        <f>IF(IF(Table4424666569[[#This Row],[Pre or Post]]="Pre",1,0)+IF(ISNUMBER(Table4424666569[[#This Row],[Response]])=TRUE,1,0)=2,1,"")</f>
        <v/>
      </c>
      <c r="J14" s="6">
        <f>IF(IF(Table4424666569[[#This Row],[Pre or Post]]="Post",1,0)+IF(ISNUMBER(Table4424666569[[#This Row],[Response]])=TRUE,1,0)=2,1,"")</f>
        <v>1</v>
      </c>
      <c r="K14" s="6" t="str">
        <f>IF(IF(Table4424666569[[#This Row],[Pre or Post]]="Pre",1,0)+IF(ISNUMBER(Table4424666569[[#This Row],[Response]])=TRUE,1,0)=2,Table4424666569[[#This Row],[Response]],"")</f>
        <v/>
      </c>
      <c r="L14" s="6">
        <f>IF(IF(Table4424666569[[#This Row],[Pre or Post]]="Post",1,0)+IF(ISNUMBER(Table4424666569[[#This Row],[Response]])=TRUE,1,0)=2,Table4424666569[[#This Row],[Response]],"")</f>
        <v>2</v>
      </c>
      <c r="M14" s="5" t="str">
        <f>IF(IF(ISNUMBER(K14),1,0)+IF(ISNUMBER(L15),1,0)=2,IF(IF(C15=C14,1,0)+IF(B15=B14,1,0)+IF(D15="Post",1,0)+IF(D14="Pre",1,0)=4,Table4424666569[[#This Row],[Pre Total]],""),"")</f>
        <v/>
      </c>
      <c r="N14" s="6" t="str">
        <f>IF(IF(ISNUMBER(K13),1,0)+IF(ISNUMBER(Table4424666569[[#This Row],[Post Total]]),1,0)=2,IF(IF(Table4424666569[[#This Row],[Student Number]]=C13,1,0)+IF(Table4424666569[[#This Row],[Session]]=B13,1,0)+IF(Table4424666569[[#This Row],[Pre or Post]]="Post",1,0)+IF(D13="Pre",1,0)=4,Table4424666569[[#This Row],[Post Total]],""),"")</f>
        <v/>
      </c>
      <c r="O14" s="6" t="str">
        <f>IF(IF(ISNUMBER(K13),1,0)+IF(ISNUMBER(Table4424666569[[#This Row],[Post Total]]),1,0)=2,IF(IF(Table4424666569[[#This Row],[Student Number]]=C13,1,0)+IF(Table4424666569[[#This Row],[Session]]=B13,1,0)+IF(Table4424666569[[#This Row],[Pre or Post]]="Post",1,0)+IF(D13="Pre",1,0)=4,Table4424666569[[#This Row],[Post Total]]-K13,""),"")</f>
        <v/>
      </c>
      <c r="P14" s="6" t="b">
        <f>ISNUMBER(Table4424666569[[#This Row],[Change]])</f>
        <v>0</v>
      </c>
      <c r="Q14" s="5" t="str">
        <f>IF(E13="Yes",Table4424666569[[#This Row],[Change]],"")</f>
        <v/>
      </c>
      <c r="R14" s="5" t="str">
        <f>IF(E13="No",Table4424666569[[#This Row],[Change]],"")</f>
        <v/>
      </c>
      <c r="S14" s="5" t="b">
        <f>ISNUMBER(Table4424666569[[#This Row],[If Pre3 Yes]])</f>
        <v>0</v>
      </c>
      <c r="T14" s="5" t="b">
        <f>ISNUMBER(Table4424666569[[#This Row],[If Pre3 No]])</f>
        <v>0</v>
      </c>
    </row>
    <row r="15" spans="1:20">
      <c r="A15" s="1" t="s">
        <v>12</v>
      </c>
      <c r="B15" s="2" t="s">
        <v>5</v>
      </c>
      <c r="C15" s="1">
        <v>14</v>
      </c>
      <c r="D15" s="2" t="s">
        <v>16</v>
      </c>
      <c r="E15" s="5" t="s">
        <v>171</v>
      </c>
      <c r="F15" s="1">
        <v>4</v>
      </c>
      <c r="G15" s="1">
        <v>3</v>
      </c>
      <c r="H15" s="2" t="s">
        <v>9</v>
      </c>
      <c r="I15" s="5" t="str">
        <f>IF(IF(Table4424666569[[#This Row],[Pre or Post]]="Pre",1,0)+IF(ISNUMBER(Table4424666569[[#This Row],[Response]])=TRUE,1,0)=2,1,"")</f>
        <v/>
      </c>
      <c r="J15" s="5">
        <f>IF(IF(Table4424666569[[#This Row],[Pre or Post]]="Post",1,0)+IF(ISNUMBER(Table4424666569[[#This Row],[Response]])=TRUE,1,0)=2,1,"")</f>
        <v>1</v>
      </c>
      <c r="K15" s="6" t="str">
        <f>IF(IF(Table4424666569[[#This Row],[Pre or Post]]="Pre",1,0)+IF(ISNUMBER(Table4424666569[[#This Row],[Response]])=TRUE,1,0)=2,Table4424666569[[#This Row],[Response]],"")</f>
        <v/>
      </c>
      <c r="L15" s="6">
        <f>IF(IF(Table4424666569[[#This Row],[Pre or Post]]="Post",1,0)+IF(ISNUMBER(Table4424666569[[#This Row],[Response]])=TRUE,1,0)=2,Table4424666569[[#This Row],[Response]],"")</f>
        <v>3</v>
      </c>
      <c r="M15" s="5" t="str">
        <f>IF(IF(ISNUMBER(K15),1,0)+IF(ISNUMBER(L16),1,0)=2,IF(IF(C16=C15,1,0)+IF(B16=B15,1,0)+IF(D16="Post",1,0)+IF(D15="Pre",1,0)=4,Table4424666569[[#This Row],[Pre Total]],""),"")</f>
        <v/>
      </c>
      <c r="N15" s="5" t="str">
        <f>IF(IF(ISNUMBER(K14),1,0)+IF(ISNUMBER(Table4424666569[[#This Row],[Post Total]]),1,0)=2,IF(IF(Table4424666569[[#This Row],[Student Number]]=C14,1,0)+IF(Table4424666569[[#This Row],[Session]]=B14,1,0)+IF(Table4424666569[[#This Row],[Pre or Post]]="Post",1,0)+IF(D14="Pre",1,0)=4,Table4424666569[[#This Row],[Post Total]],""),"")</f>
        <v/>
      </c>
      <c r="O15" s="5" t="str">
        <f>IF(IF(ISNUMBER(K14),1,0)+IF(ISNUMBER(Table4424666569[[#This Row],[Post Total]]),1,0)=2,IF(IF(Table4424666569[[#This Row],[Student Number]]=C14,1,0)+IF(Table4424666569[[#This Row],[Session]]=B14,1,0)+IF(Table4424666569[[#This Row],[Pre or Post]]="Post",1,0)+IF(D14="Pre",1,0)=4,Table4424666569[[#This Row],[Post Total]]-K14,""),"")</f>
        <v/>
      </c>
      <c r="P15" s="5" t="b">
        <f>ISNUMBER(Table4424666569[[#This Row],[Change]])</f>
        <v>0</v>
      </c>
      <c r="Q15" s="5" t="str">
        <f>IF(E14="Yes",Table4424666569[[#This Row],[Change]],"")</f>
        <v/>
      </c>
      <c r="R15" s="5" t="str">
        <f>IF(E14="No",Table4424666569[[#This Row],[Change]],"")</f>
        <v/>
      </c>
      <c r="S15" s="5" t="b">
        <f>ISNUMBER(Table4424666569[[#This Row],[If Pre3 Yes]])</f>
        <v>0</v>
      </c>
      <c r="T15" s="5" t="b">
        <f>ISNUMBER(Table4424666569[[#This Row],[If Pre3 No]])</f>
        <v>0</v>
      </c>
    </row>
    <row r="16" spans="1:20">
      <c r="A16" s="1" t="s">
        <v>12</v>
      </c>
      <c r="B16" s="2" t="s">
        <v>5</v>
      </c>
      <c r="C16" s="1">
        <v>15</v>
      </c>
      <c r="D16" s="2" t="s">
        <v>16</v>
      </c>
      <c r="E16" s="5" t="s">
        <v>171</v>
      </c>
      <c r="F16" s="1">
        <v>4</v>
      </c>
      <c r="G16" s="1">
        <v>3</v>
      </c>
      <c r="H16" s="2" t="s">
        <v>9</v>
      </c>
      <c r="I16" s="6" t="str">
        <f>IF(IF(Table4424666569[[#This Row],[Pre or Post]]="Pre",1,0)+IF(ISNUMBER(Table4424666569[[#This Row],[Response]])=TRUE,1,0)=2,1,"")</f>
        <v/>
      </c>
      <c r="J16" s="6">
        <f>IF(IF(Table4424666569[[#This Row],[Pre or Post]]="Post",1,0)+IF(ISNUMBER(Table4424666569[[#This Row],[Response]])=TRUE,1,0)=2,1,"")</f>
        <v>1</v>
      </c>
      <c r="K16" s="6" t="str">
        <f>IF(IF(Table4424666569[[#This Row],[Pre or Post]]="Pre",1,0)+IF(ISNUMBER(Table4424666569[[#This Row],[Response]])=TRUE,1,0)=2,Table4424666569[[#This Row],[Response]],"")</f>
        <v/>
      </c>
      <c r="L16" s="6">
        <f>IF(IF(Table4424666569[[#This Row],[Pre or Post]]="Post",1,0)+IF(ISNUMBER(Table4424666569[[#This Row],[Response]])=TRUE,1,0)=2,Table4424666569[[#This Row],[Response]],"")</f>
        <v>3</v>
      </c>
      <c r="M16" s="5" t="str">
        <f>IF(IF(ISNUMBER(K16),1,0)+IF(ISNUMBER(L17),1,0)=2,IF(IF(C17=C16,1,0)+IF(B17=B16,1,0)+IF(D17="Post",1,0)+IF(D16="Pre",1,0)=4,Table4424666569[[#This Row],[Pre Total]],""),"")</f>
        <v/>
      </c>
      <c r="N16" s="6" t="str">
        <f>IF(IF(ISNUMBER(K15),1,0)+IF(ISNUMBER(Table4424666569[[#This Row],[Post Total]]),1,0)=2,IF(IF(Table4424666569[[#This Row],[Student Number]]=C15,1,0)+IF(Table4424666569[[#This Row],[Session]]=B15,1,0)+IF(Table4424666569[[#This Row],[Pre or Post]]="Post",1,0)+IF(D15="Pre",1,0)=4,Table4424666569[[#This Row],[Post Total]],""),"")</f>
        <v/>
      </c>
      <c r="O16" s="6" t="str">
        <f>IF(IF(ISNUMBER(K15),1,0)+IF(ISNUMBER(Table4424666569[[#This Row],[Post Total]]),1,0)=2,IF(IF(Table4424666569[[#This Row],[Student Number]]=C15,1,0)+IF(Table4424666569[[#This Row],[Session]]=B15,1,0)+IF(Table4424666569[[#This Row],[Pre or Post]]="Post",1,0)+IF(D15="Pre",1,0)=4,Table4424666569[[#This Row],[Post Total]]-K15,""),"")</f>
        <v/>
      </c>
      <c r="P16" s="6" t="b">
        <f>ISNUMBER(Table4424666569[[#This Row],[Change]])</f>
        <v>0</v>
      </c>
      <c r="Q16" s="5" t="str">
        <f>IF(E15="Yes",Table4424666569[[#This Row],[Change]],"")</f>
        <v/>
      </c>
      <c r="R16" s="5" t="str">
        <f>IF(E15="No",Table4424666569[[#This Row],[Change]],"")</f>
        <v/>
      </c>
      <c r="S16" s="5" t="b">
        <f>ISNUMBER(Table4424666569[[#This Row],[If Pre3 Yes]])</f>
        <v>0</v>
      </c>
      <c r="T16" s="5" t="b">
        <f>ISNUMBER(Table4424666569[[#This Row],[If Pre3 No]])</f>
        <v>0</v>
      </c>
    </row>
    <row r="17" spans="1:20">
      <c r="A17" s="1" t="s">
        <v>12</v>
      </c>
      <c r="B17" s="2" t="s">
        <v>5</v>
      </c>
      <c r="C17" s="1">
        <v>16</v>
      </c>
      <c r="D17" s="2" t="s">
        <v>16</v>
      </c>
      <c r="E17" s="5" t="s">
        <v>171</v>
      </c>
      <c r="F17" s="1">
        <v>4</v>
      </c>
      <c r="G17" s="1">
        <v>3</v>
      </c>
      <c r="H17" s="2" t="s">
        <v>9</v>
      </c>
      <c r="I17" s="5" t="str">
        <f>IF(IF(Table4424666569[[#This Row],[Pre or Post]]="Pre",1,0)+IF(ISNUMBER(Table4424666569[[#This Row],[Response]])=TRUE,1,0)=2,1,"")</f>
        <v/>
      </c>
      <c r="J17" s="5">
        <f>IF(IF(Table4424666569[[#This Row],[Pre or Post]]="Post",1,0)+IF(ISNUMBER(Table4424666569[[#This Row],[Response]])=TRUE,1,0)=2,1,"")</f>
        <v>1</v>
      </c>
      <c r="K17" s="6" t="str">
        <f>IF(IF(Table4424666569[[#This Row],[Pre or Post]]="Pre",1,0)+IF(ISNUMBER(Table4424666569[[#This Row],[Response]])=TRUE,1,0)=2,Table4424666569[[#This Row],[Response]],"")</f>
        <v/>
      </c>
      <c r="L17" s="6">
        <f>IF(IF(Table4424666569[[#This Row],[Pre or Post]]="Post",1,0)+IF(ISNUMBER(Table4424666569[[#This Row],[Response]])=TRUE,1,0)=2,Table4424666569[[#This Row],[Response]],"")</f>
        <v>3</v>
      </c>
      <c r="M17" s="5" t="str">
        <f>IF(IF(ISNUMBER(K17),1,0)+IF(ISNUMBER(L18),1,0)=2,IF(IF(C18=C17,1,0)+IF(B18=B17,1,0)+IF(D18="Post",1,0)+IF(D17="Pre",1,0)=4,Table4424666569[[#This Row],[Pre Total]],""),"")</f>
        <v/>
      </c>
      <c r="N17" s="5" t="str">
        <f>IF(IF(ISNUMBER(K16),1,0)+IF(ISNUMBER(Table4424666569[[#This Row],[Post Total]]),1,0)=2,IF(IF(Table4424666569[[#This Row],[Student Number]]=C16,1,0)+IF(Table4424666569[[#This Row],[Session]]=B16,1,0)+IF(Table4424666569[[#This Row],[Pre or Post]]="Post",1,0)+IF(D16="Pre",1,0)=4,Table4424666569[[#This Row],[Post Total]],""),"")</f>
        <v/>
      </c>
      <c r="O17" s="5" t="str">
        <f>IF(IF(ISNUMBER(K16),1,0)+IF(ISNUMBER(Table4424666569[[#This Row],[Post Total]]),1,0)=2,IF(IF(Table4424666569[[#This Row],[Student Number]]=C16,1,0)+IF(Table4424666569[[#This Row],[Session]]=B16,1,0)+IF(Table4424666569[[#This Row],[Pre or Post]]="Post",1,0)+IF(D16="Pre",1,0)=4,Table4424666569[[#This Row],[Post Total]]-K16,""),"")</f>
        <v/>
      </c>
      <c r="P17" s="5" t="b">
        <f>ISNUMBER(Table4424666569[[#This Row],[Change]])</f>
        <v>0</v>
      </c>
      <c r="Q17" s="5" t="str">
        <f>IF(E16="Yes",Table4424666569[[#This Row],[Change]],"")</f>
        <v/>
      </c>
      <c r="R17" s="5" t="str">
        <f>IF(E16="No",Table4424666569[[#This Row],[Change]],"")</f>
        <v/>
      </c>
      <c r="S17" s="5" t="b">
        <f>ISNUMBER(Table4424666569[[#This Row],[If Pre3 Yes]])</f>
        <v>0</v>
      </c>
      <c r="T17" s="5" t="b">
        <f>ISNUMBER(Table4424666569[[#This Row],[If Pre3 No]])</f>
        <v>0</v>
      </c>
    </row>
    <row r="18" spans="1:20">
      <c r="A18" s="1" t="s">
        <v>12</v>
      </c>
      <c r="B18" s="2" t="s">
        <v>5</v>
      </c>
      <c r="C18" s="1">
        <v>17</v>
      </c>
      <c r="D18" s="2" t="s">
        <v>16</v>
      </c>
      <c r="E18" s="5" t="s">
        <v>171</v>
      </c>
      <c r="F18" s="1">
        <v>4</v>
      </c>
      <c r="G18" s="1">
        <v>1</v>
      </c>
      <c r="H18" s="2" t="s">
        <v>9</v>
      </c>
      <c r="I18" s="6" t="str">
        <f>IF(IF(Table4424666569[[#This Row],[Pre or Post]]="Pre",1,0)+IF(ISNUMBER(Table4424666569[[#This Row],[Response]])=TRUE,1,0)=2,1,"")</f>
        <v/>
      </c>
      <c r="J18" s="6">
        <f>IF(IF(Table4424666569[[#This Row],[Pre or Post]]="Post",1,0)+IF(ISNUMBER(Table4424666569[[#This Row],[Response]])=TRUE,1,0)=2,1,"")</f>
        <v>1</v>
      </c>
      <c r="K18" s="6" t="str">
        <f>IF(IF(Table4424666569[[#This Row],[Pre or Post]]="Pre",1,0)+IF(ISNUMBER(Table4424666569[[#This Row],[Response]])=TRUE,1,0)=2,Table4424666569[[#This Row],[Response]],"")</f>
        <v/>
      </c>
      <c r="L18" s="6">
        <f>IF(IF(Table4424666569[[#This Row],[Pre or Post]]="Post",1,0)+IF(ISNUMBER(Table4424666569[[#This Row],[Response]])=TRUE,1,0)=2,Table4424666569[[#This Row],[Response]],"")</f>
        <v>1</v>
      </c>
      <c r="M18" s="5" t="str">
        <f>IF(IF(ISNUMBER(K18),1,0)+IF(ISNUMBER(L19),1,0)=2,IF(IF(C19=C18,1,0)+IF(B19=B18,1,0)+IF(D19="Post",1,0)+IF(D18="Pre",1,0)=4,Table4424666569[[#This Row],[Pre Total]],""),"")</f>
        <v/>
      </c>
      <c r="N18" s="6" t="str">
        <f>IF(IF(ISNUMBER(K17),1,0)+IF(ISNUMBER(Table4424666569[[#This Row],[Post Total]]),1,0)=2,IF(IF(Table4424666569[[#This Row],[Student Number]]=C17,1,0)+IF(Table4424666569[[#This Row],[Session]]=B17,1,0)+IF(Table4424666569[[#This Row],[Pre or Post]]="Post",1,0)+IF(D17="Pre",1,0)=4,Table4424666569[[#This Row],[Post Total]],""),"")</f>
        <v/>
      </c>
      <c r="O18" s="6" t="str">
        <f>IF(IF(ISNUMBER(K17),1,0)+IF(ISNUMBER(Table4424666569[[#This Row],[Post Total]]),1,0)=2,IF(IF(Table4424666569[[#This Row],[Student Number]]=C17,1,0)+IF(Table4424666569[[#This Row],[Session]]=B17,1,0)+IF(Table4424666569[[#This Row],[Pre or Post]]="Post",1,0)+IF(D17="Pre",1,0)=4,Table4424666569[[#This Row],[Post Total]]-K17,""),"")</f>
        <v/>
      </c>
      <c r="P18" s="6" t="b">
        <f>ISNUMBER(Table4424666569[[#This Row],[Change]])</f>
        <v>0</v>
      </c>
      <c r="Q18" s="5" t="str">
        <f>IF(E17="Yes",Table4424666569[[#This Row],[Change]],"")</f>
        <v/>
      </c>
      <c r="R18" s="5" t="str">
        <f>IF(E17="No",Table4424666569[[#This Row],[Change]],"")</f>
        <v/>
      </c>
      <c r="S18" s="5" t="b">
        <f>ISNUMBER(Table4424666569[[#This Row],[If Pre3 Yes]])</f>
        <v>0</v>
      </c>
      <c r="T18" s="5" t="b">
        <f>ISNUMBER(Table4424666569[[#This Row],[If Pre3 No]])</f>
        <v>0</v>
      </c>
    </row>
    <row r="19" spans="1:20">
      <c r="A19" s="1" t="s">
        <v>12</v>
      </c>
      <c r="B19" s="2" t="s">
        <v>5</v>
      </c>
      <c r="C19" s="1">
        <v>18</v>
      </c>
      <c r="D19" s="2" t="s">
        <v>16</v>
      </c>
      <c r="E19" s="5" t="s">
        <v>171</v>
      </c>
      <c r="F19" s="1">
        <v>4</v>
      </c>
      <c r="G19" s="1">
        <v>3</v>
      </c>
      <c r="H19" s="2" t="s">
        <v>9</v>
      </c>
      <c r="I19" s="5" t="str">
        <f>IF(IF(Table4424666569[[#This Row],[Pre or Post]]="Pre",1,0)+IF(ISNUMBER(Table4424666569[[#This Row],[Response]])=TRUE,1,0)=2,1,"")</f>
        <v/>
      </c>
      <c r="J19" s="5">
        <f>IF(IF(Table4424666569[[#This Row],[Pre or Post]]="Post",1,0)+IF(ISNUMBER(Table4424666569[[#This Row],[Response]])=TRUE,1,0)=2,1,"")</f>
        <v>1</v>
      </c>
      <c r="K19" s="6" t="str">
        <f>IF(IF(Table4424666569[[#This Row],[Pre or Post]]="Pre",1,0)+IF(ISNUMBER(Table4424666569[[#This Row],[Response]])=TRUE,1,0)=2,Table4424666569[[#This Row],[Response]],"")</f>
        <v/>
      </c>
      <c r="L19" s="6">
        <f>IF(IF(Table4424666569[[#This Row],[Pre or Post]]="Post",1,0)+IF(ISNUMBER(Table4424666569[[#This Row],[Response]])=TRUE,1,0)=2,Table4424666569[[#This Row],[Response]],"")</f>
        <v>3</v>
      </c>
      <c r="M19" s="5" t="str">
        <f>IF(IF(ISNUMBER(K19),1,0)+IF(ISNUMBER(L20),1,0)=2,IF(IF(C20=C19,1,0)+IF(B20=B19,1,0)+IF(D20="Post",1,0)+IF(D19="Pre",1,0)=4,Table4424666569[[#This Row],[Pre Total]],""),"")</f>
        <v/>
      </c>
      <c r="N19" s="5" t="str">
        <f>IF(IF(ISNUMBER(K18),1,0)+IF(ISNUMBER(Table4424666569[[#This Row],[Post Total]]),1,0)=2,IF(IF(Table4424666569[[#This Row],[Student Number]]=C18,1,0)+IF(Table4424666569[[#This Row],[Session]]=B18,1,0)+IF(Table4424666569[[#This Row],[Pre or Post]]="Post",1,0)+IF(D18="Pre",1,0)=4,Table4424666569[[#This Row],[Post Total]],""),"")</f>
        <v/>
      </c>
      <c r="O19" s="5" t="str">
        <f>IF(IF(ISNUMBER(K18),1,0)+IF(ISNUMBER(Table4424666569[[#This Row],[Post Total]]),1,0)=2,IF(IF(Table4424666569[[#This Row],[Student Number]]=C18,1,0)+IF(Table4424666569[[#This Row],[Session]]=B18,1,0)+IF(Table4424666569[[#This Row],[Pre or Post]]="Post",1,0)+IF(D18="Pre",1,0)=4,Table4424666569[[#This Row],[Post Total]]-K18,""),"")</f>
        <v/>
      </c>
      <c r="P19" s="5" t="b">
        <f>ISNUMBER(Table4424666569[[#This Row],[Change]])</f>
        <v>0</v>
      </c>
      <c r="Q19" s="5" t="str">
        <f>IF(E18="Yes",Table4424666569[[#This Row],[Change]],"")</f>
        <v/>
      </c>
      <c r="R19" s="5" t="str">
        <f>IF(E18="No",Table4424666569[[#This Row],[Change]],"")</f>
        <v/>
      </c>
      <c r="S19" s="5" t="b">
        <f>ISNUMBER(Table4424666569[[#This Row],[If Pre3 Yes]])</f>
        <v>0</v>
      </c>
      <c r="T19" s="5" t="b">
        <f>ISNUMBER(Table4424666569[[#This Row],[If Pre3 No]])</f>
        <v>0</v>
      </c>
    </row>
    <row r="20" spans="1:20">
      <c r="A20" s="1" t="s">
        <v>12</v>
      </c>
      <c r="B20" s="2" t="s">
        <v>5</v>
      </c>
      <c r="C20" s="2">
        <v>19</v>
      </c>
      <c r="D20" s="2" t="s">
        <v>16</v>
      </c>
      <c r="E20" s="5" t="s">
        <v>171</v>
      </c>
      <c r="F20" s="1">
        <v>4</v>
      </c>
      <c r="G20" s="2">
        <v>3</v>
      </c>
      <c r="H20" s="2" t="s">
        <v>9</v>
      </c>
      <c r="I20" s="6" t="str">
        <f>IF(IF(Table4424666569[[#This Row],[Pre or Post]]="Pre",1,0)+IF(ISNUMBER(Table4424666569[[#This Row],[Response]])=TRUE,1,0)=2,1,"")</f>
        <v/>
      </c>
      <c r="J20" s="6">
        <f>IF(IF(Table4424666569[[#This Row],[Pre or Post]]="Post",1,0)+IF(ISNUMBER(Table4424666569[[#This Row],[Response]])=TRUE,1,0)=2,1,"")</f>
        <v>1</v>
      </c>
      <c r="K20" s="6" t="str">
        <f>IF(IF(Table4424666569[[#This Row],[Pre or Post]]="Pre",1,0)+IF(ISNUMBER(Table4424666569[[#This Row],[Response]])=TRUE,1,0)=2,Table4424666569[[#This Row],[Response]],"")</f>
        <v/>
      </c>
      <c r="L20" s="6">
        <f>IF(IF(Table4424666569[[#This Row],[Pre or Post]]="Post",1,0)+IF(ISNUMBER(Table4424666569[[#This Row],[Response]])=TRUE,1,0)=2,Table4424666569[[#This Row],[Response]],"")</f>
        <v>3</v>
      </c>
      <c r="M20" s="5" t="str">
        <f>IF(IF(ISNUMBER(K20),1,0)+IF(ISNUMBER(L21),1,0)=2,IF(IF(C21=C20,1,0)+IF(B21=B20,1,0)+IF(D21="Post",1,0)+IF(D20="Pre",1,0)=4,Table4424666569[[#This Row],[Pre Total]],""),"")</f>
        <v/>
      </c>
      <c r="N20" s="6" t="str">
        <f>IF(IF(ISNUMBER(K19),1,0)+IF(ISNUMBER(Table4424666569[[#This Row],[Post Total]]),1,0)=2,IF(IF(Table4424666569[[#This Row],[Student Number]]=C19,1,0)+IF(Table4424666569[[#This Row],[Session]]=B19,1,0)+IF(Table4424666569[[#This Row],[Pre or Post]]="Post",1,0)+IF(D19="Pre",1,0)=4,Table4424666569[[#This Row],[Post Total]],""),"")</f>
        <v/>
      </c>
      <c r="O20" s="6" t="str">
        <f>IF(IF(ISNUMBER(K19),1,0)+IF(ISNUMBER(Table4424666569[[#This Row],[Post Total]]),1,0)=2,IF(IF(Table4424666569[[#This Row],[Student Number]]=C19,1,0)+IF(Table4424666569[[#This Row],[Session]]=B19,1,0)+IF(Table4424666569[[#This Row],[Pre or Post]]="Post",1,0)+IF(D19="Pre",1,0)=4,Table4424666569[[#This Row],[Post Total]]-K19,""),"")</f>
        <v/>
      </c>
      <c r="P20" s="6" t="b">
        <f>ISNUMBER(Table4424666569[[#This Row],[Change]])</f>
        <v>0</v>
      </c>
      <c r="Q20" s="5" t="str">
        <f>IF(E19="Yes",Table4424666569[[#This Row],[Change]],"")</f>
        <v/>
      </c>
      <c r="R20" s="5" t="str">
        <f>IF(E19="No",Table4424666569[[#This Row],[Change]],"")</f>
        <v/>
      </c>
      <c r="S20" s="5" t="b">
        <f>ISNUMBER(Table4424666569[[#This Row],[If Pre3 Yes]])</f>
        <v>0</v>
      </c>
      <c r="T20" s="5" t="b">
        <f>ISNUMBER(Table4424666569[[#This Row],[If Pre3 No]])</f>
        <v>0</v>
      </c>
    </row>
    <row r="21" spans="1:20">
      <c r="A21" s="1" t="s">
        <v>12</v>
      </c>
      <c r="B21" s="2" t="s">
        <v>5</v>
      </c>
      <c r="C21" s="2">
        <v>20</v>
      </c>
      <c r="D21" s="2" t="s">
        <v>16</v>
      </c>
      <c r="E21" s="5" t="s">
        <v>171</v>
      </c>
      <c r="F21" s="1">
        <v>4</v>
      </c>
      <c r="G21" s="2">
        <v>2</v>
      </c>
      <c r="H21" s="2" t="s">
        <v>9</v>
      </c>
      <c r="I21" s="5" t="str">
        <f>IF(IF(Table4424666569[[#This Row],[Pre or Post]]="Pre",1,0)+IF(ISNUMBER(Table4424666569[[#This Row],[Response]])=TRUE,1,0)=2,1,"")</f>
        <v/>
      </c>
      <c r="J21" s="5">
        <f>IF(IF(Table4424666569[[#This Row],[Pre or Post]]="Post",1,0)+IF(ISNUMBER(Table4424666569[[#This Row],[Response]])=TRUE,1,0)=2,1,"")</f>
        <v>1</v>
      </c>
      <c r="K21" s="6" t="str">
        <f>IF(IF(Table4424666569[[#This Row],[Pre or Post]]="Pre",1,0)+IF(ISNUMBER(Table4424666569[[#This Row],[Response]])=TRUE,1,0)=2,Table4424666569[[#This Row],[Response]],"")</f>
        <v/>
      </c>
      <c r="L21" s="6">
        <f>IF(IF(Table4424666569[[#This Row],[Pre or Post]]="Post",1,0)+IF(ISNUMBER(Table4424666569[[#This Row],[Response]])=TRUE,1,0)=2,Table4424666569[[#This Row],[Response]],"")</f>
        <v>2</v>
      </c>
      <c r="M21" s="5" t="str">
        <f>IF(IF(ISNUMBER(K21),1,0)+IF(ISNUMBER(L22),1,0)=2,IF(IF(C22=C21,1,0)+IF(B22=B21,1,0)+IF(D22="Post",1,0)+IF(D21="Pre",1,0)=4,Table4424666569[[#This Row],[Pre Total]],""),"")</f>
        <v/>
      </c>
      <c r="N21" s="5" t="str">
        <f>IF(IF(ISNUMBER(K20),1,0)+IF(ISNUMBER(Table4424666569[[#This Row],[Post Total]]),1,0)=2,IF(IF(Table4424666569[[#This Row],[Student Number]]=C20,1,0)+IF(Table4424666569[[#This Row],[Session]]=B20,1,0)+IF(Table4424666569[[#This Row],[Pre or Post]]="Post",1,0)+IF(D20="Pre",1,0)=4,Table4424666569[[#This Row],[Post Total]],""),"")</f>
        <v/>
      </c>
      <c r="O21" s="5" t="str">
        <f>IF(IF(ISNUMBER(K20),1,0)+IF(ISNUMBER(Table4424666569[[#This Row],[Post Total]]),1,0)=2,IF(IF(Table4424666569[[#This Row],[Student Number]]=C20,1,0)+IF(Table4424666569[[#This Row],[Session]]=B20,1,0)+IF(Table4424666569[[#This Row],[Pre or Post]]="Post",1,0)+IF(D20="Pre",1,0)=4,Table4424666569[[#This Row],[Post Total]]-K20,""),"")</f>
        <v/>
      </c>
      <c r="P21" s="5" t="b">
        <f>ISNUMBER(Table4424666569[[#This Row],[Change]])</f>
        <v>0</v>
      </c>
      <c r="Q21" s="5" t="str">
        <f>IF(E20="Yes",Table4424666569[[#This Row],[Change]],"")</f>
        <v/>
      </c>
      <c r="R21" s="5" t="str">
        <f>IF(E20="No",Table4424666569[[#This Row],[Change]],"")</f>
        <v/>
      </c>
      <c r="S21" s="5" t="b">
        <f>ISNUMBER(Table4424666569[[#This Row],[If Pre3 Yes]])</f>
        <v>0</v>
      </c>
      <c r="T21" s="5" t="b">
        <f>ISNUMBER(Table4424666569[[#This Row],[If Pre3 No]])</f>
        <v>0</v>
      </c>
    </row>
    <row r="22" spans="1:20">
      <c r="A22" s="1" t="s">
        <v>12</v>
      </c>
      <c r="B22" s="2" t="s">
        <v>5</v>
      </c>
      <c r="C22" s="2">
        <v>21</v>
      </c>
      <c r="D22" s="2" t="s">
        <v>16</v>
      </c>
      <c r="E22" s="5" t="s">
        <v>171</v>
      </c>
      <c r="F22" s="1">
        <v>4</v>
      </c>
      <c r="G22" s="2">
        <v>1</v>
      </c>
      <c r="H22" s="2" t="s">
        <v>9</v>
      </c>
      <c r="I22" s="6" t="str">
        <f>IF(IF(Table4424666569[[#This Row],[Pre or Post]]="Pre",1,0)+IF(ISNUMBER(Table4424666569[[#This Row],[Response]])=TRUE,1,0)=2,1,"")</f>
        <v/>
      </c>
      <c r="J22" s="6">
        <f>IF(IF(Table4424666569[[#This Row],[Pre or Post]]="Post",1,0)+IF(ISNUMBER(Table4424666569[[#This Row],[Response]])=TRUE,1,0)=2,1,"")</f>
        <v>1</v>
      </c>
      <c r="K22" s="6" t="str">
        <f>IF(IF(Table4424666569[[#This Row],[Pre or Post]]="Pre",1,0)+IF(ISNUMBER(Table4424666569[[#This Row],[Response]])=TRUE,1,0)=2,Table4424666569[[#This Row],[Response]],"")</f>
        <v/>
      </c>
      <c r="L22" s="6">
        <f>IF(IF(Table4424666569[[#This Row],[Pre or Post]]="Post",1,0)+IF(ISNUMBER(Table4424666569[[#This Row],[Response]])=TRUE,1,0)=2,Table4424666569[[#This Row],[Response]],"")</f>
        <v>1</v>
      </c>
      <c r="M22" s="5" t="str">
        <f>IF(IF(ISNUMBER(K22),1,0)+IF(ISNUMBER(L23),1,0)=2,IF(IF(C23=C22,1,0)+IF(B23=B22,1,0)+IF(D23="Post",1,0)+IF(D22="Pre",1,0)=4,Table4424666569[[#This Row],[Pre Total]],""),"")</f>
        <v/>
      </c>
      <c r="N22" s="6" t="str">
        <f>IF(IF(ISNUMBER(K21),1,0)+IF(ISNUMBER(Table4424666569[[#This Row],[Post Total]]),1,0)=2,IF(IF(Table4424666569[[#This Row],[Student Number]]=C21,1,0)+IF(Table4424666569[[#This Row],[Session]]=B21,1,0)+IF(Table4424666569[[#This Row],[Pre or Post]]="Post",1,0)+IF(D21="Pre",1,0)=4,Table4424666569[[#This Row],[Post Total]],""),"")</f>
        <v/>
      </c>
      <c r="O22" s="6" t="str">
        <f>IF(IF(ISNUMBER(K21),1,0)+IF(ISNUMBER(Table4424666569[[#This Row],[Post Total]]),1,0)=2,IF(IF(Table4424666569[[#This Row],[Student Number]]=C21,1,0)+IF(Table4424666569[[#This Row],[Session]]=B21,1,0)+IF(Table4424666569[[#This Row],[Pre or Post]]="Post",1,0)+IF(D21="Pre",1,0)=4,Table4424666569[[#This Row],[Post Total]]-K21,""),"")</f>
        <v/>
      </c>
      <c r="P22" s="6" t="b">
        <f>ISNUMBER(Table4424666569[[#This Row],[Change]])</f>
        <v>0</v>
      </c>
      <c r="Q22" s="5" t="str">
        <f>IF(E21="Yes",Table4424666569[[#This Row],[Change]],"")</f>
        <v/>
      </c>
      <c r="R22" s="5" t="str">
        <f>IF(E21="No",Table4424666569[[#This Row],[Change]],"")</f>
        <v/>
      </c>
      <c r="S22" s="5" t="b">
        <f>ISNUMBER(Table4424666569[[#This Row],[If Pre3 Yes]])</f>
        <v>0</v>
      </c>
      <c r="T22" s="5" t="b">
        <f>ISNUMBER(Table4424666569[[#This Row],[If Pre3 No]])</f>
        <v>0</v>
      </c>
    </row>
    <row r="23" spans="1:20">
      <c r="A23" s="1" t="s">
        <v>12</v>
      </c>
      <c r="B23" s="2" t="s">
        <v>5</v>
      </c>
      <c r="C23" s="2">
        <v>22</v>
      </c>
      <c r="D23" s="2" t="s">
        <v>16</v>
      </c>
      <c r="E23" s="5" t="s">
        <v>171</v>
      </c>
      <c r="F23" s="1">
        <v>4</v>
      </c>
      <c r="G23" s="2">
        <v>1</v>
      </c>
      <c r="H23" s="2" t="s">
        <v>9</v>
      </c>
      <c r="I23" s="5" t="str">
        <f>IF(IF(Table4424666569[[#This Row],[Pre or Post]]="Pre",1,0)+IF(ISNUMBER(Table4424666569[[#This Row],[Response]])=TRUE,1,0)=2,1,"")</f>
        <v/>
      </c>
      <c r="J23" s="5">
        <f>IF(IF(Table4424666569[[#This Row],[Pre or Post]]="Post",1,0)+IF(ISNUMBER(Table4424666569[[#This Row],[Response]])=TRUE,1,0)=2,1,"")</f>
        <v>1</v>
      </c>
      <c r="K23" s="6" t="str">
        <f>IF(IF(Table4424666569[[#This Row],[Pre or Post]]="Pre",1,0)+IF(ISNUMBER(Table4424666569[[#This Row],[Response]])=TRUE,1,0)=2,Table4424666569[[#This Row],[Response]],"")</f>
        <v/>
      </c>
      <c r="L23" s="6">
        <f>IF(IF(Table4424666569[[#This Row],[Pre or Post]]="Post",1,0)+IF(ISNUMBER(Table4424666569[[#This Row],[Response]])=TRUE,1,0)=2,Table4424666569[[#This Row],[Response]],"")</f>
        <v>1</v>
      </c>
      <c r="M23" s="5" t="str">
        <f>IF(IF(ISNUMBER(K23),1,0)+IF(ISNUMBER(L24),1,0)=2,IF(IF(C24=C23,1,0)+IF(B24=B23,1,0)+IF(D24="Post",1,0)+IF(D23="Pre",1,0)=4,Table4424666569[[#This Row],[Pre Total]],""),"")</f>
        <v/>
      </c>
      <c r="N23" s="5" t="str">
        <f>IF(IF(ISNUMBER(K22),1,0)+IF(ISNUMBER(Table4424666569[[#This Row],[Post Total]]),1,0)=2,IF(IF(Table4424666569[[#This Row],[Student Number]]=C22,1,0)+IF(Table4424666569[[#This Row],[Session]]=B22,1,0)+IF(Table4424666569[[#This Row],[Pre or Post]]="Post",1,0)+IF(D22="Pre",1,0)=4,Table4424666569[[#This Row],[Post Total]],""),"")</f>
        <v/>
      </c>
      <c r="O23" s="5" t="str">
        <f>IF(IF(ISNUMBER(K22),1,0)+IF(ISNUMBER(Table4424666569[[#This Row],[Post Total]]),1,0)=2,IF(IF(Table4424666569[[#This Row],[Student Number]]=C22,1,0)+IF(Table4424666569[[#This Row],[Session]]=B22,1,0)+IF(Table4424666569[[#This Row],[Pre or Post]]="Post",1,0)+IF(D22="Pre",1,0)=4,Table4424666569[[#This Row],[Post Total]]-K22,""),"")</f>
        <v/>
      </c>
      <c r="P23" s="5" t="b">
        <f>ISNUMBER(Table4424666569[[#This Row],[Change]])</f>
        <v>0</v>
      </c>
      <c r="Q23" s="5" t="str">
        <f>IF(E22="Yes",Table4424666569[[#This Row],[Change]],"")</f>
        <v/>
      </c>
      <c r="R23" s="5" t="str">
        <f>IF(E22="No",Table4424666569[[#This Row],[Change]],"")</f>
        <v/>
      </c>
      <c r="S23" s="5" t="b">
        <f>ISNUMBER(Table4424666569[[#This Row],[If Pre3 Yes]])</f>
        <v>0</v>
      </c>
      <c r="T23" s="5" t="b">
        <f>ISNUMBER(Table4424666569[[#This Row],[If Pre3 No]])</f>
        <v>0</v>
      </c>
    </row>
    <row r="24" spans="1:20">
      <c r="A24" s="1" t="s">
        <v>12</v>
      </c>
      <c r="B24" s="2" t="s">
        <v>5</v>
      </c>
      <c r="C24" s="2">
        <v>23</v>
      </c>
      <c r="D24" s="2" t="s">
        <v>16</v>
      </c>
      <c r="E24" s="5" t="s">
        <v>171</v>
      </c>
      <c r="F24" s="1">
        <v>4</v>
      </c>
      <c r="G24" s="2">
        <v>1</v>
      </c>
      <c r="H24" s="2" t="s">
        <v>9</v>
      </c>
      <c r="I24" s="6" t="str">
        <f>IF(IF(Table4424666569[[#This Row],[Pre or Post]]="Pre",1,0)+IF(ISNUMBER(Table4424666569[[#This Row],[Response]])=TRUE,1,0)=2,1,"")</f>
        <v/>
      </c>
      <c r="J24" s="6">
        <f>IF(IF(Table4424666569[[#This Row],[Pre or Post]]="Post",1,0)+IF(ISNUMBER(Table4424666569[[#This Row],[Response]])=TRUE,1,0)=2,1,"")</f>
        <v>1</v>
      </c>
      <c r="K24" s="6" t="str">
        <f>IF(IF(Table4424666569[[#This Row],[Pre or Post]]="Pre",1,0)+IF(ISNUMBER(Table4424666569[[#This Row],[Response]])=TRUE,1,0)=2,Table4424666569[[#This Row],[Response]],"")</f>
        <v/>
      </c>
      <c r="L24" s="6">
        <f>IF(IF(Table4424666569[[#This Row],[Pre or Post]]="Post",1,0)+IF(ISNUMBER(Table4424666569[[#This Row],[Response]])=TRUE,1,0)=2,Table4424666569[[#This Row],[Response]],"")</f>
        <v>1</v>
      </c>
      <c r="M24" s="5" t="str">
        <f>IF(IF(ISNUMBER(K24),1,0)+IF(ISNUMBER(L25),1,0)=2,IF(IF(C25=C24,1,0)+IF(B25=B24,1,0)+IF(D25="Post",1,0)+IF(D24="Pre",1,0)=4,Table4424666569[[#This Row],[Pre Total]],""),"")</f>
        <v/>
      </c>
      <c r="N24" s="6" t="str">
        <f>IF(IF(ISNUMBER(K23),1,0)+IF(ISNUMBER(Table4424666569[[#This Row],[Post Total]]),1,0)=2,IF(IF(Table4424666569[[#This Row],[Student Number]]=C23,1,0)+IF(Table4424666569[[#This Row],[Session]]=B23,1,0)+IF(Table4424666569[[#This Row],[Pre or Post]]="Post",1,0)+IF(D23="Pre",1,0)=4,Table4424666569[[#This Row],[Post Total]],""),"")</f>
        <v/>
      </c>
      <c r="O24" s="6" t="str">
        <f>IF(IF(ISNUMBER(K23),1,0)+IF(ISNUMBER(Table4424666569[[#This Row],[Post Total]]),1,0)=2,IF(IF(Table4424666569[[#This Row],[Student Number]]=C23,1,0)+IF(Table4424666569[[#This Row],[Session]]=B23,1,0)+IF(Table4424666569[[#This Row],[Pre or Post]]="Post",1,0)+IF(D23="Pre",1,0)=4,Table4424666569[[#This Row],[Post Total]]-K23,""),"")</f>
        <v/>
      </c>
      <c r="P24" s="6" t="b">
        <f>ISNUMBER(Table4424666569[[#This Row],[Change]])</f>
        <v>0</v>
      </c>
      <c r="Q24" s="5" t="str">
        <f>IF(E23="Yes",Table4424666569[[#This Row],[Change]],"")</f>
        <v/>
      </c>
      <c r="R24" s="5" t="str">
        <f>IF(E23="No",Table4424666569[[#This Row],[Change]],"")</f>
        <v/>
      </c>
      <c r="S24" s="5" t="b">
        <f>ISNUMBER(Table4424666569[[#This Row],[If Pre3 Yes]])</f>
        <v>0</v>
      </c>
      <c r="T24" s="5" t="b">
        <f>ISNUMBER(Table4424666569[[#This Row],[If Pre3 No]])</f>
        <v>0</v>
      </c>
    </row>
    <row r="25" spans="1:20">
      <c r="A25" s="1" t="s">
        <v>12</v>
      </c>
      <c r="B25" s="2" t="s">
        <v>5</v>
      </c>
      <c r="C25" s="2">
        <v>24</v>
      </c>
      <c r="D25" s="2" t="s">
        <v>16</v>
      </c>
      <c r="E25" s="5" t="s">
        <v>171</v>
      </c>
      <c r="F25" s="1">
        <v>4</v>
      </c>
      <c r="G25" s="2">
        <v>3</v>
      </c>
      <c r="H25" s="2" t="s">
        <v>9</v>
      </c>
      <c r="I25" s="5" t="str">
        <f>IF(IF(Table4424666569[[#This Row],[Pre or Post]]="Pre",1,0)+IF(ISNUMBER(Table4424666569[[#This Row],[Response]])=TRUE,1,0)=2,1,"")</f>
        <v/>
      </c>
      <c r="J25" s="5">
        <f>IF(IF(Table4424666569[[#This Row],[Pre or Post]]="Post",1,0)+IF(ISNUMBER(Table4424666569[[#This Row],[Response]])=TRUE,1,0)=2,1,"")</f>
        <v>1</v>
      </c>
      <c r="K25" s="6" t="str">
        <f>IF(IF(Table4424666569[[#This Row],[Pre or Post]]="Pre",1,0)+IF(ISNUMBER(Table4424666569[[#This Row],[Response]])=TRUE,1,0)=2,Table4424666569[[#This Row],[Response]],"")</f>
        <v/>
      </c>
      <c r="L25" s="6">
        <f>IF(IF(Table4424666569[[#This Row],[Pre or Post]]="Post",1,0)+IF(ISNUMBER(Table4424666569[[#This Row],[Response]])=TRUE,1,0)=2,Table4424666569[[#This Row],[Response]],"")</f>
        <v>3</v>
      </c>
      <c r="M25" s="5" t="str">
        <f>IF(IF(ISNUMBER(K25),1,0)+IF(ISNUMBER(L26),1,0)=2,IF(IF(C26=C25,1,0)+IF(B26=B25,1,0)+IF(D26="Post",1,0)+IF(D25="Pre",1,0)=4,Table4424666569[[#This Row],[Pre Total]],""),"")</f>
        <v/>
      </c>
      <c r="N25" s="5" t="str">
        <f>IF(IF(ISNUMBER(K24),1,0)+IF(ISNUMBER(Table4424666569[[#This Row],[Post Total]]),1,0)=2,IF(IF(Table4424666569[[#This Row],[Student Number]]=C24,1,0)+IF(Table4424666569[[#This Row],[Session]]=B24,1,0)+IF(Table4424666569[[#This Row],[Pre or Post]]="Post",1,0)+IF(D24="Pre",1,0)=4,Table4424666569[[#This Row],[Post Total]],""),"")</f>
        <v/>
      </c>
      <c r="O25" s="5" t="str">
        <f>IF(IF(ISNUMBER(K24),1,0)+IF(ISNUMBER(Table4424666569[[#This Row],[Post Total]]),1,0)=2,IF(IF(Table4424666569[[#This Row],[Student Number]]=C24,1,0)+IF(Table4424666569[[#This Row],[Session]]=B24,1,0)+IF(Table4424666569[[#This Row],[Pre or Post]]="Post",1,0)+IF(D24="Pre",1,0)=4,Table4424666569[[#This Row],[Post Total]]-K24,""),"")</f>
        <v/>
      </c>
      <c r="P25" s="5" t="b">
        <f>ISNUMBER(Table4424666569[[#This Row],[Change]])</f>
        <v>0</v>
      </c>
      <c r="Q25" s="5" t="str">
        <f>IF(E24="Yes",Table4424666569[[#This Row],[Change]],"")</f>
        <v/>
      </c>
      <c r="R25" s="5" t="str">
        <f>IF(E24="No",Table4424666569[[#This Row],[Change]],"")</f>
        <v/>
      </c>
      <c r="S25" s="5" t="b">
        <f>ISNUMBER(Table4424666569[[#This Row],[If Pre3 Yes]])</f>
        <v>0</v>
      </c>
      <c r="T25" s="5" t="b">
        <f>ISNUMBER(Table4424666569[[#This Row],[If Pre3 No]])</f>
        <v>0</v>
      </c>
    </row>
    <row r="26" spans="1:20">
      <c r="A26" s="1" t="s">
        <v>12</v>
      </c>
      <c r="B26" s="2" t="s">
        <v>21</v>
      </c>
      <c r="C26" s="1">
        <v>1</v>
      </c>
      <c r="D26" s="2" t="s">
        <v>6</v>
      </c>
      <c r="E26" s="5" t="s">
        <v>8</v>
      </c>
      <c r="F26" s="1">
        <v>11</v>
      </c>
      <c r="G26" s="1">
        <v>4</v>
      </c>
      <c r="H26" s="2" t="s">
        <v>8</v>
      </c>
      <c r="I26" s="5">
        <f>IF(IF(Table4424666569[[#This Row],[Pre or Post]]="Pre",1,0)+IF(ISNUMBER(Table4424666569[[#This Row],[Response]])=TRUE,1,0)=2,1,"")</f>
        <v>1</v>
      </c>
      <c r="J26" s="5" t="str">
        <f>IF(IF(Table4424666569[[#This Row],[Pre or Post]]="Post",1,0)+IF(ISNUMBER(Table4424666569[[#This Row],[Response]])=TRUE,1,0)=2,1,"")</f>
        <v/>
      </c>
      <c r="K26" s="6">
        <f>IF(IF(Table4424666569[[#This Row],[Pre or Post]]="Pre",1,0)+IF(ISNUMBER(Table4424666569[[#This Row],[Response]])=TRUE,1,0)=2,Table4424666569[[#This Row],[Response]],"")</f>
        <v>4</v>
      </c>
      <c r="L26" s="6" t="str">
        <f>IF(IF(Table4424666569[[#This Row],[Pre or Post]]="Post",1,0)+IF(ISNUMBER(Table4424666569[[#This Row],[Response]])=TRUE,1,0)=2,Table4424666569[[#This Row],[Response]],"")</f>
        <v/>
      </c>
      <c r="M26" s="5">
        <f>IF(IF(ISNUMBER(K26),1,0)+IF(ISNUMBER(L27),1,0)=2,IF(IF(C27=C26,1,0)+IF(B27=B26,1,0)+IF(D27="Post",1,0)+IF(D26="Pre",1,0)=4,Table4424666569[[#This Row],[Pre Total]],""),"")</f>
        <v>4</v>
      </c>
      <c r="N26" s="5" t="str">
        <f>IF(IF(ISNUMBER(K25),1,0)+IF(ISNUMBER(Table4424666569[[#This Row],[Post Total]]),1,0)=2,IF(IF(Table4424666569[[#This Row],[Student Number]]=C25,1,0)+IF(Table4424666569[[#This Row],[Session]]=B25,1,0)+IF(Table4424666569[[#This Row],[Pre or Post]]="Post",1,0)+IF(D25="Pre",1,0)=4,Table4424666569[[#This Row],[Post Total]],""),"")</f>
        <v/>
      </c>
      <c r="O26" s="5" t="str">
        <f>IF(IF(ISNUMBER(K25),1,0)+IF(ISNUMBER(Table4424666569[[#This Row],[Post Total]]),1,0)=2,IF(IF(Table4424666569[[#This Row],[Student Number]]=C25,1,0)+IF(Table4424666569[[#This Row],[Session]]=B25,1,0)+IF(Table4424666569[[#This Row],[Pre or Post]]="Post",1,0)+IF(D25="Pre",1,0)=4,Table4424666569[[#This Row],[Post Total]]-K25,""),"")</f>
        <v/>
      </c>
      <c r="P26" s="5" t="b">
        <f>ISNUMBER(Table4424666569[[#This Row],[Change]])</f>
        <v>0</v>
      </c>
      <c r="Q26" s="5" t="str">
        <f>IF(E25="Yes",Table4424666569[[#This Row],[Change]],"")</f>
        <v/>
      </c>
      <c r="R26" s="5" t="str">
        <f>IF(E25="No",Table4424666569[[#This Row],[Change]],"")</f>
        <v/>
      </c>
      <c r="S26" s="5" t="b">
        <f>ISNUMBER(Table4424666569[[#This Row],[If Pre3 Yes]])</f>
        <v>0</v>
      </c>
      <c r="T26" s="5" t="b">
        <f>ISNUMBER(Table4424666569[[#This Row],[If Pre3 No]])</f>
        <v>0</v>
      </c>
    </row>
    <row r="27" spans="1:20">
      <c r="A27" s="1" t="s">
        <v>12</v>
      </c>
      <c r="B27" s="2" t="s">
        <v>21</v>
      </c>
      <c r="C27" s="1">
        <v>1</v>
      </c>
      <c r="D27" s="2" t="s">
        <v>16</v>
      </c>
      <c r="E27" s="5" t="s">
        <v>171</v>
      </c>
      <c r="F27" s="1">
        <v>4</v>
      </c>
      <c r="G27" s="1">
        <v>2</v>
      </c>
      <c r="H27" s="2" t="s">
        <v>8</v>
      </c>
      <c r="I27" s="5" t="str">
        <f>IF(IF(Table4424666569[[#This Row],[Pre or Post]]="Pre",1,0)+IF(ISNUMBER(Table4424666569[[#This Row],[Response]])=TRUE,1,0)=2,1,"")</f>
        <v/>
      </c>
      <c r="J27" s="5">
        <f>IF(IF(Table4424666569[[#This Row],[Pre or Post]]="Post",1,0)+IF(ISNUMBER(Table4424666569[[#This Row],[Response]])=TRUE,1,0)=2,1,"")</f>
        <v>1</v>
      </c>
      <c r="K27" s="6" t="str">
        <f>IF(IF(Table4424666569[[#This Row],[Pre or Post]]="Pre",1,0)+IF(ISNUMBER(Table4424666569[[#This Row],[Response]])=TRUE,1,0)=2,Table4424666569[[#This Row],[Response]],"")</f>
        <v/>
      </c>
      <c r="L27" s="6">
        <f>IF(IF(Table4424666569[[#This Row],[Pre or Post]]="Post",1,0)+IF(ISNUMBER(Table4424666569[[#This Row],[Response]])=TRUE,1,0)=2,Table4424666569[[#This Row],[Response]],"")</f>
        <v>2</v>
      </c>
      <c r="M27" s="5" t="str">
        <f>IF(IF(ISNUMBER(K27),1,0)+IF(ISNUMBER(L28),1,0)=2,IF(IF(C28=C27,1,0)+IF(B28=B27,1,0)+IF(D28="Post",1,0)+IF(D27="Pre",1,0)=4,Table4424666569[[#This Row],[Pre Total]],""),"")</f>
        <v/>
      </c>
      <c r="N27" s="5">
        <f>IF(IF(ISNUMBER(K26),1,0)+IF(ISNUMBER(Table4424666569[[#This Row],[Post Total]]),1,0)=2,IF(IF(Table4424666569[[#This Row],[Student Number]]=C26,1,0)+IF(Table4424666569[[#This Row],[Session]]=B26,1,0)+IF(Table4424666569[[#This Row],[Pre or Post]]="Post",1,0)+IF(D26="Pre",1,0)=4,Table4424666569[[#This Row],[Post Total]],""),"")</f>
        <v>2</v>
      </c>
      <c r="O27" s="5">
        <f>IF(IF(ISNUMBER(K26),1,0)+IF(ISNUMBER(Table4424666569[[#This Row],[Post Total]]),1,0)=2,IF(IF(Table4424666569[[#This Row],[Student Number]]=C26,1,0)+IF(Table4424666569[[#This Row],[Session]]=B26,1,0)+IF(Table4424666569[[#This Row],[Pre or Post]]="Post",1,0)+IF(D26="Pre",1,0)=4,Table4424666569[[#This Row],[Post Total]]-K26,""),"")</f>
        <v>-2</v>
      </c>
      <c r="P27" s="5" t="b">
        <f>ISNUMBER(Table4424666569[[#This Row],[Change]])</f>
        <v>1</v>
      </c>
      <c r="Q27" s="5">
        <f>IF(E26="Yes",Table4424666569[[#This Row],[Change]],"")</f>
        <v>-2</v>
      </c>
      <c r="R27" s="5" t="str">
        <f>IF(E26="No",Table4424666569[[#This Row],[Change]],"")</f>
        <v/>
      </c>
      <c r="S27" s="5" t="b">
        <f>ISNUMBER(Table4424666569[[#This Row],[If Pre3 Yes]])</f>
        <v>1</v>
      </c>
      <c r="T27" s="5" t="b">
        <f>ISNUMBER(Table4424666569[[#This Row],[If Pre3 No]])</f>
        <v>0</v>
      </c>
    </row>
    <row r="28" spans="1:20">
      <c r="A28" s="1" t="s">
        <v>12</v>
      </c>
      <c r="B28" s="2" t="s">
        <v>21</v>
      </c>
      <c r="C28" s="1">
        <v>2</v>
      </c>
      <c r="D28" s="2" t="s">
        <v>6</v>
      </c>
      <c r="E28" s="5" t="s">
        <v>8</v>
      </c>
      <c r="F28" s="1">
        <v>11</v>
      </c>
      <c r="G28" s="1">
        <v>4</v>
      </c>
      <c r="H28" s="2" t="s">
        <v>8</v>
      </c>
      <c r="I28" s="5">
        <f>IF(IF(Table4424666569[[#This Row],[Pre or Post]]="Pre",1,0)+IF(ISNUMBER(Table4424666569[[#This Row],[Response]])=TRUE,1,0)=2,1,"")</f>
        <v>1</v>
      </c>
      <c r="J28" s="5" t="str">
        <f>IF(IF(Table4424666569[[#This Row],[Pre or Post]]="Post",1,0)+IF(ISNUMBER(Table4424666569[[#This Row],[Response]])=TRUE,1,0)=2,1,"")</f>
        <v/>
      </c>
      <c r="K28" s="6">
        <f>IF(IF(Table4424666569[[#This Row],[Pre or Post]]="Pre",1,0)+IF(ISNUMBER(Table4424666569[[#This Row],[Response]])=TRUE,1,0)=2,Table4424666569[[#This Row],[Response]],"")</f>
        <v>4</v>
      </c>
      <c r="L28" s="6" t="str">
        <f>IF(IF(Table4424666569[[#This Row],[Pre or Post]]="Post",1,0)+IF(ISNUMBER(Table4424666569[[#This Row],[Response]])=TRUE,1,0)=2,Table4424666569[[#This Row],[Response]],"")</f>
        <v/>
      </c>
      <c r="M28" s="5">
        <f>IF(IF(ISNUMBER(K28),1,0)+IF(ISNUMBER(L29),1,0)=2,IF(IF(C29=C28,1,0)+IF(B29=B28,1,0)+IF(D29="Post",1,0)+IF(D28="Pre",1,0)=4,Table4424666569[[#This Row],[Pre Total]],""),"")</f>
        <v>4</v>
      </c>
      <c r="N28" s="5" t="str">
        <f>IF(IF(ISNUMBER(K27),1,0)+IF(ISNUMBER(Table4424666569[[#This Row],[Post Total]]),1,0)=2,IF(IF(Table4424666569[[#This Row],[Student Number]]=C27,1,0)+IF(Table4424666569[[#This Row],[Session]]=B27,1,0)+IF(Table4424666569[[#This Row],[Pre or Post]]="Post",1,0)+IF(D27="Pre",1,0)=4,Table4424666569[[#This Row],[Post Total]],""),"")</f>
        <v/>
      </c>
      <c r="O28" s="5" t="str">
        <f>IF(IF(ISNUMBER(K27),1,0)+IF(ISNUMBER(Table4424666569[[#This Row],[Post Total]]),1,0)=2,IF(IF(Table4424666569[[#This Row],[Student Number]]=C27,1,0)+IF(Table4424666569[[#This Row],[Session]]=B27,1,0)+IF(Table4424666569[[#This Row],[Pre or Post]]="Post",1,0)+IF(D27="Pre",1,0)=4,Table4424666569[[#This Row],[Post Total]]-K27,""),"")</f>
        <v/>
      </c>
      <c r="P28" s="5" t="b">
        <f>ISNUMBER(Table4424666569[[#This Row],[Change]])</f>
        <v>0</v>
      </c>
      <c r="Q28" s="5" t="str">
        <f>IF(E27="Yes",Table4424666569[[#This Row],[Change]],"")</f>
        <v/>
      </c>
      <c r="R28" s="5" t="str">
        <f>IF(E27="No",Table4424666569[[#This Row],[Change]],"")</f>
        <v/>
      </c>
      <c r="S28" s="5" t="b">
        <f>ISNUMBER(Table4424666569[[#This Row],[If Pre3 Yes]])</f>
        <v>0</v>
      </c>
      <c r="T28" s="5" t="b">
        <f>ISNUMBER(Table4424666569[[#This Row],[If Pre3 No]])</f>
        <v>0</v>
      </c>
    </row>
    <row r="29" spans="1:20">
      <c r="A29" s="1" t="s">
        <v>12</v>
      </c>
      <c r="B29" s="2" t="s">
        <v>21</v>
      </c>
      <c r="C29" s="1">
        <v>2</v>
      </c>
      <c r="D29" s="2" t="s">
        <v>16</v>
      </c>
      <c r="E29" s="5" t="s">
        <v>171</v>
      </c>
      <c r="F29" s="1">
        <v>4</v>
      </c>
      <c r="G29" s="1">
        <v>3</v>
      </c>
      <c r="H29" s="2" t="s">
        <v>8</v>
      </c>
      <c r="I29" s="5" t="str">
        <f>IF(IF(Table4424666569[[#This Row],[Pre or Post]]="Pre",1,0)+IF(ISNUMBER(Table4424666569[[#This Row],[Response]])=TRUE,1,0)=2,1,"")</f>
        <v/>
      </c>
      <c r="J29" s="5">
        <f>IF(IF(Table4424666569[[#This Row],[Pre or Post]]="Post",1,0)+IF(ISNUMBER(Table4424666569[[#This Row],[Response]])=TRUE,1,0)=2,1,"")</f>
        <v>1</v>
      </c>
      <c r="K29" s="6" t="str">
        <f>IF(IF(Table4424666569[[#This Row],[Pre or Post]]="Pre",1,0)+IF(ISNUMBER(Table4424666569[[#This Row],[Response]])=TRUE,1,0)=2,Table4424666569[[#This Row],[Response]],"")</f>
        <v/>
      </c>
      <c r="L29" s="6">
        <f>IF(IF(Table4424666569[[#This Row],[Pre or Post]]="Post",1,0)+IF(ISNUMBER(Table4424666569[[#This Row],[Response]])=TRUE,1,0)=2,Table4424666569[[#This Row],[Response]],"")</f>
        <v>3</v>
      </c>
      <c r="M29" s="5" t="str">
        <f>IF(IF(ISNUMBER(K29),1,0)+IF(ISNUMBER(L30),1,0)=2,IF(IF(C30=C29,1,0)+IF(B30=B29,1,0)+IF(D30="Post",1,0)+IF(D29="Pre",1,0)=4,Table4424666569[[#This Row],[Pre Total]],""),"")</f>
        <v/>
      </c>
      <c r="N29" s="5">
        <f>IF(IF(ISNUMBER(K28),1,0)+IF(ISNUMBER(Table4424666569[[#This Row],[Post Total]]),1,0)=2,IF(IF(Table4424666569[[#This Row],[Student Number]]=C28,1,0)+IF(Table4424666569[[#This Row],[Session]]=B28,1,0)+IF(Table4424666569[[#This Row],[Pre or Post]]="Post",1,0)+IF(D28="Pre",1,0)=4,Table4424666569[[#This Row],[Post Total]],""),"")</f>
        <v>3</v>
      </c>
      <c r="O29" s="5">
        <f>IF(IF(ISNUMBER(K28),1,0)+IF(ISNUMBER(Table4424666569[[#This Row],[Post Total]]),1,0)=2,IF(IF(Table4424666569[[#This Row],[Student Number]]=C28,1,0)+IF(Table4424666569[[#This Row],[Session]]=B28,1,0)+IF(Table4424666569[[#This Row],[Pre or Post]]="Post",1,0)+IF(D28="Pre",1,0)=4,Table4424666569[[#This Row],[Post Total]]-K28,""),"")</f>
        <v>-1</v>
      </c>
      <c r="P29" s="5" t="b">
        <f>ISNUMBER(Table4424666569[[#This Row],[Change]])</f>
        <v>1</v>
      </c>
      <c r="Q29" s="5">
        <f>IF(E28="Yes",Table4424666569[[#This Row],[Change]],"")</f>
        <v>-1</v>
      </c>
      <c r="R29" s="5" t="str">
        <f>IF(E28="No",Table4424666569[[#This Row],[Change]],"")</f>
        <v/>
      </c>
      <c r="S29" s="5" t="b">
        <f>ISNUMBER(Table4424666569[[#This Row],[If Pre3 Yes]])</f>
        <v>1</v>
      </c>
      <c r="T29" s="5" t="b">
        <f>ISNUMBER(Table4424666569[[#This Row],[If Pre3 No]])</f>
        <v>0</v>
      </c>
    </row>
    <row r="30" spans="1:20">
      <c r="A30" s="1" t="s">
        <v>12</v>
      </c>
      <c r="B30" s="2" t="s">
        <v>21</v>
      </c>
      <c r="C30" s="1">
        <v>3</v>
      </c>
      <c r="D30" s="2" t="s">
        <v>6</v>
      </c>
      <c r="E30" s="5" t="s">
        <v>8</v>
      </c>
      <c r="F30" s="1">
        <v>11</v>
      </c>
      <c r="G30" s="1">
        <v>3</v>
      </c>
      <c r="H30" s="2" t="s">
        <v>8</v>
      </c>
      <c r="I30" s="6">
        <f>IF(IF(Table4424666569[[#This Row],[Pre or Post]]="Pre",1,0)+IF(ISNUMBER(Table4424666569[[#This Row],[Response]])=TRUE,1,0)=2,1,"")</f>
        <v>1</v>
      </c>
      <c r="J30" s="6" t="str">
        <f>IF(IF(Table4424666569[[#This Row],[Pre or Post]]="Post",1,0)+IF(ISNUMBER(Table4424666569[[#This Row],[Response]])=TRUE,1,0)=2,1,"")</f>
        <v/>
      </c>
      <c r="K30" s="6">
        <f>IF(IF(Table4424666569[[#This Row],[Pre or Post]]="Pre",1,0)+IF(ISNUMBER(Table4424666569[[#This Row],[Response]])=TRUE,1,0)=2,Table4424666569[[#This Row],[Response]],"")</f>
        <v>3</v>
      </c>
      <c r="L30" s="6" t="str">
        <f>IF(IF(Table4424666569[[#This Row],[Pre or Post]]="Post",1,0)+IF(ISNUMBER(Table4424666569[[#This Row],[Response]])=TRUE,1,0)=2,Table4424666569[[#This Row],[Response]],"")</f>
        <v/>
      </c>
      <c r="M30" s="5">
        <f>IF(IF(ISNUMBER(K30),1,0)+IF(ISNUMBER(L31),1,0)=2,IF(IF(C31=C30,1,0)+IF(B31=B30,1,0)+IF(D31="Post",1,0)+IF(D30="Pre",1,0)=4,Table4424666569[[#This Row],[Pre Total]],""),"")</f>
        <v>3</v>
      </c>
      <c r="N30" s="5" t="str">
        <f>IF(IF(ISNUMBER(K29),1,0)+IF(ISNUMBER(Table4424666569[[#This Row],[Post Total]]),1,0)=2,IF(IF(Table4424666569[[#This Row],[Student Number]]=C29,1,0)+IF(Table4424666569[[#This Row],[Session]]=B29,1,0)+IF(Table4424666569[[#This Row],[Pre or Post]]="Post",1,0)+IF(D29="Pre",1,0)=4,Table4424666569[[#This Row],[Post Total]],""),"")</f>
        <v/>
      </c>
      <c r="O30" s="6" t="str">
        <f>IF(IF(ISNUMBER(K29),1,0)+IF(ISNUMBER(Table4424666569[[#This Row],[Post Total]]),1,0)=2,IF(IF(Table4424666569[[#This Row],[Student Number]]=C29,1,0)+IF(Table4424666569[[#This Row],[Session]]=B29,1,0)+IF(Table4424666569[[#This Row],[Pre or Post]]="Post",1,0)+IF(D29="Pre",1,0)=4,Table4424666569[[#This Row],[Post Total]]-K29,""),"")</f>
        <v/>
      </c>
      <c r="P30" s="6" t="b">
        <f>ISNUMBER(Table4424666569[[#This Row],[Change]])</f>
        <v>0</v>
      </c>
      <c r="Q30" s="5" t="str">
        <f>IF(E29="Yes",Table4424666569[[#This Row],[Change]],"")</f>
        <v/>
      </c>
      <c r="R30" s="5" t="str">
        <f>IF(E29="No",Table4424666569[[#This Row],[Change]],"")</f>
        <v/>
      </c>
      <c r="S30" s="5" t="b">
        <f>ISNUMBER(Table4424666569[[#This Row],[If Pre3 Yes]])</f>
        <v>0</v>
      </c>
      <c r="T30" s="5" t="b">
        <f>ISNUMBER(Table4424666569[[#This Row],[If Pre3 No]])</f>
        <v>0</v>
      </c>
    </row>
    <row r="31" spans="1:20">
      <c r="A31" s="1" t="s">
        <v>12</v>
      </c>
      <c r="B31" s="2" t="s">
        <v>21</v>
      </c>
      <c r="C31" s="1">
        <v>3</v>
      </c>
      <c r="D31" s="2" t="s">
        <v>16</v>
      </c>
      <c r="E31" s="5" t="s">
        <v>171</v>
      </c>
      <c r="F31" s="1">
        <v>4</v>
      </c>
      <c r="G31" s="1">
        <v>2</v>
      </c>
      <c r="H31" s="2" t="s">
        <v>8</v>
      </c>
      <c r="I31" s="5" t="str">
        <f>IF(IF(Table4424666569[[#This Row],[Pre or Post]]="Pre",1,0)+IF(ISNUMBER(Table4424666569[[#This Row],[Response]])=TRUE,1,0)=2,1,"")</f>
        <v/>
      </c>
      <c r="J31" s="5">
        <f>IF(IF(Table4424666569[[#This Row],[Pre or Post]]="Post",1,0)+IF(ISNUMBER(Table4424666569[[#This Row],[Response]])=TRUE,1,0)=2,1,"")</f>
        <v>1</v>
      </c>
      <c r="K31" s="6" t="str">
        <f>IF(IF(Table4424666569[[#This Row],[Pre or Post]]="Pre",1,0)+IF(ISNUMBER(Table4424666569[[#This Row],[Response]])=TRUE,1,0)=2,Table4424666569[[#This Row],[Response]],"")</f>
        <v/>
      </c>
      <c r="L31" s="6">
        <f>IF(IF(Table4424666569[[#This Row],[Pre or Post]]="Post",1,0)+IF(ISNUMBER(Table4424666569[[#This Row],[Response]])=TRUE,1,0)=2,Table4424666569[[#This Row],[Response]],"")</f>
        <v>2</v>
      </c>
      <c r="M31" s="5" t="str">
        <f>IF(IF(ISNUMBER(K31),1,0)+IF(ISNUMBER(L32),1,0)=2,IF(IF(C32=C31,1,0)+IF(B32=B31,1,0)+IF(D32="Post",1,0)+IF(D31="Pre",1,0)=4,Table4424666569[[#This Row],[Pre Total]],""),"")</f>
        <v/>
      </c>
      <c r="N31" s="5">
        <f>IF(IF(ISNUMBER(K30),1,0)+IF(ISNUMBER(Table4424666569[[#This Row],[Post Total]]),1,0)=2,IF(IF(Table4424666569[[#This Row],[Student Number]]=C30,1,0)+IF(Table4424666569[[#This Row],[Session]]=B30,1,0)+IF(Table4424666569[[#This Row],[Pre or Post]]="Post",1,0)+IF(D30="Pre",1,0)=4,Table4424666569[[#This Row],[Post Total]],""),"")</f>
        <v>2</v>
      </c>
      <c r="O31" s="5">
        <f>IF(IF(ISNUMBER(K30),1,0)+IF(ISNUMBER(Table4424666569[[#This Row],[Post Total]]),1,0)=2,IF(IF(Table4424666569[[#This Row],[Student Number]]=C30,1,0)+IF(Table4424666569[[#This Row],[Session]]=B30,1,0)+IF(Table4424666569[[#This Row],[Pre or Post]]="Post",1,0)+IF(D30="Pre",1,0)=4,Table4424666569[[#This Row],[Post Total]]-K30,""),"")</f>
        <v>-1</v>
      </c>
      <c r="P31" s="5" t="b">
        <f>ISNUMBER(Table4424666569[[#This Row],[Change]])</f>
        <v>1</v>
      </c>
      <c r="Q31" s="5">
        <f>IF(E30="Yes",Table4424666569[[#This Row],[Change]],"")</f>
        <v>-1</v>
      </c>
      <c r="R31" s="5" t="str">
        <f>IF(E30="No",Table4424666569[[#This Row],[Change]],"")</f>
        <v/>
      </c>
      <c r="S31" s="5" t="b">
        <f>ISNUMBER(Table4424666569[[#This Row],[If Pre3 Yes]])</f>
        <v>1</v>
      </c>
      <c r="T31" s="5" t="b">
        <f>ISNUMBER(Table4424666569[[#This Row],[If Pre3 No]])</f>
        <v>0</v>
      </c>
    </row>
    <row r="32" spans="1:20">
      <c r="A32" s="1" t="s">
        <v>12</v>
      </c>
      <c r="B32" s="2" t="s">
        <v>21</v>
      </c>
      <c r="C32" s="1">
        <v>4</v>
      </c>
      <c r="D32" s="2" t="s">
        <v>6</v>
      </c>
      <c r="E32" s="5" t="s">
        <v>8</v>
      </c>
      <c r="F32" s="1">
        <v>11</v>
      </c>
      <c r="G32" s="1">
        <v>4</v>
      </c>
      <c r="H32" s="2" t="s">
        <v>8</v>
      </c>
      <c r="I32" s="5">
        <f>IF(IF(Table4424666569[[#This Row],[Pre or Post]]="Pre",1,0)+IF(ISNUMBER(Table4424666569[[#This Row],[Response]])=TRUE,1,0)=2,1,"")</f>
        <v>1</v>
      </c>
      <c r="J32" s="5" t="str">
        <f>IF(IF(Table4424666569[[#This Row],[Pre or Post]]="Post",1,0)+IF(ISNUMBER(Table4424666569[[#This Row],[Response]])=TRUE,1,0)=2,1,"")</f>
        <v/>
      </c>
      <c r="K32" s="6">
        <f>IF(IF(Table4424666569[[#This Row],[Pre or Post]]="Pre",1,0)+IF(ISNUMBER(Table4424666569[[#This Row],[Response]])=TRUE,1,0)=2,Table4424666569[[#This Row],[Response]],"")</f>
        <v>4</v>
      </c>
      <c r="L32" s="6" t="str">
        <f>IF(IF(Table4424666569[[#This Row],[Pre or Post]]="Post",1,0)+IF(ISNUMBER(Table4424666569[[#This Row],[Response]])=TRUE,1,0)=2,Table4424666569[[#This Row],[Response]],"")</f>
        <v/>
      </c>
      <c r="M32" s="5">
        <f>IF(IF(ISNUMBER(K32),1,0)+IF(ISNUMBER(L33),1,0)=2,IF(IF(C33=C32,1,0)+IF(B33=B32,1,0)+IF(D33="Post",1,0)+IF(D32="Pre",1,0)=4,Table4424666569[[#This Row],[Pre Total]],""),"")</f>
        <v>4</v>
      </c>
      <c r="N32" s="5" t="str">
        <f>IF(IF(ISNUMBER(K31),1,0)+IF(ISNUMBER(Table4424666569[[#This Row],[Post Total]]),1,0)=2,IF(IF(Table4424666569[[#This Row],[Student Number]]=C31,1,0)+IF(Table4424666569[[#This Row],[Session]]=B31,1,0)+IF(Table4424666569[[#This Row],[Pre or Post]]="Post",1,0)+IF(D31="Pre",1,0)=4,Table4424666569[[#This Row],[Post Total]],""),"")</f>
        <v/>
      </c>
      <c r="O32" s="5" t="str">
        <f>IF(IF(ISNUMBER(K31),1,0)+IF(ISNUMBER(Table4424666569[[#This Row],[Post Total]]),1,0)=2,IF(IF(Table4424666569[[#This Row],[Student Number]]=C31,1,0)+IF(Table4424666569[[#This Row],[Session]]=B31,1,0)+IF(Table4424666569[[#This Row],[Pre or Post]]="Post",1,0)+IF(D31="Pre",1,0)=4,Table4424666569[[#This Row],[Post Total]]-K31,""),"")</f>
        <v/>
      </c>
      <c r="P32" s="5" t="b">
        <f>ISNUMBER(Table4424666569[[#This Row],[Change]])</f>
        <v>0</v>
      </c>
      <c r="Q32" s="5" t="str">
        <f>IF(E31="Yes",Table4424666569[[#This Row],[Change]],"")</f>
        <v/>
      </c>
      <c r="R32" s="5" t="str">
        <f>IF(E31="No",Table4424666569[[#This Row],[Change]],"")</f>
        <v/>
      </c>
      <c r="S32" s="5" t="b">
        <f>ISNUMBER(Table4424666569[[#This Row],[If Pre3 Yes]])</f>
        <v>0</v>
      </c>
      <c r="T32" s="5" t="b">
        <f>ISNUMBER(Table4424666569[[#This Row],[If Pre3 No]])</f>
        <v>0</v>
      </c>
    </row>
    <row r="33" spans="1:20">
      <c r="A33" s="1" t="s">
        <v>12</v>
      </c>
      <c r="B33" s="2" t="s">
        <v>21</v>
      </c>
      <c r="C33" s="1">
        <v>4</v>
      </c>
      <c r="D33" s="2" t="s">
        <v>16</v>
      </c>
      <c r="E33" s="5" t="s">
        <v>171</v>
      </c>
      <c r="F33" s="1">
        <v>4</v>
      </c>
      <c r="G33" s="1">
        <v>5</v>
      </c>
      <c r="H33" s="2" t="s">
        <v>8</v>
      </c>
      <c r="I33" s="5" t="str">
        <f>IF(IF(Table4424666569[[#This Row],[Pre or Post]]="Pre",1,0)+IF(ISNUMBER(Table4424666569[[#This Row],[Response]])=TRUE,1,0)=2,1,"")</f>
        <v/>
      </c>
      <c r="J33" s="5">
        <f>IF(IF(Table4424666569[[#This Row],[Pre or Post]]="Post",1,0)+IF(ISNUMBER(Table4424666569[[#This Row],[Response]])=TRUE,1,0)=2,1,"")</f>
        <v>1</v>
      </c>
      <c r="K33" s="6" t="str">
        <f>IF(IF(Table4424666569[[#This Row],[Pre or Post]]="Pre",1,0)+IF(ISNUMBER(Table4424666569[[#This Row],[Response]])=TRUE,1,0)=2,Table4424666569[[#This Row],[Response]],"")</f>
        <v/>
      </c>
      <c r="L33" s="6">
        <f>IF(IF(Table4424666569[[#This Row],[Pre or Post]]="Post",1,0)+IF(ISNUMBER(Table4424666569[[#This Row],[Response]])=TRUE,1,0)=2,Table4424666569[[#This Row],[Response]],"")</f>
        <v>5</v>
      </c>
      <c r="M33" s="5" t="str">
        <f>IF(IF(ISNUMBER(K33),1,0)+IF(ISNUMBER(L34),1,0)=2,IF(IF(C34=C33,1,0)+IF(B34=B33,1,0)+IF(D34="Post",1,0)+IF(D33="Pre",1,0)=4,Table4424666569[[#This Row],[Pre Total]],""),"")</f>
        <v/>
      </c>
      <c r="N33" s="5">
        <f>IF(IF(ISNUMBER(K32),1,0)+IF(ISNUMBER(Table4424666569[[#This Row],[Post Total]]),1,0)=2,IF(IF(Table4424666569[[#This Row],[Student Number]]=C32,1,0)+IF(Table4424666569[[#This Row],[Session]]=B32,1,0)+IF(Table4424666569[[#This Row],[Pre or Post]]="Post",1,0)+IF(D32="Pre",1,0)=4,Table4424666569[[#This Row],[Post Total]],""),"")</f>
        <v>5</v>
      </c>
      <c r="O33" s="5">
        <f>IF(IF(ISNUMBER(K32),1,0)+IF(ISNUMBER(Table4424666569[[#This Row],[Post Total]]),1,0)=2,IF(IF(Table4424666569[[#This Row],[Student Number]]=C32,1,0)+IF(Table4424666569[[#This Row],[Session]]=B32,1,0)+IF(Table4424666569[[#This Row],[Pre or Post]]="Post",1,0)+IF(D32="Pre",1,0)=4,Table4424666569[[#This Row],[Post Total]]-K32,""),"")</f>
        <v>1</v>
      </c>
      <c r="P33" s="5" t="b">
        <f>ISNUMBER(Table4424666569[[#This Row],[Change]])</f>
        <v>1</v>
      </c>
      <c r="Q33" s="5">
        <f>IF(E32="Yes",Table4424666569[[#This Row],[Change]],"")</f>
        <v>1</v>
      </c>
      <c r="R33" s="5" t="str">
        <f>IF(E32="No",Table4424666569[[#This Row],[Change]],"")</f>
        <v/>
      </c>
      <c r="S33" s="5" t="b">
        <f>ISNUMBER(Table4424666569[[#This Row],[If Pre3 Yes]])</f>
        <v>1</v>
      </c>
      <c r="T33" s="5" t="b">
        <f>ISNUMBER(Table4424666569[[#This Row],[If Pre3 No]])</f>
        <v>0</v>
      </c>
    </row>
    <row r="34" spans="1:20">
      <c r="A34" s="1" t="s">
        <v>12</v>
      </c>
      <c r="B34" s="2" t="s">
        <v>21</v>
      </c>
      <c r="C34" s="1">
        <v>5</v>
      </c>
      <c r="D34" s="2" t="s">
        <v>6</v>
      </c>
      <c r="E34" s="5" t="s">
        <v>8</v>
      </c>
      <c r="F34" s="1">
        <v>11</v>
      </c>
      <c r="G34" s="1">
        <v>1</v>
      </c>
      <c r="H34" s="2" t="s">
        <v>8</v>
      </c>
      <c r="I34" s="6">
        <f>IF(IF(Table4424666569[[#This Row],[Pre or Post]]="Pre",1,0)+IF(ISNUMBER(Table4424666569[[#This Row],[Response]])=TRUE,1,0)=2,1,"")</f>
        <v>1</v>
      </c>
      <c r="J34" s="6" t="str">
        <f>IF(IF(Table4424666569[[#This Row],[Pre or Post]]="Post",1,0)+IF(ISNUMBER(Table4424666569[[#This Row],[Response]])=TRUE,1,0)=2,1,"")</f>
        <v/>
      </c>
      <c r="K34" s="6">
        <f>IF(IF(Table4424666569[[#This Row],[Pre or Post]]="Pre",1,0)+IF(ISNUMBER(Table4424666569[[#This Row],[Response]])=TRUE,1,0)=2,Table4424666569[[#This Row],[Response]],"")</f>
        <v>1</v>
      </c>
      <c r="L34" s="6" t="str">
        <f>IF(IF(Table4424666569[[#This Row],[Pre or Post]]="Post",1,0)+IF(ISNUMBER(Table4424666569[[#This Row],[Response]])=TRUE,1,0)=2,Table4424666569[[#This Row],[Response]],"")</f>
        <v/>
      </c>
      <c r="M34" s="6">
        <f>IF(IF(ISNUMBER(K34),1,0)+IF(ISNUMBER(L35),1,0)=2,IF(IF(C35=C34,1,0)+IF(B35=B34,1,0)+IF(D35="Post",1,0)+IF(D34="Pre",1,0)=4,Table4424666569[[#This Row],[Pre Total]],""),"")</f>
        <v>1</v>
      </c>
      <c r="N34" s="6" t="str">
        <f>IF(IF(ISNUMBER(K33),1,0)+IF(ISNUMBER(Table4424666569[[#This Row],[Post Total]]),1,0)=2,IF(IF(Table4424666569[[#This Row],[Student Number]]=C33,1,0)+IF(Table4424666569[[#This Row],[Session]]=B33,1,0)+IF(Table4424666569[[#This Row],[Pre or Post]]="Post",1,0)+IF(D33="Pre",1,0)=4,Table4424666569[[#This Row],[Post Total]],""),"")</f>
        <v/>
      </c>
      <c r="O34" s="6" t="str">
        <f>IF(IF(ISNUMBER(K33),1,0)+IF(ISNUMBER(Table4424666569[[#This Row],[Post Total]]),1,0)=2,IF(IF(Table4424666569[[#This Row],[Student Number]]=C33,1,0)+IF(Table4424666569[[#This Row],[Session]]=B33,1,0)+IF(Table4424666569[[#This Row],[Pre or Post]]="Post",1,0)+IF(D33="Pre",1,0)=4,Table4424666569[[#This Row],[Post Total]]-K33,""),"")</f>
        <v/>
      </c>
      <c r="P34" s="6" t="b">
        <f>ISNUMBER(Table4424666569[[#This Row],[Change]])</f>
        <v>0</v>
      </c>
      <c r="Q34" s="5" t="str">
        <f>IF(E33="Yes",Table4424666569[[#This Row],[Change]],"")</f>
        <v/>
      </c>
      <c r="R34" s="5" t="str">
        <f>IF(E33="No",Table4424666569[[#This Row],[Change]],"")</f>
        <v/>
      </c>
      <c r="S34" s="5" t="b">
        <f>ISNUMBER(Table4424666569[[#This Row],[If Pre3 Yes]])</f>
        <v>0</v>
      </c>
      <c r="T34" s="5" t="b">
        <f>ISNUMBER(Table4424666569[[#This Row],[If Pre3 No]])</f>
        <v>0</v>
      </c>
    </row>
    <row r="35" spans="1:20">
      <c r="A35" s="1" t="s">
        <v>12</v>
      </c>
      <c r="B35" s="2" t="s">
        <v>21</v>
      </c>
      <c r="C35" s="1">
        <v>5</v>
      </c>
      <c r="D35" s="2" t="s">
        <v>16</v>
      </c>
      <c r="E35" s="5" t="s">
        <v>171</v>
      </c>
      <c r="F35" s="1">
        <v>4</v>
      </c>
      <c r="G35" s="1">
        <v>3</v>
      </c>
      <c r="H35" s="2" t="s">
        <v>8</v>
      </c>
      <c r="I35" s="5" t="str">
        <f>IF(IF(Table4424666569[[#This Row],[Pre or Post]]="Pre",1,0)+IF(ISNUMBER(Table4424666569[[#This Row],[Response]])=TRUE,1,0)=2,1,"")</f>
        <v/>
      </c>
      <c r="J35" s="5">
        <f>IF(IF(Table4424666569[[#This Row],[Pre or Post]]="Post",1,0)+IF(ISNUMBER(Table4424666569[[#This Row],[Response]])=TRUE,1,0)=2,1,"")</f>
        <v>1</v>
      </c>
      <c r="K35" s="6" t="str">
        <f>IF(IF(Table4424666569[[#This Row],[Pre or Post]]="Pre",1,0)+IF(ISNUMBER(Table4424666569[[#This Row],[Response]])=TRUE,1,0)=2,Table4424666569[[#This Row],[Response]],"")</f>
        <v/>
      </c>
      <c r="L35" s="6">
        <f>IF(IF(Table4424666569[[#This Row],[Pre or Post]]="Post",1,0)+IF(ISNUMBER(Table4424666569[[#This Row],[Response]])=TRUE,1,0)=2,Table4424666569[[#This Row],[Response]],"")</f>
        <v>3</v>
      </c>
      <c r="M35" s="5" t="str">
        <f>IF(IF(ISNUMBER(K35),1,0)+IF(ISNUMBER(L36),1,0)=2,IF(IF(C36=C35,1,0)+IF(B36=B35,1,0)+IF(D36="Post",1,0)+IF(D35="Pre",1,0)=4,Table4424666569[[#This Row],[Pre Total]],""),"")</f>
        <v/>
      </c>
      <c r="N35" s="5">
        <f>IF(IF(ISNUMBER(K34),1,0)+IF(ISNUMBER(Table4424666569[[#This Row],[Post Total]]),1,0)=2,IF(IF(Table4424666569[[#This Row],[Student Number]]=C34,1,0)+IF(Table4424666569[[#This Row],[Session]]=B34,1,0)+IF(Table4424666569[[#This Row],[Pre or Post]]="Post",1,0)+IF(D34="Pre",1,0)=4,Table4424666569[[#This Row],[Post Total]],""),"")</f>
        <v>3</v>
      </c>
      <c r="O35" s="5">
        <f>IF(IF(ISNUMBER(K34),1,0)+IF(ISNUMBER(Table4424666569[[#This Row],[Post Total]]),1,0)=2,IF(IF(Table4424666569[[#This Row],[Student Number]]=C34,1,0)+IF(Table4424666569[[#This Row],[Session]]=B34,1,0)+IF(Table4424666569[[#This Row],[Pre or Post]]="Post",1,0)+IF(D34="Pre",1,0)=4,Table4424666569[[#This Row],[Post Total]]-K34,""),"")</f>
        <v>2</v>
      </c>
      <c r="P35" s="5" t="b">
        <f>ISNUMBER(Table4424666569[[#This Row],[Change]])</f>
        <v>1</v>
      </c>
      <c r="Q35" s="5">
        <f>IF(E34="Yes",Table4424666569[[#This Row],[Change]],"")</f>
        <v>2</v>
      </c>
      <c r="R35" s="5" t="str">
        <f>IF(E34="No",Table4424666569[[#This Row],[Change]],"")</f>
        <v/>
      </c>
      <c r="S35" s="5" t="b">
        <f>ISNUMBER(Table4424666569[[#This Row],[If Pre3 Yes]])</f>
        <v>1</v>
      </c>
      <c r="T35" s="5" t="b">
        <f>ISNUMBER(Table4424666569[[#This Row],[If Pre3 No]])</f>
        <v>0</v>
      </c>
    </row>
    <row r="36" spans="1:20">
      <c r="A36" s="1" t="s">
        <v>12</v>
      </c>
      <c r="B36" s="2" t="s">
        <v>21</v>
      </c>
      <c r="C36" s="1">
        <v>6</v>
      </c>
      <c r="D36" s="2" t="s">
        <v>6</v>
      </c>
      <c r="E36" s="5" t="s">
        <v>8</v>
      </c>
      <c r="F36" s="1">
        <v>11</v>
      </c>
      <c r="G36" s="1">
        <v>2</v>
      </c>
      <c r="H36" s="2" t="s">
        <v>8</v>
      </c>
      <c r="I36" s="5">
        <f>IF(IF(Table4424666569[[#This Row],[Pre or Post]]="Pre",1,0)+IF(ISNUMBER(Table4424666569[[#This Row],[Response]])=TRUE,1,0)=2,1,"")</f>
        <v>1</v>
      </c>
      <c r="J36" s="5" t="str">
        <f>IF(IF(Table4424666569[[#This Row],[Pre or Post]]="Post",1,0)+IF(ISNUMBER(Table4424666569[[#This Row],[Response]])=TRUE,1,0)=2,1,"")</f>
        <v/>
      </c>
      <c r="K36" s="6">
        <f>IF(IF(Table4424666569[[#This Row],[Pre or Post]]="Pre",1,0)+IF(ISNUMBER(Table4424666569[[#This Row],[Response]])=TRUE,1,0)=2,Table4424666569[[#This Row],[Response]],"")</f>
        <v>2</v>
      </c>
      <c r="L36" s="6" t="str">
        <f>IF(IF(Table4424666569[[#This Row],[Pre or Post]]="Post",1,0)+IF(ISNUMBER(Table4424666569[[#This Row],[Response]])=TRUE,1,0)=2,Table4424666569[[#This Row],[Response]],"")</f>
        <v/>
      </c>
      <c r="M36" s="5">
        <f>IF(IF(ISNUMBER(K36),1,0)+IF(ISNUMBER(L37),1,0)=2,IF(IF(C37=C36,1,0)+IF(B37=B36,1,0)+IF(D37="Post",1,0)+IF(D36="Pre",1,0)=4,Table4424666569[[#This Row],[Pre Total]],""),"")</f>
        <v>2</v>
      </c>
      <c r="N36" s="5" t="str">
        <f>IF(IF(ISNUMBER(K35),1,0)+IF(ISNUMBER(Table4424666569[[#This Row],[Post Total]]),1,0)=2,IF(IF(Table4424666569[[#This Row],[Student Number]]=C35,1,0)+IF(Table4424666569[[#This Row],[Session]]=B35,1,0)+IF(Table4424666569[[#This Row],[Pre or Post]]="Post",1,0)+IF(D35="Pre",1,0)=4,Table4424666569[[#This Row],[Post Total]],""),"")</f>
        <v/>
      </c>
      <c r="O36" s="5" t="str">
        <f>IF(IF(ISNUMBER(K35),1,0)+IF(ISNUMBER(Table4424666569[[#This Row],[Post Total]]),1,0)=2,IF(IF(Table4424666569[[#This Row],[Student Number]]=C35,1,0)+IF(Table4424666569[[#This Row],[Session]]=B35,1,0)+IF(Table4424666569[[#This Row],[Pre or Post]]="Post",1,0)+IF(D35="Pre",1,0)=4,Table4424666569[[#This Row],[Post Total]]-K35,""),"")</f>
        <v/>
      </c>
      <c r="P36" s="5" t="b">
        <f>ISNUMBER(Table4424666569[[#This Row],[Change]])</f>
        <v>0</v>
      </c>
      <c r="Q36" s="5" t="str">
        <f>IF(E35="Yes",Table4424666569[[#This Row],[Change]],"")</f>
        <v/>
      </c>
      <c r="R36" s="5" t="str">
        <f>IF(E35="No",Table4424666569[[#This Row],[Change]],"")</f>
        <v/>
      </c>
      <c r="S36" s="5" t="b">
        <f>ISNUMBER(Table4424666569[[#This Row],[If Pre3 Yes]])</f>
        <v>0</v>
      </c>
      <c r="T36" s="5" t="b">
        <f>ISNUMBER(Table4424666569[[#This Row],[If Pre3 No]])</f>
        <v>0</v>
      </c>
    </row>
    <row r="37" spans="1:20">
      <c r="A37" s="1" t="s">
        <v>12</v>
      </c>
      <c r="B37" s="2" t="s">
        <v>21</v>
      </c>
      <c r="C37" s="1">
        <v>6</v>
      </c>
      <c r="D37" s="2" t="s">
        <v>16</v>
      </c>
      <c r="E37" s="5" t="s">
        <v>171</v>
      </c>
      <c r="F37" s="1">
        <v>4</v>
      </c>
      <c r="G37" s="1">
        <v>4</v>
      </c>
      <c r="H37" s="2" t="s">
        <v>8</v>
      </c>
      <c r="I37" s="5" t="str">
        <f>IF(IF(Table4424666569[[#This Row],[Pre or Post]]="Pre",1,0)+IF(ISNUMBER(Table4424666569[[#This Row],[Response]])=TRUE,1,0)=2,1,"")</f>
        <v/>
      </c>
      <c r="J37" s="5">
        <f>IF(IF(Table4424666569[[#This Row],[Pre or Post]]="Post",1,0)+IF(ISNUMBER(Table4424666569[[#This Row],[Response]])=TRUE,1,0)=2,1,"")</f>
        <v>1</v>
      </c>
      <c r="K37" s="6" t="str">
        <f>IF(IF(Table4424666569[[#This Row],[Pre or Post]]="Pre",1,0)+IF(ISNUMBER(Table4424666569[[#This Row],[Response]])=TRUE,1,0)=2,Table4424666569[[#This Row],[Response]],"")</f>
        <v/>
      </c>
      <c r="L37" s="6">
        <f>IF(IF(Table4424666569[[#This Row],[Pre or Post]]="Post",1,0)+IF(ISNUMBER(Table4424666569[[#This Row],[Response]])=TRUE,1,0)=2,Table4424666569[[#This Row],[Response]],"")</f>
        <v>4</v>
      </c>
      <c r="M37" s="5" t="str">
        <f>IF(IF(ISNUMBER(K37),1,0)+IF(ISNUMBER(L38),1,0)=2,IF(IF(C38=C37,1,0)+IF(B38=B37,1,0)+IF(D38="Post",1,0)+IF(D37="Pre",1,0)=4,Table4424666569[[#This Row],[Pre Total]],""),"")</f>
        <v/>
      </c>
      <c r="N37" s="5">
        <f>IF(IF(ISNUMBER(K36),1,0)+IF(ISNUMBER(Table4424666569[[#This Row],[Post Total]]),1,0)=2,IF(IF(Table4424666569[[#This Row],[Student Number]]=C36,1,0)+IF(Table4424666569[[#This Row],[Session]]=B36,1,0)+IF(Table4424666569[[#This Row],[Pre or Post]]="Post",1,0)+IF(D36="Pre",1,0)=4,Table4424666569[[#This Row],[Post Total]],""),"")</f>
        <v>4</v>
      </c>
      <c r="O37" s="5">
        <f>IF(IF(ISNUMBER(K36),1,0)+IF(ISNUMBER(Table4424666569[[#This Row],[Post Total]]),1,0)=2,IF(IF(Table4424666569[[#This Row],[Student Number]]=C36,1,0)+IF(Table4424666569[[#This Row],[Session]]=B36,1,0)+IF(Table4424666569[[#This Row],[Pre or Post]]="Post",1,0)+IF(D36="Pre",1,0)=4,Table4424666569[[#This Row],[Post Total]]-K36,""),"")</f>
        <v>2</v>
      </c>
      <c r="P37" s="5" t="b">
        <f>ISNUMBER(Table4424666569[[#This Row],[Change]])</f>
        <v>1</v>
      </c>
      <c r="Q37" s="5">
        <f>IF(E36="Yes",Table4424666569[[#This Row],[Change]],"")</f>
        <v>2</v>
      </c>
      <c r="R37" s="5" t="str">
        <f>IF(E36="No",Table4424666569[[#This Row],[Change]],"")</f>
        <v/>
      </c>
      <c r="S37" s="5" t="b">
        <f>ISNUMBER(Table4424666569[[#This Row],[If Pre3 Yes]])</f>
        <v>1</v>
      </c>
      <c r="T37" s="5" t="b">
        <f>ISNUMBER(Table4424666569[[#This Row],[If Pre3 No]])</f>
        <v>0</v>
      </c>
    </row>
    <row r="38" spans="1:20">
      <c r="A38" s="1" t="s">
        <v>12</v>
      </c>
      <c r="B38" s="2" t="s">
        <v>21</v>
      </c>
      <c r="C38" s="1">
        <v>7</v>
      </c>
      <c r="D38" s="2" t="s">
        <v>6</v>
      </c>
      <c r="E38" s="5" t="s">
        <v>8</v>
      </c>
      <c r="F38" s="2">
        <v>11</v>
      </c>
      <c r="G38" s="1">
        <v>5</v>
      </c>
      <c r="H38" s="2" t="s">
        <v>8</v>
      </c>
      <c r="I38" s="6">
        <f>IF(IF(Table4424666569[[#This Row],[Pre or Post]]="Pre",1,0)+IF(ISNUMBER(Table4424666569[[#This Row],[Response]])=TRUE,1,0)=2,1,"")</f>
        <v>1</v>
      </c>
      <c r="J38" s="6" t="str">
        <f>IF(IF(Table4424666569[[#This Row],[Pre or Post]]="Post",1,0)+IF(ISNUMBER(Table4424666569[[#This Row],[Response]])=TRUE,1,0)=2,1,"")</f>
        <v/>
      </c>
      <c r="K38" s="6">
        <f>IF(IF(Table4424666569[[#This Row],[Pre or Post]]="Pre",1,0)+IF(ISNUMBER(Table4424666569[[#This Row],[Response]])=TRUE,1,0)=2,Table4424666569[[#This Row],[Response]],"")</f>
        <v>5</v>
      </c>
      <c r="L38" s="6" t="str">
        <f>IF(IF(Table4424666569[[#This Row],[Pre or Post]]="Post",1,0)+IF(ISNUMBER(Table4424666569[[#This Row],[Response]])=TRUE,1,0)=2,Table4424666569[[#This Row],[Response]],"")</f>
        <v/>
      </c>
      <c r="M38" s="6">
        <f>IF(IF(ISNUMBER(K38),1,0)+IF(ISNUMBER(L39),1,0)=2,IF(IF(C39=C38,1,0)+IF(B39=B38,1,0)+IF(D39="Post",1,0)+IF(D38="Pre",1,0)=4,Table4424666569[[#This Row],[Pre Total]],""),"")</f>
        <v>5</v>
      </c>
      <c r="N38" s="6" t="str">
        <f>IF(IF(ISNUMBER(K37),1,0)+IF(ISNUMBER(Table4424666569[[#This Row],[Post Total]]),1,0)=2,IF(IF(Table4424666569[[#This Row],[Student Number]]=C37,1,0)+IF(Table4424666569[[#This Row],[Session]]=B37,1,0)+IF(Table4424666569[[#This Row],[Pre or Post]]="Post",1,0)+IF(D37="Pre",1,0)=4,Table4424666569[[#This Row],[Post Total]],""),"")</f>
        <v/>
      </c>
      <c r="O38" s="6" t="str">
        <f>IF(IF(ISNUMBER(K37),1,0)+IF(ISNUMBER(Table4424666569[[#This Row],[Post Total]]),1,0)=2,IF(IF(Table4424666569[[#This Row],[Student Number]]=C37,1,0)+IF(Table4424666569[[#This Row],[Session]]=B37,1,0)+IF(Table4424666569[[#This Row],[Pre or Post]]="Post",1,0)+IF(D37="Pre",1,0)=4,Table4424666569[[#This Row],[Post Total]]-K37,""),"")</f>
        <v/>
      </c>
      <c r="P38" s="6" t="b">
        <f>ISNUMBER(Table4424666569[[#This Row],[Change]])</f>
        <v>0</v>
      </c>
      <c r="Q38" s="5" t="str">
        <f>IF(E37="Yes",Table4424666569[[#This Row],[Change]],"")</f>
        <v/>
      </c>
      <c r="R38" s="5" t="str">
        <f>IF(E37="No",Table4424666569[[#This Row],[Change]],"")</f>
        <v/>
      </c>
      <c r="S38" s="5" t="b">
        <f>ISNUMBER(Table4424666569[[#This Row],[If Pre3 Yes]])</f>
        <v>0</v>
      </c>
      <c r="T38" s="5" t="b">
        <f>ISNUMBER(Table4424666569[[#This Row],[If Pre3 No]])</f>
        <v>0</v>
      </c>
    </row>
    <row r="39" spans="1:20">
      <c r="A39" s="1" t="s">
        <v>12</v>
      </c>
      <c r="B39" s="2" t="s">
        <v>21</v>
      </c>
      <c r="C39" s="1">
        <v>7</v>
      </c>
      <c r="D39" s="2" t="s">
        <v>16</v>
      </c>
      <c r="E39" s="5" t="s">
        <v>171</v>
      </c>
      <c r="F39" s="1">
        <v>4</v>
      </c>
      <c r="G39" s="1">
        <v>5</v>
      </c>
      <c r="H39" s="2" t="s">
        <v>8</v>
      </c>
      <c r="I39" s="5" t="str">
        <f>IF(IF(Table4424666569[[#This Row],[Pre or Post]]="Pre",1,0)+IF(ISNUMBER(Table4424666569[[#This Row],[Response]])=TRUE,1,0)=2,1,"")</f>
        <v/>
      </c>
      <c r="J39" s="5">
        <f>IF(IF(Table4424666569[[#This Row],[Pre or Post]]="Post",1,0)+IF(ISNUMBER(Table4424666569[[#This Row],[Response]])=TRUE,1,0)=2,1,"")</f>
        <v>1</v>
      </c>
      <c r="K39" s="6" t="str">
        <f>IF(IF(Table4424666569[[#This Row],[Pre or Post]]="Pre",1,0)+IF(ISNUMBER(Table4424666569[[#This Row],[Response]])=TRUE,1,0)=2,Table4424666569[[#This Row],[Response]],"")</f>
        <v/>
      </c>
      <c r="L39" s="6">
        <f>IF(IF(Table4424666569[[#This Row],[Pre or Post]]="Post",1,0)+IF(ISNUMBER(Table4424666569[[#This Row],[Response]])=TRUE,1,0)=2,Table4424666569[[#This Row],[Response]],"")</f>
        <v>5</v>
      </c>
      <c r="M39" s="5" t="str">
        <f>IF(IF(ISNUMBER(K39),1,0)+IF(ISNUMBER(L40),1,0)=2,IF(IF(C40=C39,1,0)+IF(B40=B39,1,0)+IF(D40="Post",1,0)+IF(D39="Pre",1,0)=4,Table4424666569[[#This Row],[Pre Total]],""),"")</f>
        <v/>
      </c>
      <c r="N39" s="5">
        <f>IF(IF(ISNUMBER(K38),1,0)+IF(ISNUMBER(Table4424666569[[#This Row],[Post Total]]),1,0)=2,IF(IF(Table4424666569[[#This Row],[Student Number]]=C38,1,0)+IF(Table4424666569[[#This Row],[Session]]=B38,1,0)+IF(Table4424666569[[#This Row],[Pre or Post]]="Post",1,0)+IF(D38="Pre",1,0)=4,Table4424666569[[#This Row],[Post Total]],""),"")</f>
        <v>5</v>
      </c>
      <c r="O39" s="5">
        <f>IF(IF(ISNUMBER(K38),1,0)+IF(ISNUMBER(Table4424666569[[#This Row],[Post Total]]),1,0)=2,IF(IF(Table4424666569[[#This Row],[Student Number]]=C38,1,0)+IF(Table4424666569[[#This Row],[Session]]=B38,1,0)+IF(Table4424666569[[#This Row],[Pre or Post]]="Post",1,0)+IF(D38="Pre",1,0)=4,Table4424666569[[#This Row],[Post Total]]-K38,""),"")</f>
        <v>0</v>
      </c>
      <c r="P39" s="5" t="b">
        <f>ISNUMBER(Table4424666569[[#This Row],[Change]])</f>
        <v>1</v>
      </c>
      <c r="Q39" s="5">
        <f>IF(E38="Yes",Table4424666569[[#This Row],[Change]],"")</f>
        <v>0</v>
      </c>
      <c r="R39" s="5" t="str">
        <f>IF(E38="No",Table4424666569[[#This Row],[Change]],"")</f>
        <v/>
      </c>
      <c r="S39" s="5" t="b">
        <f>ISNUMBER(Table4424666569[[#This Row],[If Pre3 Yes]])</f>
        <v>1</v>
      </c>
      <c r="T39" s="5" t="b">
        <f>ISNUMBER(Table4424666569[[#This Row],[If Pre3 No]])</f>
        <v>0</v>
      </c>
    </row>
    <row r="40" spans="1:20">
      <c r="A40" s="1" t="s">
        <v>12</v>
      </c>
      <c r="B40" s="2" t="s">
        <v>21</v>
      </c>
      <c r="C40" s="1">
        <v>8</v>
      </c>
      <c r="D40" s="2" t="s">
        <v>6</v>
      </c>
      <c r="E40" s="5" t="s">
        <v>8</v>
      </c>
      <c r="F40" s="1">
        <v>11</v>
      </c>
      <c r="G40" s="1">
        <v>2</v>
      </c>
      <c r="H40" s="2" t="s">
        <v>8</v>
      </c>
      <c r="I40" s="5">
        <f>IF(IF(Table4424666569[[#This Row],[Pre or Post]]="Pre",1,0)+IF(ISNUMBER(Table4424666569[[#This Row],[Response]])=TRUE,1,0)=2,1,"")</f>
        <v>1</v>
      </c>
      <c r="J40" s="5" t="str">
        <f>IF(IF(Table4424666569[[#This Row],[Pre or Post]]="Post",1,0)+IF(ISNUMBER(Table4424666569[[#This Row],[Response]])=TRUE,1,0)=2,1,"")</f>
        <v/>
      </c>
      <c r="K40" s="6">
        <f>IF(IF(Table4424666569[[#This Row],[Pre or Post]]="Pre",1,0)+IF(ISNUMBER(Table4424666569[[#This Row],[Response]])=TRUE,1,0)=2,Table4424666569[[#This Row],[Response]],"")</f>
        <v>2</v>
      </c>
      <c r="L40" s="6" t="str">
        <f>IF(IF(Table4424666569[[#This Row],[Pre or Post]]="Post",1,0)+IF(ISNUMBER(Table4424666569[[#This Row],[Response]])=TRUE,1,0)=2,Table4424666569[[#This Row],[Response]],"")</f>
        <v/>
      </c>
      <c r="M40" s="5">
        <f>IF(IF(ISNUMBER(K40),1,0)+IF(ISNUMBER(L41),1,0)=2,IF(IF(C41=C40,1,0)+IF(B41=B40,1,0)+IF(D41="Post",1,0)+IF(D40="Pre",1,0)=4,Table4424666569[[#This Row],[Pre Total]],""),"")</f>
        <v>2</v>
      </c>
      <c r="N40" s="5" t="str">
        <f>IF(IF(ISNUMBER(K39),1,0)+IF(ISNUMBER(Table4424666569[[#This Row],[Post Total]]),1,0)=2,IF(IF(Table4424666569[[#This Row],[Student Number]]=C39,1,0)+IF(Table4424666569[[#This Row],[Session]]=B39,1,0)+IF(Table4424666569[[#This Row],[Pre or Post]]="Post",1,0)+IF(D39="Pre",1,0)=4,Table4424666569[[#This Row],[Post Total]],""),"")</f>
        <v/>
      </c>
      <c r="O40" s="5" t="str">
        <f>IF(IF(ISNUMBER(K39),1,0)+IF(ISNUMBER(Table4424666569[[#This Row],[Post Total]]),1,0)=2,IF(IF(Table4424666569[[#This Row],[Student Number]]=C39,1,0)+IF(Table4424666569[[#This Row],[Session]]=B39,1,0)+IF(Table4424666569[[#This Row],[Pre or Post]]="Post",1,0)+IF(D39="Pre",1,0)=4,Table4424666569[[#This Row],[Post Total]]-K39,""),"")</f>
        <v/>
      </c>
      <c r="P40" s="5" t="b">
        <f>ISNUMBER(Table4424666569[[#This Row],[Change]])</f>
        <v>0</v>
      </c>
      <c r="Q40" s="5" t="str">
        <f>IF(E39="Yes",Table4424666569[[#This Row],[Change]],"")</f>
        <v/>
      </c>
      <c r="R40" s="5" t="str">
        <f>IF(E39="No",Table4424666569[[#This Row],[Change]],"")</f>
        <v/>
      </c>
      <c r="S40" s="5" t="b">
        <f>ISNUMBER(Table4424666569[[#This Row],[If Pre3 Yes]])</f>
        <v>0</v>
      </c>
      <c r="T40" s="5" t="b">
        <f>ISNUMBER(Table4424666569[[#This Row],[If Pre3 No]])</f>
        <v>0</v>
      </c>
    </row>
    <row r="41" spans="1:20">
      <c r="A41" s="1" t="s">
        <v>12</v>
      </c>
      <c r="B41" s="2" t="s">
        <v>21</v>
      </c>
      <c r="C41" s="1">
        <v>8</v>
      </c>
      <c r="D41" s="2" t="s">
        <v>16</v>
      </c>
      <c r="E41" s="5" t="s">
        <v>171</v>
      </c>
      <c r="F41" s="1">
        <v>4</v>
      </c>
      <c r="G41" s="1">
        <v>3</v>
      </c>
      <c r="H41" s="2" t="s">
        <v>8</v>
      </c>
      <c r="I41" s="5" t="str">
        <f>IF(IF(Table4424666569[[#This Row],[Pre or Post]]="Pre",1,0)+IF(ISNUMBER(Table4424666569[[#This Row],[Response]])=TRUE,1,0)=2,1,"")</f>
        <v/>
      </c>
      <c r="J41" s="5">
        <f>IF(IF(Table4424666569[[#This Row],[Pre or Post]]="Post",1,0)+IF(ISNUMBER(Table4424666569[[#This Row],[Response]])=TRUE,1,0)=2,1,"")</f>
        <v>1</v>
      </c>
      <c r="K41" s="6" t="str">
        <f>IF(IF(Table4424666569[[#This Row],[Pre or Post]]="Pre",1,0)+IF(ISNUMBER(Table4424666569[[#This Row],[Response]])=TRUE,1,0)=2,Table4424666569[[#This Row],[Response]],"")</f>
        <v/>
      </c>
      <c r="L41" s="6">
        <f>IF(IF(Table4424666569[[#This Row],[Pre or Post]]="Post",1,0)+IF(ISNUMBER(Table4424666569[[#This Row],[Response]])=TRUE,1,0)=2,Table4424666569[[#This Row],[Response]],"")</f>
        <v>3</v>
      </c>
      <c r="M41" s="5" t="str">
        <f>IF(IF(ISNUMBER(K41),1,0)+IF(ISNUMBER(L42),1,0)=2,IF(IF(C42=C41,1,0)+IF(B42=B41,1,0)+IF(D42="Post",1,0)+IF(D41="Pre",1,0)=4,Table4424666569[[#This Row],[Pre Total]],""),"")</f>
        <v/>
      </c>
      <c r="N41" s="5">
        <f>IF(IF(ISNUMBER(K40),1,0)+IF(ISNUMBER(Table4424666569[[#This Row],[Post Total]]),1,0)=2,IF(IF(Table4424666569[[#This Row],[Student Number]]=C40,1,0)+IF(Table4424666569[[#This Row],[Session]]=B40,1,0)+IF(Table4424666569[[#This Row],[Pre or Post]]="Post",1,0)+IF(D40="Pre",1,0)=4,Table4424666569[[#This Row],[Post Total]],""),"")</f>
        <v>3</v>
      </c>
      <c r="O41" s="5">
        <f>IF(IF(ISNUMBER(K40),1,0)+IF(ISNUMBER(Table4424666569[[#This Row],[Post Total]]),1,0)=2,IF(IF(Table4424666569[[#This Row],[Student Number]]=C40,1,0)+IF(Table4424666569[[#This Row],[Session]]=B40,1,0)+IF(Table4424666569[[#This Row],[Pre or Post]]="Post",1,0)+IF(D40="Pre",1,0)=4,Table4424666569[[#This Row],[Post Total]]-K40,""),"")</f>
        <v>1</v>
      </c>
      <c r="P41" s="5" t="b">
        <f>ISNUMBER(Table4424666569[[#This Row],[Change]])</f>
        <v>1</v>
      </c>
      <c r="Q41" s="5">
        <f>IF(E40="Yes",Table4424666569[[#This Row],[Change]],"")</f>
        <v>1</v>
      </c>
      <c r="R41" s="5" t="str">
        <f>IF(E40="No",Table4424666569[[#This Row],[Change]],"")</f>
        <v/>
      </c>
      <c r="S41" s="5" t="b">
        <f>ISNUMBER(Table4424666569[[#This Row],[If Pre3 Yes]])</f>
        <v>1</v>
      </c>
      <c r="T41" s="5" t="b">
        <f>ISNUMBER(Table4424666569[[#This Row],[If Pre3 No]])</f>
        <v>0</v>
      </c>
    </row>
    <row r="42" spans="1:20">
      <c r="A42" s="1" t="s">
        <v>12</v>
      </c>
      <c r="B42" s="2" t="s">
        <v>21</v>
      </c>
      <c r="C42" s="1">
        <v>9</v>
      </c>
      <c r="D42" s="2" t="s">
        <v>6</v>
      </c>
      <c r="E42" s="5" t="s">
        <v>8</v>
      </c>
      <c r="F42" s="2">
        <v>11</v>
      </c>
      <c r="G42" s="1">
        <v>1</v>
      </c>
      <c r="H42" s="2" t="s">
        <v>8</v>
      </c>
      <c r="I42" s="6">
        <f>IF(IF(Table4424666569[[#This Row],[Pre or Post]]="Pre",1,0)+IF(ISNUMBER(Table4424666569[[#This Row],[Response]])=TRUE,1,0)=2,1,"")</f>
        <v>1</v>
      </c>
      <c r="J42" s="6" t="str">
        <f>IF(IF(Table4424666569[[#This Row],[Pre or Post]]="Post",1,0)+IF(ISNUMBER(Table4424666569[[#This Row],[Response]])=TRUE,1,0)=2,1,"")</f>
        <v/>
      </c>
      <c r="K42" s="6">
        <f>IF(IF(Table4424666569[[#This Row],[Pre or Post]]="Pre",1,0)+IF(ISNUMBER(Table4424666569[[#This Row],[Response]])=TRUE,1,0)=2,Table4424666569[[#This Row],[Response]],"")</f>
        <v>1</v>
      </c>
      <c r="L42" s="6" t="str">
        <f>IF(IF(Table4424666569[[#This Row],[Pre or Post]]="Post",1,0)+IF(ISNUMBER(Table4424666569[[#This Row],[Response]])=TRUE,1,0)=2,Table4424666569[[#This Row],[Response]],"")</f>
        <v/>
      </c>
      <c r="M42" s="6">
        <f>IF(IF(ISNUMBER(K42),1,0)+IF(ISNUMBER(L43),1,0)=2,IF(IF(C43=C42,1,0)+IF(B43=B42,1,0)+IF(D43="Post",1,0)+IF(D42="Pre",1,0)=4,Table4424666569[[#This Row],[Pre Total]],""),"")</f>
        <v>1</v>
      </c>
      <c r="N42" s="6" t="str">
        <f>IF(IF(ISNUMBER(K41),1,0)+IF(ISNUMBER(Table4424666569[[#This Row],[Post Total]]),1,0)=2,IF(IF(Table4424666569[[#This Row],[Student Number]]=C41,1,0)+IF(Table4424666569[[#This Row],[Session]]=B41,1,0)+IF(Table4424666569[[#This Row],[Pre or Post]]="Post",1,0)+IF(D41="Pre",1,0)=4,Table4424666569[[#This Row],[Post Total]],""),"")</f>
        <v/>
      </c>
      <c r="O42" s="6" t="str">
        <f>IF(IF(ISNUMBER(K41),1,0)+IF(ISNUMBER(Table4424666569[[#This Row],[Post Total]]),1,0)=2,IF(IF(Table4424666569[[#This Row],[Student Number]]=C41,1,0)+IF(Table4424666569[[#This Row],[Session]]=B41,1,0)+IF(Table4424666569[[#This Row],[Pre or Post]]="Post",1,0)+IF(D41="Pre",1,0)=4,Table4424666569[[#This Row],[Post Total]]-K41,""),"")</f>
        <v/>
      </c>
      <c r="P42" s="6" t="b">
        <f>ISNUMBER(Table4424666569[[#This Row],[Change]])</f>
        <v>0</v>
      </c>
      <c r="Q42" s="5" t="str">
        <f>IF(E41="Yes",Table4424666569[[#This Row],[Change]],"")</f>
        <v/>
      </c>
      <c r="R42" s="5" t="str">
        <f>IF(E41="No",Table4424666569[[#This Row],[Change]],"")</f>
        <v/>
      </c>
      <c r="S42" s="5" t="b">
        <f>ISNUMBER(Table4424666569[[#This Row],[If Pre3 Yes]])</f>
        <v>0</v>
      </c>
      <c r="T42" s="5" t="b">
        <f>ISNUMBER(Table4424666569[[#This Row],[If Pre3 No]])</f>
        <v>0</v>
      </c>
    </row>
    <row r="43" spans="1:20">
      <c r="A43" s="1" t="s">
        <v>12</v>
      </c>
      <c r="B43" s="2" t="s">
        <v>21</v>
      </c>
      <c r="C43" s="1">
        <v>9</v>
      </c>
      <c r="D43" s="2" t="s">
        <v>16</v>
      </c>
      <c r="E43" s="5" t="s">
        <v>171</v>
      </c>
      <c r="F43" s="1">
        <v>4</v>
      </c>
      <c r="G43" s="1">
        <v>5</v>
      </c>
      <c r="H43" s="2" t="s">
        <v>8</v>
      </c>
      <c r="I43" s="5" t="str">
        <f>IF(IF(Table4424666569[[#This Row],[Pre or Post]]="Pre",1,0)+IF(ISNUMBER(Table4424666569[[#This Row],[Response]])=TRUE,1,0)=2,1,"")</f>
        <v/>
      </c>
      <c r="J43" s="5">
        <f>IF(IF(Table4424666569[[#This Row],[Pre or Post]]="Post",1,0)+IF(ISNUMBER(Table4424666569[[#This Row],[Response]])=TRUE,1,0)=2,1,"")</f>
        <v>1</v>
      </c>
      <c r="K43" s="6" t="str">
        <f>IF(IF(Table4424666569[[#This Row],[Pre or Post]]="Pre",1,0)+IF(ISNUMBER(Table4424666569[[#This Row],[Response]])=TRUE,1,0)=2,Table4424666569[[#This Row],[Response]],"")</f>
        <v/>
      </c>
      <c r="L43" s="6">
        <f>IF(IF(Table4424666569[[#This Row],[Pre or Post]]="Post",1,0)+IF(ISNUMBER(Table4424666569[[#This Row],[Response]])=TRUE,1,0)=2,Table4424666569[[#This Row],[Response]],"")</f>
        <v>5</v>
      </c>
      <c r="M43" s="5" t="str">
        <f>IF(IF(ISNUMBER(K43),1,0)+IF(ISNUMBER(L44),1,0)=2,IF(IF(C44=C43,1,0)+IF(B44=B43,1,0)+IF(D44="Post",1,0)+IF(D43="Pre",1,0)=4,Table4424666569[[#This Row],[Pre Total]],""),"")</f>
        <v/>
      </c>
      <c r="N43" s="5">
        <f>IF(IF(ISNUMBER(K42),1,0)+IF(ISNUMBER(Table4424666569[[#This Row],[Post Total]]),1,0)=2,IF(IF(Table4424666569[[#This Row],[Student Number]]=C42,1,0)+IF(Table4424666569[[#This Row],[Session]]=B42,1,0)+IF(Table4424666569[[#This Row],[Pre or Post]]="Post",1,0)+IF(D42="Pre",1,0)=4,Table4424666569[[#This Row],[Post Total]],""),"")</f>
        <v>5</v>
      </c>
      <c r="O43" s="5">
        <f>IF(IF(ISNUMBER(K42),1,0)+IF(ISNUMBER(Table4424666569[[#This Row],[Post Total]]),1,0)=2,IF(IF(Table4424666569[[#This Row],[Student Number]]=C42,1,0)+IF(Table4424666569[[#This Row],[Session]]=B42,1,0)+IF(Table4424666569[[#This Row],[Pre or Post]]="Post",1,0)+IF(D42="Pre",1,0)=4,Table4424666569[[#This Row],[Post Total]]-K42,""),"")</f>
        <v>4</v>
      </c>
      <c r="P43" s="5" t="b">
        <f>ISNUMBER(Table4424666569[[#This Row],[Change]])</f>
        <v>1</v>
      </c>
      <c r="Q43" s="5">
        <f>IF(E42="Yes",Table4424666569[[#This Row],[Change]],"")</f>
        <v>4</v>
      </c>
      <c r="R43" s="5" t="str">
        <f>IF(E42="No",Table4424666569[[#This Row],[Change]],"")</f>
        <v/>
      </c>
      <c r="S43" s="5" t="b">
        <f>ISNUMBER(Table4424666569[[#This Row],[If Pre3 Yes]])</f>
        <v>1</v>
      </c>
      <c r="T43" s="5" t="b">
        <f>ISNUMBER(Table4424666569[[#This Row],[If Pre3 No]])</f>
        <v>0</v>
      </c>
    </row>
    <row r="44" spans="1:20">
      <c r="A44" s="1" t="s">
        <v>12</v>
      </c>
      <c r="B44" s="2" t="s">
        <v>21</v>
      </c>
      <c r="C44" s="1">
        <v>10</v>
      </c>
      <c r="D44" s="2" t="s">
        <v>6</v>
      </c>
      <c r="E44" s="5" t="s">
        <v>8</v>
      </c>
      <c r="F44" s="1">
        <v>11</v>
      </c>
      <c r="G44" s="1">
        <v>2</v>
      </c>
      <c r="H44" s="2" t="s">
        <v>8</v>
      </c>
      <c r="I44" s="5">
        <f>IF(IF(Table4424666569[[#This Row],[Pre or Post]]="Pre",1,0)+IF(ISNUMBER(Table4424666569[[#This Row],[Response]])=TRUE,1,0)=2,1,"")</f>
        <v>1</v>
      </c>
      <c r="J44" s="5" t="str">
        <f>IF(IF(Table4424666569[[#This Row],[Pre or Post]]="Post",1,0)+IF(ISNUMBER(Table4424666569[[#This Row],[Response]])=TRUE,1,0)=2,1,"")</f>
        <v/>
      </c>
      <c r="K44" s="6">
        <f>IF(IF(Table4424666569[[#This Row],[Pre or Post]]="Pre",1,0)+IF(ISNUMBER(Table4424666569[[#This Row],[Response]])=TRUE,1,0)=2,Table4424666569[[#This Row],[Response]],"")</f>
        <v>2</v>
      </c>
      <c r="L44" s="6" t="str">
        <f>IF(IF(Table4424666569[[#This Row],[Pre or Post]]="Post",1,0)+IF(ISNUMBER(Table4424666569[[#This Row],[Response]])=TRUE,1,0)=2,Table4424666569[[#This Row],[Response]],"")</f>
        <v/>
      </c>
      <c r="M44" s="5">
        <f>IF(IF(ISNUMBER(K44),1,0)+IF(ISNUMBER(L45),1,0)=2,IF(IF(C45=C44,1,0)+IF(B45=B44,1,0)+IF(D45="Post",1,0)+IF(D44="Pre",1,0)=4,Table4424666569[[#This Row],[Pre Total]],""),"")</f>
        <v>2</v>
      </c>
      <c r="N44" s="5" t="str">
        <f>IF(IF(ISNUMBER(K43),1,0)+IF(ISNUMBER(Table4424666569[[#This Row],[Post Total]]),1,0)=2,IF(IF(Table4424666569[[#This Row],[Student Number]]=C43,1,0)+IF(Table4424666569[[#This Row],[Session]]=B43,1,0)+IF(Table4424666569[[#This Row],[Pre or Post]]="Post",1,0)+IF(D43="Pre",1,0)=4,Table4424666569[[#This Row],[Post Total]],""),"")</f>
        <v/>
      </c>
      <c r="O44" s="5" t="str">
        <f>IF(IF(ISNUMBER(K43),1,0)+IF(ISNUMBER(Table4424666569[[#This Row],[Post Total]]),1,0)=2,IF(IF(Table4424666569[[#This Row],[Student Number]]=C43,1,0)+IF(Table4424666569[[#This Row],[Session]]=B43,1,0)+IF(Table4424666569[[#This Row],[Pre or Post]]="Post",1,0)+IF(D43="Pre",1,0)=4,Table4424666569[[#This Row],[Post Total]]-K43,""),"")</f>
        <v/>
      </c>
      <c r="P44" s="5" t="b">
        <f>ISNUMBER(Table4424666569[[#This Row],[Change]])</f>
        <v>0</v>
      </c>
      <c r="Q44" s="5" t="str">
        <f>IF(E43="Yes",Table4424666569[[#This Row],[Change]],"")</f>
        <v/>
      </c>
      <c r="R44" s="5" t="str">
        <f>IF(E43="No",Table4424666569[[#This Row],[Change]],"")</f>
        <v/>
      </c>
      <c r="S44" s="5" t="b">
        <f>ISNUMBER(Table4424666569[[#This Row],[If Pre3 Yes]])</f>
        <v>0</v>
      </c>
      <c r="T44" s="5" t="b">
        <f>ISNUMBER(Table4424666569[[#This Row],[If Pre3 No]])</f>
        <v>0</v>
      </c>
    </row>
    <row r="45" spans="1:20">
      <c r="A45" s="1" t="s">
        <v>12</v>
      </c>
      <c r="B45" s="2" t="s">
        <v>21</v>
      </c>
      <c r="C45" s="1">
        <v>10</v>
      </c>
      <c r="D45" s="2" t="s">
        <v>16</v>
      </c>
      <c r="E45" s="5" t="s">
        <v>171</v>
      </c>
      <c r="F45" s="1">
        <v>4</v>
      </c>
      <c r="G45" s="1">
        <v>1</v>
      </c>
      <c r="H45" s="2" t="s">
        <v>8</v>
      </c>
      <c r="I45" s="5" t="str">
        <f>IF(IF(Table4424666569[[#This Row],[Pre or Post]]="Pre",1,0)+IF(ISNUMBER(Table4424666569[[#This Row],[Response]])=TRUE,1,0)=2,1,"")</f>
        <v/>
      </c>
      <c r="J45" s="5">
        <f>IF(IF(Table4424666569[[#This Row],[Pre or Post]]="Post",1,0)+IF(ISNUMBER(Table4424666569[[#This Row],[Response]])=TRUE,1,0)=2,1,"")</f>
        <v>1</v>
      </c>
      <c r="K45" s="6" t="str">
        <f>IF(IF(Table4424666569[[#This Row],[Pre or Post]]="Pre",1,0)+IF(ISNUMBER(Table4424666569[[#This Row],[Response]])=TRUE,1,0)=2,Table4424666569[[#This Row],[Response]],"")</f>
        <v/>
      </c>
      <c r="L45" s="6">
        <f>IF(IF(Table4424666569[[#This Row],[Pre or Post]]="Post",1,0)+IF(ISNUMBER(Table4424666569[[#This Row],[Response]])=TRUE,1,0)=2,Table4424666569[[#This Row],[Response]],"")</f>
        <v>1</v>
      </c>
      <c r="M45" s="5" t="str">
        <f>IF(IF(ISNUMBER(K45),1,0)+IF(ISNUMBER(L46),1,0)=2,IF(IF(C46=C45,1,0)+IF(B46=B45,1,0)+IF(D46="Post",1,0)+IF(D45="Pre",1,0)=4,Table4424666569[[#This Row],[Pre Total]],""),"")</f>
        <v/>
      </c>
      <c r="N45" s="5">
        <f>IF(IF(ISNUMBER(K44),1,0)+IF(ISNUMBER(Table4424666569[[#This Row],[Post Total]]),1,0)=2,IF(IF(Table4424666569[[#This Row],[Student Number]]=C44,1,0)+IF(Table4424666569[[#This Row],[Session]]=B44,1,0)+IF(Table4424666569[[#This Row],[Pre or Post]]="Post",1,0)+IF(D44="Pre",1,0)=4,Table4424666569[[#This Row],[Post Total]],""),"")</f>
        <v>1</v>
      </c>
      <c r="O45" s="5">
        <f>IF(IF(ISNUMBER(K44),1,0)+IF(ISNUMBER(Table4424666569[[#This Row],[Post Total]]),1,0)=2,IF(IF(Table4424666569[[#This Row],[Student Number]]=C44,1,0)+IF(Table4424666569[[#This Row],[Session]]=B44,1,0)+IF(Table4424666569[[#This Row],[Pre or Post]]="Post",1,0)+IF(D44="Pre",1,0)=4,Table4424666569[[#This Row],[Post Total]]-K44,""),"")</f>
        <v>-1</v>
      </c>
      <c r="P45" s="5" t="b">
        <f>ISNUMBER(Table4424666569[[#This Row],[Change]])</f>
        <v>1</v>
      </c>
      <c r="Q45" s="5">
        <f>IF(E44="Yes",Table4424666569[[#This Row],[Change]],"")</f>
        <v>-1</v>
      </c>
      <c r="R45" s="5" t="str">
        <f>IF(E44="No",Table4424666569[[#This Row],[Change]],"")</f>
        <v/>
      </c>
      <c r="S45" s="5" t="b">
        <f>ISNUMBER(Table4424666569[[#This Row],[If Pre3 Yes]])</f>
        <v>1</v>
      </c>
      <c r="T45" s="5" t="b">
        <f>ISNUMBER(Table4424666569[[#This Row],[If Pre3 No]])</f>
        <v>0</v>
      </c>
    </row>
    <row r="46" spans="1:20">
      <c r="A46" s="1" t="s">
        <v>12</v>
      </c>
      <c r="B46" s="2" t="s">
        <v>21</v>
      </c>
      <c r="C46" s="1">
        <v>11</v>
      </c>
      <c r="D46" s="2" t="s">
        <v>6</v>
      </c>
      <c r="E46" s="5" t="s">
        <v>8</v>
      </c>
      <c r="F46" s="2">
        <v>11</v>
      </c>
      <c r="G46" s="1">
        <v>4</v>
      </c>
      <c r="H46" s="2" t="s">
        <v>8</v>
      </c>
      <c r="I46" s="6">
        <f>IF(IF(Table4424666569[[#This Row],[Pre or Post]]="Pre",1,0)+IF(ISNUMBER(Table4424666569[[#This Row],[Response]])=TRUE,1,0)=2,1,"")</f>
        <v>1</v>
      </c>
      <c r="J46" s="6" t="str">
        <f>IF(IF(Table4424666569[[#This Row],[Pre or Post]]="Post",1,0)+IF(ISNUMBER(Table4424666569[[#This Row],[Response]])=TRUE,1,0)=2,1,"")</f>
        <v/>
      </c>
      <c r="K46" s="6">
        <f>IF(IF(Table4424666569[[#This Row],[Pre or Post]]="Pre",1,0)+IF(ISNUMBER(Table4424666569[[#This Row],[Response]])=TRUE,1,0)=2,Table4424666569[[#This Row],[Response]],"")</f>
        <v>4</v>
      </c>
      <c r="L46" s="6" t="str">
        <f>IF(IF(Table4424666569[[#This Row],[Pre or Post]]="Post",1,0)+IF(ISNUMBER(Table4424666569[[#This Row],[Response]])=TRUE,1,0)=2,Table4424666569[[#This Row],[Response]],"")</f>
        <v/>
      </c>
      <c r="M46" s="6">
        <f>IF(IF(ISNUMBER(K46),1,0)+IF(ISNUMBER(L47),1,0)=2,IF(IF(C47=C46,1,0)+IF(B47=B46,1,0)+IF(D47="Post",1,0)+IF(D46="Pre",1,0)=4,Table4424666569[[#This Row],[Pre Total]],""),"")</f>
        <v>4</v>
      </c>
      <c r="N46" s="6" t="str">
        <f>IF(IF(ISNUMBER(K45),1,0)+IF(ISNUMBER(Table4424666569[[#This Row],[Post Total]]),1,0)=2,IF(IF(Table4424666569[[#This Row],[Student Number]]=C45,1,0)+IF(Table4424666569[[#This Row],[Session]]=B45,1,0)+IF(Table4424666569[[#This Row],[Pre or Post]]="Post",1,0)+IF(D45="Pre",1,0)=4,Table4424666569[[#This Row],[Post Total]],""),"")</f>
        <v/>
      </c>
      <c r="O46" s="6" t="str">
        <f>IF(IF(ISNUMBER(K45),1,0)+IF(ISNUMBER(Table4424666569[[#This Row],[Post Total]]),1,0)=2,IF(IF(Table4424666569[[#This Row],[Student Number]]=C45,1,0)+IF(Table4424666569[[#This Row],[Session]]=B45,1,0)+IF(Table4424666569[[#This Row],[Pre or Post]]="Post",1,0)+IF(D45="Pre",1,0)=4,Table4424666569[[#This Row],[Post Total]]-K45,""),"")</f>
        <v/>
      </c>
      <c r="P46" s="6" t="b">
        <f>ISNUMBER(Table4424666569[[#This Row],[Change]])</f>
        <v>0</v>
      </c>
      <c r="Q46" s="5" t="str">
        <f>IF(E45="Yes",Table4424666569[[#This Row],[Change]],"")</f>
        <v/>
      </c>
      <c r="R46" s="5" t="str">
        <f>IF(E45="No",Table4424666569[[#This Row],[Change]],"")</f>
        <v/>
      </c>
      <c r="S46" s="5" t="b">
        <f>ISNUMBER(Table4424666569[[#This Row],[If Pre3 Yes]])</f>
        <v>0</v>
      </c>
      <c r="T46" s="5" t="b">
        <f>ISNUMBER(Table4424666569[[#This Row],[If Pre3 No]])</f>
        <v>0</v>
      </c>
    </row>
    <row r="47" spans="1:20">
      <c r="A47" s="1" t="s">
        <v>12</v>
      </c>
      <c r="B47" s="2" t="s">
        <v>21</v>
      </c>
      <c r="C47" s="1">
        <v>11</v>
      </c>
      <c r="D47" s="2" t="s">
        <v>16</v>
      </c>
      <c r="E47" s="5" t="s">
        <v>171</v>
      </c>
      <c r="F47" s="1">
        <v>4</v>
      </c>
      <c r="G47" s="1">
        <v>4</v>
      </c>
      <c r="H47" s="2" t="s">
        <v>8</v>
      </c>
      <c r="I47" s="5" t="str">
        <f>IF(IF(Table4424666569[[#This Row],[Pre or Post]]="Pre",1,0)+IF(ISNUMBER(Table4424666569[[#This Row],[Response]])=TRUE,1,0)=2,1,"")</f>
        <v/>
      </c>
      <c r="J47" s="5">
        <f>IF(IF(Table4424666569[[#This Row],[Pre or Post]]="Post",1,0)+IF(ISNUMBER(Table4424666569[[#This Row],[Response]])=TRUE,1,0)=2,1,"")</f>
        <v>1</v>
      </c>
      <c r="K47" s="6" t="str">
        <f>IF(IF(Table4424666569[[#This Row],[Pre or Post]]="Pre",1,0)+IF(ISNUMBER(Table4424666569[[#This Row],[Response]])=TRUE,1,0)=2,Table4424666569[[#This Row],[Response]],"")</f>
        <v/>
      </c>
      <c r="L47" s="6">
        <f>IF(IF(Table4424666569[[#This Row],[Pre or Post]]="Post",1,0)+IF(ISNUMBER(Table4424666569[[#This Row],[Response]])=TRUE,1,0)=2,Table4424666569[[#This Row],[Response]],"")</f>
        <v>4</v>
      </c>
      <c r="M47" s="5" t="str">
        <f>IF(IF(ISNUMBER(K47),1,0)+IF(ISNUMBER(L48),1,0)=2,IF(IF(C48=C47,1,0)+IF(B48=B47,1,0)+IF(D48="Post",1,0)+IF(D47="Pre",1,0)=4,Table4424666569[[#This Row],[Pre Total]],""),"")</f>
        <v/>
      </c>
      <c r="N47" s="5">
        <f>IF(IF(ISNUMBER(K46),1,0)+IF(ISNUMBER(Table4424666569[[#This Row],[Post Total]]),1,0)=2,IF(IF(Table4424666569[[#This Row],[Student Number]]=C46,1,0)+IF(Table4424666569[[#This Row],[Session]]=B46,1,0)+IF(Table4424666569[[#This Row],[Pre or Post]]="Post",1,0)+IF(D46="Pre",1,0)=4,Table4424666569[[#This Row],[Post Total]],""),"")</f>
        <v>4</v>
      </c>
      <c r="O47" s="5">
        <f>IF(IF(ISNUMBER(K46),1,0)+IF(ISNUMBER(Table4424666569[[#This Row],[Post Total]]),1,0)=2,IF(IF(Table4424666569[[#This Row],[Student Number]]=C46,1,0)+IF(Table4424666569[[#This Row],[Session]]=B46,1,0)+IF(Table4424666569[[#This Row],[Pre or Post]]="Post",1,0)+IF(D46="Pre",1,0)=4,Table4424666569[[#This Row],[Post Total]]-K46,""),"")</f>
        <v>0</v>
      </c>
      <c r="P47" s="5" t="b">
        <f>ISNUMBER(Table4424666569[[#This Row],[Change]])</f>
        <v>1</v>
      </c>
      <c r="Q47" s="5">
        <f>IF(E46="Yes",Table4424666569[[#This Row],[Change]],"")</f>
        <v>0</v>
      </c>
      <c r="R47" s="5" t="str">
        <f>IF(E46="No",Table4424666569[[#This Row],[Change]],"")</f>
        <v/>
      </c>
      <c r="S47" s="5" t="b">
        <f>ISNUMBER(Table4424666569[[#This Row],[If Pre3 Yes]])</f>
        <v>1</v>
      </c>
      <c r="T47" s="5" t="b">
        <f>ISNUMBER(Table4424666569[[#This Row],[If Pre3 No]])</f>
        <v>0</v>
      </c>
    </row>
    <row r="48" spans="1:20">
      <c r="A48" s="1" t="s">
        <v>12</v>
      </c>
      <c r="B48" s="2" t="s">
        <v>21</v>
      </c>
      <c r="C48" s="1">
        <v>12</v>
      </c>
      <c r="D48" s="2" t="s">
        <v>6</v>
      </c>
      <c r="E48" s="5" t="s">
        <v>8</v>
      </c>
      <c r="F48" s="1">
        <v>11</v>
      </c>
      <c r="G48" s="1">
        <v>1</v>
      </c>
      <c r="H48" s="2" t="s">
        <v>8</v>
      </c>
      <c r="I48" s="5">
        <f>IF(IF(Table4424666569[[#This Row],[Pre or Post]]="Pre",1,0)+IF(ISNUMBER(Table4424666569[[#This Row],[Response]])=TRUE,1,0)=2,1,"")</f>
        <v>1</v>
      </c>
      <c r="J48" s="5" t="str">
        <f>IF(IF(Table4424666569[[#This Row],[Pre or Post]]="Post",1,0)+IF(ISNUMBER(Table4424666569[[#This Row],[Response]])=TRUE,1,0)=2,1,"")</f>
        <v/>
      </c>
      <c r="K48" s="6">
        <f>IF(IF(Table4424666569[[#This Row],[Pre or Post]]="Pre",1,0)+IF(ISNUMBER(Table4424666569[[#This Row],[Response]])=TRUE,1,0)=2,Table4424666569[[#This Row],[Response]],"")</f>
        <v>1</v>
      </c>
      <c r="L48" s="6" t="str">
        <f>IF(IF(Table4424666569[[#This Row],[Pre or Post]]="Post",1,0)+IF(ISNUMBER(Table4424666569[[#This Row],[Response]])=TRUE,1,0)=2,Table4424666569[[#This Row],[Response]],"")</f>
        <v/>
      </c>
      <c r="M48" s="5">
        <f>IF(IF(ISNUMBER(K48),1,0)+IF(ISNUMBER(L49),1,0)=2,IF(IF(C49=C48,1,0)+IF(B49=B48,1,0)+IF(D49="Post",1,0)+IF(D48="Pre",1,0)=4,Table4424666569[[#This Row],[Pre Total]],""),"")</f>
        <v>1</v>
      </c>
      <c r="N48" s="5" t="str">
        <f>IF(IF(ISNUMBER(K47),1,0)+IF(ISNUMBER(Table4424666569[[#This Row],[Post Total]]),1,0)=2,IF(IF(Table4424666569[[#This Row],[Student Number]]=C47,1,0)+IF(Table4424666569[[#This Row],[Session]]=B47,1,0)+IF(Table4424666569[[#This Row],[Pre or Post]]="Post",1,0)+IF(D47="Pre",1,0)=4,Table4424666569[[#This Row],[Post Total]],""),"")</f>
        <v/>
      </c>
      <c r="O48" s="5" t="str">
        <f>IF(IF(ISNUMBER(K47),1,0)+IF(ISNUMBER(Table4424666569[[#This Row],[Post Total]]),1,0)=2,IF(IF(Table4424666569[[#This Row],[Student Number]]=C47,1,0)+IF(Table4424666569[[#This Row],[Session]]=B47,1,0)+IF(Table4424666569[[#This Row],[Pre or Post]]="Post",1,0)+IF(D47="Pre",1,0)=4,Table4424666569[[#This Row],[Post Total]]-K47,""),"")</f>
        <v/>
      </c>
      <c r="P48" s="5" t="b">
        <f>ISNUMBER(Table4424666569[[#This Row],[Change]])</f>
        <v>0</v>
      </c>
      <c r="Q48" s="5" t="str">
        <f>IF(E47="Yes",Table4424666569[[#This Row],[Change]],"")</f>
        <v/>
      </c>
      <c r="R48" s="5" t="str">
        <f>IF(E47="No",Table4424666569[[#This Row],[Change]],"")</f>
        <v/>
      </c>
      <c r="S48" s="5" t="b">
        <f>ISNUMBER(Table4424666569[[#This Row],[If Pre3 Yes]])</f>
        <v>0</v>
      </c>
      <c r="T48" s="5" t="b">
        <f>ISNUMBER(Table4424666569[[#This Row],[If Pre3 No]])</f>
        <v>0</v>
      </c>
    </row>
    <row r="49" spans="1:20">
      <c r="A49" s="1" t="s">
        <v>12</v>
      </c>
      <c r="B49" s="2" t="s">
        <v>21</v>
      </c>
      <c r="C49" s="1">
        <v>12</v>
      </c>
      <c r="D49" s="2" t="s">
        <v>16</v>
      </c>
      <c r="E49" s="5" t="s">
        <v>171</v>
      </c>
      <c r="F49" s="1">
        <v>4</v>
      </c>
      <c r="G49" s="1">
        <v>1</v>
      </c>
      <c r="H49" s="2" t="s">
        <v>8</v>
      </c>
      <c r="I49" s="5" t="str">
        <f>IF(IF(Table4424666569[[#This Row],[Pre or Post]]="Pre",1,0)+IF(ISNUMBER(Table4424666569[[#This Row],[Response]])=TRUE,1,0)=2,1,"")</f>
        <v/>
      </c>
      <c r="J49" s="5">
        <f>IF(IF(Table4424666569[[#This Row],[Pre or Post]]="Post",1,0)+IF(ISNUMBER(Table4424666569[[#This Row],[Response]])=TRUE,1,0)=2,1,"")</f>
        <v>1</v>
      </c>
      <c r="K49" s="6" t="str">
        <f>IF(IF(Table4424666569[[#This Row],[Pre or Post]]="Pre",1,0)+IF(ISNUMBER(Table4424666569[[#This Row],[Response]])=TRUE,1,0)=2,Table4424666569[[#This Row],[Response]],"")</f>
        <v/>
      </c>
      <c r="L49" s="6">
        <f>IF(IF(Table4424666569[[#This Row],[Pre or Post]]="Post",1,0)+IF(ISNUMBER(Table4424666569[[#This Row],[Response]])=TRUE,1,0)=2,Table4424666569[[#This Row],[Response]],"")</f>
        <v>1</v>
      </c>
      <c r="M49" s="5" t="str">
        <f>IF(IF(ISNUMBER(K49),1,0)+IF(ISNUMBER(L50),1,0)=2,IF(IF(C50=C49,1,0)+IF(B50=B49,1,0)+IF(D50="Post",1,0)+IF(D49="Pre",1,0)=4,Table4424666569[[#This Row],[Pre Total]],""),"")</f>
        <v/>
      </c>
      <c r="N49" s="5">
        <f>IF(IF(ISNUMBER(K48),1,0)+IF(ISNUMBER(Table4424666569[[#This Row],[Post Total]]),1,0)=2,IF(IF(Table4424666569[[#This Row],[Student Number]]=C48,1,0)+IF(Table4424666569[[#This Row],[Session]]=B48,1,0)+IF(Table4424666569[[#This Row],[Pre or Post]]="Post",1,0)+IF(D48="Pre",1,0)=4,Table4424666569[[#This Row],[Post Total]],""),"")</f>
        <v>1</v>
      </c>
      <c r="O49" s="5">
        <f>IF(IF(ISNUMBER(K48),1,0)+IF(ISNUMBER(Table4424666569[[#This Row],[Post Total]]),1,0)=2,IF(IF(Table4424666569[[#This Row],[Student Number]]=C48,1,0)+IF(Table4424666569[[#This Row],[Session]]=B48,1,0)+IF(Table4424666569[[#This Row],[Pre or Post]]="Post",1,0)+IF(D48="Pre",1,0)=4,Table4424666569[[#This Row],[Post Total]]-K48,""),"")</f>
        <v>0</v>
      </c>
      <c r="P49" s="5" t="b">
        <f>ISNUMBER(Table4424666569[[#This Row],[Change]])</f>
        <v>1</v>
      </c>
      <c r="Q49" s="5">
        <f>IF(E48="Yes",Table4424666569[[#This Row],[Change]],"")</f>
        <v>0</v>
      </c>
      <c r="R49" s="5" t="str">
        <f>IF(E48="No",Table4424666569[[#This Row],[Change]],"")</f>
        <v/>
      </c>
      <c r="S49" s="5" t="b">
        <f>ISNUMBER(Table4424666569[[#This Row],[If Pre3 Yes]])</f>
        <v>1</v>
      </c>
      <c r="T49" s="5" t="b">
        <f>ISNUMBER(Table4424666569[[#This Row],[If Pre3 No]])</f>
        <v>0</v>
      </c>
    </row>
    <row r="50" spans="1:20">
      <c r="A50" s="1" t="s">
        <v>12</v>
      </c>
      <c r="B50" s="2" t="s">
        <v>21</v>
      </c>
      <c r="C50" s="1">
        <v>13</v>
      </c>
      <c r="D50" s="2" t="s">
        <v>6</v>
      </c>
      <c r="E50" s="5" t="s">
        <v>8</v>
      </c>
      <c r="F50" s="2">
        <v>11</v>
      </c>
      <c r="G50" s="1">
        <v>4</v>
      </c>
      <c r="H50" s="2" t="s">
        <v>8</v>
      </c>
      <c r="I50" s="6">
        <f>IF(IF(Table4424666569[[#This Row],[Pre or Post]]="Pre",1,0)+IF(ISNUMBER(Table4424666569[[#This Row],[Response]])=TRUE,1,0)=2,1,"")</f>
        <v>1</v>
      </c>
      <c r="J50" s="6" t="str">
        <f>IF(IF(Table4424666569[[#This Row],[Pre or Post]]="Post",1,0)+IF(ISNUMBER(Table4424666569[[#This Row],[Response]])=TRUE,1,0)=2,1,"")</f>
        <v/>
      </c>
      <c r="K50" s="6">
        <f>IF(IF(Table4424666569[[#This Row],[Pre or Post]]="Pre",1,0)+IF(ISNUMBER(Table4424666569[[#This Row],[Response]])=TRUE,1,0)=2,Table4424666569[[#This Row],[Response]],"")</f>
        <v>4</v>
      </c>
      <c r="L50" s="6" t="str">
        <f>IF(IF(Table4424666569[[#This Row],[Pre or Post]]="Post",1,0)+IF(ISNUMBER(Table4424666569[[#This Row],[Response]])=TRUE,1,0)=2,Table4424666569[[#This Row],[Response]],"")</f>
        <v/>
      </c>
      <c r="M50" s="6">
        <f>IF(IF(ISNUMBER(K50),1,0)+IF(ISNUMBER(L51),1,0)=2,IF(IF(C51=C50,1,0)+IF(B51=B50,1,0)+IF(D51="Post",1,0)+IF(D50="Pre",1,0)=4,Table4424666569[[#This Row],[Pre Total]],""),"")</f>
        <v>4</v>
      </c>
      <c r="N50" s="6" t="str">
        <f>IF(IF(ISNUMBER(K49),1,0)+IF(ISNUMBER(Table4424666569[[#This Row],[Post Total]]),1,0)=2,IF(IF(Table4424666569[[#This Row],[Student Number]]=C49,1,0)+IF(Table4424666569[[#This Row],[Session]]=B49,1,0)+IF(Table4424666569[[#This Row],[Pre or Post]]="Post",1,0)+IF(D49="Pre",1,0)=4,Table4424666569[[#This Row],[Post Total]],""),"")</f>
        <v/>
      </c>
      <c r="O50" s="6" t="str">
        <f>IF(IF(ISNUMBER(K49),1,0)+IF(ISNUMBER(Table4424666569[[#This Row],[Post Total]]),1,0)=2,IF(IF(Table4424666569[[#This Row],[Student Number]]=C49,1,0)+IF(Table4424666569[[#This Row],[Session]]=B49,1,0)+IF(Table4424666569[[#This Row],[Pre or Post]]="Post",1,0)+IF(D49="Pre",1,0)=4,Table4424666569[[#This Row],[Post Total]]-K49,""),"")</f>
        <v/>
      </c>
      <c r="P50" s="6" t="b">
        <f>ISNUMBER(Table4424666569[[#This Row],[Change]])</f>
        <v>0</v>
      </c>
      <c r="Q50" s="5" t="str">
        <f>IF(E49="Yes",Table4424666569[[#This Row],[Change]],"")</f>
        <v/>
      </c>
      <c r="R50" s="5" t="str">
        <f>IF(E49="No",Table4424666569[[#This Row],[Change]],"")</f>
        <v/>
      </c>
      <c r="S50" s="5" t="b">
        <f>ISNUMBER(Table4424666569[[#This Row],[If Pre3 Yes]])</f>
        <v>0</v>
      </c>
      <c r="T50" s="5" t="b">
        <f>ISNUMBER(Table4424666569[[#This Row],[If Pre3 No]])</f>
        <v>0</v>
      </c>
    </row>
    <row r="51" spans="1:20">
      <c r="A51" s="1" t="s">
        <v>12</v>
      </c>
      <c r="B51" s="2" t="s">
        <v>21</v>
      </c>
      <c r="C51" s="1">
        <v>13</v>
      </c>
      <c r="D51" s="2" t="s">
        <v>16</v>
      </c>
      <c r="E51" s="5" t="s">
        <v>171</v>
      </c>
      <c r="F51" s="1">
        <v>4</v>
      </c>
      <c r="G51" s="1">
        <v>5</v>
      </c>
      <c r="H51" s="2" t="s">
        <v>8</v>
      </c>
      <c r="I51" s="5" t="str">
        <f>IF(IF(Table4424666569[[#This Row],[Pre or Post]]="Pre",1,0)+IF(ISNUMBER(Table4424666569[[#This Row],[Response]])=TRUE,1,0)=2,1,"")</f>
        <v/>
      </c>
      <c r="J51" s="5">
        <f>IF(IF(Table4424666569[[#This Row],[Pre or Post]]="Post",1,0)+IF(ISNUMBER(Table4424666569[[#This Row],[Response]])=TRUE,1,0)=2,1,"")</f>
        <v>1</v>
      </c>
      <c r="K51" s="6" t="str">
        <f>IF(IF(Table4424666569[[#This Row],[Pre or Post]]="Pre",1,0)+IF(ISNUMBER(Table4424666569[[#This Row],[Response]])=TRUE,1,0)=2,Table4424666569[[#This Row],[Response]],"")</f>
        <v/>
      </c>
      <c r="L51" s="6">
        <f>IF(IF(Table4424666569[[#This Row],[Pre or Post]]="Post",1,0)+IF(ISNUMBER(Table4424666569[[#This Row],[Response]])=TRUE,1,0)=2,Table4424666569[[#This Row],[Response]],"")</f>
        <v>5</v>
      </c>
      <c r="M51" s="5" t="str">
        <f>IF(IF(ISNUMBER(K51),1,0)+IF(ISNUMBER(L52),1,0)=2,IF(IF(C52=C51,1,0)+IF(B52=B51,1,0)+IF(D52="Post",1,0)+IF(D51="Pre",1,0)=4,Table4424666569[[#This Row],[Pre Total]],""),"")</f>
        <v/>
      </c>
      <c r="N51" s="5">
        <f>IF(IF(ISNUMBER(K50),1,0)+IF(ISNUMBER(Table4424666569[[#This Row],[Post Total]]),1,0)=2,IF(IF(Table4424666569[[#This Row],[Student Number]]=C50,1,0)+IF(Table4424666569[[#This Row],[Session]]=B50,1,0)+IF(Table4424666569[[#This Row],[Pre or Post]]="Post",1,0)+IF(D50="Pre",1,0)=4,Table4424666569[[#This Row],[Post Total]],""),"")</f>
        <v>5</v>
      </c>
      <c r="O51" s="5">
        <f>IF(IF(ISNUMBER(K50),1,0)+IF(ISNUMBER(Table4424666569[[#This Row],[Post Total]]),1,0)=2,IF(IF(Table4424666569[[#This Row],[Student Number]]=C50,1,0)+IF(Table4424666569[[#This Row],[Session]]=B50,1,0)+IF(Table4424666569[[#This Row],[Pre or Post]]="Post",1,0)+IF(D50="Pre",1,0)=4,Table4424666569[[#This Row],[Post Total]]-K50,""),"")</f>
        <v>1</v>
      </c>
      <c r="P51" s="5" t="b">
        <f>ISNUMBER(Table4424666569[[#This Row],[Change]])</f>
        <v>1</v>
      </c>
      <c r="Q51" s="5">
        <f>IF(E50="Yes",Table4424666569[[#This Row],[Change]],"")</f>
        <v>1</v>
      </c>
      <c r="R51" s="5" t="str">
        <f>IF(E50="No",Table4424666569[[#This Row],[Change]],"")</f>
        <v/>
      </c>
      <c r="S51" s="5" t="b">
        <f>ISNUMBER(Table4424666569[[#This Row],[If Pre3 Yes]])</f>
        <v>1</v>
      </c>
      <c r="T51" s="5" t="b">
        <f>ISNUMBER(Table4424666569[[#This Row],[If Pre3 No]])</f>
        <v>0</v>
      </c>
    </row>
    <row r="52" spans="1:20">
      <c r="A52" s="1" t="s">
        <v>12</v>
      </c>
      <c r="B52" s="2" t="s">
        <v>21</v>
      </c>
      <c r="C52" s="1">
        <v>14</v>
      </c>
      <c r="D52" s="2" t="s">
        <v>6</v>
      </c>
      <c r="E52" s="5" t="s">
        <v>8</v>
      </c>
      <c r="F52" s="1">
        <v>11</v>
      </c>
      <c r="G52" s="1">
        <v>2</v>
      </c>
      <c r="H52" s="2" t="s">
        <v>8</v>
      </c>
      <c r="I52" s="5">
        <f>IF(IF(Table4424666569[[#This Row],[Pre or Post]]="Pre",1,0)+IF(ISNUMBER(Table4424666569[[#This Row],[Response]])=TRUE,1,0)=2,1,"")</f>
        <v>1</v>
      </c>
      <c r="J52" s="5" t="str">
        <f>IF(IF(Table4424666569[[#This Row],[Pre or Post]]="Post",1,0)+IF(ISNUMBER(Table4424666569[[#This Row],[Response]])=TRUE,1,0)=2,1,"")</f>
        <v/>
      </c>
      <c r="K52" s="6">
        <f>IF(IF(Table4424666569[[#This Row],[Pre or Post]]="Pre",1,0)+IF(ISNUMBER(Table4424666569[[#This Row],[Response]])=TRUE,1,0)=2,Table4424666569[[#This Row],[Response]],"")</f>
        <v>2</v>
      </c>
      <c r="L52" s="6" t="str">
        <f>IF(IF(Table4424666569[[#This Row],[Pre or Post]]="Post",1,0)+IF(ISNUMBER(Table4424666569[[#This Row],[Response]])=TRUE,1,0)=2,Table4424666569[[#This Row],[Response]],"")</f>
        <v/>
      </c>
      <c r="M52" s="5">
        <f>IF(IF(ISNUMBER(K52),1,0)+IF(ISNUMBER(L53),1,0)=2,IF(IF(C53=C52,1,0)+IF(B53=B52,1,0)+IF(D53="Post",1,0)+IF(D52="Pre",1,0)=4,Table4424666569[[#This Row],[Pre Total]],""),"")</f>
        <v>2</v>
      </c>
      <c r="N52" s="5" t="str">
        <f>IF(IF(ISNUMBER(K51),1,0)+IF(ISNUMBER(Table4424666569[[#This Row],[Post Total]]),1,0)=2,IF(IF(Table4424666569[[#This Row],[Student Number]]=C51,1,0)+IF(Table4424666569[[#This Row],[Session]]=B51,1,0)+IF(Table4424666569[[#This Row],[Pre or Post]]="Post",1,0)+IF(D51="Pre",1,0)=4,Table4424666569[[#This Row],[Post Total]],""),"")</f>
        <v/>
      </c>
      <c r="O52" s="5" t="str">
        <f>IF(IF(ISNUMBER(K51),1,0)+IF(ISNUMBER(Table4424666569[[#This Row],[Post Total]]),1,0)=2,IF(IF(Table4424666569[[#This Row],[Student Number]]=C51,1,0)+IF(Table4424666569[[#This Row],[Session]]=B51,1,0)+IF(Table4424666569[[#This Row],[Pre or Post]]="Post",1,0)+IF(D51="Pre",1,0)=4,Table4424666569[[#This Row],[Post Total]]-K51,""),"")</f>
        <v/>
      </c>
      <c r="P52" s="5" t="b">
        <f>ISNUMBER(Table4424666569[[#This Row],[Change]])</f>
        <v>0</v>
      </c>
      <c r="Q52" s="5" t="str">
        <f>IF(E51="Yes",Table4424666569[[#This Row],[Change]],"")</f>
        <v/>
      </c>
      <c r="R52" s="5" t="str">
        <f>IF(E51="No",Table4424666569[[#This Row],[Change]],"")</f>
        <v/>
      </c>
      <c r="S52" s="5" t="b">
        <f>ISNUMBER(Table4424666569[[#This Row],[If Pre3 Yes]])</f>
        <v>0</v>
      </c>
      <c r="T52" s="5" t="b">
        <f>ISNUMBER(Table4424666569[[#This Row],[If Pre3 No]])</f>
        <v>0</v>
      </c>
    </row>
    <row r="53" spans="1:20">
      <c r="A53" s="1" t="s">
        <v>12</v>
      </c>
      <c r="B53" s="2" t="s">
        <v>21</v>
      </c>
      <c r="C53" s="1">
        <v>14</v>
      </c>
      <c r="D53" s="2" t="s">
        <v>16</v>
      </c>
      <c r="E53" s="5" t="s">
        <v>171</v>
      </c>
      <c r="F53" s="1">
        <v>4</v>
      </c>
      <c r="G53" s="1">
        <v>4</v>
      </c>
      <c r="H53" s="2" t="s">
        <v>8</v>
      </c>
      <c r="I53" s="5" t="str">
        <f>IF(IF(Table4424666569[[#This Row],[Pre or Post]]="Pre",1,0)+IF(ISNUMBER(Table4424666569[[#This Row],[Response]])=TRUE,1,0)=2,1,"")</f>
        <v/>
      </c>
      <c r="J53" s="5">
        <f>IF(IF(Table4424666569[[#This Row],[Pre or Post]]="Post",1,0)+IF(ISNUMBER(Table4424666569[[#This Row],[Response]])=TRUE,1,0)=2,1,"")</f>
        <v>1</v>
      </c>
      <c r="K53" s="6" t="str">
        <f>IF(IF(Table4424666569[[#This Row],[Pre or Post]]="Pre",1,0)+IF(ISNUMBER(Table4424666569[[#This Row],[Response]])=TRUE,1,0)=2,Table4424666569[[#This Row],[Response]],"")</f>
        <v/>
      </c>
      <c r="L53" s="6">
        <f>IF(IF(Table4424666569[[#This Row],[Pre or Post]]="Post",1,0)+IF(ISNUMBER(Table4424666569[[#This Row],[Response]])=TRUE,1,0)=2,Table4424666569[[#This Row],[Response]],"")</f>
        <v>4</v>
      </c>
      <c r="M53" s="5" t="str">
        <f>IF(IF(ISNUMBER(K53),1,0)+IF(ISNUMBER(L54),1,0)=2,IF(IF(C54=C53,1,0)+IF(B54=B53,1,0)+IF(D54="Post",1,0)+IF(D53="Pre",1,0)=4,Table4424666569[[#This Row],[Pre Total]],""),"")</f>
        <v/>
      </c>
      <c r="N53" s="5">
        <f>IF(IF(ISNUMBER(K52),1,0)+IF(ISNUMBER(Table4424666569[[#This Row],[Post Total]]),1,0)=2,IF(IF(Table4424666569[[#This Row],[Student Number]]=C52,1,0)+IF(Table4424666569[[#This Row],[Session]]=B52,1,0)+IF(Table4424666569[[#This Row],[Pre or Post]]="Post",1,0)+IF(D52="Pre",1,0)=4,Table4424666569[[#This Row],[Post Total]],""),"")</f>
        <v>4</v>
      </c>
      <c r="O53" s="5">
        <f>IF(IF(ISNUMBER(K52),1,0)+IF(ISNUMBER(Table4424666569[[#This Row],[Post Total]]),1,0)=2,IF(IF(Table4424666569[[#This Row],[Student Number]]=C52,1,0)+IF(Table4424666569[[#This Row],[Session]]=B52,1,0)+IF(Table4424666569[[#This Row],[Pre or Post]]="Post",1,0)+IF(D52="Pre",1,0)=4,Table4424666569[[#This Row],[Post Total]]-K52,""),"")</f>
        <v>2</v>
      </c>
      <c r="P53" s="5" t="b">
        <f>ISNUMBER(Table4424666569[[#This Row],[Change]])</f>
        <v>1</v>
      </c>
      <c r="Q53" s="5">
        <f>IF(E52="Yes",Table4424666569[[#This Row],[Change]],"")</f>
        <v>2</v>
      </c>
      <c r="R53" s="5" t="str">
        <f>IF(E52="No",Table4424666569[[#This Row],[Change]],"")</f>
        <v/>
      </c>
      <c r="S53" s="5" t="b">
        <f>ISNUMBER(Table4424666569[[#This Row],[If Pre3 Yes]])</f>
        <v>1</v>
      </c>
      <c r="T53" s="5" t="b">
        <f>ISNUMBER(Table4424666569[[#This Row],[If Pre3 No]])</f>
        <v>0</v>
      </c>
    </row>
    <row r="54" spans="1:20">
      <c r="A54" s="1" t="s">
        <v>12</v>
      </c>
      <c r="B54" s="2" t="s">
        <v>21</v>
      </c>
      <c r="C54" s="1">
        <v>15</v>
      </c>
      <c r="D54" s="2" t="s">
        <v>6</v>
      </c>
      <c r="E54" s="5" t="s">
        <v>8</v>
      </c>
      <c r="F54" s="2">
        <v>11</v>
      </c>
      <c r="G54" s="1">
        <v>2</v>
      </c>
      <c r="H54" s="2" t="s">
        <v>8</v>
      </c>
      <c r="I54" s="6">
        <f>IF(IF(Table4424666569[[#This Row],[Pre or Post]]="Pre",1,0)+IF(ISNUMBER(Table4424666569[[#This Row],[Response]])=TRUE,1,0)=2,1,"")</f>
        <v>1</v>
      </c>
      <c r="J54" s="6" t="str">
        <f>IF(IF(Table4424666569[[#This Row],[Pre or Post]]="Post",1,0)+IF(ISNUMBER(Table4424666569[[#This Row],[Response]])=TRUE,1,0)=2,1,"")</f>
        <v/>
      </c>
      <c r="K54" s="6">
        <f>IF(IF(Table4424666569[[#This Row],[Pre or Post]]="Pre",1,0)+IF(ISNUMBER(Table4424666569[[#This Row],[Response]])=TRUE,1,0)=2,Table4424666569[[#This Row],[Response]],"")</f>
        <v>2</v>
      </c>
      <c r="L54" s="6" t="str">
        <f>IF(IF(Table4424666569[[#This Row],[Pre or Post]]="Post",1,0)+IF(ISNUMBER(Table4424666569[[#This Row],[Response]])=TRUE,1,0)=2,Table4424666569[[#This Row],[Response]],"")</f>
        <v/>
      </c>
      <c r="M54" s="6">
        <f>IF(IF(ISNUMBER(K54),1,0)+IF(ISNUMBER(L55),1,0)=2,IF(IF(C55=C54,1,0)+IF(B55=B54,1,0)+IF(D55="Post",1,0)+IF(D54="Pre",1,0)=4,Table4424666569[[#This Row],[Pre Total]],""),"")</f>
        <v>2</v>
      </c>
      <c r="N54" s="6" t="str">
        <f>IF(IF(ISNUMBER(K53),1,0)+IF(ISNUMBER(Table4424666569[[#This Row],[Post Total]]),1,0)=2,IF(IF(Table4424666569[[#This Row],[Student Number]]=C53,1,0)+IF(Table4424666569[[#This Row],[Session]]=B53,1,0)+IF(Table4424666569[[#This Row],[Pre or Post]]="Post",1,0)+IF(D53="Pre",1,0)=4,Table4424666569[[#This Row],[Post Total]],""),"")</f>
        <v/>
      </c>
      <c r="O54" s="6" t="str">
        <f>IF(IF(ISNUMBER(K53),1,0)+IF(ISNUMBER(Table4424666569[[#This Row],[Post Total]]),1,0)=2,IF(IF(Table4424666569[[#This Row],[Student Number]]=C53,1,0)+IF(Table4424666569[[#This Row],[Session]]=B53,1,0)+IF(Table4424666569[[#This Row],[Pre or Post]]="Post",1,0)+IF(D53="Pre",1,0)=4,Table4424666569[[#This Row],[Post Total]]-K53,""),"")</f>
        <v/>
      </c>
      <c r="P54" s="6" t="b">
        <f>ISNUMBER(Table4424666569[[#This Row],[Change]])</f>
        <v>0</v>
      </c>
      <c r="Q54" s="5" t="str">
        <f>IF(E53="Yes",Table4424666569[[#This Row],[Change]],"")</f>
        <v/>
      </c>
      <c r="R54" s="5" t="str">
        <f>IF(E53="No",Table4424666569[[#This Row],[Change]],"")</f>
        <v/>
      </c>
      <c r="S54" s="5" t="b">
        <f>ISNUMBER(Table4424666569[[#This Row],[If Pre3 Yes]])</f>
        <v>0</v>
      </c>
      <c r="T54" s="5" t="b">
        <f>ISNUMBER(Table4424666569[[#This Row],[If Pre3 No]])</f>
        <v>0</v>
      </c>
    </row>
    <row r="55" spans="1:20">
      <c r="A55" s="1" t="s">
        <v>12</v>
      </c>
      <c r="B55" s="2" t="s">
        <v>21</v>
      </c>
      <c r="C55" s="1">
        <v>15</v>
      </c>
      <c r="D55" s="2" t="s">
        <v>16</v>
      </c>
      <c r="E55" s="5" t="s">
        <v>171</v>
      </c>
      <c r="F55" s="1">
        <v>4</v>
      </c>
      <c r="G55" s="1">
        <v>2</v>
      </c>
      <c r="H55" s="2" t="s">
        <v>8</v>
      </c>
      <c r="I55" s="6" t="str">
        <f>IF(IF(Table4424666569[[#This Row],[Pre or Post]]="Pre",1,0)+IF(ISNUMBER(Table4424666569[[#This Row],[Response]])=TRUE,1,0)=2,1,"")</f>
        <v/>
      </c>
      <c r="J55" s="6">
        <f>IF(IF(Table4424666569[[#This Row],[Pre or Post]]="Post",1,0)+IF(ISNUMBER(Table4424666569[[#This Row],[Response]])=TRUE,1,0)=2,1,"")</f>
        <v>1</v>
      </c>
      <c r="K55" s="6" t="str">
        <f>IF(IF(Table4424666569[[#This Row],[Pre or Post]]="Pre",1,0)+IF(ISNUMBER(Table4424666569[[#This Row],[Response]])=TRUE,1,0)=2,Table4424666569[[#This Row],[Response]],"")</f>
        <v/>
      </c>
      <c r="L55" s="6">
        <f>IF(IF(Table4424666569[[#This Row],[Pre or Post]]="Post",1,0)+IF(ISNUMBER(Table4424666569[[#This Row],[Response]])=TRUE,1,0)=2,Table4424666569[[#This Row],[Response]],"")</f>
        <v>2</v>
      </c>
      <c r="M55" s="6" t="str">
        <f>IF(IF(ISNUMBER(K55),1,0)+IF(ISNUMBER(L56),1,0)=2,IF(IF(C56=C55,1,0)+IF(B56=B55,1,0)+IF(D56="Post",1,0)+IF(D55="Pre",1,0)=4,Table4424666569[[#This Row],[Pre Total]],""),"")</f>
        <v/>
      </c>
      <c r="N55" s="6">
        <f>IF(IF(ISNUMBER(K54),1,0)+IF(ISNUMBER(Table4424666569[[#This Row],[Post Total]]),1,0)=2,IF(IF(Table4424666569[[#This Row],[Student Number]]=C54,1,0)+IF(Table4424666569[[#This Row],[Session]]=B54,1,0)+IF(Table4424666569[[#This Row],[Pre or Post]]="Post",1,0)+IF(D54="Pre",1,0)=4,Table4424666569[[#This Row],[Post Total]],""),"")</f>
        <v>2</v>
      </c>
      <c r="O55" s="6">
        <f>IF(IF(ISNUMBER(K54),1,0)+IF(ISNUMBER(Table4424666569[[#This Row],[Post Total]]),1,0)=2,IF(IF(Table4424666569[[#This Row],[Student Number]]=C54,1,0)+IF(Table4424666569[[#This Row],[Session]]=B54,1,0)+IF(Table4424666569[[#This Row],[Pre or Post]]="Post",1,0)+IF(D54="Pre",1,0)=4,Table4424666569[[#This Row],[Post Total]]-K54,""),"")</f>
        <v>0</v>
      </c>
      <c r="P55" s="6" t="b">
        <f>ISNUMBER(Table4424666569[[#This Row],[Change]])</f>
        <v>1</v>
      </c>
      <c r="Q55" s="5">
        <f>IF(E54="Yes",Table4424666569[[#This Row],[Change]],"")</f>
        <v>0</v>
      </c>
      <c r="R55" s="5" t="str">
        <f>IF(E54="No",Table4424666569[[#This Row],[Change]],"")</f>
        <v/>
      </c>
      <c r="S55" s="5" t="b">
        <f>ISNUMBER(Table4424666569[[#This Row],[If Pre3 Yes]])</f>
        <v>1</v>
      </c>
      <c r="T55" s="5" t="b">
        <f>ISNUMBER(Table4424666569[[#This Row],[If Pre3 No]])</f>
        <v>0</v>
      </c>
    </row>
    <row r="56" spans="1:20">
      <c r="A56" s="1" t="s">
        <v>12</v>
      </c>
      <c r="B56" s="2" t="s">
        <v>21</v>
      </c>
      <c r="C56" s="1">
        <v>16</v>
      </c>
      <c r="D56" s="2" t="s">
        <v>6</v>
      </c>
      <c r="E56" s="5" t="s">
        <v>8</v>
      </c>
      <c r="F56" s="1">
        <v>11</v>
      </c>
      <c r="G56" s="1">
        <v>2</v>
      </c>
      <c r="H56" s="2" t="s">
        <v>8</v>
      </c>
      <c r="I56" s="5">
        <f>IF(IF(Table4424666569[[#This Row],[Pre or Post]]="Pre",1,0)+IF(ISNUMBER(Table4424666569[[#This Row],[Response]])=TRUE,1,0)=2,1,"")</f>
        <v>1</v>
      </c>
      <c r="J56" s="5" t="str">
        <f>IF(IF(Table4424666569[[#This Row],[Pre or Post]]="Post",1,0)+IF(ISNUMBER(Table4424666569[[#This Row],[Response]])=TRUE,1,0)=2,1,"")</f>
        <v/>
      </c>
      <c r="K56" s="6">
        <f>IF(IF(Table4424666569[[#This Row],[Pre or Post]]="Pre",1,0)+IF(ISNUMBER(Table4424666569[[#This Row],[Response]])=TRUE,1,0)=2,Table4424666569[[#This Row],[Response]],"")</f>
        <v>2</v>
      </c>
      <c r="L56" s="6" t="str">
        <f>IF(IF(Table4424666569[[#This Row],[Pre or Post]]="Post",1,0)+IF(ISNUMBER(Table4424666569[[#This Row],[Response]])=TRUE,1,0)=2,Table4424666569[[#This Row],[Response]],"")</f>
        <v/>
      </c>
      <c r="M56" s="5">
        <f>IF(IF(ISNUMBER(K56),1,0)+IF(ISNUMBER(L57),1,0)=2,IF(IF(C57=C56,1,0)+IF(B57=B56,1,0)+IF(D57="Post",1,0)+IF(D56="Pre",1,0)=4,Table4424666569[[#This Row],[Pre Total]],""),"")</f>
        <v>2</v>
      </c>
      <c r="N56" s="5" t="str">
        <f>IF(IF(ISNUMBER(K55),1,0)+IF(ISNUMBER(Table4424666569[[#This Row],[Post Total]]),1,0)=2,IF(IF(Table4424666569[[#This Row],[Student Number]]=C55,1,0)+IF(Table4424666569[[#This Row],[Session]]=B55,1,0)+IF(Table4424666569[[#This Row],[Pre or Post]]="Post",1,0)+IF(D55="Pre",1,0)=4,Table4424666569[[#This Row],[Post Total]],""),"")</f>
        <v/>
      </c>
      <c r="O56" s="5" t="str">
        <f>IF(IF(ISNUMBER(K55),1,0)+IF(ISNUMBER(Table4424666569[[#This Row],[Post Total]]),1,0)=2,IF(IF(Table4424666569[[#This Row],[Student Number]]=C55,1,0)+IF(Table4424666569[[#This Row],[Session]]=B55,1,0)+IF(Table4424666569[[#This Row],[Pre or Post]]="Post",1,0)+IF(D55="Pre",1,0)=4,Table4424666569[[#This Row],[Post Total]]-K55,""),"")</f>
        <v/>
      </c>
      <c r="P56" s="5" t="b">
        <f>ISNUMBER(Table4424666569[[#This Row],[Change]])</f>
        <v>0</v>
      </c>
      <c r="Q56" s="5" t="str">
        <f>IF(E55="Yes",Table4424666569[[#This Row],[Change]],"")</f>
        <v/>
      </c>
      <c r="R56" s="5" t="str">
        <f>IF(E55="No",Table4424666569[[#This Row],[Change]],"")</f>
        <v/>
      </c>
      <c r="S56" s="5" t="b">
        <f>ISNUMBER(Table4424666569[[#This Row],[If Pre3 Yes]])</f>
        <v>0</v>
      </c>
      <c r="T56" s="5" t="b">
        <f>ISNUMBER(Table4424666569[[#This Row],[If Pre3 No]])</f>
        <v>0</v>
      </c>
    </row>
    <row r="57" spans="1:20">
      <c r="A57" s="1" t="s">
        <v>12</v>
      </c>
      <c r="B57" s="2" t="s">
        <v>21</v>
      </c>
      <c r="C57" s="1">
        <v>16</v>
      </c>
      <c r="D57" s="2" t="s">
        <v>16</v>
      </c>
      <c r="E57" s="5" t="s">
        <v>171</v>
      </c>
      <c r="F57" s="1">
        <v>4</v>
      </c>
      <c r="G57" s="1">
        <v>5</v>
      </c>
      <c r="H57" s="2" t="s">
        <v>8</v>
      </c>
      <c r="I57" s="5" t="str">
        <f>IF(IF(Table4424666569[[#This Row],[Pre or Post]]="Pre",1,0)+IF(ISNUMBER(Table4424666569[[#This Row],[Response]])=TRUE,1,0)=2,1,"")</f>
        <v/>
      </c>
      <c r="J57" s="5">
        <f>IF(IF(Table4424666569[[#This Row],[Pre or Post]]="Post",1,0)+IF(ISNUMBER(Table4424666569[[#This Row],[Response]])=TRUE,1,0)=2,1,"")</f>
        <v>1</v>
      </c>
      <c r="K57" s="6" t="str">
        <f>IF(IF(Table4424666569[[#This Row],[Pre or Post]]="Pre",1,0)+IF(ISNUMBER(Table4424666569[[#This Row],[Response]])=TRUE,1,0)=2,Table4424666569[[#This Row],[Response]],"")</f>
        <v/>
      </c>
      <c r="L57" s="6">
        <f>IF(IF(Table4424666569[[#This Row],[Pre or Post]]="Post",1,0)+IF(ISNUMBER(Table4424666569[[#This Row],[Response]])=TRUE,1,0)=2,Table4424666569[[#This Row],[Response]],"")</f>
        <v>5</v>
      </c>
      <c r="M57" s="5" t="str">
        <f>IF(IF(ISNUMBER(K57),1,0)+IF(ISNUMBER(L58),1,0)=2,IF(IF(C58=C57,1,0)+IF(B58=B57,1,0)+IF(D58="Post",1,0)+IF(D57="Pre",1,0)=4,Table4424666569[[#This Row],[Pre Total]],""),"")</f>
        <v/>
      </c>
      <c r="N57" s="5">
        <f>IF(IF(ISNUMBER(K56),1,0)+IF(ISNUMBER(Table4424666569[[#This Row],[Post Total]]),1,0)=2,IF(IF(Table4424666569[[#This Row],[Student Number]]=C56,1,0)+IF(Table4424666569[[#This Row],[Session]]=B56,1,0)+IF(Table4424666569[[#This Row],[Pre or Post]]="Post",1,0)+IF(D56="Pre",1,0)=4,Table4424666569[[#This Row],[Post Total]],""),"")</f>
        <v>5</v>
      </c>
      <c r="O57" s="5">
        <f>IF(IF(ISNUMBER(K56),1,0)+IF(ISNUMBER(Table4424666569[[#This Row],[Post Total]]),1,0)=2,IF(IF(Table4424666569[[#This Row],[Student Number]]=C56,1,0)+IF(Table4424666569[[#This Row],[Session]]=B56,1,0)+IF(Table4424666569[[#This Row],[Pre or Post]]="Post",1,0)+IF(D56="Pre",1,0)=4,Table4424666569[[#This Row],[Post Total]]-K56,""),"")</f>
        <v>3</v>
      </c>
      <c r="P57" s="5" t="b">
        <f>ISNUMBER(Table4424666569[[#This Row],[Change]])</f>
        <v>1</v>
      </c>
      <c r="Q57" s="5">
        <f>IF(E56="Yes",Table4424666569[[#This Row],[Change]],"")</f>
        <v>3</v>
      </c>
      <c r="R57" s="5" t="str">
        <f>IF(E56="No",Table4424666569[[#This Row],[Change]],"")</f>
        <v/>
      </c>
      <c r="S57" s="5" t="b">
        <f>ISNUMBER(Table4424666569[[#This Row],[If Pre3 Yes]])</f>
        <v>1</v>
      </c>
      <c r="T57" s="5" t="b">
        <f>ISNUMBER(Table4424666569[[#This Row],[If Pre3 No]])</f>
        <v>0</v>
      </c>
    </row>
    <row r="58" spans="1:20">
      <c r="A58" s="1" t="s">
        <v>12</v>
      </c>
      <c r="B58" s="2" t="s">
        <v>21</v>
      </c>
      <c r="C58" s="1">
        <v>17</v>
      </c>
      <c r="D58" s="2" t="s">
        <v>6</v>
      </c>
      <c r="E58" s="5" t="s">
        <v>8</v>
      </c>
      <c r="F58" s="1">
        <v>11</v>
      </c>
      <c r="G58" s="1">
        <v>1</v>
      </c>
      <c r="H58" s="2" t="s">
        <v>8</v>
      </c>
      <c r="I58" s="6">
        <f>IF(IF(Table4424666569[[#This Row],[Pre or Post]]="Pre",1,0)+IF(ISNUMBER(Table4424666569[[#This Row],[Response]])=TRUE,1,0)=2,1,"")</f>
        <v>1</v>
      </c>
      <c r="J58" s="6" t="str">
        <f>IF(IF(Table4424666569[[#This Row],[Pre or Post]]="Post",1,0)+IF(ISNUMBER(Table4424666569[[#This Row],[Response]])=TRUE,1,0)=2,1,"")</f>
        <v/>
      </c>
      <c r="K58" s="6">
        <f>IF(IF(Table4424666569[[#This Row],[Pre or Post]]="Pre",1,0)+IF(ISNUMBER(Table4424666569[[#This Row],[Response]])=TRUE,1,0)=2,Table4424666569[[#This Row],[Response]],"")</f>
        <v>1</v>
      </c>
      <c r="L58" s="6" t="str">
        <f>IF(IF(Table4424666569[[#This Row],[Pre or Post]]="Post",1,0)+IF(ISNUMBER(Table4424666569[[#This Row],[Response]])=TRUE,1,0)=2,Table4424666569[[#This Row],[Response]],"")</f>
        <v/>
      </c>
      <c r="M58" s="6">
        <f>IF(IF(ISNUMBER(K58),1,0)+IF(ISNUMBER(L59),1,0)=2,IF(IF(C59=C58,1,0)+IF(B59=B58,1,0)+IF(D59="Post",1,0)+IF(D58="Pre",1,0)=4,Table4424666569[[#This Row],[Pre Total]],""),"")</f>
        <v>1</v>
      </c>
      <c r="N58" s="6" t="str">
        <f>IF(IF(ISNUMBER(K57),1,0)+IF(ISNUMBER(Table4424666569[[#This Row],[Post Total]]),1,0)=2,IF(IF(Table4424666569[[#This Row],[Student Number]]=C57,1,0)+IF(Table4424666569[[#This Row],[Session]]=B57,1,0)+IF(Table4424666569[[#This Row],[Pre or Post]]="Post",1,0)+IF(D57="Pre",1,0)=4,Table4424666569[[#This Row],[Post Total]],""),"")</f>
        <v/>
      </c>
      <c r="O58" s="6" t="str">
        <f>IF(IF(ISNUMBER(K57),1,0)+IF(ISNUMBER(Table4424666569[[#This Row],[Post Total]]),1,0)=2,IF(IF(Table4424666569[[#This Row],[Student Number]]=C57,1,0)+IF(Table4424666569[[#This Row],[Session]]=B57,1,0)+IF(Table4424666569[[#This Row],[Pre or Post]]="Post",1,0)+IF(D57="Pre",1,0)=4,Table4424666569[[#This Row],[Post Total]]-K57,""),"")</f>
        <v/>
      </c>
      <c r="P58" s="6" t="b">
        <f>ISNUMBER(Table4424666569[[#This Row],[Change]])</f>
        <v>0</v>
      </c>
      <c r="Q58" s="5" t="str">
        <f>IF(E57="Yes",Table4424666569[[#This Row],[Change]],"")</f>
        <v/>
      </c>
      <c r="R58" s="5" t="str">
        <f>IF(E57="No",Table4424666569[[#This Row],[Change]],"")</f>
        <v/>
      </c>
      <c r="S58" s="5" t="b">
        <f>ISNUMBER(Table4424666569[[#This Row],[If Pre3 Yes]])</f>
        <v>0</v>
      </c>
      <c r="T58" s="5" t="b">
        <f>ISNUMBER(Table4424666569[[#This Row],[If Pre3 No]])</f>
        <v>0</v>
      </c>
    </row>
    <row r="59" spans="1:20">
      <c r="A59" s="1" t="s">
        <v>12</v>
      </c>
      <c r="B59" s="2" t="s">
        <v>21</v>
      </c>
      <c r="C59" s="1">
        <v>17</v>
      </c>
      <c r="D59" s="2" t="s">
        <v>16</v>
      </c>
      <c r="E59" s="5" t="s">
        <v>171</v>
      </c>
      <c r="F59" s="1">
        <v>4</v>
      </c>
      <c r="G59" s="1">
        <v>1</v>
      </c>
      <c r="H59" s="2" t="s">
        <v>8</v>
      </c>
      <c r="I59" s="5" t="str">
        <f>IF(IF(Table4424666569[[#This Row],[Pre or Post]]="Pre",1,0)+IF(ISNUMBER(Table4424666569[[#This Row],[Response]])=TRUE,1,0)=2,1,"")</f>
        <v/>
      </c>
      <c r="J59" s="5">
        <f>IF(IF(Table4424666569[[#This Row],[Pre or Post]]="Post",1,0)+IF(ISNUMBER(Table4424666569[[#This Row],[Response]])=TRUE,1,0)=2,1,"")</f>
        <v>1</v>
      </c>
      <c r="K59" s="6" t="str">
        <f>IF(IF(Table4424666569[[#This Row],[Pre or Post]]="Pre",1,0)+IF(ISNUMBER(Table4424666569[[#This Row],[Response]])=TRUE,1,0)=2,Table4424666569[[#This Row],[Response]],"")</f>
        <v/>
      </c>
      <c r="L59" s="6">
        <f>IF(IF(Table4424666569[[#This Row],[Pre or Post]]="Post",1,0)+IF(ISNUMBER(Table4424666569[[#This Row],[Response]])=TRUE,1,0)=2,Table4424666569[[#This Row],[Response]],"")</f>
        <v>1</v>
      </c>
      <c r="M59" s="5" t="str">
        <f>IF(IF(ISNUMBER(K59),1,0)+IF(ISNUMBER(L60),1,0)=2,IF(IF(C60=C59,1,0)+IF(B60=B59,1,0)+IF(D60="Post",1,0)+IF(D59="Pre",1,0)=4,Table4424666569[[#This Row],[Pre Total]],""),"")</f>
        <v/>
      </c>
      <c r="N59" s="5">
        <f>IF(IF(ISNUMBER(K58),1,0)+IF(ISNUMBER(Table4424666569[[#This Row],[Post Total]]),1,0)=2,IF(IF(Table4424666569[[#This Row],[Student Number]]=C58,1,0)+IF(Table4424666569[[#This Row],[Session]]=B58,1,0)+IF(Table4424666569[[#This Row],[Pre or Post]]="Post",1,0)+IF(D58="Pre",1,0)=4,Table4424666569[[#This Row],[Post Total]],""),"")</f>
        <v>1</v>
      </c>
      <c r="O59" s="5">
        <f>IF(IF(ISNUMBER(K58),1,0)+IF(ISNUMBER(Table4424666569[[#This Row],[Post Total]]),1,0)=2,IF(IF(Table4424666569[[#This Row],[Student Number]]=C58,1,0)+IF(Table4424666569[[#This Row],[Session]]=B58,1,0)+IF(Table4424666569[[#This Row],[Pre or Post]]="Post",1,0)+IF(D58="Pre",1,0)=4,Table4424666569[[#This Row],[Post Total]]-K58,""),"")</f>
        <v>0</v>
      </c>
      <c r="P59" s="5" t="b">
        <f>ISNUMBER(Table4424666569[[#This Row],[Change]])</f>
        <v>1</v>
      </c>
      <c r="Q59" s="5">
        <f>IF(E58="Yes",Table4424666569[[#This Row],[Change]],"")</f>
        <v>0</v>
      </c>
      <c r="R59" s="5" t="str">
        <f>IF(E58="No",Table4424666569[[#This Row],[Change]],"")</f>
        <v/>
      </c>
      <c r="S59" s="5" t="b">
        <f>ISNUMBER(Table4424666569[[#This Row],[If Pre3 Yes]])</f>
        <v>1</v>
      </c>
      <c r="T59" s="5" t="b">
        <f>ISNUMBER(Table4424666569[[#This Row],[If Pre3 No]])</f>
        <v>0</v>
      </c>
    </row>
    <row r="60" spans="1:20">
      <c r="A60" s="1" t="s">
        <v>12</v>
      </c>
      <c r="B60" s="2" t="s">
        <v>21</v>
      </c>
      <c r="C60" s="1">
        <v>18</v>
      </c>
      <c r="D60" s="2" t="s">
        <v>6</v>
      </c>
      <c r="E60" s="5" t="s">
        <v>8</v>
      </c>
      <c r="F60" s="2">
        <v>11</v>
      </c>
      <c r="G60" s="1">
        <v>5</v>
      </c>
      <c r="H60" s="2" t="s">
        <v>8</v>
      </c>
      <c r="I60" s="5">
        <f>IF(IF(Table4424666569[[#This Row],[Pre or Post]]="Pre",1,0)+IF(ISNUMBER(Table4424666569[[#This Row],[Response]])=TRUE,1,0)=2,1,"")</f>
        <v>1</v>
      </c>
      <c r="J60" s="5" t="str">
        <f>IF(IF(Table4424666569[[#This Row],[Pre or Post]]="Post",1,0)+IF(ISNUMBER(Table4424666569[[#This Row],[Response]])=TRUE,1,0)=2,1,"")</f>
        <v/>
      </c>
      <c r="K60" s="6">
        <f>IF(IF(Table4424666569[[#This Row],[Pre or Post]]="Pre",1,0)+IF(ISNUMBER(Table4424666569[[#This Row],[Response]])=TRUE,1,0)=2,Table4424666569[[#This Row],[Response]],"")</f>
        <v>5</v>
      </c>
      <c r="L60" s="6" t="str">
        <f>IF(IF(Table4424666569[[#This Row],[Pre or Post]]="Post",1,0)+IF(ISNUMBER(Table4424666569[[#This Row],[Response]])=TRUE,1,0)=2,Table4424666569[[#This Row],[Response]],"")</f>
        <v/>
      </c>
      <c r="M60" s="5">
        <f>IF(IF(ISNUMBER(K60),1,0)+IF(ISNUMBER(L61),1,0)=2,IF(IF(C61=C60,1,0)+IF(B61=B60,1,0)+IF(D61="Post",1,0)+IF(D60="Pre",1,0)=4,Table4424666569[[#This Row],[Pre Total]],""),"")</f>
        <v>5</v>
      </c>
      <c r="N60" s="5" t="str">
        <f>IF(IF(ISNUMBER(K59),1,0)+IF(ISNUMBER(Table4424666569[[#This Row],[Post Total]]),1,0)=2,IF(IF(Table4424666569[[#This Row],[Student Number]]=C59,1,0)+IF(Table4424666569[[#This Row],[Session]]=B59,1,0)+IF(Table4424666569[[#This Row],[Pre or Post]]="Post",1,0)+IF(D59="Pre",1,0)=4,Table4424666569[[#This Row],[Post Total]],""),"")</f>
        <v/>
      </c>
      <c r="O60" s="5" t="str">
        <f>IF(IF(ISNUMBER(K59),1,0)+IF(ISNUMBER(Table4424666569[[#This Row],[Post Total]]),1,0)=2,IF(IF(Table4424666569[[#This Row],[Student Number]]=C59,1,0)+IF(Table4424666569[[#This Row],[Session]]=B59,1,0)+IF(Table4424666569[[#This Row],[Pre or Post]]="Post",1,0)+IF(D59="Pre",1,0)=4,Table4424666569[[#This Row],[Post Total]]-K59,""),"")</f>
        <v/>
      </c>
      <c r="P60" s="5" t="b">
        <f>ISNUMBER(Table4424666569[[#This Row],[Change]])</f>
        <v>0</v>
      </c>
      <c r="Q60" s="5" t="str">
        <f>IF(E59="Yes",Table4424666569[[#This Row],[Change]],"")</f>
        <v/>
      </c>
      <c r="R60" s="5" t="str">
        <f>IF(E59="No",Table4424666569[[#This Row],[Change]],"")</f>
        <v/>
      </c>
      <c r="S60" s="5" t="b">
        <f>ISNUMBER(Table4424666569[[#This Row],[If Pre3 Yes]])</f>
        <v>0</v>
      </c>
      <c r="T60" s="5" t="b">
        <f>ISNUMBER(Table4424666569[[#This Row],[If Pre3 No]])</f>
        <v>0</v>
      </c>
    </row>
    <row r="61" spans="1:20">
      <c r="A61" s="1" t="s">
        <v>12</v>
      </c>
      <c r="B61" s="2" t="s">
        <v>21</v>
      </c>
      <c r="C61" s="1">
        <v>18</v>
      </c>
      <c r="D61" s="2" t="s">
        <v>16</v>
      </c>
      <c r="E61" s="5" t="s">
        <v>171</v>
      </c>
      <c r="F61" s="1">
        <v>4</v>
      </c>
      <c r="G61" s="1">
        <v>5</v>
      </c>
      <c r="H61" s="2" t="s">
        <v>8</v>
      </c>
      <c r="I61" s="5" t="str">
        <f>IF(IF(Table4424666569[[#This Row],[Pre or Post]]="Pre",1,0)+IF(ISNUMBER(Table4424666569[[#This Row],[Response]])=TRUE,1,0)=2,1,"")</f>
        <v/>
      </c>
      <c r="J61" s="5">
        <f>IF(IF(Table4424666569[[#This Row],[Pre or Post]]="Post",1,0)+IF(ISNUMBER(Table4424666569[[#This Row],[Response]])=TRUE,1,0)=2,1,"")</f>
        <v>1</v>
      </c>
      <c r="K61" s="6" t="str">
        <f>IF(IF(Table4424666569[[#This Row],[Pre or Post]]="Pre",1,0)+IF(ISNUMBER(Table4424666569[[#This Row],[Response]])=TRUE,1,0)=2,Table4424666569[[#This Row],[Response]],"")</f>
        <v/>
      </c>
      <c r="L61" s="6">
        <f>IF(IF(Table4424666569[[#This Row],[Pre or Post]]="Post",1,0)+IF(ISNUMBER(Table4424666569[[#This Row],[Response]])=TRUE,1,0)=2,Table4424666569[[#This Row],[Response]],"")</f>
        <v>5</v>
      </c>
      <c r="M61" s="5" t="str">
        <f>IF(IF(ISNUMBER(K61),1,0)+IF(ISNUMBER(L62),1,0)=2,IF(IF(C62=C61,1,0)+IF(B62=B61,1,0)+IF(D62="Post",1,0)+IF(D61="Pre",1,0)=4,Table4424666569[[#This Row],[Pre Total]],""),"")</f>
        <v/>
      </c>
      <c r="N61" s="5">
        <f>IF(IF(ISNUMBER(K60),1,0)+IF(ISNUMBER(Table4424666569[[#This Row],[Post Total]]),1,0)=2,IF(IF(Table4424666569[[#This Row],[Student Number]]=C60,1,0)+IF(Table4424666569[[#This Row],[Session]]=B60,1,0)+IF(Table4424666569[[#This Row],[Pre or Post]]="Post",1,0)+IF(D60="Pre",1,0)=4,Table4424666569[[#This Row],[Post Total]],""),"")</f>
        <v>5</v>
      </c>
      <c r="O61" s="5">
        <f>IF(IF(ISNUMBER(K60),1,0)+IF(ISNUMBER(Table4424666569[[#This Row],[Post Total]]),1,0)=2,IF(IF(Table4424666569[[#This Row],[Student Number]]=C60,1,0)+IF(Table4424666569[[#This Row],[Session]]=B60,1,0)+IF(Table4424666569[[#This Row],[Pre or Post]]="Post",1,0)+IF(D60="Pre",1,0)=4,Table4424666569[[#This Row],[Post Total]]-K60,""),"")</f>
        <v>0</v>
      </c>
      <c r="P61" s="5" t="b">
        <f>ISNUMBER(Table4424666569[[#This Row],[Change]])</f>
        <v>1</v>
      </c>
      <c r="Q61" s="5">
        <f>IF(E60="Yes",Table4424666569[[#This Row],[Change]],"")</f>
        <v>0</v>
      </c>
      <c r="R61" s="5" t="str">
        <f>IF(E60="No",Table4424666569[[#This Row],[Change]],"")</f>
        <v/>
      </c>
      <c r="S61" s="5" t="b">
        <f>ISNUMBER(Table4424666569[[#This Row],[If Pre3 Yes]])</f>
        <v>1</v>
      </c>
      <c r="T61" s="5" t="b">
        <f>ISNUMBER(Table4424666569[[#This Row],[If Pre3 No]])</f>
        <v>0</v>
      </c>
    </row>
    <row r="62" spans="1:20">
      <c r="A62" s="1" t="s">
        <v>12</v>
      </c>
      <c r="B62" s="2" t="s">
        <v>21</v>
      </c>
      <c r="C62" s="1">
        <v>19</v>
      </c>
      <c r="D62" s="2" t="s">
        <v>6</v>
      </c>
      <c r="E62" s="5" t="s">
        <v>9</v>
      </c>
      <c r="F62" s="2">
        <v>11</v>
      </c>
      <c r="G62" s="1">
        <v>5</v>
      </c>
      <c r="H62" s="2" t="s">
        <v>8</v>
      </c>
      <c r="I62" s="6">
        <f>IF(IF(Table4424666569[[#This Row],[Pre or Post]]="Pre",1,0)+IF(ISNUMBER(Table4424666569[[#This Row],[Response]])=TRUE,1,0)=2,1,"")</f>
        <v>1</v>
      </c>
      <c r="J62" s="6" t="str">
        <f>IF(IF(Table4424666569[[#This Row],[Pre or Post]]="Post",1,0)+IF(ISNUMBER(Table4424666569[[#This Row],[Response]])=TRUE,1,0)=2,1,"")</f>
        <v/>
      </c>
      <c r="K62" s="6">
        <f>IF(IF(Table4424666569[[#This Row],[Pre or Post]]="Pre",1,0)+IF(ISNUMBER(Table4424666569[[#This Row],[Response]])=TRUE,1,0)=2,Table4424666569[[#This Row],[Response]],"")</f>
        <v>5</v>
      </c>
      <c r="L62" s="6" t="str">
        <f>IF(IF(Table4424666569[[#This Row],[Pre or Post]]="Post",1,0)+IF(ISNUMBER(Table4424666569[[#This Row],[Response]])=TRUE,1,0)=2,Table4424666569[[#This Row],[Response]],"")</f>
        <v/>
      </c>
      <c r="M62" s="6">
        <f>IF(IF(ISNUMBER(K62),1,0)+IF(ISNUMBER(L63),1,0)=2,IF(IF(C63=C62,1,0)+IF(B63=B62,1,0)+IF(D63="Post",1,0)+IF(D62="Pre",1,0)=4,Table4424666569[[#This Row],[Pre Total]],""),"")</f>
        <v>5</v>
      </c>
      <c r="N62" s="6" t="str">
        <f>IF(IF(ISNUMBER(K61),1,0)+IF(ISNUMBER(Table4424666569[[#This Row],[Post Total]]),1,0)=2,IF(IF(Table4424666569[[#This Row],[Student Number]]=C61,1,0)+IF(Table4424666569[[#This Row],[Session]]=B61,1,0)+IF(Table4424666569[[#This Row],[Pre or Post]]="Post",1,0)+IF(D61="Pre",1,0)=4,Table4424666569[[#This Row],[Post Total]],""),"")</f>
        <v/>
      </c>
      <c r="O62" s="6" t="str">
        <f>IF(IF(ISNUMBER(K61),1,0)+IF(ISNUMBER(Table4424666569[[#This Row],[Post Total]]),1,0)=2,IF(IF(Table4424666569[[#This Row],[Student Number]]=C61,1,0)+IF(Table4424666569[[#This Row],[Session]]=B61,1,0)+IF(Table4424666569[[#This Row],[Pre or Post]]="Post",1,0)+IF(D61="Pre",1,0)=4,Table4424666569[[#This Row],[Post Total]]-K61,""),"")</f>
        <v/>
      </c>
      <c r="P62" s="6" t="b">
        <f>ISNUMBER(Table4424666569[[#This Row],[Change]])</f>
        <v>0</v>
      </c>
      <c r="Q62" s="5" t="str">
        <f>IF(E61="Yes",Table4424666569[[#This Row],[Change]],"")</f>
        <v/>
      </c>
      <c r="R62" s="5" t="str">
        <f>IF(E61="No",Table4424666569[[#This Row],[Change]],"")</f>
        <v/>
      </c>
      <c r="S62" s="5" t="b">
        <f>ISNUMBER(Table4424666569[[#This Row],[If Pre3 Yes]])</f>
        <v>0</v>
      </c>
      <c r="T62" s="5" t="b">
        <f>ISNUMBER(Table4424666569[[#This Row],[If Pre3 No]])</f>
        <v>0</v>
      </c>
    </row>
    <row r="63" spans="1:20">
      <c r="A63" s="1" t="s">
        <v>12</v>
      </c>
      <c r="B63" s="2" t="s">
        <v>21</v>
      </c>
      <c r="C63" s="1">
        <v>19</v>
      </c>
      <c r="D63" s="2" t="s">
        <v>16</v>
      </c>
      <c r="E63" s="5" t="s">
        <v>171</v>
      </c>
      <c r="F63" s="1">
        <v>4</v>
      </c>
      <c r="G63" s="1">
        <v>3</v>
      </c>
      <c r="H63" s="2" t="s">
        <v>8</v>
      </c>
      <c r="I63" s="6" t="str">
        <f>IF(IF(Table4424666569[[#This Row],[Pre or Post]]="Pre",1,0)+IF(ISNUMBER(Table4424666569[[#This Row],[Response]])=TRUE,1,0)=2,1,"")</f>
        <v/>
      </c>
      <c r="J63" s="6">
        <f>IF(IF(Table4424666569[[#This Row],[Pre or Post]]="Post",1,0)+IF(ISNUMBER(Table4424666569[[#This Row],[Response]])=TRUE,1,0)=2,1,"")</f>
        <v>1</v>
      </c>
      <c r="K63" s="6" t="str">
        <f>IF(IF(Table4424666569[[#This Row],[Pre or Post]]="Pre",1,0)+IF(ISNUMBER(Table4424666569[[#This Row],[Response]])=TRUE,1,0)=2,Table4424666569[[#This Row],[Response]],"")</f>
        <v/>
      </c>
      <c r="L63" s="6">
        <f>IF(IF(Table4424666569[[#This Row],[Pre or Post]]="Post",1,0)+IF(ISNUMBER(Table4424666569[[#This Row],[Response]])=TRUE,1,0)=2,Table4424666569[[#This Row],[Response]],"")</f>
        <v>3</v>
      </c>
      <c r="M63" s="6" t="str">
        <f>IF(IF(ISNUMBER(K63),1,0)+IF(ISNUMBER(L64),1,0)=2,IF(IF(C64=C63,1,0)+IF(B64=B63,1,0)+IF(D64="Post",1,0)+IF(D63="Pre",1,0)=4,Table4424666569[[#This Row],[Pre Total]],""),"")</f>
        <v/>
      </c>
      <c r="N63" s="6">
        <f>IF(IF(ISNUMBER(K62),1,0)+IF(ISNUMBER(Table4424666569[[#This Row],[Post Total]]),1,0)=2,IF(IF(Table4424666569[[#This Row],[Student Number]]=C62,1,0)+IF(Table4424666569[[#This Row],[Session]]=B62,1,0)+IF(Table4424666569[[#This Row],[Pre or Post]]="Post",1,0)+IF(D62="Pre",1,0)=4,Table4424666569[[#This Row],[Post Total]],""),"")</f>
        <v>3</v>
      </c>
      <c r="O63" s="6">
        <f>IF(IF(ISNUMBER(K62),1,0)+IF(ISNUMBER(Table4424666569[[#This Row],[Post Total]]),1,0)=2,IF(IF(Table4424666569[[#This Row],[Student Number]]=C62,1,0)+IF(Table4424666569[[#This Row],[Session]]=B62,1,0)+IF(Table4424666569[[#This Row],[Pre or Post]]="Post",1,0)+IF(D62="Pre",1,0)=4,Table4424666569[[#This Row],[Post Total]]-K62,""),"")</f>
        <v>-2</v>
      </c>
      <c r="P63" s="6" t="b">
        <f>ISNUMBER(Table4424666569[[#This Row],[Change]])</f>
        <v>1</v>
      </c>
      <c r="Q63" s="5" t="str">
        <f>IF(E62="Yes",Table4424666569[[#This Row],[Change]],"")</f>
        <v/>
      </c>
      <c r="R63" s="5">
        <f>IF(E62="No",Table4424666569[[#This Row],[Change]],"")</f>
        <v>-2</v>
      </c>
      <c r="S63" s="5" t="b">
        <f>ISNUMBER(Table4424666569[[#This Row],[If Pre3 Yes]])</f>
        <v>0</v>
      </c>
      <c r="T63" s="5" t="b">
        <f>ISNUMBER(Table4424666569[[#This Row],[If Pre3 No]])</f>
        <v>1</v>
      </c>
    </row>
    <row r="64" spans="1:20">
      <c r="A64" s="1" t="s">
        <v>12</v>
      </c>
      <c r="B64" s="2" t="s">
        <v>21</v>
      </c>
      <c r="C64" s="1">
        <v>20</v>
      </c>
      <c r="D64" s="2" t="s">
        <v>6</v>
      </c>
      <c r="E64" s="5" t="s">
        <v>8</v>
      </c>
      <c r="F64" s="1">
        <v>11</v>
      </c>
      <c r="G64" s="1">
        <v>3</v>
      </c>
      <c r="H64" s="2" t="s">
        <v>8</v>
      </c>
      <c r="I64" s="5">
        <f>IF(IF(Table4424666569[[#This Row],[Pre or Post]]="Pre",1,0)+IF(ISNUMBER(Table4424666569[[#This Row],[Response]])=TRUE,1,0)=2,1,"")</f>
        <v>1</v>
      </c>
      <c r="J64" s="5" t="str">
        <f>IF(IF(Table4424666569[[#This Row],[Pre or Post]]="Post",1,0)+IF(ISNUMBER(Table4424666569[[#This Row],[Response]])=TRUE,1,0)=2,1,"")</f>
        <v/>
      </c>
      <c r="K64" s="6">
        <f>IF(IF(Table4424666569[[#This Row],[Pre or Post]]="Pre",1,0)+IF(ISNUMBER(Table4424666569[[#This Row],[Response]])=TRUE,1,0)=2,Table4424666569[[#This Row],[Response]],"")</f>
        <v>3</v>
      </c>
      <c r="L64" s="6" t="str">
        <f>IF(IF(Table4424666569[[#This Row],[Pre or Post]]="Post",1,0)+IF(ISNUMBER(Table4424666569[[#This Row],[Response]])=TRUE,1,0)=2,Table4424666569[[#This Row],[Response]],"")</f>
        <v/>
      </c>
      <c r="M64" s="5">
        <f>IF(IF(ISNUMBER(K64),1,0)+IF(ISNUMBER(L65),1,0)=2,IF(IF(C65=C64,1,0)+IF(B65=B64,1,0)+IF(D65="Post",1,0)+IF(D64="Pre",1,0)=4,Table4424666569[[#This Row],[Pre Total]],""),"")</f>
        <v>3</v>
      </c>
      <c r="N64" s="5" t="str">
        <f>IF(IF(ISNUMBER(K63),1,0)+IF(ISNUMBER(Table4424666569[[#This Row],[Post Total]]),1,0)=2,IF(IF(Table4424666569[[#This Row],[Student Number]]=C63,1,0)+IF(Table4424666569[[#This Row],[Session]]=B63,1,0)+IF(Table4424666569[[#This Row],[Pre or Post]]="Post",1,0)+IF(D63="Pre",1,0)=4,Table4424666569[[#This Row],[Post Total]],""),"")</f>
        <v/>
      </c>
      <c r="O64" s="5" t="str">
        <f>IF(IF(ISNUMBER(K63),1,0)+IF(ISNUMBER(Table4424666569[[#This Row],[Post Total]]),1,0)=2,IF(IF(Table4424666569[[#This Row],[Student Number]]=C63,1,0)+IF(Table4424666569[[#This Row],[Session]]=B63,1,0)+IF(Table4424666569[[#This Row],[Pre or Post]]="Post",1,0)+IF(D63="Pre",1,0)=4,Table4424666569[[#This Row],[Post Total]]-K63,""),"")</f>
        <v/>
      </c>
      <c r="P64" s="5" t="b">
        <f>ISNUMBER(Table4424666569[[#This Row],[Change]])</f>
        <v>0</v>
      </c>
      <c r="Q64" s="5" t="str">
        <f>IF(E63="Yes",Table4424666569[[#This Row],[Change]],"")</f>
        <v/>
      </c>
      <c r="R64" s="5" t="str">
        <f>IF(E63="No",Table4424666569[[#This Row],[Change]],"")</f>
        <v/>
      </c>
      <c r="S64" s="5" t="b">
        <f>ISNUMBER(Table4424666569[[#This Row],[If Pre3 Yes]])</f>
        <v>0</v>
      </c>
      <c r="T64" s="5" t="b">
        <f>ISNUMBER(Table4424666569[[#This Row],[If Pre3 No]])</f>
        <v>0</v>
      </c>
    </row>
    <row r="65" spans="1:20">
      <c r="A65" s="1" t="s">
        <v>12</v>
      </c>
      <c r="B65" s="2" t="s">
        <v>21</v>
      </c>
      <c r="C65" s="1">
        <v>20</v>
      </c>
      <c r="D65" s="2" t="s">
        <v>16</v>
      </c>
      <c r="E65" s="5" t="s">
        <v>171</v>
      </c>
      <c r="F65" s="1">
        <v>4</v>
      </c>
      <c r="G65" s="1">
        <v>3</v>
      </c>
      <c r="H65" s="2" t="s">
        <v>8</v>
      </c>
      <c r="I65" s="5" t="str">
        <f>IF(IF(Table4424666569[[#This Row],[Pre or Post]]="Pre",1,0)+IF(ISNUMBER(Table4424666569[[#This Row],[Response]])=TRUE,1,0)=2,1,"")</f>
        <v/>
      </c>
      <c r="J65" s="5">
        <f>IF(IF(Table4424666569[[#This Row],[Pre or Post]]="Post",1,0)+IF(ISNUMBER(Table4424666569[[#This Row],[Response]])=TRUE,1,0)=2,1,"")</f>
        <v>1</v>
      </c>
      <c r="K65" s="6" t="str">
        <f>IF(IF(Table4424666569[[#This Row],[Pre or Post]]="Pre",1,0)+IF(ISNUMBER(Table4424666569[[#This Row],[Response]])=TRUE,1,0)=2,Table4424666569[[#This Row],[Response]],"")</f>
        <v/>
      </c>
      <c r="L65" s="6">
        <f>IF(IF(Table4424666569[[#This Row],[Pre or Post]]="Post",1,0)+IF(ISNUMBER(Table4424666569[[#This Row],[Response]])=TRUE,1,0)=2,Table4424666569[[#This Row],[Response]],"")</f>
        <v>3</v>
      </c>
      <c r="M65" s="5" t="str">
        <f>IF(IF(ISNUMBER(K65),1,0)+IF(ISNUMBER(L66),1,0)=2,IF(IF(C66=C65,1,0)+IF(B66=B65,1,0)+IF(D66="Post",1,0)+IF(D65="Pre",1,0)=4,Table4424666569[[#This Row],[Pre Total]],""),"")</f>
        <v/>
      </c>
      <c r="N65" s="5">
        <f>IF(IF(ISNUMBER(K64),1,0)+IF(ISNUMBER(Table4424666569[[#This Row],[Post Total]]),1,0)=2,IF(IF(Table4424666569[[#This Row],[Student Number]]=C64,1,0)+IF(Table4424666569[[#This Row],[Session]]=B64,1,0)+IF(Table4424666569[[#This Row],[Pre or Post]]="Post",1,0)+IF(D64="Pre",1,0)=4,Table4424666569[[#This Row],[Post Total]],""),"")</f>
        <v>3</v>
      </c>
      <c r="O65" s="5">
        <f>IF(IF(ISNUMBER(K64),1,0)+IF(ISNUMBER(Table4424666569[[#This Row],[Post Total]]),1,0)=2,IF(IF(Table4424666569[[#This Row],[Student Number]]=C64,1,0)+IF(Table4424666569[[#This Row],[Session]]=B64,1,0)+IF(Table4424666569[[#This Row],[Pre or Post]]="Post",1,0)+IF(D64="Pre",1,0)=4,Table4424666569[[#This Row],[Post Total]]-K64,""),"")</f>
        <v>0</v>
      </c>
      <c r="P65" s="5" t="b">
        <f>ISNUMBER(Table4424666569[[#This Row],[Change]])</f>
        <v>1</v>
      </c>
      <c r="Q65" s="5">
        <f>IF(E64="Yes",Table4424666569[[#This Row],[Change]],"")</f>
        <v>0</v>
      </c>
      <c r="R65" s="5" t="str">
        <f>IF(E64="No",Table4424666569[[#This Row],[Change]],"")</f>
        <v/>
      </c>
      <c r="S65" s="5" t="b">
        <f>ISNUMBER(Table4424666569[[#This Row],[If Pre3 Yes]])</f>
        <v>1</v>
      </c>
      <c r="T65" s="5" t="b">
        <f>ISNUMBER(Table4424666569[[#This Row],[If Pre3 No]])</f>
        <v>0</v>
      </c>
    </row>
    <row r="66" spans="1:20">
      <c r="A66" s="1" t="s">
        <v>12</v>
      </c>
      <c r="B66" s="2" t="s">
        <v>21</v>
      </c>
      <c r="C66" s="1">
        <v>21</v>
      </c>
      <c r="D66" s="2" t="s">
        <v>6</v>
      </c>
      <c r="E66" s="5" t="s">
        <v>9</v>
      </c>
      <c r="F66" s="1">
        <v>11</v>
      </c>
      <c r="G66" s="1">
        <v>1</v>
      </c>
      <c r="H66" s="2" t="s">
        <v>8</v>
      </c>
      <c r="I66" s="6">
        <f>IF(IF(Table4424666569[[#This Row],[Pre or Post]]="Pre",1,0)+IF(ISNUMBER(Table4424666569[[#This Row],[Response]])=TRUE,1,0)=2,1,"")</f>
        <v>1</v>
      </c>
      <c r="J66" s="6" t="str">
        <f>IF(IF(Table4424666569[[#This Row],[Pre or Post]]="Post",1,0)+IF(ISNUMBER(Table4424666569[[#This Row],[Response]])=TRUE,1,0)=2,1,"")</f>
        <v/>
      </c>
      <c r="K66" s="6">
        <f>IF(IF(Table4424666569[[#This Row],[Pre or Post]]="Pre",1,0)+IF(ISNUMBER(Table4424666569[[#This Row],[Response]])=TRUE,1,0)=2,Table4424666569[[#This Row],[Response]],"")</f>
        <v>1</v>
      </c>
      <c r="L66" s="6" t="str">
        <f>IF(IF(Table4424666569[[#This Row],[Pre or Post]]="Post",1,0)+IF(ISNUMBER(Table4424666569[[#This Row],[Response]])=TRUE,1,0)=2,Table4424666569[[#This Row],[Response]],"")</f>
        <v/>
      </c>
      <c r="M66" s="6">
        <f>IF(IF(ISNUMBER(K66),1,0)+IF(ISNUMBER(L67),1,0)=2,IF(IF(C67=C66,1,0)+IF(B67=B66,1,0)+IF(D67="Post",1,0)+IF(D66="Pre",1,0)=4,Table4424666569[[#This Row],[Pre Total]],""),"")</f>
        <v>1</v>
      </c>
      <c r="N66" s="6" t="str">
        <f>IF(IF(ISNUMBER(K65),1,0)+IF(ISNUMBER(Table4424666569[[#This Row],[Post Total]]),1,0)=2,IF(IF(Table4424666569[[#This Row],[Student Number]]=C65,1,0)+IF(Table4424666569[[#This Row],[Session]]=B65,1,0)+IF(Table4424666569[[#This Row],[Pre or Post]]="Post",1,0)+IF(D65="Pre",1,0)=4,Table4424666569[[#This Row],[Post Total]],""),"")</f>
        <v/>
      </c>
      <c r="O66" s="6" t="str">
        <f>IF(IF(ISNUMBER(K65),1,0)+IF(ISNUMBER(Table4424666569[[#This Row],[Post Total]]),1,0)=2,IF(IF(Table4424666569[[#This Row],[Student Number]]=C65,1,0)+IF(Table4424666569[[#This Row],[Session]]=B65,1,0)+IF(Table4424666569[[#This Row],[Pre or Post]]="Post",1,0)+IF(D65="Pre",1,0)=4,Table4424666569[[#This Row],[Post Total]]-K65,""),"")</f>
        <v/>
      </c>
      <c r="P66" s="6" t="b">
        <f>ISNUMBER(Table4424666569[[#This Row],[Change]])</f>
        <v>0</v>
      </c>
      <c r="Q66" s="5" t="str">
        <f>IF(E65="Yes",Table4424666569[[#This Row],[Change]],"")</f>
        <v/>
      </c>
      <c r="R66" s="5" t="str">
        <f>IF(E65="No",Table4424666569[[#This Row],[Change]],"")</f>
        <v/>
      </c>
      <c r="S66" s="5" t="b">
        <f>ISNUMBER(Table4424666569[[#This Row],[If Pre3 Yes]])</f>
        <v>0</v>
      </c>
      <c r="T66" s="5" t="b">
        <f>ISNUMBER(Table4424666569[[#This Row],[If Pre3 No]])</f>
        <v>0</v>
      </c>
    </row>
    <row r="67" spans="1:20">
      <c r="A67" s="1" t="s">
        <v>12</v>
      </c>
      <c r="B67" s="2" t="s">
        <v>21</v>
      </c>
      <c r="C67" s="1">
        <v>21</v>
      </c>
      <c r="D67" s="2" t="s">
        <v>16</v>
      </c>
      <c r="E67" s="5" t="s">
        <v>171</v>
      </c>
      <c r="F67" s="1">
        <v>4</v>
      </c>
      <c r="G67" s="1">
        <v>3</v>
      </c>
      <c r="H67" s="2" t="s">
        <v>8</v>
      </c>
      <c r="I67" s="5" t="str">
        <f>IF(IF(Table4424666569[[#This Row],[Pre or Post]]="Pre",1,0)+IF(ISNUMBER(Table4424666569[[#This Row],[Response]])=TRUE,1,0)=2,1,"")</f>
        <v/>
      </c>
      <c r="J67" s="5">
        <f>IF(IF(Table4424666569[[#This Row],[Pre or Post]]="Post",1,0)+IF(ISNUMBER(Table4424666569[[#This Row],[Response]])=TRUE,1,0)=2,1,"")</f>
        <v>1</v>
      </c>
      <c r="K67" s="6" t="str">
        <f>IF(IF(Table4424666569[[#This Row],[Pre or Post]]="Pre",1,0)+IF(ISNUMBER(Table4424666569[[#This Row],[Response]])=TRUE,1,0)=2,Table4424666569[[#This Row],[Response]],"")</f>
        <v/>
      </c>
      <c r="L67" s="6">
        <f>IF(IF(Table4424666569[[#This Row],[Pre or Post]]="Post",1,0)+IF(ISNUMBER(Table4424666569[[#This Row],[Response]])=TRUE,1,0)=2,Table4424666569[[#This Row],[Response]],"")</f>
        <v>3</v>
      </c>
      <c r="M67" s="5" t="str">
        <f>IF(IF(ISNUMBER(K67),1,0)+IF(ISNUMBER(L68),1,0)=2,IF(IF(C68=C67,1,0)+IF(B68=B67,1,0)+IF(D68="Post",1,0)+IF(D67="Pre",1,0)=4,Table4424666569[[#This Row],[Pre Total]],""),"")</f>
        <v/>
      </c>
      <c r="N67" s="5">
        <f>IF(IF(ISNUMBER(K66),1,0)+IF(ISNUMBER(Table4424666569[[#This Row],[Post Total]]),1,0)=2,IF(IF(Table4424666569[[#This Row],[Student Number]]=C66,1,0)+IF(Table4424666569[[#This Row],[Session]]=B66,1,0)+IF(Table4424666569[[#This Row],[Pre or Post]]="Post",1,0)+IF(D66="Pre",1,0)=4,Table4424666569[[#This Row],[Post Total]],""),"")</f>
        <v>3</v>
      </c>
      <c r="O67" s="5">
        <f>IF(IF(ISNUMBER(K66),1,0)+IF(ISNUMBER(Table4424666569[[#This Row],[Post Total]]),1,0)=2,IF(IF(Table4424666569[[#This Row],[Student Number]]=C66,1,0)+IF(Table4424666569[[#This Row],[Session]]=B66,1,0)+IF(Table4424666569[[#This Row],[Pre or Post]]="Post",1,0)+IF(D66="Pre",1,0)=4,Table4424666569[[#This Row],[Post Total]]-K66,""),"")</f>
        <v>2</v>
      </c>
      <c r="P67" s="5" t="b">
        <f>ISNUMBER(Table4424666569[[#This Row],[Change]])</f>
        <v>1</v>
      </c>
      <c r="Q67" s="5" t="str">
        <f>IF(E66="Yes",Table4424666569[[#This Row],[Change]],"")</f>
        <v/>
      </c>
      <c r="R67" s="5">
        <f>IF(E66="No",Table4424666569[[#This Row],[Change]],"")</f>
        <v>2</v>
      </c>
      <c r="S67" s="5" t="b">
        <f>ISNUMBER(Table4424666569[[#This Row],[If Pre3 Yes]])</f>
        <v>0</v>
      </c>
      <c r="T67" s="5" t="b">
        <f>ISNUMBER(Table4424666569[[#This Row],[If Pre3 No]])</f>
        <v>1</v>
      </c>
    </row>
    <row r="68" spans="1:20">
      <c r="A68" s="1" t="s">
        <v>12</v>
      </c>
      <c r="B68" s="2" t="s">
        <v>21</v>
      </c>
      <c r="C68" s="1">
        <v>22</v>
      </c>
      <c r="D68" s="2" t="s">
        <v>6</v>
      </c>
      <c r="E68" s="5" t="s">
        <v>8</v>
      </c>
      <c r="F68" s="2">
        <v>11</v>
      </c>
      <c r="G68" s="1">
        <v>1</v>
      </c>
      <c r="H68" s="2" t="s">
        <v>8</v>
      </c>
      <c r="I68" s="5">
        <f>IF(IF(Table4424666569[[#This Row],[Pre or Post]]="Pre",1,0)+IF(ISNUMBER(Table4424666569[[#This Row],[Response]])=TRUE,1,0)=2,1,"")</f>
        <v>1</v>
      </c>
      <c r="J68" s="5" t="str">
        <f>IF(IF(Table4424666569[[#This Row],[Pre or Post]]="Post",1,0)+IF(ISNUMBER(Table4424666569[[#This Row],[Response]])=TRUE,1,0)=2,1,"")</f>
        <v/>
      </c>
      <c r="K68" s="6">
        <f>IF(IF(Table4424666569[[#This Row],[Pre or Post]]="Pre",1,0)+IF(ISNUMBER(Table4424666569[[#This Row],[Response]])=TRUE,1,0)=2,Table4424666569[[#This Row],[Response]],"")</f>
        <v>1</v>
      </c>
      <c r="L68" s="6" t="str">
        <f>IF(IF(Table4424666569[[#This Row],[Pre or Post]]="Post",1,0)+IF(ISNUMBER(Table4424666569[[#This Row],[Response]])=TRUE,1,0)=2,Table4424666569[[#This Row],[Response]],"")</f>
        <v/>
      </c>
      <c r="M68" s="5">
        <f>IF(IF(ISNUMBER(K68),1,0)+IF(ISNUMBER(L69),1,0)=2,IF(IF(C69=C68,1,0)+IF(B69=B68,1,0)+IF(D69="Post",1,0)+IF(D68="Pre",1,0)=4,Table4424666569[[#This Row],[Pre Total]],""),"")</f>
        <v>1</v>
      </c>
      <c r="N68" s="5" t="str">
        <f>IF(IF(ISNUMBER(K67),1,0)+IF(ISNUMBER(Table4424666569[[#This Row],[Post Total]]),1,0)=2,IF(IF(Table4424666569[[#This Row],[Student Number]]=C67,1,0)+IF(Table4424666569[[#This Row],[Session]]=B67,1,0)+IF(Table4424666569[[#This Row],[Pre or Post]]="Post",1,0)+IF(D67="Pre",1,0)=4,Table4424666569[[#This Row],[Post Total]],""),"")</f>
        <v/>
      </c>
      <c r="O68" s="5" t="str">
        <f>IF(IF(ISNUMBER(K67),1,0)+IF(ISNUMBER(Table4424666569[[#This Row],[Post Total]]),1,0)=2,IF(IF(Table4424666569[[#This Row],[Student Number]]=C67,1,0)+IF(Table4424666569[[#This Row],[Session]]=B67,1,0)+IF(Table4424666569[[#This Row],[Pre or Post]]="Post",1,0)+IF(D67="Pre",1,0)=4,Table4424666569[[#This Row],[Post Total]]-K67,""),"")</f>
        <v/>
      </c>
      <c r="P68" s="5" t="b">
        <f>ISNUMBER(Table4424666569[[#This Row],[Change]])</f>
        <v>0</v>
      </c>
      <c r="Q68" s="5" t="str">
        <f>IF(E67="Yes",Table4424666569[[#This Row],[Change]],"")</f>
        <v/>
      </c>
      <c r="R68" s="5" t="str">
        <f>IF(E67="No",Table4424666569[[#This Row],[Change]],"")</f>
        <v/>
      </c>
      <c r="S68" s="5" t="b">
        <f>ISNUMBER(Table4424666569[[#This Row],[If Pre3 Yes]])</f>
        <v>0</v>
      </c>
      <c r="T68" s="5" t="b">
        <f>ISNUMBER(Table4424666569[[#This Row],[If Pre3 No]])</f>
        <v>0</v>
      </c>
    </row>
    <row r="69" spans="1:20">
      <c r="A69" s="1" t="s">
        <v>12</v>
      </c>
      <c r="B69" s="2" t="s">
        <v>21</v>
      </c>
      <c r="C69" s="1">
        <v>22</v>
      </c>
      <c r="D69" s="2" t="s">
        <v>16</v>
      </c>
      <c r="E69" s="5" t="s">
        <v>171</v>
      </c>
      <c r="F69" s="1">
        <v>4</v>
      </c>
      <c r="G69" s="1">
        <v>3</v>
      </c>
      <c r="H69" s="2" t="s">
        <v>8</v>
      </c>
      <c r="I69" s="5" t="str">
        <f>IF(IF(Table4424666569[[#This Row],[Pre or Post]]="Pre",1,0)+IF(ISNUMBER(Table4424666569[[#This Row],[Response]])=TRUE,1,0)=2,1,"")</f>
        <v/>
      </c>
      <c r="J69" s="5">
        <f>IF(IF(Table4424666569[[#This Row],[Pre or Post]]="Post",1,0)+IF(ISNUMBER(Table4424666569[[#This Row],[Response]])=TRUE,1,0)=2,1,"")</f>
        <v>1</v>
      </c>
      <c r="K69" s="6" t="str">
        <f>IF(IF(Table4424666569[[#This Row],[Pre or Post]]="Pre",1,0)+IF(ISNUMBER(Table4424666569[[#This Row],[Response]])=TRUE,1,0)=2,Table4424666569[[#This Row],[Response]],"")</f>
        <v/>
      </c>
      <c r="L69" s="6">
        <f>IF(IF(Table4424666569[[#This Row],[Pre or Post]]="Post",1,0)+IF(ISNUMBER(Table4424666569[[#This Row],[Response]])=TRUE,1,0)=2,Table4424666569[[#This Row],[Response]],"")</f>
        <v>3</v>
      </c>
      <c r="M69" s="5" t="str">
        <f>IF(IF(ISNUMBER(K69),1,0)+IF(ISNUMBER(L70),1,0)=2,IF(IF(C70=C69,1,0)+IF(B70=B69,1,0)+IF(D70="Post",1,0)+IF(D69="Pre",1,0)=4,Table4424666569[[#This Row],[Pre Total]],""),"")</f>
        <v/>
      </c>
      <c r="N69" s="5">
        <f>IF(IF(ISNUMBER(K68),1,0)+IF(ISNUMBER(Table4424666569[[#This Row],[Post Total]]),1,0)=2,IF(IF(Table4424666569[[#This Row],[Student Number]]=C68,1,0)+IF(Table4424666569[[#This Row],[Session]]=B68,1,0)+IF(Table4424666569[[#This Row],[Pre or Post]]="Post",1,0)+IF(D68="Pre",1,0)=4,Table4424666569[[#This Row],[Post Total]],""),"")</f>
        <v>3</v>
      </c>
      <c r="O69" s="5">
        <f>IF(IF(ISNUMBER(K68),1,0)+IF(ISNUMBER(Table4424666569[[#This Row],[Post Total]]),1,0)=2,IF(IF(Table4424666569[[#This Row],[Student Number]]=C68,1,0)+IF(Table4424666569[[#This Row],[Session]]=B68,1,0)+IF(Table4424666569[[#This Row],[Pre or Post]]="Post",1,0)+IF(D68="Pre",1,0)=4,Table4424666569[[#This Row],[Post Total]]-K68,""),"")</f>
        <v>2</v>
      </c>
      <c r="P69" s="5" t="b">
        <f>ISNUMBER(Table4424666569[[#This Row],[Change]])</f>
        <v>1</v>
      </c>
      <c r="Q69" s="5">
        <f>IF(E68="Yes",Table4424666569[[#This Row],[Change]],"")</f>
        <v>2</v>
      </c>
      <c r="R69" s="5" t="str">
        <f>IF(E68="No",Table4424666569[[#This Row],[Change]],"")</f>
        <v/>
      </c>
      <c r="S69" s="5" t="b">
        <f>ISNUMBER(Table4424666569[[#This Row],[If Pre3 Yes]])</f>
        <v>1</v>
      </c>
      <c r="T69" s="5" t="b">
        <f>ISNUMBER(Table4424666569[[#This Row],[If Pre3 No]])</f>
        <v>0</v>
      </c>
    </row>
    <row r="70" spans="1:20">
      <c r="A70" s="1" t="s">
        <v>12</v>
      </c>
      <c r="B70" s="2" t="s">
        <v>21</v>
      </c>
      <c r="C70" s="1">
        <v>23</v>
      </c>
      <c r="D70" s="2" t="s">
        <v>6</v>
      </c>
      <c r="E70" s="5" t="s">
        <v>8</v>
      </c>
      <c r="F70" s="2">
        <v>11</v>
      </c>
      <c r="G70" s="2">
        <v>2</v>
      </c>
      <c r="H70" s="2" t="s">
        <v>8</v>
      </c>
      <c r="I70" s="6">
        <f>IF(IF(Table4424666569[[#This Row],[Pre or Post]]="Pre",1,0)+IF(ISNUMBER(Table4424666569[[#This Row],[Response]])=TRUE,1,0)=2,1,"")</f>
        <v>1</v>
      </c>
      <c r="J70" s="6" t="str">
        <f>IF(IF(Table4424666569[[#This Row],[Pre or Post]]="Post",1,0)+IF(ISNUMBER(Table4424666569[[#This Row],[Response]])=TRUE,1,0)=2,1,"")</f>
        <v/>
      </c>
      <c r="K70" s="6">
        <f>IF(IF(Table4424666569[[#This Row],[Pre or Post]]="Pre",1,0)+IF(ISNUMBER(Table4424666569[[#This Row],[Response]])=TRUE,1,0)=2,Table4424666569[[#This Row],[Response]],"")</f>
        <v>2</v>
      </c>
      <c r="L70" s="6" t="str">
        <f>IF(IF(Table4424666569[[#This Row],[Pre or Post]]="Post",1,0)+IF(ISNUMBER(Table4424666569[[#This Row],[Response]])=TRUE,1,0)=2,Table4424666569[[#This Row],[Response]],"")</f>
        <v/>
      </c>
      <c r="M70" s="6">
        <f>IF(IF(ISNUMBER(K70),1,0)+IF(ISNUMBER(L71),1,0)=2,IF(IF(C71=C70,1,0)+IF(B71=B70,1,0)+IF(D71="Post",1,0)+IF(D70="Pre",1,0)=4,Table4424666569[[#This Row],[Pre Total]],""),"")</f>
        <v>2</v>
      </c>
      <c r="N70" s="6" t="str">
        <f>IF(IF(ISNUMBER(K69),1,0)+IF(ISNUMBER(Table4424666569[[#This Row],[Post Total]]),1,0)=2,IF(IF(Table4424666569[[#This Row],[Student Number]]=C69,1,0)+IF(Table4424666569[[#This Row],[Session]]=B69,1,0)+IF(Table4424666569[[#This Row],[Pre or Post]]="Post",1,0)+IF(D69="Pre",1,0)=4,Table4424666569[[#This Row],[Post Total]],""),"")</f>
        <v/>
      </c>
      <c r="O70" s="6" t="str">
        <f>IF(IF(ISNUMBER(K69),1,0)+IF(ISNUMBER(Table4424666569[[#This Row],[Post Total]]),1,0)=2,IF(IF(Table4424666569[[#This Row],[Student Number]]=C69,1,0)+IF(Table4424666569[[#This Row],[Session]]=B69,1,0)+IF(Table4424666569[[#This Row],[Pre or Post]]="Post",1,0)+IF(D69="Pre",1,0)=4,Table4424666569[[#This Row],[Post Total]]-K69,""),"")</f>
        <v/>
      </c>
      <c r="P70" s="6" t="b">
        <f>ISNUMBER(Table4424666569[[#This Row],[Change]])</f>
        <v>0</v>
      </c>
      <c r="Q70" s="5" t="str">
        <f>IF(E69="Yes",Table4424666569[[#This Row],[Change]],"")</f>
        <v/>
      </c>
      <c r="R70" s="5" t="str">
        <f>IF(E69="No",Table4424666569[[#This Row],[Change]],"")</f>
        <v/>
      </c>
      <c r="S70" s="5" t="b">
        <f>ISNUMBER(Table4424666569[[#This Row],[If Pre3 Yes]])</f>
        <v>0</v>
      </c>
      <c r="T70" s="5" t="b">
        <f>ISNUMBER(Table4424666569[[#This Row],[If Pre3 No]])</f>
        <v>0</v>
      </c>
    </row>
    <row r="71" spans="1:20">
      <c r="A71" s="1" t="s">
        <v>12</v>
      </c>
      <c r="B71" s="2" t="s">
        <v>21</v>
      </c>
      <c r="C71" s="1">
        <v>23</v>
      </c>
      <c r="D71" s="2" t="s">
        <v>16</v>
      </c>
      <c r="E71" s="5" t="s">
        <v>171</v>
      </c>
      <c r="F71" s="1">
        <v>4</v>
      </c>
      <c r="G71" s="1">
        <v>5</v>
      </c>
      <c r="H71" s="2" t="s">
        <v>8</v>
      </c>
      <c r="I71" s="5" t="str">
        <f>IF(IF(Table4424666569[[#This Row],[Pre or Post]]="Pre",1,0)+IF(ISNUMBER(Table4424666569[[#This Row],[Response]])=TRUE,1,0)=2,1,"")</f>
        <v/>
      </c>
      <c r="J71" s="5">
        <f>IF(IF(Table4424666569[[#This Row],[Pre or Post]]="Post",1,0)+IF(ISNUMBER(Table4424666569[[#This Row],[Response]])=TRUE,1,0)=2,1,"")</f>
        <v>1</v>
      </c>
      <c r="K71" s="6" t="str">
        <f>IF(IF(Table4424666569[[#This Row],[Pre or Post]]="Pre",1,0)+IF(ISNUMBER(Table4424666569[[#This Row],[Response]])=TRUE,1,0)=2,Table4424666569[[#This Row],[Response]],"")</f>
        <v/>
      </c>
      <c r="L71" s="6">
        <f>IF(IF(Table4424666569[[#This Row],[Pre or Post]]="Post",1,0)+IF(ISNUMBER(Table4424666569[[#This Row],[Response]])=TRUE,1,0)=2,Table4424666569[[#This Row],[Response]],"")</f>
        <v>5</v>
      </c>
      <c r="M71" s="5" t="str">
        <f>IF(IF(ISNUMBER(K71),1,0)+IF(ISNUMBER(L72),1,0)=2,IF(IF(C72=C71,1,0)+IF(B72=B71,1,0)+IF(D72="Post",1,0)+IF(D71="Pre",1,0)=4,Table4424666569[[#This Row],[Pre Total]],""),"")</f>
        <v/>
      </c>
      <c r="N71" s="5">
        <f>IF(IF(ISNUMBER(K70),1,0)+IF(ISNUMBER(Table4424666569[[#This Row],[Post Total]]),1,0)=2,IF(IF(Table4424666569[[#This Row],[Student Number]]=C70,1,0)+IF(Table4424666569[[#This Row],[Session]]=B70,1,0)+IF(Table4424666569[[#This Row],[Pre or Post]]="Post",1,0)+IF(D70="Pre",1,0)=4,Table4424666569[[#This Row],[Post Total]],""),"")</f>
        <v>5</v>
      </c>
      <c r="O71" s="5">
        <f>IF(IF(ISNUMBER(K70),1,0)+IF(ISNUMBER(Table4424666569[[#This Row],[Post Total]]),1,0)=2,IF(IF(Table4424666569[[#This Row],[Student Number]]=C70,1,0)+IF(Table4424666569[[#This Row],[Session]]=B70,1,0)+IF(Table4424666569[[#This Row],[Pre or Post]]="Post",1,0)+IF(D70="Pre",1,0)=4,Table4424666569[[#This Row],[Post Total]]-K70,""),"")</f>
        <v>3</v>
      </c>
      <c r="P71" s="5" t="b">
        <f>ISNUMBER(Table4424666569[[#This Row],[Change]])</f>
        <v>1</v>
      </c>
      <c r="Q71" s="5">
        <f>IF(E70="Yes",Table4424666569[[#This Row],[Change]],"")</f>
        <v>3</v>
      </c>
      <c r="R71" s="5" t="str">
        <f>IF(E70="No",Table4424666569[[#This Row],[Change]],"")</f>
        <v/>
      </c>
      <c r="S71" s="5" t="b">
        <f>ISNUMBER(Table4424666569[[#This Row],[If Pre3 Yes]])</f>
        <v>1</v>
      </c>
      <c r="T71" s="5" t="b">
        <f>ISNUMBER(Table4424666569[[#This Row],[If Pre3 No]])</f>
        <v>0</v>
      </c>
    </row>
    <row r="72" spans="1:20">
      <c r="A72" s="1" t="s">
        <v>12</v>
      </c>
      <c r="B72" s="1" t="s">
        <v>10</v>
      </c>
      <c r="C72" s="1">
        <v>1</v>
      </c>
      <c r="D72" s="1" t="s">
        <v>6</v>
      </c>
      <c r="E72" s="5" t="s">
        <v>8</v>
      </c>
      <c r="F72" s="1">
        <v>11</v>
      </c>
      <c r="G72" s="1">
        <v>2</v>
      </c>
      <c r="H72" s="1" t="s">
        <v>8</v>
      </c>
      <c r="I72" s="6">
        <f>IF(IF(Table4424666569[[#This Row],[Pre or Post]]="Pre",1,0)+IF(ISNUMBER(Table4424666569[[#This Row],[Response]])=TRUE,1,0)=2,1,"")</f>
        <v>1</v>
      </c>
      <c r="J72" s="6" t="str">
        <f>IF(IF(Table4424666569[[#This Row],[Pre or Post]]="Post",1,0)+IF(ISNUMBER(Table4424666569[[#This Row],[Response]])=TRUE,1,0)=2,1,"")</f>
        <v/>
      </c>
      <c r="K72" s="6">
        <f>IF(IF(Table4424666569[[#This Row],[Pre or Post]]="Pre",1,0)+IF(ISNUMBER(Table4424666569[[#This Row],[Response]])=TRUE,1,0)=2,Table4424666569[[#This Row],[Response]],"")</f>
        <v>2</v>
      </c>
      <c r="L72" s="6" t="str">
        <f>IF(IF(Table4424666569[[#This Row],[Pre or Post]]="Post",1,0)+IF(ISNUMBER(Table4424666569[[#This Row],[Response]])=TRUE,1,0)=2,Table4424666569[[#This Row],[Response]],"")</f>
        <v/>
      </c>
      <c r="M72" s="6">
        <f>IF(IF(ISNUMBER(K72),1,0)+IF(ISNUMBER(L73),1,0)=2,IF(IF(C73=C72,1,0)+IF(B73=B72,1,0)+IF(D73="Post",1,0)+IF(D72="Pre",1,0)=4,Table4424666569[[#This Row],[Pre Total]],""),"")</f>
        <v>2</v>
      </c>
      <c r="N72" s="6" t="str">
        <f>IF(IF(ISNUMBER(K71),1,0)+IF(ISNUMBER(Table4424666569[[#This Row],[Post Total]]),1,0)=2,IF(IF(Table4424666569[[#This Row],[Student Number]]=C71,1,0)+IF(Table4424666569[[#This Row],[Session]]=B71,1,0)+IF(Table4424666569[[#This Row],[Pre or Post]]="Post",1,0)+IF(D71="Pre",1,0)=4,Table4424666569[[#This Row],[Post Total]],""),"")</f>
        <v/>
      </c>
      <c r="O72" s="6" t="str">
        <f>IF(IF(ISNUMBER(K71),1,0)+IF(ISNUMBER(Table4424666569[[#This Row],[Post Total]]),1,0)=2,IF(IF(Table4424666569[[#This Row],[Student Number]]=C71,1,0)+IF(Table4424666569[[#This Row],[Session]]=B71,1,0)+IF(Table4424666569[[#This Row],[Pre or Post]]="Post",1,0)+IF(D71="Pre",1,0)=4,Table4424666569[[#This Row],[Post Total]]-K71,""),"")</f>
        <v/>
      </c>
      <c r="P72" s="6" t="b">
        <f>ISNUMBER(Table4424666569[[#This Row],[Change]])</f>
        <v>0</v>
      </c>
      <c r="Q72" s="5" t="str">
        <f>IF(E71="Yes",Table4424666569[[#This Row],[Change]],"")</f>
        <v/>
      </c>
      <c r="R72" s="5" t="str">
        <f>IF(E71="No",Table4424666569[[#This Row],[Change]],"")</f>
        <v/>
      </c>
      <c r="S72" s="5" t="b">
        <f>ISNUMBER(Table4424666569[[#This Row],[If Pre3 Yes]])</f>
        <v>0</v>
      </c>
      <c r="T72" s="5" t="b">
        <f>ISNUMBER(Table4424666569[[#This Row],[If Pre3 No]])</f>
        <v>0</v>
      </c>
    </row>
    <row r="73" spans="1:20">
      <c r="A73" s="1" t="s">
        <v>12</v>
      </c>
      <c r="B73" s="1" t="s">
        <v>10</v>
      </c>
      <c r="C73" s="1">
        <v>1</v>
      </c>
      <c r="D73" s="1" t="s">
        <v>16</v>
      </c>
      <c r="E73" s="5"/>
      <c r="F73" s="1">
        <v>4</v>
      </c>
      <c r="G73" s="1">
        <v>3</v>
      </c>
      <c r="H73" s="1" t="s">
        <v>8</v>
      </c>
      <c r="I73" s="5" t="str">
        <f>IF(IF(Table4424666569[[#This Row],[Pre or Post]]="Pre",1,0)+IF(ISNUMBER(Table4424666569[[#This Row],[Response]])=TRUE,1,0)=2,1,"")</f>
        <v/>
      </c>
      <c r="J73" s="5">
        <f>IF(IF(Table4424666569[[#This Row],[Pre or Post]]="Post",1,0)+IF(ISNUMBER(Table4424666569[[#This Row],[Response]])=TRUE,1,0)=2,1,"")</f>
        <v>1</v>
      </c>
      <c r="K73" s="6" t="str">
        <f>IF(IF(Table4424666569[[#This Row],[Pre or Post]]="Pre",1,0)+IF(ISNUMBER(Table4424666569[[#This Row],[Response]])=TRUE,1,0)=2,Table4424666569[[#This Row],[Response]],"")</f>
        <v/>
      </c>
      <c r="L73" s="6">
        <f>IF(IF(Table4424666569[[#This Row],[Pre or Post]]="Post",1,0)+IF(ISNUMBER(Table4424666569[[#This Row],[Response]])=TRUE,1,0)=2,Table4424666569[[#This Row],[Response]],"")</f>
        <v>3</v>
      </c>
      <c r="M73" s="5" t="str">
        <f>IF(IF(ISNUMBER(K73),1,0)+IF(ISNUMBER(L74),1,0)=2,IF(IF(C74=C73,1,0)+IF(B74=B73,1,0)+IF(D74="Post",1,0)+IF(D73="Pre",1,0)=4,Table4424666569[[#This Row],[Pre Total]],""),"")</f>
        <v/>
      </c>
      <c r="N73" s="5">
        <f>IF(IF(ISNUMBER(K72),1,0)+IF(ISNUMBER(Table4424666569[[#This Row],[Post Total]]),1,0)=2,IF(IF(Table4424666569[[#This Row],[Student Number]]=C72,1,0)+IF(Table4424666569[[#This Row],[Session]]=B72,1,0)+IF(Table4424666569[[#This Row],[Pre or Post]]="Post",1,0)+IF(D72="Pre",1,0)=4,Table4424666569[[#This Row],[Post Total]],""),"")</f>
        <v>3</v>
      </c>
      <c r="O73" s="5">
        <f>IF(IF(ISNUMBER(K72),1,0)+IF(ISNUMBER(Table4424666569[[#This Row],[Post Total]]),1,0)=2,IF(IF(Table4424666569[[#This Row],[Student Number]]=C72,1,0)+IF(Table4424666569[[#This Row],[Session]]=B72,1,0)+IF(Table4424666569[[#This Row],[Pre or Post]]="Post",1,0)+IF(D72="Pre",1,0)=4,Table4424666569[[#This Row],[Post Total]]-K72,""),"")</f>
        <v>1</v>
      </c>
      <c r="P73" s="5" t="b">
        <f>ISNUMBER(Table4424666569[[#This Row],[Change]])</f>
        <v>1</v>
      </c>
      <c r="Q73" s="5">
        <f>IF(E72="Yes",Table4424666569[[#This Row],[Change]],"")</f>
        <v>1</v>
      </c>
      <c r="R73" s="5" t="str">
        <f>IF(E72="No",Table4424666569[[#This Row],[Change]],"")</f>
        <v/>
      </c>
      <c r="S73" s="5" t="b">
        <f>ISNUMBER(Table4424666569[[#This Row],[If Pre3 Yes]])</f>
        <v>1</v>
      </c>
      <c r="T73" s="5" t="b">
        <f>ISNUMBER(Table4424666569[[#This Row],[If Pre3 No]])</f>
        <v>0</v>
      </c>
    </row>
    <row r="74" spans="1:20">
      <c r="A74" s="1" t="s">
        <v>12</v>
      </c>
      <c r="B74" s="1" t="s">
        <v>10</v>
      </c>
      <c r="C74" s="1">
        <v>2</v>
      </c>
      <c r="D74" s="1" t="s">
        <v>6</v>
      </c>
      <c r="E74" s="5" t="s">
        <v>8</v>
      </c>
      <c r="F74" s="1">
        <v>11</v>
      </c>
      <c r="G74" s="1">
        <v>3</v>
      </c>
      <c r="H74" s="1" t="s">
        <v>8</v>
      </c>
      <c r="I74" s="6">
        <f>IF(IF(Table4424666569[[#This Row],[Pre or Post]]="Pre",1,0)+IF(ISNUMBER(Table4424666569[[#This Row],[Response]])=TRUE,1,0)=2,1,"")</f>
        <v>1</v>
      </c>
      <c r="J74" s="6" t="str">
        <f>IF(IF(Table4424666569[[#This Row],[Pre or Post]]="Post",1,0)+IF(ISNUMBER(Table4424666569[[#This Row],[Response]])=TRUE,1,0)=2,1,"")</f>
        <v/>
      </c>
      <c r="K74" s="6">
        <f>IF(IF(Table4424666569[[#This Row],[Pre or Post]]="Pre",1,0)+IF(ISNUMBER(Table4424666569[[#This Row],[Response]])=TRUE,1,0)=2,Table4424666569[[#This Row],[Response]],"")</f>
        <v>3</v>
      </c>
      <c r="L74" s="6" t="str">
        <f>IF(IF(Table4424666569[[#This Row],[Pre or Post]]="Post",1,0)+IF(ISNUMBER(Table4424666569[[#This Row],[Response]])=TRUE,1,0)=2,Table4424666569[[#This Row],[Response]],"")</f>
        <v/>
      </c>
      <c r="M74" s="6">
        <f>IF(IF(ISNUMBER(K74),1,0)+IF(ISNUMBER(L75),1,0)=2,IF(IF(C75=C74,1,0)+IF(B75=B74,1,0)+IF(D75="Post",1,0)+IF(D74="Pre",1,0)=4,Table4424666569[[#This Row],[Pre Total]],""),"")</f>
        <v>3</v>
      </c>
      <c r="N74" s="6" t="str">
        <f>IF(IF(ISNUMBER(K73),1,0)+IF(ISNUMBER(Table4424666569[[#This Row],[Post Total]]),1,0)=2,IF(IF(Table4424666569[[#This Row],[Student Number]]=C73,1,0)+IF(Table4424666569[[#This Row],[Session]]=B73,1,0)+IF(Table4424666569[[#This Row],[Pre or Post]]="Post",1,0)+IF(D73="Pre",1,0)=4,Table4424666569[[#This Row],[Post Total]],""),"")</f>
        <v/>
      </c>
      <c r="O74" s="6" t="str">
        <f>IF(IF(ISNUMBER(K73),1,0)+IF(ISNUMBER(Table4424666569[[#This Row],[Post Total]]),1,0)=2,IF(IF(Table4424666569[[#This Row],[Student Number]]=C73,1,0)+IF(Table4424666569[[#This Row],[Session]]=B73,1,0)+IF(Table4424666569[[#This Row],[Pre or Post]]="Post",1,0)+IF(D73="Pre",1,0)=4,Table4424666569[[#This Row],[Post Total]]-K73,""),"")</f>
        <v/>
      </c>
      <c r="P74" s="6" t="b">
        <f>ISNUMBER(Table4424666569[[#This Row],[Change]])</f>
        <v>0</v>
      </c>
      <c r="Q74" s="5" t="str">
        <f>IF(E73="Yes",Table4424666569[[#This Row],[Change]],"")</f>
        <v/>
      </c>
      <c r="R74" s="5" t="str">
        <f>IF(E73="No",Table4424666569[[#This Row],[Change]],"")</f>
        <v/>
      </c>
      <c r="S74" s="5" t="b">
        <f>ISNUMBER(Table4424666569[[#This Row],[If Pre3 Yes]])</f>
        <v>0</v>
      </c>
      <c r="T74" s="5" t="b">
        <f>ISNUMBER(Table4424666569[[#This Row],[If Pre3 No]])</f>
        <v>0</v>
      </c>
    </row>
    <row r="75" spans="1:20">
      <c r="A75" s="1" t="s">
        <v>12</v>
      </c>
      <c r="B75" s="1" t="s">
        <v>10</v>
      </c>
      <c r="C75" s="1">
        <v>2</v>
      </c>
      <c r="D75" s="1" t="s">
        <v>16</v>
      </c>
      <c r="E75" s="5"/>
      <c r="F75" s="1">
        <v>4</v>
      </c>
      <c r="G75" s="1">
        <v>2</v>
      </c>
      <c r="H75" s="1" t="s">
        <v>8</v>
      </c>
      <c r="I75" s="6" t="str">
        <f>IF(IF(Table4424666569[[#This Row],[Pre or Post]]="Pre",1,0)+IF(ISNUMBER(Table4424666569[[#This Row],[Response]])=TRUE,1,0)=2,1,"")</f>
        <v/>
      </c>
      <c r="J75" s="6">
        <f>IF(IF(Table4424666569[[#This Row],[Pre or Post]]="Post",1,0)+IF(ISNUMBER(Table4424666569[[#This Row],[Response]])=TRUE,1,0)=2,1,"")</f>
        <v>1</v>
      </c>
      <c r="K75" s="6" t="str">
        <f>IF(IF(Table4424666569[[#This Row],[Pre or Post]]="Pre",1,0)+IF(ISNUMBER(Table4424666569[[#This Row],[Response]])=TRUE,1,0)=2,Table4424666569[[#This Row],[Response]],"")</f>
        <v/>
      </c>
      <c r="L75" s="6">
        <f>IF(IF(Table4424666569[[#This Row],[Pre or Post]]="Post",1,0)+IF(ISNUMBER(Table4424666569[[#This Row],[Response]])=TRUE,1,0)=2,Table4424666569[[#This Row],[Response]],"")</f>
        <v>2</v>
      </c>
      <c r="M75" s="6" t="str">
        <f>IF(IF(ISNUMBER(K75),1,0)+IF(ISNUMBER(L76),1,0)=2,IF(IF(C76=C75,1,0)+IF(B76=B75,1,0)+IF(D76="Post",1,0)+IF(D75="Pre",1,0)=4,Table4424666569[[#This Row],[Pre Total]],""),"")</f>
        <v/>
      </c>
      <c r="N75" s="6">
        <f>IF(IF(ISNUMBER(K74),1,0)+IF(ISNUMBER(Table4424666569[[#This Row],[Post Total]]),1,0)=2,IF(IF(Table4424666569[[#This Row],[Student Number]]=C74,1,0)+IF(Table4424666569[[#This Row],[Session]]=B74,1,0)+IF(Table4424666569[[#This Row],[Pre or Post]]="Post",1,0)+IF(D74="Pre",1,0)=4,Table4424666569[[#This Row],[Post Total]],""),"")</f>
        <v>2</v>
      </c>
      <c r="O75" s="6">
        <f>IF(IF(ISNUMBER(K74),1,0)+IF(ISNUMBER(Table4424666569[[#This Row],[Post Total]]),1,0)=2,IF(IF(Table4424666569[[#This Row],[Student Number]]=C74,1,0)+IF(Table4424666569[[#This Row],[Session]]=B74,1,0)+IF(Table4424666569[[#This Row],[Pre or Post]]="Post",1,0)+IF(D74="Pre",1,0)=4,Table4424666569[[#This Row],[Post Total]]-K74,""),"")</f>
        <v>-1</v>
      </c>
      <c r="P75" s="6" t="b">
        <f>ISNUMBER(Table4424666569[[#This Row],[Change]])</f>
        <v>1</v>
      </c>
      <c r="Q75" s="5">
        <f>IF(E74="Yes",Table4424666569[[#This Row],[Change]],"")</f>
        <v>-1</v>
      </c>
      <c r="R75" s="5" t="str">
        <f>IF(E74="No",Table4424666569[[#This Row],[Change]],"")</f>
        <v/>
      </c>
      <c r="S75" s="5" t="b">
        <f>ISNUMBER(Table4424666569[[#This Row],[If Pre3 Yes]])</f>
        <v>1</v>
      </c>
      <c r="T75" s="5" t="b">
        <f>ISNUMBER(Table4424666569[[#This Row],[If Pre3 No]])</f>
        <v>0</v>
      </c>
    </row>
    <row r="76" spans="1:20">
      <c r="A76" s="1" t="s">
        <v>12</v>
      </c>
      <c r="B76" s="1" t="s">
        <v>10</v>
      </c>
      <c r="C76" s="1">
        <v>3</v>
      </c>
      <c r="D76" s="1" t="s">
        <v>6</v>
      </c>
      <c r="E76" s="5" t="s">
        <v>8</v>
      </c>
      <c r="F76" s="1">
        <v>11</v>
      </c>
      <c r="G76" s="1">
        <v>4</v>
      </c>
      <c r="H76" s="1" t="s">
        <v>8</v>
      </c>
      <c r="I76" s="6">
        <f>IF(IF(Table4424666569[[#This Row],[Pre or Post]]="Pre",1,0)+IF(ISNUMBER(Table4424666569[[#This Row],[Response]])=TRUE,1,0)=2,1,"")</f>
        <v>1</v>
      </c>
      <c r="J76" s="6" t="str">
        <f>IF(IF(Table4424666569[[#This Row],[Pre or Post]]="Post",1,0)+IF(ISNUMBER(Table4424666569[[#This Row],[Response]])=TRUE,1,0)=2,1,"")</f>
        <v/>
      </c>
      <c r="K76" s="6">
        <f>IF(IF(Table4424666569[[#This Row],[Pre or Post]]="Pre",1,0)+IF(ISNUMBER(Table4424666569[[#This Row],[Response]])=TRUE,1,0)=2,Table4424666569[[#This Row],[Response]],"")</f>
        <v>4</v>
      </c>
      <c r="L76" s="6" t="str">
        <f>IF(IF(Table4424666569[[#This Row],[Pre or Post]]="Post",1,0)+IF(ISNUMBER(Table4424666569[[#This Row],[Response]])=TRUE,1,0)=2,Table4424666569[[#This Row],[Response]],"")</f>
        <v/>
      </c>
      <c r="M76" s="6">
        <f>IF(IF(ISNUMBER(K76),1,0)+IF(ISNUMBER(L77),1,0)=2,IF(IF(C77=C76,1,0)+IF(B77=B76,1,0)+IF(D77="Post",1,0)+IF(D76="Pre",1,0)=4,Table4424666569[[#This Row],[Pre Total]],""),"")</f>
        <v>4</v>
      </c>
      <c r="N76" s="6" t="str">
        <f>IF(IF(ISNUMBER(K75),1,0)+IF(ISNUMBER(Table4424666569[[#This Row],[Post Total]]),1,0)=2,IF(IF(Table4424666569[[#This Row],[Student Number]]=C75,1,0)+IF(Table4424666569[[#This Row],[Session]]=B75,1,0)+IF(Table4424666569[[#This Row],[Pre or Post]]="Post",1,0)+IF(D75="Pre",1,0)=4,Table4424666569[[#This Row],[Post Total]],""),"")</f>
        <v/>
      </c>
      <c r="O76" s="6" t="str">
        <f>IF(IF(ISNUMBER(K75),1,0)+IF(ISNUMBER(Table4424666569[[#This Row],[Post Total]]),1,0)=2,IF(IF(Table4424666569[[#This Row],[Student Number]]=C75,1,0)+IF(Table4424666569[[#This Row],[Session]]=B75,1,0)+IF(Table4424666569[[#This Row],[Pre or Post]]="Post",1,0)+IF(D75="Pre",1,0)=4,Table4424666569[[#This Row],[Post Total]]-K75,""),"")</f>
        <v/>
      </c>
      <c r="P76" s="6" t="b">
        <f>ISNUMBER(Table4424666569[[#This Row],[Change]])</f>
        <v>0</v>
      </c>
      <c r="Q76" s="5" t="str">
        <f>IF(E75="Yes",Table4424666569[[#This Row],[Change]],"")</f>
        <v/>
      </c>
      <c r="R76" s="5" t="str">
        <f>IF(E75="No",Table4424666569[[#This Row],[Change]],"")</f>
        <v/>
      </c>
      <c r="S76" s="5" t="b">
        <f>ISNUMBER(Table4424666569[[#This Row],[If Pre3 Yes]])</f>
        <v>0</v>
      </c>
      <c r="T76" s="5" t="b">
        <f>ISNUMBER(Table4424666569[[#This Row],[If Pre3 No]])</f>
        <v>0</v>
      </c>
    </row>
    <row r="77" spans="1:20">
      <c r="A77" s="1" t="s">
        <v>12</v>
      </c>
      <c r="B77" s="1" t="s">
        <v>10</v>
      </c>
      <c r="C77" s="1">
        <v>3</v>
      </c>
      <c r="D77" s="1" t="s">
        <v>16</v>
      </c>
      <c r="E77" s="5"/>
      <c r="F77" s="1">
        <v>4</v>
      </c>
      <c r="G77" s="1">
        <v>4</v>
      </c>
      <c r="H77" s="1" t="s">
        <v>8</v>
      </c>
      <c r="I77" s="5" t="str">
        <f>IF(IF(Table4424666569[[#This Row],[Pre or Post]]="Pre",1,0)+IF(ISNUMBER(Table4424666569[[#This Row],[Response]])=TRUE,1,0)=2,1,"")</f>
        <v/>
      </c>
      <c r="J77" s="5">
        <f>IF(IF(Table4424666569[[#This Row],[Pre or Post]]="Post",1,0)+IF(ISNUMBER(Table4424666569[[#This Row],[Response]])=TRUE,1,0)=2,1,"")</f>
        <v>1</v>
      </c>
      <c r="K77" s="6" t="str">
        <f>IF(IF(Table4424666569[[#This Row],[Pre or Post]]="Pre",1,0)+IF(ISNUMBER(Table4424666569[[#This Row],[Response]])=TRUE,1,0)=2,Table4424666569[[#This Row],[Response]],"")</f>
        <v/>
      </c>
      <c r="L77" s="6">
        <f>IF(IF(Table4424666569[[#This Row],[Pre or Post]]="Post",1,0)+IF(ISNUMBER(Table4424666569[[#This Row],[Response]])=TRUE,1,0)=2,Table4424666569[[#This Row],[Response]],"")</f>
        <v>4</v>
      </c>
      <c r="M77" s="5" t="str">
        <f>IF(IF(ISNUMBER(K77),1,0)+IF(ISNUMBER(L78),1,0)=2,IF(IF(C78=C77,1,0)+IF(B78=B77,1,0)+IF(D78="Post",1,0)+IF(D77="Pre",1,0)=4,Table4424666569[[#This Row],[Pre Total]],""),"")</f>
        <v/>
      </c>
      <c r="N77" s="5">
        <f>IF(IF(ISNUMBER(K76),1,0)+IF(ISNUMBER(Table4424666569[[#This Row],[Post Total]]),1,0)=2,IF(IF(Table4424666569[[#This Row],[Student Number]]=C76,1,0)+IF(Table4424666569[[#This Row],[Session]]=B76,1,0)+IF(Table4424666569[[#This Row],[Pre or Post]]="Post",1,0)+IF(D76="Pre",1,0)=4,Table4424666569[[#This Row],[Post Total]],""),"")</f>
        <v>4</v>
      </c>
      <c r="O77" s="5">
        <f>IF(IF(ISNUMBER(K76),1,0)+IF(ISNUMBER(Table4424666569[[#This Row],[Post Total]]),1,0)=2,IF(IF(Table4424666569[[#This Row],[Student Number]]=C76,1,0)+IF(Table4424666569[[#This Row],[Session]]=B76,1,0)+IF(Table4424666569[[#This Row],[Pre or Post]]="Post",1,0)+IF(D76="Pre",1,0)=4,Table4424666569[[#This Row],[Post Total]]-K76,""),"")</f>
        <v>0</v>
      </c>
      <c r="P77" s="5" t="b">
        <f>ISNUMBER(Table4424666569[[#This Row],[Change]])</f>
        <v>1</v>
      </c>
      <c r="Q77" s="5">
        <f>IF(E76="Yes",Table4424666569[[#This Row],[Change]],"")</f>
        <v>0</v>
      </c>
      <c r="R77" s="5" t="str">
        <f>IF(E76="No",Table4424666569[[#This Row],[Change]],"")</f>
        <v/>
      </c>
      <c r="S77" s="5" t="b">
        <f>ISNUMBER(Table4424666569[[#This Row],[If Pre3 Yes]])</f>
        <v>1</v>
      </c>
      <c r="T77" s="5" t="b">
        <f>ISNUMBER(Table4424666569[[#This Row],[If Pre3 No]])</f>
        <v>0</v>
      </c>
    </row>
    <row r="78" spans="1:20">
      <c r="A78" s="1" t="s">
        <v>12</v>
      </c>
      <c r="B78" s="1" t="s">
        <v>10</v>
      </c>
      <c r="C78" s="1">
        <v>4</v>
      </c>
      <c r="D78" s="1" t="s">
        <v>6</v>
      </c>
      <c r="E78" s="5" t="s">
        <v>8</v>
      </c>
      <c r="F78" s="1">
        <v>11</v>
      </c>
      <c r="G78" s="1">
        <v>2</v>
      </c>
      <c r="H78" s="1" t="s">
        <v>8</v>
      </c>
      <c r="I78" s="6">
        <f>IF(IF(Table4424666569[[#This Row],[Pre or Post]]="Pre",1,0)+IF(ISNUMBER(Table4424666569[[#This Row],[Response]])=TRUE,1,0)=2,1,"")</f>
        <v>1</v>
      </c>
      <c r="J78" s="6" t="str">
        <f>IF(IF(Table4424666569[[#This Row],[Pre or Post]]="Post",1,0)+IF(ISNUMBER(Table4424666569[[#This Row],[Response]])=TRUE,1,0)=2,1,"")</f>
        <v/>
      </c>
      <c r="K78" s="6">
        <f>IF(IF(Table4424666569[[#This Row],[Pre or Post]]="Pre",1,0)+IF(ISNUMBER(Table4424666569[[#This Row],[Response]])=TRUE,1,0)=2,Table4424666569[[#This Row],[Response]],"")</f>
        <v>2</v>
      </c>
      <c r="L78" s="6" t="str">
        <f>IF(IF(Table4424666569[[#This Row],[Pre or Post]]="Post",1,0)+IF(ISNUMBER(Table4424666569[[#This Row],[Response]])=TRUE,1,0)=2,Table4424666569[[#This Row],[Response]],"")</f>
        <v/>
      </c>
      <c r="M78" s="6">
        <f>IF(IF(ISNUMBER(K78),1,0)+IF(ISNUMBER(L79),1,0)=2,IF(IF(C79=C78,1,0)+IF(B79=B78,1,0)+IF(D79="Post",1,0)+IF(D78="Pre",1,0)=4,Table4424666569[[#This Row],[Pre Total]],""),"")</f>
        <v>2</v>
      </c>
      <c r="N78" s="6" t="str">
        <f>IF(IF(ISNUMBER(K77),1,0)+IF(ISNUMBER(Table4424666569[[#This Row],[Post Total]]),1,0)=2,IF(IF(Table4424666569[[#This Row],[Student Number]]=C77,1,0)+IF(Table4424666569[[#This Row],[Session]]=B77,1,0)+IF(Table4424666569[[#This Row],[Pre or Post]]="Post",1,0)+IF(D77="Pre",1,0)=4,Table4424666569[[#This Row],[Post Total]],""),"")</f>
        <v/>
      </c>
      <c r="O78" s="6" t="str">
        <f>IF(IF(ISNUMBER(K77),1,0)+IF(ISNUMBER(Table4424666569[[#This Row],[Post Total]]),1,0)=2,IF(IF(Table4424666569[[#This Row],[Student Number]]=C77,1,0)+IF(Table4424666569[[#This Row],[Session]]=B77,1,0)+IF(Table4424666569[[#This Row],[Pre or Post]]="Post",1,0)+IF(D77="Pre",1,0)=4,Table4424666569[[#This Row],[Post Total]]-K77,""),"")</f>
        <v/>
      </c>
      <c r="P78" s="6" t="b">
        <f>ISNUMBER(Table4424666569[[#This Row],[Change]])</f>
        <v>0</v>
      </c>
      <c r="Q78" s="5" t="str">
        <f>IF(E77="Yes",Table4424666569[[#This Row],[Change]],"")</f>
        <v/>
      </c>
      <c r="R78" s="5" t="str">
        <f>IF(E77="No",Table4424666569[[#This Row],[Change]],"")</f>
        <v/>
      </c>
      <c r="S78" s="5" t="b">
        <f>ISNUMBER(Table4424666569[[#This Row],[If Pre3 Yes]])</f>
        <v>0</v>
      </c>
      <c r="T78" s="5" t="b">
        <f>ISNUMBER(Table4424666569[[#This Row],[If Pre3 No]])</f>
        <v>0</v>
      </c>
    </row>
    <row r="79" spans="1:20">
      <c r="A79" s="1" t="s">
        <v>12</v>
      </c>
      <c r="B79" s="1" t="s">
        <v>10</v>
      </c>
      <c r="C79" s="1">
        <v>4</v>
      </c>
      <c r="D79" s="1" t="s">
        <v>16</v>
      </c>
      <c r="E79" s="5"/>
      <c r="F79" s="1">
        <v>4</v>
      </c>
      <c r="G79" s="1">
        <v>3</v>
      </c>
      <c r="H79" s="1" t="s">
        <v>8</v>
      </c>
      <c r="I79" s="6" t="str">
        <f>IF(IF(Table4424666569[[#This Row],[Pre or Post]]="Pre",1,0)+IF(ISNUMBER(Table4424666569[[#This Row],[Response]])=TRUE,1,0)=2,1,"")</f>
        <v/>
      </c>
      <c r="J79" s="6">
        <f>IF(IF(Table4424666569[[#This Row],[Pre or Post]]="Post",1,0)+IF(ISNUMBER(Table4424666569[[#This Row],[Response]])=TRUE,1,0)=2,1,"")</f>
        <v>1</v>
      </c>
      <c r="K79" s="6" t="str">
        <f>IF(IF(Table4424666569[[#This Row],[Pre or Post]]="Pre",1,0)+IF(ISNUMBER(Table4424666569[[#This Row],[Response]])=TRUE,1,0)=2,Table4424666569[[#This Row],[Response]],"")</f>
        <v/>
      </c>
      <c r="L79" s="6">
        <f>IF(IF(Table4424666569[[#This Row],[Pre or Post]]="Post",1,0)+IF(ISNUMBER(Table4424666569[[#This Row],[Response]])=TRUE,1,0)=2,Table4424666569[[#This Row],[Response]],"")</f>
        <v>3</v>
      </c>
      <c r="M79" s="6" t="str">
        <f>IF(IF(ISNUMBER(K79),1,0)+IF(ISNUMBER(L80),1,0)=2,IF(IF(C80=C79,1,0)+IF(B80=B79,1,0)+IF(D80="Post",1,0)+IF(D79="Pre",1,0)=4,Table4424666569[[#This Row],[Pre Total]],""),"")</f>
        <v/>
      </c>
      <c r="N79" s="6">
        <f>IF(IF(ISNUMBER(K78),1,0)+IF(ISNUMBER(Table4424666569[[#This Row],[Post Total]]),1,0)=2,IF(IF(Table4424666569[[#This Row],[Student Number]]=C78,1,0)+IF(Table4424666569[[#This Row],[Session]]=B78,1,0)+IF(Table4424666569[[#This Row],[Pre or Post]]="Post",1,0)+IF(D78="Pre",1,0)=4,Table4424666569[[#This Row],[Post Total]],""),"")</f>
        <v>3</v>
      </c>
      <c r="O79" s="6">
        <f>IF(IF(ISNUMBER(K78),1,0)+IF(ISNUMBER(Table4424666569[[#This Row],[Post Total]]),1,0)=2,IF(IF(Table4424666569[[#This Row],[Student Number]]=C78,1,0)+IF(Table4424666569[[#This Row],[Session]]=B78,1,0)+IF(Table4424666569[[#This Row],[Pre or Post]]="Post",1,0)+IF(D78="Pre",1,0)=4,Table4424666569[[#This Row],[Post Total]]-K78,""),"")</f>
        <v>1</v>
      </c>
      <c r="P79" s="6" t="b">
        <f>ISNUMBER(Table4424666569[[#This Row],[Change]])</f>
        <v>1</v>
      </c>
      <c r="Q79" s="5">
        <f>IF(E78="Yes",Table4424666569[[#This Row],[Change]],"")</f>
        <v>1</v>
      </c>
      <c r="R79" s="5" t="str">
        <f>IF(E78="No",Table4424666569[[#This Row],[Change]],"")</f>
        <v/>
      </c>
      <c r="S79" s="5" t="b">
        <f>ISNUMBER(Table4424666569[[#This Row],[If Pre3 Yes]])</f>
        <v>1</v>
      </c>
      <c r="T79" s="5" t="b">
        <f>ISNUMBER(Table4424666569[[#This Row],[If Pre3 No]])</f>
        <v>0</v>
      </c>
    </row>
    <row r="80" spans="1:20">
      <c r="A80" s="1" t="s">
        <v>12</v>
      </c>
      <c r="B80" s="1" t="s">
        <v>10</v>
      </c>
      <c r="C80" s="1">
        <v>5</v>
      </c>
      <c r="D80" s="1" t="s">
        <v>6</v>
      </c>
      <c r="E80" s="5" t="s">
        <v>8</v>
      </c>
      <c r="F80" s="1">
        <v>11</v>
      </c>
      <c r="G80" s="1">
        <v>3</v>
      </c>
      <c r="H80" s="1" t="s">
        <v>8</v>
      </c>
      <c r="I80" s="5">
        <f>IF(IF(Table4424666569[[#This Row],[Pre or Post]]="Pre",1,0)+IF(ISNUMBER(Table4424666569[[#This Row],[Response]])=TRUE,1,0)=2,1,"")</f>
        <v>1</v>
      </c>
      <c r="J80" s="5" t="str">
        <f>IF(IF(Table4424666569[[#This Row],[Pre or Post]]="Post",1,0)+IF(ISNUMBER(Table4424666569[[#This Row],[Response]])=TRUE,1,0)=2,1,"")</f>
        <v/>
      </c>
      <c r="K80" s="6">
        <f>IF(IF(Table4424666569[[#This Row],[Pre or Post]]="Pre",1,0)+IF(ISNUMBER(Table4424666569[[#This Row],[Response]])=TRUE,1,0)=2,Table4424666569[[#This Row],[Response]],"")</f>
        <v>3</v>
      </c>
      <c r="L80" s="6" t="str">
        <f>IF(IF(Table4424666569[[#This Row],[Pre or Post]]="Post",1,0)+IF(ISNUMBER(Table4424666569[[#This Row],[Response]])=TRUE,1,0)=2,Table4424666569[[#This Row],[Response]],"")</f>
        <v/>
      </c>
      <c r="M80" s="5">
        <f>IF(IF(ISNUMBER(K80),1,0)+IF(ISNUMBER(L81),1,0)=2,IF(IF(C81=C80,1,0)+IF(B81=B80,1,0)+IF(D81="Post",1,0)+IF(D80="Pre",1,0)=4,Table4424666569[[#This Row],[Pre Total]],""),"")</f>
        <v>3</v>
      </c>
      <c r="N80" s="5" t="str">
        <f>IF(IF(ISNUMBER(K79),1,0)+IF(ISNUMBER(Table4424666569[[#This Row],[Post Total]]),1,0)=2,IF(IF(Table4424666569[[#This Row],[Student Number]]=C79,1,0)+IF(Table4424666569[[#This Row],[Session]]=B79,1,0)+IF(Table4424666569[[#This Row],[Pre or Post]]="Post",1,0)+IF(D79="Pre",1,0)=4,Table4424666569[[#This Row],[Post Total]],""),"")</f>
        <v/>
      </c>
      <c r="O80" s="5" t="str">
        <f>IF(IF(ISNUMBER(K79),1,0)+IF(ISNUMBER(Table4424666569[[#This Row],[Post Total]]),1,0)=2,IF(IF(Table4424666569[[#This Row],[Student Number]]=C79,1,0)+IF(Table4424666569[[#This Row],[Session]]=B79,1,0)+IF(Table4424666569[[#This Row],[Pre or Post]]="Post",1,0)+IF(D79="Pre",1,0)=4,Table4424666569[[#This Row],[Post Total]]-K79,""),"")</f>
        <v/>
      </c>
      <c r="P80" s="5" t="b">
        <f>ISNUMBER(Table4424666569[[#This Row],[Change]])</f>
        <v>0</v>
      </c>
      <c r="Q80" s="5" t="str">
        <f>IF(E79="Yes",Table4424666569[[#This Row],[Change]],"")</f>
        <v/>
      </c>
      <c r="R80" s="5" t="str">
        <f>IF(E79="No",Table4424666569[[#This Row],[Change]],"")</f>
        <v/>
      </c>
      <c r="S80" s="5" t="b">
        <f>ISNUMBER(Table4424666569[[#This Row],[If Pre3 Yes]])</f>
        <v>0</v>
      </c>
      <c r="T80" s="5" t="b">
        <f>ISNUMBER(Table4424666569[[#This Row],[If Pre3 No]])</f>
        <v>0</v>
      </c>
    </row>
    <row r="81" spans="1:20">
      <c r="A81" s="1" t="s">
        <v>12</v>
      </c>
      <c r="B81" s="1" t="s">
        <v>10</v>
      </c>
      <c r="C81" s="1">
        <v>5</v>
      </c>
      <c r="D81" s="1" t="s">
        <v>16</v>
      </c>
      <c r="E81" s="5"/>
      <c r="F81" s="1">
        <v>4</v>
      </c>
      <c r="G81" s="1">
        <v>3</v>
      </c>
      <c r="H81" s="1" t="s">
        <v>8</v>
      </c>
      <c r="I81" s="5" t="str">
        <f>IF(IF(Table4424666569[[#This Row],[Pre or Post]]="Pre",1,0)+IF(ISNUMBER(Table4424666569[[#This Row],[Response]])=TRUE,1,0)=2,1,"")</f>
        <v/>
      </c>
      <c r="J81" s="5">
        <f>IF(IF(Table4424666569[[#This Row],[Pre or Post]]="Post",1,0)+IF(ISNUMBER(Table4424666569[[#This Row],[Response]])=TRUE,1,0)=2,1,"")</f>
        <v>1</v>
      </c>
      <c r="K81" s="6" t="str">
        <f>IF(IF(Table4424666569[[#This Row],[Pre or Post]]="Pre",1,0)+IF(ISNUMBER(Table4424666569[[#This Row],[Response]])=TRUE,1,0)=2,Table4424666569[[#This Row],[Response]],"")</f>
        <v/>
      </c>
      <c r="L81" s="6">
        <f>IF(IF(Table4424666569[[#This Row],[Pre or Post]]="Post",1,0)+IF(ISNUMBER(Table4424666569[[#This Row],[Response]])=TRUE,1,0)=2,Table4424666569[[#This Row],[Response]],"")</f>
        <v>3</v>
      </c>
      <c r="M81" s="5" t="str">
        <f>IF(IF(ISNUMBER(K81),1,0)+IF(ISNUMBER(L82),1,0)=2,IF(IF(C82=C81,1,0)+IF(B82=B81,1,0)+IF(D82="Post",1,0)+IF(D81="Pre",1,0)=4,Table4424666569[[#This Row],[Pre Total]],""),"")</f>
        <v/>
      </c>
      <c r="N81" s="5">
        <f>IF(IF(ISNUMBER(K80),1,0)+IF(ISNUMBER(Table4424666569[[#This Row],[Post Total]]),1,0)=2,IF(IF(Table4424666569[[#This Row],[Student Number]]=C80,1,0)+IF(Table4424666569[[#This Row],[Session]]=B80,1,0)+IF(Table4424666569[[#This Row],[Pre or Post]]="Post",1,0)+IF(D80="Pre",1,0)=4,Table4424666569[[#This Row],[Post Total]],""),"")</f>
        <v>3</v>
      </c>
      <c r="O81" s="5">
        <f>IF(IF(ISNUMBER(K80),1,0)+IF(ISNUMBER(Table4424666569[[#This Row],[Post Total]]),1,0)=2,IF(IF(Table4424666569[[#This Row],[Student Number]]=C80,1,0)+IF(Table4424666569[[#This Row],[Session]]=B80,1,0)+IF(Table4424666569[[#This Row],[Pre or Post]]="Post",1,0)+IF(D80="Pre",1,0)=4,Table4424666569[[#This Row],[Post Total]]-K80,""),"")</f>
        <v>0</v>
      </c>
      <c r="P81" s="5" t="b">
        <f>ISNUMBER(Table4424666569[[#This Row],[Change]])</f>
        <v>1</v>
      </c>
      <c r="Q81" s="5">
        <f>IF(E80="Yes",Table4424666569[[#This Row],[Change]],"")</f>
        <v>0</v>
      </c>
      <c r="R81" s="5" t="str">
        <f>IF(E80="No",Table4424666569[[#This Row],[Change]],"")</f>
        <v/>
      </c>
      <c r="S81" s="5" t="b">
        <f>ISNUMBER(Table4424666569[[#This Row],[If Pre3 Yes]])</f>
        <v>1</v>
      </c>
      <c r="T81" s="5" t="b">
        <f>ISNUMBER(Table4424666569[[#This Row],[If Pre3 No]])</f>
        <v>0</v>
      </c>
    </row>
    <row r="82" spans="1:20">
      <c r="A82" s="1" t="s">
        <v>12</v>
      </c>
      <c r="B82" s="1" t="s">
        <v>10</v>
      </c>
      <c r="C82" s="1">
        <v>6</v>
      </c>
      <c r="D82" s="1" t="s">
        <v>6</v>
      </c>
      <c r="E82" s="5" t="s">
        <v>8</v>
      </c>
      <c r="F82" s="1">
        <v>11</v>
      </c>
      <c r="G82" s="1">
        <v>3</v>
      </c>
      <c r="H82" s="1" t="s">
        <v>8</v>
      </c>
      <c r="I82" s="5">
        <f>IF(IF(Table4424666569[[#This Row],[Pre or Post]]="Pre",1,0)+IF(ISNUMBER(Table4424666569[[#This Row],[Response]])=TRUE,1,0)=2,1,"")</f>
        <v>1</v>
      </c>
      <c r="J82" s="5" t="str">
        <f>IF(IF(Table4424666569[[#This Row],[Pre or Post]]="Post",1,0)+IF(ISNUMBER(Table4424666569[[#This Row],[Response]])=TRUE,1,0)=2,1,"")</f>
        <v/>
      </c>
      <c r="K82" s="6">
        <f>IF(IF(Table4424666569[[#This Row],[Pre or Post]]="Pre",1,0)+IF(ISNUMBER(Table4424666569[[#This Row],[Response]])=TRUE,1,0)=2,Table4424666569[[#This Row],[Response]],"")</f>
        <v>3</v>
      </c>
      <c r="L82" s="6" t="str">
        <f>IF(IF(Table4424666569[[#This Row],[Pre or Post]]="Post",1,0)+IF(ISNUMBER(Table4424666569[[#This Row],[Response]])=TRUE,1,0)=2,Table4424666569[[#This Row],[Response]],"")</f>
        <v/>
      </c>
      <c r="M82" s="5">
        <f>IF(IF(ISNUMBER(K82),1,0)+IF(ISNUMBER(L83),1,0)=2,IF(IF(C83=C82,1,0)+IF(B83=B82,1,0)+IF(D83="Post",1,0)+IF(D82="Pre",1,0)=4,Table4424666569[[#This Row],[Pre Total]],""),"")</f>
        <v>3</v>
      </c>
      <c r="N82" s="5" t="str">
        <f>IF(IF(ISNUMBER(K81),1,0)+IF(ISNUMBER(Table4424666569[[#This Row],[Post Total]]),1,0)=2,IF(IF(Table4424666569[[#This Row],[Student Number]]=C81,1,0)+IF(Table4424666569[[#This Row],[Session]]=B81,1,0)+IF(Table4424666569[[#This Row],[Pre or Post]]="Post",1,0)+IF(D81="Pre",1,0)=4,Table4424666569[[#This Row],[Post Total]],""),"")</f>
        <v/>
      </c>
      <c r="O82" s="5" t="str">
        <f>IF(IF(ISNUMBER(K81),1,0)+IF(ISNUMBER(Table4424666569[[#This Row],[Post Total]]),1,0)=2,IF(IF(Table4424666569[[#This Row],[Student Number]]=C81,1,0)+IF(Table4424666569[[#This Row],[Session]]=B81,1,0)+IF(Table4424666569[[#This Row],[Pre or Post]]="Post",1,0)+IF(D81="Pre",1,0)=4,Table4424666569[[#This Row],[Post Total]]-K81,""),"")</f>
        <v/>
      </c>
      <c r="P82" s="5" t="b">
        <f>ISNUMBER(Table4424666569[[#This Row],[Change]])</f>
        <v>0</v>
      </c>
      <c r="Q82" s="5" t="str">
        <f>IF(E81="Yes",Table4424666569[[#This Row],[Change]],"")</f>
        <v/>
      </c>
      <c r="R82" s="5" t="str">
        <f>IF(E81="No",Table4424666569[[#This Row],[Change]],"")</f>
        <v/>
      </c>
      <c r="S82" s="5" t="b">
        <f>ISNUMBER(Table4424666569[[#This Row],[If Pre3 Yes]])</f>
        <v>0</v>
      </c>
      <c r="T82" s="5" t="b">
        <f>ISNUMBER(Table4424666569[[#This Row],[If Pre3 No]])</f>
        <v>0</v>
      </c>
    </row>
    <row r="83" spans="1:20">
      <c r="A83" s="1" t="s">
        <v>12</v>
      </c>
      <c r="B83" s="1" t="s">
        <v>10</v>
      </c>
      <c r="C83" s="1">
        <v>6</v>
      </c>
      <c r="D83" s="1" t="s">
        <v>16</v>
      </c>
      <c r="E83" s="5" t="s">
        <v>171</v>
      </c>
      <c r="F83" s="1">
        <v>4</v>
      </c>
      <c r="G83" s="1">
        <v>5</v>
      </c>
      <c r="H83" s="1" t="s">
        <v>8</v>
      </c>
      <c r="I83" s="6" t="str">
        <f>IF(IF(Table4424666569[[#This Row],[Pre or Post]]="Pre",1,0)+IF(ISNUMBER(Table4424666569[[#This Row],[Response]])=TRUE,1,0)=2,1,"")</f>
        <v/>
      </c>
      <c r="J83" s="6">
        <f>IF(IF(Table4424666569[[#This Row],[Pre or Post]]="Post",1,0)+IF(ISNUMBER(Table4424666569[[#This Row],[Response]])=TRUE,1,0)=2,1,"")</f>
        <v>1</v>
      </c>
      <c r="K83" s="6" t="str">
        <f>IF(IF(Table4424666569[[#This Row],[Pre or Post]]="Pre",1,0)+IF(ISNUMBER(Table4424666569[[#This Row],[Response]])=TRUE,1,0)=2,Table4424666569[[#This Row],[Response]],"")</f>
        <v/>
      </c>
      <c r="L83" s="6">
        <f>IF(IF(Table4424666569[[#This Row],[Pre or Post]]="Post",1,0)+IF(ISNUMBER(Table4424666569[[#This Row],[Response]])=TRUE,1,0)=2,Table4424666569[[#This Row],[Response]],"")</f>
        <v>5</v>
      </c>
      <c r="M83" s="6" t="str">
        <f>IF(IF(ISNUMBER(K83),1,0)+IF(ISNUMBER(L84),1,0)=2,IF(IF(C84=C83,1,0)+IF(B84=B83,1,0)+IF(D84="Post",1,0)+IF(D83="Pre",1,0)=4,Table4424666569[[#This Row],[Pre Total]],""),"")</f>
        <v/>
      </c>
      <c r="N83" s="6">
        <f>IF(IF(ISNUMBER(K82),1,0)+IF(ISNUMBER(Table4424666569[[#This Row],[Post Total]]),1,0)=2,IF(IF(Table4424666569[[#This Row],[Student Number]]=C82,1,0)+IF(Table4424666569[[#This Row],[Session]]=B82,1,0)+IF(Table4424666569[[#This Row],[Pre or Post]]="Post",1,0)+IF(D82="Pre",1,0)=4,Table4424666569[[#This Row],[Post Total]],""),"")</f>
        <v>5</v>
      </c>
      <c r="O83" s="6">
        <f>IF(IF(ISNUMBER(K82),1,0)+IF(ISNUMBER(Table4424666569[[#This Row],[Post Total]]),1,0)=2,IF(IF(Table4424666569[[#This Row],[Student Number]]=C82,1,0)+IF(Table4424666569[[#This Row],[Session]]=B82,1,0)+IF(Table4424666569[[#This Row],[Pre or Post]]="Post",1,0)+IF(D82="Pre",1,0)=4,Table4424666569[[#This Row],[Post Total]]-K82,""),"")</f>
        <v>2</v>
      </c>
      <c r="P83" s="6" t="b">
        <f>ISNUMBER(Table4424666569[[#This Row],[Change]])</f>
        <v>1</v>
      </c>
      <c r="Q83" s="5">
        <f>IF(E82="Yes",Table4424666569[[#This Row],[Change]],"")</f>
        <v>2</v>
      </c>
      <c r="R83" s="5" t="str">
        <f>IF(E82="No",Table4424666569[[#This Row],[Change]],"")</f>
        <v/>
      </c>
      <c r="S83" s="5" t="b">
        <f>ISNUMBER(Table4424666569[[#This Row],[If Pre3 Yes]])</f>
        <v>1</v>
      </c>
      <c r="T83" s="5" t="b">
        <f>ISNUMBER(Table4424666569[[#This Row],[If Pre3 No]])</f>
        <v>0</v>
      </c>
    </row>
    <row r="84" spans="1:20">
      <c r="A84" s="1" t="s">
        <v>12</v>
      </c>
      <c r="B84" s="1" t="s">
        <v>10</v>
      </c>
      <c r="C84" s="1">
        <v>7</v>
      </c>
      <c r="D84" s="1" t="s">
        <v>6</v>
      </c>
      <c r="E84" s="5" t="s">
        <v>8</v>
      </c>
      <c r="F84" s="1">
        <v>11</v>
      </c>
      <c r="G84" s="1">
        <v>3</v>
      </c>
      <c r="H84" s="1" t="s">
        <v>8</v>
      </c>
      <c r="I84" s="5">
        <f>IF(IF(Table4424666569[[#This Row],[Pre or Post]]="Pre",1,0)+IF(ISNUMBER(Table4424666569[[#This Row],[Response]])=TRUE,1,0)=2,1,"")</f>
        <v>1</v>
      </c>
      <c r="J84" s="5" t="str">
        <f>IF(IF(Table4424666569[[#This Row],[Pre or Post]]="Post",1,0)+IF(ISNUMBER(Table4424666569[[#This Row],[Response]])=TRUE,1,0)=2,1,"")</f>
        <v/>
      </c>
      <c r="K84" s="6">
        <f>IF(IF(Table4424666569[[#This Row],[Pre or Post]]="Pre",1,0)+IF(ISNUMBER(Table4424666569[[#This Row],[Response]])=TRUE,1,0)=2,Table4424666569[[#This Row],[Response]],"")</f>
        <v>3</v>
      </c>
      <c r="L84" s="6" t="str">
        <f>IF(IF(Table4424666569[[#This Row],[Pre or Post]]="Post",1,0)+IF(ISNUMBER(Table4424666569[[#This Row],[Response]])=TRUE,1,0)=2,Table4424666569[[#This Row],[Response]],"")</f>
        <v/>
      </c>
      <c r="M84" s="5">
        <f>IF(IF(ISNUMBER(K84),1,0)+IF(ISNUMBER(L85),1,0)=2,IF(IF(C85=C84,1,0)+IF(B85=B84,1,0)+IF(D85="Post",1,0)+IF(D84="Pre",1,0)=4,Table4424666569[[#This Row],[Pre Total]],""),"")</f>
        <v>3</v>
      </c>
      <c r="N84" s="5" t="str">
        <f>IF(IF(ISNUMBER(K83),1,0)+IF(ISNUMBER(Table4424666569[[#This Row],[Post Total]]),1,0)=2,IF(IF(Table4424666569[[#This Row],[Student Number]]=C83,1,0)+IF(Table4424666569[[#This Row],[Session]]=B83,1,0)+IF(Table4424666569[[#This Row],[Pre or Post]]="Post",1,0)+IF(D83="Pre",1,0)=4,Table4424666569[[#This Row],[Post Total]],""),"")</f>
        <v/>
      </c>
      <c r="O84" s="5" t="str">
        <f>IF(IF(ISNUMBER(K83),1,0)+IF(ISNUMBER(Table4424666569[[#This Row],[Post Total]]),1,0)=2,IF(IF(Table4424666569[[#This Row],[Student Number]]=C83,1,0)+IF(Table4424666569[[#This Row],[Session]]=B83,1,0)+IF(Table4424666569[[#This Row],[Pre or Post]]="Post",1,0)+IF(D83="Pre",1,0)=4,Table4424666569[[#This Row],[Post Total]]-K83,""),"")</f>
        <v/>
      </c>
      <c r="P84" s="5" t="b">
        <f>ISNUMBER(Table4424666569[[#This Row],[Change]])</f>
        <v>0</v>
      </c>
      <c r="Q84" s="5" t="str">
        <f>IF(E83="Yes",Table4424666569[[#This Row],[Change]],"")</f>
        <v/>
      </c>
      <c r="R84" s="5" t="str">
        <f>IF(E83="No",Table4424666569[[#This Row],[Change]],"")</f>
        <v/>
      </c>
      <c r="S84" s="5" t="b">
        <f>ISNUMBER(Table4424666569[[#This Row],[If Pre3 Yes]])</f>
        <v>0</v>
      </c>
      <c r="T84" s="5" t="b">
        <f>ISNUMBER(Table4424666569[[#This Row],[If Pre3 No]])</f>
        <v>0</v>
      </c>
    </row>
    <row r="85" spans="1:20">
      <c r="A85" s="1" t="s">
        <v>12</v>
      </c>
      <c r="B85" s="1" t="s">
        <v>10</v>
      </c>
      <c r="C85" s="1">
        <v>7</v>
      </c>
      <c r="D85" s="1" t="s">
        <v>16</v>
      </c>
      <c r="E85" s="5" t="s">
        <v>171</v>
      </c>
      <c r="F85" s="1">
        <v>4</v>
      </c>
      <c r="G85" s="1">
        <v>5</v>
      </c>
      <c r="H85" s="1" t="s">
        <v>8</v>
      </c>
      <c r="I85" s="5" t="str">
        <f>IF(IF(Table4424666569[[#This Row],[Pre or Post]]="Pre",1,0)+IF(ISNUMBER(Table4424666569[[#This Row],[Response]])=TRUE,1,0)=2,1,"")</f>
        <v/>
      </c>
      <c r="J85" s="5">
        <f>IF(IF(Table4424666569[[#This Row],[Pre or Post]]="Post",1,0)+IF(ISNUMBER(Table4424666569[[#This Row],[Response]])=TRUE,1,0)=2,1,"")</f>
        <v>1</v>
      </c>
      <c r="K85" s="6" t="str">
        <f>IF(IF(Table4424666569[[#This Row],[Pre or Post]]="Pre",1,0)+IF(ISNUMBER(Table4424666569[[#This Row],[Response]])=TRUE,1,0)=2,Table4424666569[[#This Row],[Response]],"")</f>
        <v/>
      </c>
      <c r="L85" s="6">
        <f>IF(IF(Table4424666569[[#This Row],[Pre or Post]]="Post",1,0)+IF(ISNUMBER(Table4424666569[[#This Row],[Response]])=TRUE,1,0)=2,Table4424666569[[#This Row],[Response]],"")</f>
        <v>5</v>
      </c>
      <c r="M85" s="5" t="str">
        <f>IF(IF(ISNUMBER(K85),1,0)+IF(ISNUMBER(L86),1,0)=2,IF(IF(C86=C85,1,0)+IF(B86=B85,1,0)+IF(D86="Post",1,0)+IF(D85="Pre",1,0)=4,Table4424666569[[#This Row],[Pre Total]],""),"")</f>
        <v/>
      </c>
      <c r="N85" s="5">
        <f>IF(IF(ISNUMBER(K84),1,0)+IF(ISNUMBER(Table4424666569[[#This Row],[Post Total]]),1,0)=2,IF(IF(Table4424666569[[#This Row],[Student Number]]=C84,1,0)+IF(Table4424666569[[#This Row],[Session]]=B84,1,0)+IF(Table4424666569[[#This Row],[Pre or Post]]="Post",1,0)+IF(D84="Pre",1,0)=4,Table4424666569[[#This Row],[Post Total]],""),"")</f>
        <v>5</v>
      </c>
      <c r="O85" s="5">
        <f>IF(IF(ISNUMBER(K84),1,0)+IF(ISNUMBER(Table4424666569[[#This Row],[Post Total]]),1,0)=2,IF(IF(Table4424666569[[#This Row],[Student Number]]=C84,1,0)+IF(Table4424666569[[#This Row],[Session]]=B84,1,0)+IF(Table4424666569[[#This Row],[Pre or Post]]="Post",1,0)+IF(D84="Pre",1,0)=4,Table4424666569[[#This Row],[Post Total]]-K84,""),"")</f>
        <v>2</v>
      </c>
      <c r="P85" s="5" t="b">
        <f>ISNUMBER(Table4424666569[[#This Row],[Change]])</f>
        <v>1</v>
      </c>
      <c r="Q85" s="5">
        <f>IF(E84="Yes",Table4424666569[[#This Row],[Change]],"")</f>
        <v>2</v>
      </c>
      <c r="R85" s="5" t="str">
        <f>IF(E84="No",Table4424666569[[#This Row],[Change]],"")</f>
        <v/>
      </c>
      <c r="S85" s="5" t="b">
        <f>ISNUMBER(Table4424666569[[#This Row],[If Pre3 Yes]])</f>
        <v>1</v>
      </c>
      <c r="T85" s="5" t="b">
        <f>ISNUMBER(Table4424666569[[#This Row],[If Pre3 No]])</f>
        <v>0</v>
      </c>
    </row>
    <row r="86" spans="1:20">
      <c r="A86" s="1" t="s">
        <v>12</v>
      </c>
      <c r="B86" s="1" t="s">
        <v>10</v>
      </c>
      <c r="C86" s="1">
        <v>8</v>
      </c>
      <c r="D86" s="1" t="s">
        <v>6</v>
      </c>
      <c r="E86" s="5" t="s">
        <v>8</v>
      </c>
      <c r="F86" s="2">
        <v>11</v>
      </c>
      <c r="G86" s="2">
        <v>2</v>
      </c>
      <c r="H86" s="1" t="s">
        <v>8</v>
      </c>
      <c r="I86" s="5">
        <f>IF(IF(Table4424666569[[#This Row],[Pre or Post]]="Pre",1,0)+IF(ISNUMBER(Table4424666569[[#This Row],[Response]])=TRUE,1,0)=2,1,"")</f>
        <v>1</v>
      </c>
      <c r="J86" s="5" t="str">
        <f>IF(IF(Table4424666569[[#This Row],[Pre or Post]]="Post",1,0)+IF(ISNUMBER(Table4424666569[[#This Row],[Response]])=TRUE,1,0)=2,1,"")</f>
        <v/>
      </c>
      <c r="K86" s="6">
        <f>IF(IF(Table4424666569[[#This Row],[Pre or Post]]="Pre",1,0)+IF(ISNUMBER(Table4424666569[[#This Row],[Response]])=TRUE,1,0)=2,Table4424666569[[#This Row],[Response]],"")</f>
        <v>2</v>
      </c>
      <c r="L86" s="6" t="str">
        <f>IF(IF(Table4424666569[[#This Row],[Pre or Post]]="Post",1,0)+IF(ISNUMBER(Table4424666569[[#This Row],[Response]])=TRUE,1,0)=2,Table4424666569[[#This Row],[Response]],"")</f>
        <v/>
      </c>
      <c r="M86" s="5">
        <f>IF(IF(ISNUMBER(K86),1,0)+IF(ISNUMBER(L87),1,0)=2,IF(IF(C87=C86,1,0)+IF(B87=B86,1,0)+IF(D87="Post",1,0)+IF(D86="Pre",1,0)=4,Table4424666569[[#This Row],[Pre Total]],""),"")</f>
        <v>2</v>
      </c>
      <c r="N86" s="5" t="str">
        <f>IF(IF(ISNUMBER(K85),1,0)+IF(ISNUMBER(Table4424666569[[#This Row],[Post Total]]),1,0)=2,IF(IF(Table4424666569[[#This Row],[Student Number]]=C85,1,0)+IF(Table4424666569[[#This Row],[Session]]=B85,1,0)+IF(Table4424666569[[#This Row],[Pre or Post]]="Post",1,0)+IF(D85="Pre",1,0)=4,Table4424666569[[#This Row],[Post Total]],""),"")</f>
        <v/>
      </c>
      <c r="O86" s="5" t="str">
        <f>IF(IF(ISNUMBER(K85),1,0)+IF(ISNUMBER(Table4424666569[[#This Row],[Post Total]]),1,0)=2,IF(IF(Table4424666569[[#This Row],[Student Number]]=C85,1,0)+IF(Table4424666569[[#This Row],[Session]]=B85,1,0)+IF(Table4424666569[[#This Row],[Pre or Post]]="Post",1,0)+IF(D85="Pre",1,0)=4,Table4424666569[[#This Row],[Post Total]]-K85,""),"")</f>
        <v/>
      </c>
      <c r="P86" s="5" t="b">
        <f>ISNUMBER(Table4424666569[[#This Row],[Change]])</f>
        <v>0</v>
      </c>
      <c r="Q86" s="5" t="str">
        <f>IF(E85="Yes",Table4424666569[[#This Row],[Change]],"")</f>
        <v/>
      </c>
      <c r="R86" s="5" t="str">
        <f>IF(E85="No",Table4424666569[[#This Row],[Change]],"")</f>
        <v/>
      </c>
      <c r="S86" s="5" t="b">
        <f>ISNUMBER(Table4424666569[[#This Row],[If Pre3 Yes]])</f>
        <v>0</v>
      </c>
      <c r="T86" s="5" t="b">
        <f>ISNUMBER(Table4424666569[[#This Row],[If Pre3 No]])</f>
        <v>0</v>
      </c>
    </row>
    <row r="87" spans="1:20">
      <c r="A87" s="1" t="s">
        <v>12</v>
      </c>
      <c r="B87" s="1" t="s">
        <v>10</v>
      </c>
      <c r="C87" s="1">
        <v>8</v>
      </c>
      <c r="D87" s="1" t="s">
        <v>16</v>
      </c>
      <c r="E87" s="5" t="s">
        <v>171</v>
      </c>
      <c r="F87" s="1">
        <v>4</v>
      </c>
      <c r="G87" s="1">
        <v>4</v>
      </c>
      <c r="H87" s="1" t="s">
        <v>8</v>
      </c>
      <c r="I87" s="6" t="str">
        <f>IF(IF(Table4424666569[[#This Row],[Pre or Post]]="Pre",1,0)+IF(ISNUMBER(Table4424666569[[#This Row],[Response]])=TRUE,1,0)=2,1,"")</f>
        <v/>
      </c>
      <c r="J87" s="6">
        <f>IF(IF(Table4424666569[[#This Row],[Pre or Post]]="Post",1,0)+IF(ISNUMBER(Table4424666569[[#This Row],[Response]])=TRUE,1,0)=2,1,"")</f>
        <v>1</v>
      </c>
      <c r="K87" s="6" t="str">
        <f>IF(IF(Table4424666569[[#This Row],[Pre or Post]]="Pre",1,0)+IF(ISNUMBER(Table4424666569[[#This Row],[Response]])=TRUE,1,0)=2,Table4424666569[[#This Row],[Response]],"")</f>
        <v/>
      </c>
      <c r="L87" s="6">
        <f>IF(IF(Table4424666569[[#This Row],[Pre or Post]]="Post",1,0)+IF(ISNUMBER(Table4424666569[[#This Row],[Response]])=TRUE,1,0)=2,Table4424666569[[#This Row],[Response]],"")</f>
        <v>4</v>
      </c>
      <c r="M87" s="6" t="str">
        <f>IF(IF(ISNUMBER(K87),1,0)+IF(ISNUMBER(L88),1,0)=2,IF(IF(C88=C87,1,0)+IF(B88=B87,1,0)+IF(D88="Post",1,0)+IF(D87="Pre",1,0)=4,Table4424666569[[#This Row],[Pre Total]],""),"")</f>
        <v/>
      </c>
      <c r="N87" s="6">
        <f>IF(IF(ISNUMBER(K86),1,0)+IF(ISNUMBER(Table4424666569[[#This Row],[Post Total]]),1,0)=2,IF(IF(Table4424666569[[#This Row],[Student Number]]=C86,1,0)+IF(Table4424666569[[#This Row],[Session]]=B86,1,0)+IF(Table4424666569[[#This Row],[Pre or Post]]="Post",1,0)+IF(D86="Pre",1,0)=4,Table4424666569[[#This Row],[Post Total]],""),"")</f>
        <v>4</v>
      </c>
      <c r="O87" s="6">
        <f>IF(IF(ISNUMBER(K86),1,0)+IF(ISNUMBER(Table4424666569[[#This Row],[Post Total]]),1,0)=2,IF(IF(Table4424666569[[#This Row],[Student Number]]=C86,1,0)+IF(Table4424666569[[#This Row],[Session]]=B86,1,0)+IF(Table4424666569[[#This Row],[Pre or Post]]="Post",1,0)+IF(D86="Pre",1,0)=4,Table4424666569[[#This Row],[Post Total]]-K86,""),"")</f>
        <v>2</v>
      </c>
      <c r="P87" s="6" t="b">
        <f>ISNUMBER(Table4424666569[[#This Row],[Change]])</f>
        <v>1</v>
      </c>
      <c r="Q87" s="5">
        <f>IF(E86="Yes",Table4424666569[[#This Row],[Change]],"")</f>
        <v>2</v>
      </c>
      <c r="R87" s="5" t="str">
        <f>IF(E86="No",Table4424666569[[#This Row],[Change]],"")</f>
        <v/>
      </c>
      <c r="S87" s="5" t="b">
        <f>ISNUMBER(Table4424666569[[#This Row],[If Pre3 Yes]])</f>
        <v>1</v>
      </c>
      <c r="T87" s="5" t="b">
        <f>ISNUMBER(Table4424666569[[#This Row],[If Pre3 No]])</f>
        <v>0</v>
      </c>
    </row>
    <row r="88" spans="1:20">
      <c r="A88" s="1" t="s">
        <v>12</v>
      </c>
      <c r="B88" s="1" t="s">
        <v>10</v>
      </c>
      <c r="C88" s="1">
        <v>9</v>
      </c>
      <c r="D88" s="1" t="s">
        <v>6</v>
      </c>
      <c r="E88" s="5" t="s">
        <v>8</v>
      </c>
      <c r="F88" s="1">
        <v>11</v>
      </c>
      <c r="G88" s="1">
        <v>3</v>
      </c>
      <c r="H88" s="1" t="s">
        <v>8</v>
      </c>
      <c r="I88" s="5">
        <f>IF(IF(Table4424666569[[#This Row],[Pre or Post]]="Pre",1,0)+IF(ISNUMBER(Table4424666569[[#This Row],[Response]])=TRUE,1,0)=2,1,"")</f>
        <v>1</v>
      </c>
      <c r="J88" s="5" t="str">
        <f>IF(IF(Table4424666569[[#This Row],[Pre or Post]]="Post",1,0)+IF(ISNUMBER(Table4424666569[[#This Row],[Response]])=TRUE,1,0)=2,1,"")</f>
        <v/>
      </c>
      <c r="K88" s="6">
        <f>IF(IF(Table4424666569[[#This Row],[Pre or Post]]="Pre",1,0)+IF(ISNUMBER(Table4424666569[[#This Row],[Response]])=TRUE,1,0)=2,Table4424666569[[#This Row],[Response]],"")</f>
        <v>3</v>
      </c>
      <c r="L88" s="6" t="str">
        <f>IF(IF(Table4424666569[[#This Row],[Pre or Post]]="Post",1,0)+IF(ISNUMBER(Table4424666569[[#This Row],[Response]])=TRUE,1,0)=2,Table4424666569[[#This Row],[Response]],"")</f>
        <v/>
      </c>
      <c r="M88" s="5">
        <f>IF(IF(ISNUMBER(K88),1,0)+IF(ISNUMBER(L89),1,0)=2,IF(IF(C89=C88,1,0)+IF(B89=B88,1,0)+IF(D89="Post",1,0)+IF(D88="Pre",1,0)=4,Table4424666569[[#This Row],[Pre Total]],""),"")</f>
        <v>3</v>
      </c>
      <c r="N88" s="5" t="str">
        <f>IF(IF(ISNUMBER(K87),1,0)+IF(ISNUMBER(Table4424666569[[#This Row],[Post Total]]),1,0)=2,IF(IF(Table4424666569[[#This Row],[Student Number]]=C87,1,0)+IF(Table4424666569[[#This Row],[Session]]=B87,1,0)+IF(Table4424666569[[#This Row],[Pre or Post]]="Post",1,0)+IF(D87="Pre",1,0)=4,Table4424666569[[#This Row],[Post Total]],""),"")</f>
        <v/>
      </c>
      <c r="O88" s="5" t="str">
        <f>IF(IF(ISNUMBER(K87),1,0)+IF(ISNUMBER(Table4424666569[[#This Row],[Post Total]]),1,0)=2,IF(IF(Table4424666569[[#This Row],[Student Number]]=C87,1,0)+IF(Table4424666569[[#This Row],[Session]]=B87,1,0)+IF(Table4424666569[[#This Row],[Pre or Post]]="Post",1,0)+IF(D87="Pre",1,0)=4,Table4424666569[[#This Row],[Post Total]]-K87,""),"")</f>
        <v/>
      </c>
      <c r="P88" s="5" t="b">
        <f>ISNUMBER(Table4424666569[[#This Row],[Change]])</f>
        <v>0</v>
      </c>
      <c r="Q88" s="5" t="str">
        <f>IF(E87="Yes",Table4424666569[[#This Row],[Change]],"")</f>
        <v/>
      </c>
      <c r="R88" s="5" t="str">
        <f>IF(E87="No",Table4424666569[[#This Row],[Change]],"")</f>
        <v/>
      </c>
      <c r="S88" s="5" t="b">
        <f>ISNUMBER(Table4424666569[[#This Row],[If Pre3 Yes]])</f>
        <v>0</v>
      </c>
      <c r="T88" s="5" t="b">
        <f>ISNUMBER(Table4424666569[[#This Row],[If Pre3 No]])</f>
        <v>0</v>
      </c>
    </row>
    <row r="89" spans="1:20">
      <c r="A89" s="1" t="s">
        <v>12</v>
      </c>
      <c r="B89" s="1" t="s">
        <v>10</v>
      </c>
      <c r="C89" s="1">
        <v>9</v>
      </c>
      <c r="D89" s="1" t="s">
        <v>16</v>
      </c>
      <c r="E89" s="5" t="s">
        <v>171</v>
      </c>
      <c r="F89" s="1">
        <v>4</v>
      </c>
      <c r="G89" s="1">
        <v>4</v>
      </c>
      <c r="H89" s="1" t="s">
        <v>8</v>
      </c>
      <c r="I89" s="5" t="str">
        <f>IF(IF(Table4424666569[[#This Row],[Pre or Post]]="Pre",1,0)+IF(ISNUMBER(Table4424666569[[#This Row],[Response]])=TRUE,1,0)=2,1,"")</f>
        <v/>
      </c>
      <c r="J89" s="5">
        <f>IF(IF(Table4424666569[[#This Row],[Pre or Post]]="Post",1,0)+IF(ISNUMBER(Table4424666569[[#This Row],[Response]])=TRUE,1,0)=2,1,"")</f>
        <v>1</v>
      </c>
      <c r="K89" s="6" t="str">
        <f>IF(IF(Table4424666569[[#This Row],[Pre or Post]]="Pre",1,0)+IF(ISNUMBER(Table4424666569[[#This Row],[Response]])=TRUE,1,0)=2,Table4424666569[[#This Row],[Response]],"")</f>
        <v/>
      </c>
      <c r="L89" s="6">
        <f>IF(IF(Table4424666569[[#This Row],[Pre or Post]]="Post",1,0)+IF(ISNUMBER(Table4424666569[[#This Row],[Response]])=TRUE,1,0)=2,Table4424666569[[#This Row],[Response]],"")</f>
        <v>4</v>
      </c>
      <c r="M89" s="5" t="str">
        <f>IF(IF(ISNUMBER(K89),1,0)+IF(ISNUMBER(L90),1,0)=2,IF(IF(C90=C89,1,0)+IF(B90=B89,1,0)+IF(D90="Post",1,0)+IF(D89="Pre",1,0)=4,Table4424666569[[#This Row],[Pre Total]],""),"")</f>
        <v/>
      </c>
      <c r="N89" s="5">
        <f>IF(IF(ISNUMBER(K88),1,0)+IF(ISNUMBER(Table4424666569[[#This Row],[Post Total]]),1,0)=2,IF(IF(Table4424666569[[#This Row],[Student Number]]=C88,1,0)+IF(Table4424666569[[#This Row],[Session]]=B88,1,0)+IF(Table4424666569[[#This Row],[Pre or Post]]="Post",1,0)+IF(D88="Pre",1,0)=4,Table4424666569[[#This Row],[Post Total]],""),"")</f>
        <v>4</v>
      </c>
      <c r="O89" s="5">
        <f>IF(IF(ISNUMBER(K88),1,0)+IF(ISNUMBER(Table4424666569[[#This Row],[Post Total]]),1,0)=2,IF(IF(Table4424666569[[#This Row],[Student Number]]=C88,1,0)+IF(Table4424666569[[#This Row],[Session]]=B88,1,0)+IF(Table4424666569[[#This Row],[Pre or Post]]="Post",1,0)+IF(D88="Pre",1,0)=4,Table4424666569[[#This Row],[Post Total]]-K88,""),"")</f>
        <v>1</v>
      </c>
      <c r="P89" s="5" t="b">
        <f>ISNUMBER(Table4424666569[[#This Row],[Change]])</f>
        <v>1</v>
      </c>
      <c r="Q89" s="5">
        <f>IF(E88="Yes",Table4424666569[[#This Row],[Change]],"")</f>
        <v>1</v>
      </c>
      <c r="R89" s="5" t="str">
        <f>IF(E88="No",Table4424666569[[#This Row],[Change]],"")</f>
        <v/>
      </c>
      <c r="S89" s="5" t="b">
        <f>ISNUMBER(Table4424666569[[#This Row],[If Pre3 Yes]])</f>
        <v>1</v>
      </c>
      <c r="T89" s="5" t="b">
        <f>ISNUMBER(Table4424666569[[#This Row],[If Pre3 No]])</f>
        <v>0</v>
      </c>
    </row>
    <row r="90" spans="1:20">
      <c r="A90" s="1" t="s">
        <v>12</v>
      </c>
      <c r="B90" s="1" t="s">
        <v>10</v>
      </c>
      <c r="C90" s="1">
        <v>10</v>
      </c>
      <c r="D90" s="1" t="s">
        <v>6</v>
      </c>
      <c r="E90" s="5" t="s">
        <v>8</v>
      </c>
      <c r="F90" s="1">
        <v>11</v>
      </c>
      <c r="G90" s="1">
        <v>2</v>
      </c>
      <c r="H90" s="1" t="s">
        <v>8</v>
      </c>
      <c r="I90" s="5">
        <f>IF(IF(Table4424666569[[#This Row],[Pre or Post]]="Pre",1,0)+IF(ISNUMBER(Table4424666569[[#This Row],[Response]])=TRUE,1,0)=2,1,"")</f>
        <v>1</v>
      </c>
      <c r="J90" s="5" t="str">
        <f>IF(IF(Table4424666569[[#This Row],[Pre or Post]]="Post",1,0)+IF(ISNUMBER(Table4424666569[[#This Row],[Response]])=TRUE,1,0)=2,1,"")</f>
        <v/>
      </c>
      <c r="K90" s="6">
        <f>IF(IF(Table4424666569[[#This Row],[Pre or Post]]="Pre",1,0)+IF(ISNUMBER(Table4424666569[[#This Row],[Response]])=TRUE,1,0)=2,Table4424666569[[#This Row],[Response]],"")</f>
        <v>2</v>
      </c>
      <c r="L90" s="6" t="str">
        <f>IF(IF(Table4424666569[[#This Row],[Pre or Post]]="Post",1,0)+IF(ISNUMBER(Table4424666569[[#This Row],[Response]])=TRUE,1,0)=2,Table4424666569[[#This Row],[Response]],"")</f>
        <v/>
      </c>
      <c r="M90" s="5">
        <f>IF(IF(ISNUMBER(K90),1,0)+IF(ISNUMBER(L91),1,0)=2,IF(IF(C91=C90,1,0)+IF(B91=B90,1,0)+IF(D91="Post",1,0)+IF(D90="Pre",1,0)=4,Table4424666569[[#This Row],[Pre Total]],""),"")</f>
        <v>2</v>
      </c>
      <c r="N90" s="5" t="str">
        <f>IF(IF(ISNUMBER(K89),1,0)+IF(ISNUMBER(Table4424666569[[#This Row],[Post Total]]),1,0)=2,IF(IF(Table4424666569[[#This Row],[Student Number]]=C89,1,0)+IF(Table4424666569[[#This Row],[Session]]=B89,1,0)+IF(Table4424666569[[#This Row],[Pre or Post]]="Post",1,0)+IF(D89="Pre",1,0)=4,Table4424666569[[#This Row],[Post Total]],""),"")</f>
        <v/>
      </c>
      <c r="O90" s="5" t="str">
        <f>IF(IF(ISNUMBER(K89),1,0)+IF(ISNUMBER(Table4424666569[[#This Row],[Post Total]]),1,0)=2,IF(IF(Table4424666569[[#This Row],[Student Number]]=C89,1,0)+IF(Table4424666569[[#This Row],[Session]]=B89,1,0)+IF(Table4424666569[[#This Row],[Pre or Post]]="Post",1,0)+IF(D89="Pre",1,0)=4,Table4424666569[[#This Row],[Post Total]]-K89,""),"")</f>
        <v/>
      </c>
      <c r="P90" s="5" t="b">
        <f>ISNUMBER(Table4424666569[[#This Row],[Change]])</f>
        <v>0</v>
      </c>
      <c r="Q90" s="5" t="str">
        <f>IF(E89="Yes",Table4424666569[[#This Row],[Change]],"")</f>
        <v/>
      </c>
      <c r="R90" s="5" t="str">
        <f>IF(E89="No",Table4424666569[[#This Row],[Change]],"")</f>
        <v/>
      </c>
      <c r="S90" s="5" t="b">
        <f>ISNUMBER(Table4424666569[[#This Row],[If Pre3 Yes]])</f>
        <v>0</v>
      </c>
      <c r="T90" s="5" t="b">
        <f>ISNUMBER(Table4424666569[[#This Row],[If Pre3 No]])</f>
        <v>0</v>
      </c>
    </row>
    <row r="91" spans="1:20">
      <c r="A91" s="1" t="s">
        <v>12</v>
      </c>
      <c r="B91" s="1" t="s">
        <v>10</v>
      </c>
      <c r="C91" s="1">
        <v>10</v>
      </c>
      <c r="D91" s="1" t="s">
        <v>16</v>
      </c>
      <c r="E91" s="5" t="s">
        <v>171</v>
      </c>
      <c r="F91" s="1">
        <v>4</v>
      </c>
      <c r="G91" s="1">
        <v>4</v>
      </c>
      <c r="H91" s="1" t="s">
        <v>8</v>
      </c>
      <c r="I91" s="6" t="str">
        <f>IF(IF(Table4424666569[[#This Row],[Pre or Post]]="Pre",1,0)+IF(ISNUMBER(Table4424666569[[#This Row],[Response]])=TRUE,1,0)=2,1,"")</f>
        <v/>
      </c>
      <c r="J91" s="6">
        <f>IF(IF(Table4424666569[[#This Row],[Pre or Post]]="Post",1,0)+IF(ISNUMBER(Table4424666569[[#This Row],[Response]])=TRUE,1,0)=2,1,"")</f>
        <v>1</v>
      </c>
      <c r="K91" s="6" t="str">
        <f>IF(IF(Table4424666569[[#This Row],[Pre or Post]]="Pre",1,0)+IF(ISNUMBER(Table4424666569[[#This Row],[Response]])=TRUE,1,0)=2,Table4424666569[[#This Row],[Response]],"")</f>
        <v/>
      </c>
      <c r="L91" s="6">
        <f>IF(IF(Table4424666569[[#This Row],[Pre or Post]]="Post",1,0)+IF(ISNUMBER(Table4424666569[[#This Row],[Response]])=TRUE,1,0)=2,Table4424666569[[#This Row],[Response]],"")</f>
        <v>4</v>
      </c>
      <c r="M91" s="6" t="str">
        <f>IF(IF(ISNUMBER(K91),1,0)+IF(ISNUMBER(L92),1,0)=2,IF(IF(C92=C91,1,0)+IF(B92=B91,1,0)+IF(D92="Post",1,0)+IF(D91="Pre",1,0)=4,Table4424666569[[#This Row],[Pre Total]],""),"")</f>
        <v/>
      </c>
      <c r="N91" s="6">
        <f>IF(IF(ISNUMBER(K90),1,0)+IF(ISNUMBER(Table4424666569[[#This Row],[Post Total]]),1,0)=2,IF(IF(Table4424666569[[#This Row],[Student Number]]=C90,1,0)+IF(Table4424666569[[#This Row],[Session]]=B90,1,0)+IF(Table4424666569[[#This Row],[Pre or Post]]="Post",1,0)+IF(D90="Pre",1,0)=4,Table4424666569[[#This Row],[Post Total]],""),"")</f>
        <v>4</v>
      </c>
      <c r="O91" s="6">
        <f>IF(IF(ISNUMBER(K90),1,0)+IF(ISNUMBER(Table4424666569[[#This Row],[Post Total]]),1,0)=2,IF(IF(Table4424666569[[#This Row],[Student Number]]=C90,1,0)+IF(Table4424666569[[#This Row],[Session]]=B90,1,0)+IF(Table4424666569[[#This Row],[Pre or Post]]="Post",1,0)+IF(D90="Pre",1,0)=4,Table4424666569[[#This Row],[Post Total]]-K90,""),"")</f>
        <v>2</v>
      </c>
      <c r="P91" s="6" t="b">
        <f>ISNUMBER(Table4424666569[[#This Row],[Change]])</f>
        <v>1</v>
      </c>
      <c r="Q91" s="5">
        <f>IF(E90="Yes",Table4424666569[[#This Row],[Change]],"")</f>
        <v>2</v>
      </c>
      <c r="R91" s="5" t="str">
        <f>IF(E90="No",Table4424666569[[#This Row],[Change]],"")</f>
        <v/>
      </c>
      <c r="S91" s="5" t="b">
        <f>ISNUMBER(Table4424666569[[#This Row],[If Pre3 Yes]])</f>
        <v>1</v>
      </c>
      <c r="T91" s="5" t="b">
        <f>ISNUMBER(Table4424666569[[#This Row],[If Pre3 No]])</f>
        <v>0</v>
      </c>
    </row>
    <row r="92" spans="1:20">
      <c r="A92" s="1" t="s">
        <v>12</v>
      </c>
      <c r="B92" s="1" t="s">
        <v>10</v>
      </c>
      <c r="C92" s="1">
        <v>11</v>
      </c>
      <c r="D92" s="1" t="s">
        <v>6</v>
      </c>
      <c r="E92" s="5" t="s">
        <v>8</v>
      </c>
      <c r="F92" s="1">
        <v>11</v>
      </c>
      <c r="G92" s="1">
        <v>3</v>
      </c>
      <c r="H92" s="1" t="s">
        <v>8</v>
      </c>
      <c r="I92" s="5">
        <f>IF(IF(Table4424666569[[#This Row],[Pre or Post]]="Pre",1,0)+IF(ISNUMBER(Table4424666569[[#This Row],[Response]])=TRUE,1,0)=2,1,"")</f>
        <v>1</v>
      </c>
      <c r="J92" s="5" t="str">
        <f>IF(IF(Table4424666569[[#This Row],[Pre or Post]]="Post",1,0)+IF(ISNUMBER(Table4424666569[[#This Row],[Response]])=TRUE,1,0)=2,1,"")</f>
        <v/>
      </c>
      <c r="K92" s="6">
        <f>IF(IF(Table4424666569[[#This Row],[Pre or Post]]="Pre",1,0)+IF(ISNUMBER(Table4424666569[[#This Row],[Response]])=TRUE,1,0)=2,Table4424666569[[#This Row],[Response]],"")</f>
        <v>3</v>
      </c>
      <c r="L92" s="6" t="str">
        <f>IF(IF(Table4424666569[[#This Row],[Pre or Post]]="Post",1,0)+IF(ISNUMBER(Table4424666569[[#This Row],[Response]])=TRUE,1,0)=2,Table4424666569[[#This Row],[Response]],"")</f>
        <v/>
      </c>
      <c r="M92" s="5">
        <f>IF(IF(ISNUMBER(K92),1,0)+IF(ISNUMBER(L93),1,0)=2,IF(IF(C93=C92,1,0)+IF(B93=B92,1,0)+IF(D93="Post",1,0)+IF(D92="Pre",1,0)=4,Table4424666569[[#This Row],[Pre Total]],""),"")</f>
        <v>3</v>
      </c>
      <c r="N92" s="5" t="str">
        <f>IF(IF(ISNUMBER(K91),1,0)+IF(ISNUMBER(Table4424666569[[#This Row],[Post Total]]),1,0)=2,IF(IF(Table4424666569[[#This Row],[Student Number]]=C91,1,0)+IF(Table4424666569[[#This Row],[Session]]=B91,1,0)+IF(Table4424666569[[#This Row],[Pre or Post]]="Post",1,0)+IF(D91="Pre",1,0)=4,Table4424666569[[#This Row],[Post Total]],""),"")</f>
        <v/>
      </c>
      <c r="O92" s="5" t="str">
        <f>IF(IF(ISNUMBER(K91),1,0)+IF(ISNUMBER(Table4424666569[[#This Row],[Post Total]]),1,0)=2,IF(IF(Table4424666569[[#This Row],[Student Number]]=C91,1,0)+IF(Table4424666569[[#This Row],[Session]]=B91,1,0)+IF(Table4424666569[[#This Row],[Pre or Post]]="Post",1,0)+IF(D91="Pre",1,0)=4,Table4424666569[[#This Row],[Post Total]]-K91,""),"")</f>
        <v/>
      </c>
      <c r="P92" s="5" t="b">
        <f>ISNUMBER(Table4424666569[[#This Row],[Change]])</f>
        <v>0</v>
      </c>
      <c r="Q92" s="5" t="str">
        <f>IF(E91="Yes",Table4424666569[[#This Row],[Change]],"")</f>
        <v/>
      </c>
      <c r="R92" s="5" t="str">
        <f>IF(E91="No",Table4424666569[[#This Row],[Change]],"")</f>
        <v/>
      </c>
      <c r="S92" s="5" t="b">
        <f>ISNUMBER(Table4424666569[[#This Row],[If Pre3 Yes]])</f>
        <v>0</v>
      </c>
      <c r="T92" s="5" t="b">
        <f>ISNUMBER(Table4424666569[[#This Row],[If Pre3 No]])</f>
        <v>0</v>
      </c>
    </row>
    <row r="93" spans="1:20">
      <c r="A93" s="1" t="s">
        <v>12</v>
      </c>
      <c r="B93" s="1" t="s">
        <v>10</v>
      </c>
      <c r="C93" s="1">
        <v>11</v>
      </c>
      <c r="D93" s="1" t="s">
        <v>16</v>
      </c>
      <c r="E93" s="5" t="s">
        <v>171</v>
      </c>
      <c r="F93" s="1">
        <v>4</v>
      </c>
      <c r="G93" s="1">
        <v>3</v>
      </c>
      <c r="H93" s="1" t="s">
        <v>8</v>
      </c>
      <c r="I93" s="5" t="str">
        <f>IF(IF(Table4424666569[[#This Row],[Pre or Post]]="Pre",1,0)+IF(ISNUMBER(Table4424666569[[#This Row],[Response]])=TRUE,1,0)=2,1,"")</f>
        <v/>
      </c>
      <c r="J93" s="5">
        <f>IF(IF(Table4424666569[[#This Row],[Pre or Post]]="Post",1,0)+IF(ISNUMBER(Table4424666569[[#This Row],[Response]])=TRUE,1,0)=2,1,"")</f>
        <v>1</v>
      </c>
      <c r="K93" s="6" t="str">
        <f>IF(IF(Table4424666569[[#This Row],[Pre or Post]]="Pre",1,0)+IF(ISNUMBER(Table4424666569[[#This Row],[Response]])=TRUE,1,0)=2,Table4424666569[[#This Row],[Response]],"")</f>
        <v/>
      </c>
      <c r="L93" s="6">
        <f>IF(IF(Table4424666569[[#This Row],[Pre or Post]]="Post",1,0)+IF(ISNUMBER(Table4424666569[[#This Row],[Response]])=TRUE,1,0)=2,Table4424666569[[#This Row],[Response]],"")</f>
        <v>3</v>
      </c>
      <c r="M93" s="5" t="str">
        <f>IF(IF(ISNUMBER(K93),1,0)+IF(ISNUMBER(L94),1,0)=2,IF(IF(C94=C93,1,0)+IF(B94=B93,1,0)+IF(D94="Post",1,0)+IF(D93="Pre",1,0)=4,Table4424666569[[#This Row],[Pre Total]],""),"")</f>
        <v/>
      </c>
      <c r="N93" s="5">
        <f>IF(IF(ISNUMBER(K92),1,0)+IF(ISNUMBER(Table4424666569[[#This Row],[Post Total]]),1,0)=2,IF(IF(Table4424666569[[#This Row],[Student Number]]=C92,1,0)+IF(Table4424666569[[#This Row],[Session]]=B92,1,0)+IF(Table4424666569[[#This Row],[Pre or Post]]="Post",1,0)+IF(D92="Pre",1,0)=4,Table4424666569[[#This Row],[Post Total]],""),"")</f>
        <v>3</v>
      </c>
      <c r="O93" s="5">
        <f>IF(IF(ISNUMBER(K92),1,0)+IF(ISNUMBER(Table4424666569[[#This Row],[Post Total]]),1,0)=2,IF(IF(Table4424666569[[#This Row],[Student Number]]=C92,1,0)+IF(Table4424666569[[#This Row],[Session]]=B92,1,0)+IF(Table4424666569[[#This Row],[Pre or Post]]="Post",1,0)+IF(D92="Pre",1,0)=4,Table4424666569[[#This Row],[Post Total]]-K92,""),"")</f>
        <v>0</v>
      </c>
      <c r="P93" s="5" t="b">
        <f>ISNUMBER(Table4424666569[[#This Row],[Change]])</f>
        <v>1</v>
      </c>
      <c r="Q93" s="5">
        <f>IF(E92="Yes",Table4424666569[[#This Row],[Change]],"")</f>
        <v>0</v>
      </c>
      <c r="R93" s="5" t="str">
        <f>IF(E92="No",Table4424666569[[#This Row],[Change]],"")</f>
        <v/>
      </c>
      <c r="S93" s="5" t="b">
        <f>ISNUMBER(Table4424666569[[#This Row],[If Pre3 Yes]])</f>
        <v>1</v>
      </c>
      <c r="T93" s="5" t="b">
        <f>ISNUMBER(Table4424666569[[#This Row],[If Pre3 No]])</f>
        <v>0</v>
      </c>
    </row>
    <row r="94" spans="1:20">
      <c r="A94" s="1" t="s">
        <v>12</v>
      </c>
      <c r="B94" s="1" t="s">
        <v>10</v>
      </c>
      <c r="C94" s="1">
        <v>12</v>
      </c>
      <c r="D94" s="1" t="s">
        <v>6</v>
      </c>
      <c r="E94" s="5" t="s">
        <v>8</v>
      </c>
      <c r="F94" s="1">
        <v>11</v>
      </c>
      <c r="G94" s="1">
        <v>3</v>
      </c>
      <c r="H94" s="1" t="s">
        <v>8</v>
      </c>
      <c r="I94" s="5">
        <f>IF(IF(Table4424666569[[#This Row],[Pre or Post]]="Pre",1,0)+IF(ISNUMBER(Table4424666569[[#This Row],[Response]])=TRUE,1,0)=2,1,"")</f>
        <v>1</v>
      </c>
      <c r="J94" s="5" t="str">
        <f>IF(IF(Table4424666569[[#This Row],[Pre or Post]]="Post",1,0)+IF(ISNUMBER(Table4424666569[[#This Row],[Response]])=TRUE,1,0)=2,1,"")</f>
        <v/>
      </c>
      <c r="K94" s="6">
        <f>IF(IF(Table4424666569[[#This Row],[Pre or Post]]="Pre",1,0)+IF(ISNUMBER(Table4424666569[[#This Row],[Response]])=TRUE,1,0)=2,Table4424666569[[#This Row],[Response]],"")</f>
        <v>3</v>
      </c>
      <c r="L94" s="6" t="str">
        <f>IF(IF(Table4424666569[[#This Row],[Pre or Post]]="Post",1,0)+IF(ISNUMBER(Table4424666569[[#This Row],[Response]])=TRUE,1,0)=2,Table4424666569[[#This Row],[Response]],"")</f>
        <v/>
      </c>
      <c r="M94" s="5">
        <f>IF(IF(ISNUMBER(K94),1,0)+IF(ISNUMBER(L95),1,0)=2,IF(IF(C95=C94,1,0)+IF(B95=B94,1,0)+IF(D95="Post",1,0)+IF(D94="Pre",1,0)=4,Table4424666569[[#This Row],[Pre Total]],""),"")</f>
        <v>3</v>
      </c>
      <c r="N94" s="5" t="str">
        <f>IF(IF(ISNUMBER(K93),1,0)+IF(ISNUMBER(Table4424666569[[#This Row],[Post Total]]),1,0)=2,IF(IF(Table4424666569[[#This Row],[Student Number]]=C93,1,0)+IF(Table4424666569[[#This Row],[Session]]=B93,1,0)+IF(Table4424666569[[#This Row],[Pre or Post]]="Post",1,0)+IF(D93="Pre",1,0)=4,Table4424666569[[#This Row],[Post Total]],""),"")</f>
        <v/>
      </c>
      <c r="O94" s="5" t="str">
        <f>IF(IF(ISNUMBER(K93),1,0)+IF(ISNUMBER(Table4424666569[[#This Row],[Post Total]]),1,0)=2,IF(IF(Table4424666569[[#This Row],[Student Number]]=C93,1,0)+IF(Table4424666569[[#This Row],[Session]]=B93,1,0)+IF(Table4424666569[[#This Row],[Pre or Post]]="Post",1,0)+IF(D93="Pre",1,0)=4,Table4424666569[[#This Row],[Post Total]]-K93,""),"")</f>
        <v/>
      </c>
      <c r="P94" s="5" t="b">
        <f>ISNUMBER(Table4424666569[[#This Row],[Change]])</f>
        <v>0</v>
      </c>
      <c r="Q94" s="5" t="str">
        <f>IF(E93="Yes",Table4424666569[[#This Row],[Change]],"")</f>
        <v/>
      </c>
      <c r="R94" s="5" t="str">
        <f>IF(E93="No",Table4424666569[[#This Row],[Change]],"")</f>
        <v/>
      </c>
      <c r="S94" s="5" t="b">
        <f>ISNUMBER(Table4424666569[[#This Row],[If Pre3 Yes]])</f>
        <v>0</v>
      </c>
      <c r="T94" s="5" t="b">
        <f>ISNUMBER(Table4424666569[[#This Row],[If Pre3 No]])</f>
        <v>0</v>
      </c>
    </row>
    <row r="95" spans="1:20">
      <c r="A95" s="1" t="s">
        <v>12</v>
      </c>
      <c r="B95" s="1" t="s">
        <v>10</v>
      </c>
      <c r="C95" s="1">
        <v>12</v>
      </c>
      <c r="D95" s="1" t="s">
        <v>16</v>
      </c>
      <c r="E95" s="5" t="s">
        <v>171</v>
      </c>
      <c r="F95" s="1">
        <v>4</v>
      </c>
      <c r="G95" s="1">
        <v>3</v>
      </c>
      <c r="H95" s="1" t="s">
        <v>8</v>
      </c>
      <c r="I95" s="6" t="str">
        <f>IF(IF(Table4424666569[[#This Row],[Pre or Post]]="Pre",1,0)+IF(ISNUMBER(Table4424666569[[#This Row],[Response]])=TRUE,1,0)=2,1,"")</f>
        <v/>
      </c>
      <c r="J95" s="6">
        <f>IF(IF(Table4424666569[[#This Row],[Pre or Post]]="Post",1,0)+IF(ISNUMBER(Table4424666569[[#This Row],[Response]])=TRUE,1,0)=2,1,"")</f>
        <v>1</v>
      </c>
      <c r="K95" s="6" t="str">
        <f>IF(IF(Table4424666569[[#This Row],[Pre or Post]]="Pre",1,0)+IF(ISNUMBER(Table4424666569[[#This Row],[Response]])=TRUE,1,0)=2,Table4424666569[[#This Row],[Response]],"")</f>
        <v/>
      </c>
      <c r="L95" s="6">
        <f>IF(IF(Table4424666569[[#This Row],[Pre or Post]]="Post",1,0)+IF(ISNUMBER(Table4424666569[[#This Row],[Response]])=TRUE,1,0)=2,Table4424666569[[#This Row],[Response]],"")</f>
        <v>3</v>
      </c>
      <c r="M95" s="6" t="str">
        <f>IF(IF(ISNUMBER(K95),1,0)+IF(ISNUMBER(L96),1,0)=2,IF(IF(C96=C95,1,0)+IF(B96=B95,1,0)+IF(D96="Post",1,0)+IF(D95="Pre",1,0)=4,Table4424666569[[#This Row],[Pre Total]],""),"")</f>
        <v/>
      </c>
      <c r="N95" s="6">
        <f>IF(IF(ISNUMBER(K94),1,0)+IF(ISNUMBER(Table4424666569[[#This Row],[Post Total]]),1,0)=2,IF(IF(Table4424666569[[#This Row],[Student Number]]=C94,1,0)+IF(Table4424666569[[#This Row],[Session]]=B94,1,0)+IF(Table4424666569[[#This Row],[Pre or Post]]="Post",1,0)+IF(D94="Pre",1,0)=4,Table4424666569[[#This Row],[Post Total]],""),"")</f>
        <v>3</v>
      </c>
      <c r="O95" s="6">
        <f>IF(IF(ISNUMBER(K94),1,0)+IF(ISNUMBER(Table4424666569[[#This Row],[Post Total]]),1,0)=2,IF(IF(Table4424666569[[#This Row],[Student Number]]=C94,1,0)+IF(Table4424666569[[#This Row],[Session]]=B94,1,0)+IF(Table4424666569[[#This Row],[Pre or Post]]="Post",1,0)+IF(D94="Pre",1,0)=4,Table4424666569[[#This Row],[Post Total]]-K94,""),"")</f>
        <v>0</v>
      </c>
      <c r="P95" s="6" t="b">
        <f>ISNUMBER(Table4424666569[[#This Row],[Change]])</f>
        <v>1</v>
      </c>
      <c r="Q95" s="5">
        <f>IF(E94="Yes",Table4424666569[[#This Row],[Change]],"")</f>
        <v>0</v>
      </c>
      <c r="R95" s="5" t="str">
        <f>IF(E94="No",Table4424666569[[#This Row],[Change]],"")</f>
        <v/>
      </c>
      <c r="S95" s="5" t="b">
        <f>ISNUMBER(Table4424666569[[#This Row],[If Pre3 Yes]])</f>
        <v>1</v>
      </c>
      <c r="T95" s="5" t="b">
        <f>ISNUMBER(Table4424666569[[#This Row],[If Pre3 No]])</f>
        <v>0</v>
      </c>
    </row>
    <row r="96" spans="1:20">
      <c r="A96" s="1" t="s">
        <v>12</v>
      </c>
      <c r="B96" s="1" t="s">
        <v>10</v>
      </c>
      <c r="C96" s="1">
        <v>13</v>
      </c>
      <c r="D96" s="1" t="s">
        <v>6</v>
      </c>
      <c r="E96" s="5" t="s">
        <v>8</v>
      </c>
      <c r="F96" s="1">
        <v>11</v>
      </c>
      <c r="G96" s="1">
        <v>1</v>
      </c>
      <c r="H96" s="1" t="s">
        <v>8</v>
      </c>
      <c r="I96" s="5">
        <f>IF(IF(Table4424666569[[#This Row],[Pre or Post]]="Pre",1,0)+IF(ISNUMBER(Table4424666569[[#This Row],[Response]])=TRUE,1,0)=2,1,"")</f>
        <v>1</v>
      </c>
      <c r="J96" s="5" t="str">
        <f>IF(IF(Table4424666569[[#This Row],[Pre or Post]]="Post",1,0)+IF(ISNUMBER(Table4424666569[[#This Row],[Response]])=TRUE,1,0)=2,1,"")</f>
        <v/>
      </c>
      <c r="K96" s="6">
        <f>IF(IF(Table4424666569[[#This Row],[Pre or Post]]="Pre",1,0)+IF(ISNUMBER(Table4424666569[[#This Row],[Response]])=TRUE,1,0)=2,Table4424666569[[#This Row],[Response]],"")</f>
        <v>1</v>
      </c>
      <c r="L96" s="6" t="str">
        <f>IF(IF(Table4424666569[[#This Row],[Pre or Post]]="Post",1,0)+IF(ISNUMBER(Table4424666569[[#This Row],[Response]])=TRUE,1,0)=2,Table4424666569[[#This Row],[Response]],"")</f>
        <v/>
      </c>
      <c r="M96" s="5">
        <f>IF(IF(ISNUMBER(K96),1,0)+IF(ISNUMBER(L97),1,0)=2,IF(IF(C97=C96,1,0)+IF(B97=B96,1,0)+IF(D97="Post",1,0)+IF(D96="Pre",1,0)=4,Table4424666569[[#This Row],[Pre Total]],""),"")</f>
        <v>1</v>
      </c>
      <c r="N96" s="5" t="str">
        <f>IF(IF(ISNUMBER(K95),1,0)+IF(ISNUMBER(Table4424666569[[#This Row],[Post Total]]),1,0)=2,IF(IF(Table4424666569[[#This Row],[Student Number]]=C95,1,0)+IF(Table4424666569[[#This Row],[Session]]=B95,1,0)+IF(Table4424666569[[#This Row],[Pre or Post]]="Post",1,0)+IF(D95="Pre",1,0)=4,Table4424666569[[#This Row],[Post Total]],""),"")</f>
        <v/>
      </c>
      <c r="O96" s="5" t="str">
        <f>IF(IF(ISNUMBER(K95),1,0)+IF(ISNUMBER(Table4424666569[[#This Row],[Post Total]]),1,0)=2,IF(IF(Table4424666569[[#This Row],[Student Number]]=C95,1,0)+IF(Table4424666569[[#This Row],[Session]]=B95,1,0)+IF(Table4424666569[[#This Row],[Pre or Post]]="Post",1,0)+IF(D95="Pre",1,0)=4,Table4424666569[[#This Row],[Post Total]]-K95,""),"")</f>
        <v/>
      </c>
      <c r="P96" s="5" t="b">
        <f>ISNUMBER(Table4424666569[[#This Row],[Change]])</f>
        <v>0</v>
      </c>
      <c r="Q96" s="5" t="str">
        <f>IF(E95="Yes",Table4424666569[[#This Row],[Change]],"")</f>
        <v/>
      </c>
      <c r="R96" s="5" t="str">
        <f>IF(E95="No",Table4424666569[[#This Row],[Change]],"")</f>
        <v/>
      </c>
      <c r="S96" s="5" t="b">
        <f>ISNUMBER(Table4424666569[[#This Row],[If Pre3 Yes]])</f>
        <v>0</v>
      </c>
      <c r="T96" s="5" t="b">
        <f>ISNUMBER(Table4424666569[[#This Row],[If Pre3 No]])</f>
        <v>0</v>
      </c>
    </row>
    <row r="97" spans="1:20">
      <c r="A97" s="1" t="s">
        <v>12</v>
      </c>
      <c r="B97" s="1" t="s">
        <v>10</v>
      </c>
      <c r="C97" s="1">
        <v>13</v>
      </c>
      <c r="D97" s="1" t="s">
        <v>16</v>
      </c>
      <c r="E97" s="5" t="s">
        <v>171</v>
      </c>
      <c r="F97" s="1">
        <v>4</v>
      </c>
      <c r="G97" s="1">
        <v>3</v>
      </c>
      <c r="H97" s="1" t="s">
        <v>8</v>
      </c>
      <c r="I97" s="5" t="str">
        <f>IF(IF(Table4424666569[[#This Row],[Pre or Post]]="Pre",1,0)+IF(ISNUMBER(Table4424666569[[#This Row],[Response]])=TRUE,1,0)=2,1,"")</f>
        <v/>
      </c>
      <c r="J97" s="5">
        <f>IF(IF(Table4424666569[[#This Row],[Pre or Post]]="Post",1,0)+IF(ISNUMBER(Table4424666569[[#This Row],[Response]])=TRUE,1,0)=2,1,"")</f>
        <v>1</v>
      </c>
      <c r="K97" s="6" t="str">
        <f>IF(IF(Table4424666569[[#This Row],[Pre or Post]]="Pre",1,0)+IF(ISNUMBER(Table4424666569[[#This Row],[Response]])=TRUE,1,0)=2,Table4424666569[[#This Row],[Response]],"")</f>
        <v/>
      </c>
      <c r="L97" s="6">
        <f>IF(IF(Table4424666569[[#This Row],[Pre or Post]]="Post",1,0)+IF(ISNUMBER(Table4424666569[[#This Row],[Response]])=TRUE,1,0)=2,Table4424666569[[#This Row],[Response]],"")</f>
        <v>3</v>
      </c>
      <c r="M97" s="5" t="str">
        <f>IF(IF(ISNUMBER(K97),1,0)+IF(ISNUMBER(L98),1,0)=2,IF(IF(C98=C97,1,0)+IF(B98=B97,1,0)+IF(D98="Post",1,0)+IF(D97="Pre",1,0)=4,Table4424666569[[#This Row],[Pre Total]],""),"")</f>
        <v/>
      </c>
      <c r="N97" s="5">
        <f>IF(IF(ISNUMBER(K96),1,0)+IF(ISNUMBER(Table4424666569[[#This Row],[Post Total]]),1,0)=2,IF(IF(Table4424666569[[#This Row],[Student Number]]=C96,1,0)+IF(Table4424666569[[#This Row],[Session]]=B96,1,0)+IF(Table4424666569[[#This Row],[Pre or Post]]="Post",1,0)+IF(D96="Pre",1,0)=4,Table4424666569[[#This Row],[Post Total]],""),"")</f>
        <v>3</v>
      </c>
      <c r="O97" s="5">
        <f>IF(IF(ISNUMBER(K96),1,0)+IF(ISNUMBER(Table4424666569[[#This Row],[Post Total]]),1,0)=2,IF(IF(Table4424666569[[#This Row],[Student Number]]=C96,1,0)+IF(Table4424666569[[#This Row],[Session]]=B96,1,0)+IF(Table4424666569[[#This Row],[Pre or Post]]="Post",1,0)+IF(D96="Pre",1,0)=4,Table4424666569[[#This Row],[Post Total]]-K96,""),"")</f>
        <v>2</v>
      </c>
      <c r="P97" s="5" t="b">
        <f>ISNUMBER(Table4424666569[[#This Row],[Change]])</f>
        <v>1</v>
      </c>
      <c r="Q97" s="5">
        <f>IF(E96="Yes",Table4424666569[[#This Row],[Change]],"")</f>
        <v>2</v>
      </c>
      <c r="R97" s="5" t="str">
        <f>IF(E96="No",Table4424666569[[#This Row],[Change]],"")</f>
        <v/>
      </c>
      <c r="S97" s="5" t="b">
        <f>ISNUMBER(Table4424666569[[#This Row],[If Pre3 Yes]])</f>
        <v>1</v>
      </c>
      <c r="T97" s="5" t="b">
        <f>ISNUMBER(Table4424666569[[#This Row],[If Pre3 No]])</f>
        <v>0</v>
      </c>
    </row>
    <row r="98" spans="1:20">
      <c r="A98" s="1" t="s">
        <v>12</v>
      </c>
      <c r="B98" s="1" t="s">
        <v>10</v>
      </c>
      <c r="C98" s="1">
        <v>14</v>
      </c>
      <c r="D98" s="1" t="s">
        <v>6</v>
      </c>
      <c r="E98" s="5" t="s">
        <v>8</v>
      </c>
      <c r="F98" s="1">
        <v>11</v>
      </c>
      <c r="G98" s="1">
        <v>3</v>
      </c>
      <c r="H98" s="1" t="s">
        <v>8</v>
      </c>
      <c r="I98" s="5">
        <f>IF(IF(Table4424666569[[#This Row],[Pre or Post]]="Pre",1,0)+IF(ISNUMBER(Table4424666569[[#This Row],[Response]])=TRUE,1,0)=2,1,"")</f>
        <v>1</v>
      </c>
      <c r="J98" s="5" t="str">
        <f>IF(IF(Table4424666569[[#This Row],[Pre or Post]]="Post",1,0)+IF(ISNUMBER(Table4424666569[[#This Row],[Response]])=TRUE,1,0)=2,1,"")</f>
        <v/>
      </c>
      <c r="K98" s="6">
        <f>IF(IF(Table4424666569[[#This Row],[Pre or Post]]="Pre",1,0)+IF(ISNUMBER(Table4424666569[[#This Row],[Response]])=TRUE,1,0)=2,Table4424666569[[#This Row],[Response]],"")</f>
        <v>3</v>
      </c>
      <c r="L98" s="6" t="str">
        <f>IF(IF(Table4424666569[[#This Row],[Pre or Post]]="Post",1,0)+IF(ISNUMBER(Table4424666569[[#This Row],[Response]])=TRUE,1,0)=2,Table4424666569[[#This Row],[Response]],"")</f>
        <v/>
      </c>
      <c r="M98" s="5">
        <f>IF(IF(ISNUMBER(K98),1,0)+IF(ISNUMBER(L99),1,0)=2,IF(IF(C99=C98,1,0)+IF(B99=B98,1,0)+IF(D99="Post",1,0)+IF(D98="Pre",1,0)=4,Table4424666569[[#This Row],[Pre Total]],""),"")</f>
        <v>3</v>
      </c>
      <c r="N98" s="5" t="str">
        <f>IF(IF(ISNUMBER(K97),1,0)+IF(ISNUMBER(Table4424666569[[#This Row],[Post Total]]),1,0)=2,IF(IF(Table4424666569[[#This Row],[Student Number]]=C97,1,0)+IF(Table4424666569[[#This Row],[Session]]=B97,1,0)+IF(Table4424666569[[#This Row],[Pre or Post]]="Post",1,0)+IF(D97="Pre",1,0)=4,Table4424666569[[#This Row],[Post Total]],""),"")</f>
        <v/>
      </c>
      <c r="O98" s="5" t="str">
        <f>IF(IF(ISNUMBER(K97),1,0)+IF(ISNUMBER(Table4424666569[[#This Row],[Post Total]]),1,0)=2,IF(IF(Table4424666569[[#This Row],[Student Number]]=C97,1,0)+IF(Table4424666569[[#This Row],[Session]]=B97,1,0)+IF(Table4424666569[[#This Row],[Pre or Post]]="Post",1,0)+IF(D97="Pre",1,0)=4,Table4424666569[[#This Row],[Post Total]]-K97,""),"")</f>
        <v/>
      </c>
      <c r="P98" s="5" t="b">
        <f>ISNUMBER(Table4424666569[[#This Row],[Change]])</f>
        <v>0</v>
      </c>
      <c r="Q98" s="5" t="str">
        <f>IF(E97="Yes",Table4424666569[[#This Row],[Change]],"")</f>
        <v/>
      </c>
      <c r="R98" s="5" t="str">
        <f>IF(E97="No",Table4424666569[[#This Row],[Change]],"")</f>
        <v/>
      </c>
      <c r="S98" s="5" t="b">
        <f>ISNUMBER(Table4424666569[[#This Row],[If Pre3 Yes]])</f>
        <v>0</v>
      </c>
      <c r="T98" s="5" t="b">
        <f>ISNUMBER(Table4424666569[[#This Row],[If Pre3 No]])</f>
        <v>0</v>
      </c>
    </row>
    <row r="99" spans="1:20">
      <c r="A99" s="1" t="s">
        <v>12</v>
      </c>
      <c r="B99" s="1" t="s">
        <v>10</v>
      </c>
      <c r="C99" s="1">
        <v>14</v>
      </c>
      <c r="D99" s="1" t="s">
        <v>16</v>
      </c>
      <c r="E99" s="5" t="s">
        <v>171</v>
      </c>
      <c r="F99" s="1">
        <v>4</v>
      </c>
      <c r="G99" s="1">
        <v>3</v>
      </c>
      <c r="H99" s="1" t="s">
        <v>8</v>
      </c>
      <c r="I99" s="6" t="str">
        <f>IF(IF(Table4424666569[[#This Row],[Pre or Post]]="Pre",1,0)+IF(ISNUMBER(Table4424666569[[#This Row],[Response]])=TRUE,1,0)=2,1,"")</f>
        <v/>
      </c>
      <c r="J99" s="6">
        <f>IF(IF(Table4424666569[[#This Row],[Pre or Post]]="Post",1,0)+IF(ISNUMBER(Table4424666569[[#This Row],[Response]])=TRUE,1,0)=2,1,"")</f>
        <v>1</v>
      </c>
      <c r="K99" s="6" t="str">
        <f>IF(IF(Table4424666569[[#This Row],[Pre or Post]]="Pre",1,0)+IF(ISNUMBER(Table4424666569[[#This Row],[Response]])=TRUE,1,0)=2,Table4424666569[[#This Row],[Response]],"")</f>
        <v/>
      </c>
      <c r="L99" s="6">
        <f>IF(IF(Table4424666569[[#This Row],[Pre or Post]]="Post",1,0)+IF(ISNUMBER(Table4424666569[[#This Row],[Response]])=TRUE,1,0)=2,Table4424666569[[#This Row],[Response]],"")</f>
        <v>3</v>
      </c>
      <c r="M99" s="6" t="str">
        <f>IF(IF(ISNUMBER(K99),1,0)+IF(ISNUMBER(L100),1,0)=2,IF(IF(C100=C99,1,0)+IF(B100=B99,1,0)+IF(D100="Post",1,0)+IF(D99="Pre",1,0)=4,Table4424666569[[#This Row],[Pre Total]],""),"")</f>
        <v/>
      </c>
      <c r="N99" s="6">
        <f>IF(IF(ISNUMBER(K98),1,0)+IF(ISNUMBER(Table4424666569[[#This Row],[Post Total]]),1,0)=2,IF(IF(Table4424666569[[#This Row],[Student Number]]=C98,1,0)+IF(Table4424666569[[#This Row],[Session]]=B98,1,0)+IF(Table4424666569[[#This Row],[Pre or Post]]="Post",1,0)+IF(D98="Pre",1,0)=4,Table4424666569[[#This Row],[Post Total]],""),"")</f>
        <v>3</v>
      </c>
      <c r="O99" s="6">
        <f>IF(IF(ISNUMBER(K98),1,0)+IF(ISNUMBER(Table4424666569[[#This Row],[Post Total]]),1,0)=2,IF(IF(Table4424666569[[#This Row],[Student Number]]=C98,1,0)+IF(Table4424666569[[#This Row],[Session]]=B98,1,0)+IF(Table4424666569[[#This Row],[Pre or Post]]="Post",1,0)+IF(D98="Pre",1,0)=4,Table4424666569[[#This Row],[Post Total]]-K98,""),"")</f>
        <v>0</v>
      </c>
      <c r="P99" s="6" t="b">
        <f>ISNUMBER(Table4424666569[[#This Row],[Change]])</f>
        <v>1</v>
      </c>
      <c r="Q99" s="5">
        <f>IF(E98="Yes",Table4424666569[[#This Row],[Change]],"")</f>
        <v>0</v>
      </c>
      <c r="R99" s="5" t="str">
        <f>IF(E98="No",Table4424666569[[#This Row],[Change]],"")</f>
        <v/>
      </c>
      <c r="S99" s="5" t="b">
        <f>ISNUMBER(Table4424666569[[#This Row],[If Pre3 Yes]])</f>
        <v>1</v>
      </c>
      <c r="T99" s="5" t="b">
        <f>ISNUMBER(Table4424666569[[#This Row],[If Pre3 No]])</f>
        <v>0</v>
      </c>
    </row>
    <row r="100" spans="1:20">
      <c r="A100" s="1" t="s">
        <v>12</v>
      </c>
      <c r="B100" s="1" t="s">
        <v>10</v>
      </c>
      <c r="C100" s="1">
        <v>15</v>
      </c>
      <c r="D100" s="1" t="s">
        <v>6</v>
      </c>
      <c r="E100" s="5" t="s">
        <v>8</v>
      </c>
      <c r="F100" s="1">
        <v>11</v>
      </c>
      <c r="G100" s="1">
        <v>1</v>
      </c>
      <c r="H100" s="1" t="s">
        <v>8</v>
      </c>
      <c r="I100" s="5">
        <f>IF(IF(Table4424666569[[#This Row],[Pre or Post]]="Pre",1,0)+IF(ISNUMBER(Table4424666569[[#This Row],[Response]])=TRUE,1,0)=2,1,"")</f>
        <v>1</v>
      </c>
      <c r="J100" s="5" t="str">
        <f>IF(IF(Table4424666569[[#This Row],[Pre or Post]]="Post",1,0)+IF(ISNUMBER(Table4424666569[[#This Row],[Response]])=TRUE,1,0)=2,1,"")</f>
        <v/>
      </c>
      <c r="K100" s="6">
        <f>IF(IF(Table4424666569[[#This Row],[Pre or Post]]="Pre",1,0)+IF(ISNUMBER(Table4424666569[[#This Row],[Response]])=TRUE,1,0)=2,Table4424666569[[#This Row],[Response]],"")</f>
        <v>1</v>
      </c>
      <c r="L100" s="6" t="str">
        <f>IF(IF(Table4424666569[[#This Row],[Pre or Post]]="Post",1,0)+IF(ISNUMBER(Table4424666569[[#This Row],[Response]])=TRUE,1,0)=2,Table4424666569[[#This Row],[Response]],"")</f>
        <v/>
      </c>
      <c r="M100" s="5">
        <f>IF(IF(ISNUMBER(K100),1,0)+IF(ISNUMBER(L101),1,0)=2,IF(IF(C101=C100,1,0)+IF(B101=B100,1,0)+IF(D101="Post",1,0)+IF(D100="Pre",1,0)=4,Table4424666569[[#This Row],[Pre Total]],""),"")</f>
        <v>1</v>
      </c>
      <c r="N100" s="5" t="str">
        <f>IF(IF(ISNUMBER(K99),1,0)+IF(ISNUMBER(Table4424666569[[#This Row],[Post Total]]),1,0)=2,IF(IF(Table4424666569[[#This Row],[Student Number]]=C99,1,0)+IF(Table4424666569[[#This Row],[Session]]=B99,1,0)+IF(Table4424666569[[#This Row],[Pre or Post]]="Post",1,0)+IF(D99="Pre",1,0)=4,Table4424666569[[#This Row],[Post Total]],""),"")</f>
        <v/>
      </c>
      <c r="O100" s="5" t="str">
        <f>IF(IF(ISNUMBER(K99),1,0)+IF(ISNUMBER(Table4424666569[[#This Row],[Post Total]]),1,0)=2,IF(IF(Table4424666569[[#This Row],[Student Number]]=C99,1,0)+IF(Table4424666569[[#This Row],[Session]]=B99,1,0)+IF(Table4424666569[[#This Row],[Pre or Post]]="Post",1,0)+IF(D99="Pre",1,0)=4,Table4424666569[[#This Row],[Post Total]]-K99,""),"")</f>
        <v/>
      </c>
      <c r="P100" s="5" t="b">
        <f>ISNUMBER(Table4424666569[[#This Row],[Change]])</f>
        <v>0</v>
      </c>
      <c r="Q100" s="5" t="str">
        <f>IF(E99="Yes",Table4424666569[[#This Row],[Change]],"")</f>
        <v/>
      </c>
      <c r="R100" s="5" t="str">
        <f>IF(E99="No",Table4424666569[[#This Row],[Change]],"")</f>
        <v/>
      </c>
      <c r="S100" s="5" t="b">
        <f>ISNUMBER(Table4424666569[[#This Row],[If Pre3 Yes]])</f>
        <v>0</v>
      </c>
      <c r="T100" s="5" t="b">
        <f>ISNUMBER(Table4424666569[[#This Row],[If Pre3 No]])</f>
        <v>0</v>
      </c>
    </row>
    <row r="101" spans="1:20">
      <c r="A101" s="1" t="s">
        <v>12</v>
      </c>
      <c r="B101" s="1" t="s">
        <v>10</v>
      </c>
      <c r="C101" s="1">
        <v>15</v>
      </c>
      <c r="D101" s="1" t="s">
        <v>16</v>
      </c>
      <c r="E101" s="5" t="s">
        <v>171</v>
      </c>
      <c r="F101" s="1">
        <v>4</v>
      </c>
      <c r="G101" s="1">
        <v>1</v>
      </c>
      <c r="H101" s="1" t="s">
        <v>8</v>
      </c>
      <c r="I101" s="5" t="str">
        <f>IF(IF(Table4424666569[[#This Row],[Pre or Post]]="Pre",1,0)+IF(ISNUMBER(Table4424666569[[#This Row],[Response]])=TRUE,1,0)=2,1,"")</f>
        <v/>
      </c>
      <c r="J101" s="5">
        <f>IF(IF(Table4424666569[[#This Row],[Pre or Post]]="Post",1,0)+IF(ISNUMBER(Table4424666569[[#This Row],[Response]])=TRUE,1,0)=2,1,"")</f>
        <v>1</v>
      </c>
      <c r="K101" s="6" t="str">
        <f>IF(IF(Table4424666569[[#This Row],[Pre or Post]]="Pre",1,0)+IF(ISNUMBER(Table4424666569[[#This Row],[Response]])=TRUE,1,0)=2,Table4424666569[[#This Row],[Response]],"")</f>
        <v/>
      </c>
      <c r="L101" s="6">
        <f>IF(IF(Table4424666569[[#This Row],[Pre or Post]]="Post",1,0)+IF(ISNUMBER(Table4424666569[[#This Row],[Response]])=TRUE,1,0)=2,Table4424666569[[#This Row],[Response]],"")</f>
        <v>1</v>
      </c>
      <c r="M101" s="5" t="str">
        <f>IF(IF(ISNUMBER(K101),1,0)+IF(ISNUMBER(L102),1,0)=2,IF(IF(C102=C101,1,0)+IF(B102=B101,1,0)+IF(D102="Post",1,0)+IF(D101="Pre",1,0)=4,Table4424666569[[#This Row],[Pre Total]],""),"")</f>
        <v/>
      </c>
      <c r="N101" s="5">
        <f>IF(IF(ISNUMBER(K100),1,0)+IF(ISNUMBER(Table4424666569[[#This Row],[Post Total]]),1,0)=2,IF(IF(Table4424666569[[#This Row],[Student Number]]=C100,1,0)+IF(Table4424666569[[#This Row],[Session]]=B100,1,0)+IF(Table4424666569[[#This Row],[Pre or Post]]="Post",1,0)+IF(D100="Pre",1,0)=4,Table4424666569[[#This Row],[Post Total]],""),"")</f>
        <v>1</v>
      </c>
      <c r="O101" s="5">
        <f>IF(IF(ISNUMBER(K100),1,0)+IF(ISNUMBER(Table4424666569[[#This Row],[Post Total]]),1,0)=2,IF(IF(Table4424666569[[#This Row],[Student Number]]=C100,1,0)+IF(Table4424666569[[#This Row],[Session]]=B100,1,0)+IF(Table4424666569[[#This Row],[Pre or Post]]="Post",1,0)+IF(D100="Pre",1,0)=4,Table4424666569[[#This Row],[Post Total]]-K100,""),"")</f>
        <v>0</v>
      </c>
      <c r="P101" s="5" t="b">
        <f>ISNUMBER(Table4424666569[[#This Row],[Change]])</f>
        <v>1</v>
      </c>
      <c r="Q101" s="5">
        <f>IF(E100="Yes",Table4424666569[[#This Row],[Change]],"")</f>
        <v>0</v>
      </c>
      <c r="R101" s="5" t="str">
        <f>IF(E100="No",Table4424666569[[#This Row],[Change]],"")</f>
        <v/>
      </c>
      <c r="S101" s="5" t="b">
        <f>ISNUMBER(Table4424666569[[#This Row],[If Pre3 Yes]])</f>
        <v>1</v>
      </c>
      <c r="T101" s="5" t="b">
        <f>ISNUMBER(Table4424666569[[#This Row],[If Pre3 No]])</f>
        <v>0</v>
      </c>
    </row>
    <row r="102" spans="1:20">
      <c r="A102" s="1" t="s">
        <v>12</v>
      </c>
      <c r="B102" s="1" t="s">
        <v>10</v>
      </c>
      <c r="C102" s="1">
        <v>16</v>
      </c>
      <c r="D102" s="1" t="s">
        <v>6</v>
      </c>
      <c r="E102" s="5" t="s">
        <v>8</v>
      </c>
      <c r="F102" s="2">
        <v>11</v>
      </c>
      <c r="G102" s="2">
        <v>3</v>
      </c>
      <c r="H102" s="1" t="s">
        <v>8</v>
      </c>
      <c r="I102" s="5">
        <f>IF(IF(Table4424666569[[#This Row],[Pre or Post]]="Pre",1,0)+IF(ISNUMBER(Table4424666569[[#This Row],[Response]])=TRUE,1,0)=2,1,"")</f>
        <v>1</v>
      </c>
      <c r="J102" s="5" t="str">
        <f>IF(IF(Table4424666569[[#This Row],[Pre or Post]]="Post",1,0)+IF(ISNUMBER(Table4424666569[[#This Row],[Response]])=TRUE,1,0)=2,1,"")</f>
        <v/>
      </c>
      <c r="K102" s="6">
        <f>IF(IF(Table4424666569[[#This Row],[Pre or Post]]="Pre",1,0)+IF(ISNUMBER(Table4424666569[[#This Row],[Response]])=TRUE,1,0)=2,Table4424666569[[#This Row],[Response]],"")</f>
        <v>3</v>
      </c>
      <c r="L102" s="6" t="str">
        <f>IF(IF(Table4424666569[[#This Row],[Pre or Post]]="Post",1,0)+IF(ISNUMBER(Table4424666569[[#This Row],[Response]])=TRUE,1,0)=2,Table4424666569[[#This Row],[Response]],"")</f>
        <v/>
      </c>
      <c r="M102" s="5">
        <f>IF(IF(ISNUMBER(K102),1,0)+IF(ISNUMBER(L103),1,0)=2,IF(IF(C103=C102,1,0)+IF(B103=B102,1,0)+IF(D103="Post",1,0)+IF(D102="Pre",1,0)=4,Table4424666569[[#This Row],[Pre Total]],""),"")</f>
        <v>3</v>
      </c>
      <c r="N102" s="5" t="str">
        <f>IF(IF(ISNUMBER(K101),1,0)+IF(ISNUMBER(Table4424666569[[#This Row],[Post Total]]),1,0)=2,IF(IF(Table4424666569[[#This Row],[Student Number]]=C101,1,0)+IF(Table4424666569[[#This Row],[Session]]=B101,1,0)+IF(Table4424666569[[#This Row],[Pre or Post]]="Post",1,0)+IF(D101="Pre",1,0)=4,Table4424666569[[#This Row],[Post Total]],""),"")</f>
        <v/>
      </c>
      <c r="O102" s="5" t="str">
        <f>IF(IF(ISNUMBER(K101),1,0)+IF(ISNUMBER(Table4424666569[[#This Row],[Post Total]]),1,0)=2,IF(IF(Table4424666569[[#This Row],[Student Number]]=C101,1,0)+IF(Table4424666569[[#This Row],[Session]]=B101,1,0)+IF(Table4424666569[[#This Row],[Pre or Post]]="Post",1,0)+IF(D101="Pre",1,0)=4,Table4424666569[[#This Row],[Post Total]]-K101,""),"")</f>
        <v/>
      </c>
      <c r="P102" s="5" t="b">
        <f>ISNUMBER(Table4424666569[[#This Row],[Change]])</f>
        <v>0</v>
      </c>
      <c r="Q102" s="5" t="str">
        <f>IF(E101="Yes",Table4424666569[[#This Row],[Change]],"")</f>
        <v/>
      </c>
      <c r="R102" s="5" t="str">
        <f>IF(E101="No",Table4424666569[[#This Row],[Change]],"")</f>
        <v/>
      </c>
      <c r="S102" s="5" t="b">
        <f>ISNUMBER(Table4424666569[[#This Row],[If Pre3 Yes]])</f>
        <v>0</v>
      </c>
      <c r="T102" s="5" t="b">
        <f>ISNUMBER(Table4424666569[[#This Row],[If Pre3 No]])</f>
        <v>0</v>
      </c>
    </row>
    <row r="103" spans="1:20">
      <c r="A103" s="1" t="s">
        <v>12</v>
      </c>
      <c r="B103" s="1" t="s">
        <v>10</v>
      </c>
      <c r="C103" s="1">
        <v>16</v>
      </c>
      <c r="D103" s="1" t="s">
        <v>16</v>
      </c>
      <c r="E103" s="5" t="s">
        <v>171</v>
      </c>
      <c r="F103" s="1">
        <v>4</v>
      </c>
      <c r="G103" s="1">
        <v>4</v>
      </c>
      <c r="H103" s="1" t="s">
        <v>8</v>
      </c>
      <c r="I103" s="6" t="str">
        <f>IF(IF(Table4424666569[[#This Row],[Pre or Post]]="Pre",1,0)+IF(ISNUMBER(Table4424666569[[#This Row],[Response]])=TRUE,1,0)=2,1,"")</f>
        <v/>
      </c>
      <c r="J103" s="6">
        <f>IF(IF(Table4424666569[[#This Row],[Pre or Post]]="Post",1,0)+IF(ISNUMBER(Table4424666569[[#This Row],[Response]])=TRUE,1,0)=2,1,"")</f>
        <v>1</v>
      </c>
      <c r="K103" s="6" t="str">
        <f>IF(IF(Table4424666569[[#This Row],[Pre or Post]]="Pre",1,0)+IF(ISNUMBER(Table4424666569[[#This Row],[Response]])=TRUE,1,0)=2,Table4424666569[[#This Row],[Response]],"")</f>
        <v/>
      </c>
      <c r="L103" s="6">
        <f>IF(IF(Table4424666569[[#This Row],[Pre or Post]]="Post",1,0)+IF(ISNUMBER(Table4424666569[[#This Row],[Response]])=TRUE,1,0)=2,Table4424666569[[#This Row],[Response]],"")</f>
        <v>4</v>
      </c>
      <c r="M103" s="6" t="str">
        <f>IF(IF(ISNUMBER(K103),1,0)+IF(ISNUMBER(L104),1,0)=2,IF(IF(C104=C103,1,0)+IF(B104=B103,1,0)+IF(D104="Post",1,0)+IF(D103="Pre",1,0)=4,Table4424666569[[#This Row],[Pre Total]],""),"")</f>
        <v/>
      </c>
      <c r="N103" s="6">
        <f>IF(IF(ISNUMBER(K102),1,0)+IF(ISNUMBER(Table4424666569[[#This Row],[Post Total]]),1,0)=2,IF(IF(Table4424666569[[#This Row],[Student Number]]=C102,1,0)+IF(Table4424666569[[#This Row],[Session]]=B102,1,0)+IF(Table4424666569[[#This Row],[Pre or Post]]="Post",1,0)+IF(D102="Pre",1,0)=4,Table4424666569[[#This Row],[Post Total]],""),"")</f>
        <v>4</v>
      </c>
      <c r="O103" s="6">
        <f>IF(IF(ISNUMBER(K102),1,0)+IF(ISNUMBER(Table4424666569[[#This Row],[Post Total]]),1,0)=2,IF(IF(Table4424666569[[#This Row],[Student Number]]=C102,1,0)+IF(Table4424666569[[#This Row],[Session]]=B102,1,0)+IF(Table4424666569[[#This Row],[Pre or Post]]="Post",1,0)+IF(D102="Pre",1,0)=4,Table4424666569[[#This Row],[Post Total]]-K102,""),"")</f>
        <v>1</v>
      </c>
      <c r="P103" s="6" t="b">
        <f>ISNUMBER(Table4424666569[[#This Row],[Change]])</f>
        <v>1</v>
      </c>
      <c r="Q103" s="5">
        <f>IF(E102="Yes",Table4424666569[[#This Row],[Change]],"")</f>
        <v>1</v>
      </c>
      <c r="R103" s="5" t="str">
        <f>IF(E102="No",Table4424666569[[#This Row],[Change]],"")</f>
        <v/>
      </c>
      <c r="S103" s="5" t="b">
        <f>ISNUMBER(Table4424666569[[#This Row],[If Pre3 Yes]])</f>
        <v>1</v>
      </c>
      <c r="T103" s="5" t="b">
        <f>ISNUMBER(Table4424666569[[#This Row],[If Pre3 No]])</f>
        <v>0</v>
      </c>
    </row>
    <row r="104" spans="1:20">
      <c r="A104" s="1" t="s">
        <v>12</v>
      </c>
      <c r="B104" s="1" t="s">
        <v>10</v>
      </c>
      <c r="C104" s="1">
        <v>17</v>
      </c>
      <c r="D104" s="1" t="s">
        <v>6</v>
      </c>
      <c r="E104" s="5" t="s">
        <v>8</v>
      </c>
      <c r="F104" s="1">
        <v>11</v>
      </c>
      <c r="G104" s="1">
        <v>4</v>
      </c>
      <c r="H104" s="1" t="s">
        <v>8</v>
      </c>
      <c r="I104" s="5">
        <f>IF(IF(Table4424666569[[#This Row],[Pre or Post]]="Pre",1,0)+IF(ISNUMBER(Table4424666569[[#This Row],[Response]])=TRUE,1,0)=2,1,"")</f>
        <v>1</v>
      </c>
      <c r="J104" s="5" t="str">
        <f>IF(IF(Table4424666569[[#This Row],[Pre or Post]]="Post",1,0)+IF(ISNUMBER(Table4424666569[[#This Row],[Response]])=TRUE,1,0)=2,1,"")</f>
        <v/>
      </c>
      <c r="K104" s="6">
        <f>IF(IF(Table4424666569[[#This Row],[Pre or Post]]="Pre",1,0)+IF(ISNUMBER(Table4424666569[[#This Row],[Response]])=TRUE,1,0)=2,Table4424666569[[#This Row],[Response]],"")</f>
        <v>4</v>
      </c>
      <c r="L104" s="6" t="str">
        <f>IF(IF(Table4424666569[[#This Row],[Pre or Post]]="Post",1,0)+IF(ISNUMBER(Table4424666569[[#This Row],[Response]])=TRUE,1,0)=2,Table4424666569[[#This Row],[Response]],"")</f>
        <v/>
      </c>
      <c r="M104" s="5">
        <f>IF(IF(ISNUMBER(K104),1,0)+IF(ISNUMBER(L105),1,0)=2,IF(IF(C105=C104,1,0)+IF(B105=B104,1,0)+IF(D105="Post",1,0)+IF(D104="Pre",1,0)=4,Table4424666569[[#This Row],[Pre Total]],""),"")</f>
        <v>4</v>
      </c>
      <c r="N104" s="5" t="str">
        <f>IF(IF(ISNUMBER(K103),1,0)+IF(ISNUMBER(Table4424666569[[#This Row],[Post Total]]),1,0)=2,IF(IF(Table4424666569[[#This Row],[Student Number]]=C103,1,0)+IF(Table4424666569[[#This Row],[Session]]=B103,1,0)+IF(Table4424666569[[#This Row],[Pre or Post]]="Post",1,0)+IF(D103="Pre",1,0)=4,Table4424666569[[#This Row],[Post Total]],""),"")</f>
        <v/>
      </c>
      <c r="O104" s="5" t="str">
        <f>IF(IF(ISNUMBER(K103),1,0)+IF(ISNUMBER(Table4424666569[[#This Row],[Post Total]]),1,0)=2,IF(IF(Table4424666569[[#This Row],[Student Number]]=C103,1,0)+IF(Table4424666569[[#This Row],[Session]]=B103,1,0)+IF(Table4424666569[[#This Row],[Pre or Post]]="Post",1,0)+IF(D103="Pre",1,0)=4,Table4424666569[[#This Row],[Post Total]]-K103,""),"")</f>
        <v/>
      </c>
      <c r="P104" s="5" t="b">
        <f>ISNUMBER(Table4424666569[[#This Row],[Change]])</f>
        <v>0</v>
      </c>
      <c r="Q104" s="5" t="str">
        <f>IF(E103="Yes",Table4424666569[[#This Row],[Change]],"")</f>
        <v/>
      </c>
      <c r="R104" s="5" t="str">
        <f>IF(E103="No",Table4424666569[[#This Row],[Change]],"")</f>
        <v/>
      </c>
      <c r="S104" s="5" t="b">
        <f>ISNUMBER(Table4424666569[[#This Row],[If Pre3 Yes]])</f>
        <v>0</v>
      </c>
      <c r="T104" s="5" t="b">
        <f>ISNUMBER(Table4424666569[[#This Row],[If Pre3 No]])</f>
        <v>0</v>
      </c>
    </row>
    <row r="105" spans="1:20">
      <c r="A105" s="1" t="s">
        <v>12</v>
      </c>
      <c r="B105" s="1" t="s">
        <v>10</v>
      </c>
      <c r="C105" s="1">
        <v>17</v>
      </c>
      <c r="D105" s="1" t="s">
        <v>16</v>
      </c>
      <c r="E105" s="5" t="s">
        <v>171</v>
      </c>
      <c r="F105" s="1">
        <v>4</v>
      </c>
      <c r="G105" s="1">
        <v>4</v>
      </c>
      <c r="H105" s="1" t="s">
        <v>8</v>
      </c>
      <c r="I105" s="5" t="str">
        <f>IF(IF(Table4424666569[[#This Row],[Pre or Post]]="Pre",1,0)+IF(ISNUMBER(Table4424666569[[#This Row],[Response]])=TRUE,1,0)=2,1,"")</f>
        <v/>
      </c>
      <c r="J105" s="5">
        <f>IF(IF(Table4424666569[[#This Row],[Pre or Post]]="Post",1,0)+IF(ISNUMBER(Table4424666569[[#This Row],[Response]])=TRUE,1,0)=2,1,"")</f>
        <v>1</v>
      </c>
      <c r="K105" s="6" t="str">
        <f>IF(IF(Table4424666569[[#This Row],[Pre or Post]]="Pre",1,0)+IF(ISNUMBER(Table4424666569[[#This Row],[Response]])=TRUE,1,0)=2,Table4424666569[[#This Row],[Response]],"")</f>
        <v/>
      </c>
      <c r="L105" s="6">
        <f>IF(IF(Table4424666569[[#This Row],[Pre or Post]]="Post",1,0)+IF(ISNUMBER(Table4424666569[[#This Row],[Response]])=TRUE,1,0)=2,Table4424666569[[#This Row],[Response]],"")</f>
        <v>4</v>
      </c>
      <c r="M105" s="5" t="str">
        <f>IF(IF(ISNUMBER(K105),1,0)+IF(ISNUMBER(L106),1,0)=2,IF(IF(C106=C105,1,0)+IF(B106=B105,1,0)+IF(D106="Post",1,0)+IF(D105="Pre",1,0)=4,Table4424666569[[#This Row],[Pre Total]],""),"")</f>
        <v/>
      </c>
      <c r="N105" s="5">
        <f>IF(IF(ISNUMBER(K104),1,0)+IF(ISNUMBER(Table4424666569[[#This Row],[Post Total]]),1,0)=2,IF(IF(Table4424666569[[#This Row],[Student Number]]=C104,1,0)+IF(Table4424666569[[#This Row],[Session]]=B104,1,0)+IF(Table4424666569[[#This Row],[Pre or Post]]="Post",1,0)+IF(D104="Pre",1,0)=4,Table4424666569[[#This Row],[Post Total]],""),"")</f>
        <v>4</v>
      </c>
      <c r="O105" s="5">
        <f>IF(IF(ISNUMBER(K104),1,0)+IF(ISNUMBER(Table4424666569[[#This Row],[Post Total]]),1,0)=2,IF(IF(Table4424666569[[#This Row],[Student Number]]=C104,1,0)+IF(Table4424666569[[#This Row],[Session]]=B104,1,0)+IF(Table4424666569[[#This Row],[Pre or Post]]="Post",1,0)+IF(D104="Pre",1,0)=4,Table4424666569[[#This Row],[Post Total]]-K104,""),"")</f>
        <v>0</v>
      </c>
      <c r="P105" s="5" t="b">
        <f>ISNUMBER(Table4424666569[[#This Row],[Change]])</f>
        <v>1</v>
      </c>
      <c r="Q105" s="5">
        <f>IF(E104="Yes",Table4424666569[[#This Row],[Change]],"")</f>
        <v>0</v>
      </c>
      <c r="R105" s="5" t="str">
        <f>IF(E104="No",Table4424666569[[#This Row],[Change]],"")</f>
        <v/>
      </c>
      <c r="S105" s="5" t="b">
        <f>ISNUMBER(Table4424666569[[#This Row],[If Pre3 Yes]])</f>
        <v>1</v>
      </c>
      <c r="T105" s="5" t="b">
        <f>ISNUMBER(Table4424666569[[#This Row],[If Pre3 No]])</f>
        <v>0</v>
      </c>
    </row>
    <row r="106" spans="1:20">
      <c r="A106" s="1" t="s">
        <v>12</v>
      </c>
      <c r="B106" s="1" t="s">
        <v>10</v>
      </c>
      <c r="C106" s="1">
        <v>18</v>
      </c>
      <c r="D106" s="1" t="s">
        <v>16</v>
      </c>
      <c r="E106" s="5"/>
      <c r="F106" s="1">
        <v>4</v>
      </c>
      <c r="G106" s="1">
        <v>3</v>
      </c>
      <c r="H106" s="1" t="s">
        <v>9</v>
      </c>
      <c r="I106" s="5" t="str">
        <f>IF(IF(Table4424666569[[#This Row],[Pre or Post]]="Pre",1,0)+IF(ISNUMBER(Table4424666569[[#This Row],[Response]])=TRUE,1,0)=2,1,"")</f>
        <v/>
      </c>
      <c r="J106" s="5">
        <f>IF(IF(Table4424666569[[#This Row],[Pre or Post]]="Post",1,0)+IF(ISNUMBER(Table4424666569[[#This Row],[Response]])=TRUE,1,0)=2,1,"")</f>
        <v>1</v>
      </c>
      <c r="K106" s="6" t="str">
        <f>IF(IF(Table4424666569[[#This Row],[Pre or Post]]="Pre",1,0)+IF(ISNUMBER(Table4424666569[[#This Row],[Response]])=TRUE,1,0)=2,Table4424666569[[#This Row],[Response]],"")</f>
        <v/>
      </c>
      <c r="L106" s="6">
        <f>IF(IF(Table4424666569[[#This Row],[Pre or Post]]="Post",1,0)+IF(ISNUMBER(Table4424666569[[#This Row],[Response]])=TRUE,1,0)=2,Table4424666569[[#This Row],[Response]],"")</f>
        <v>3</v>
      </c>
      <c r="M106" s="5" t="str">
        <f>IF(IF(ISNUMBER(K106),1,0)+IF(ISNUMBER(L107),1,0)=2,IF(IF(C107=C106,1,0)+IF(B107=B106,1,0)+IF(D107="Post",1,0)+IF(D106="Pre",1,0)=4,Table4424666569[[#This Row],[Pre Total]],""),"")</f>
        <v/>
      </c>
      <c r="N106" s="5" t="str">
        <f>IF(IF(ISNUMBER(K105),1,0)+IF(ISNUMBER(Table4424666569[[#This Row],[Post Total]]),1,0)=2,IF(IF(Table4424666569[[#This Row],[Student Number]]=C105,1,0)+IF(Table4424666569[[#This Row],[Session]]=B105,1,0)+IF(Table4424666569[[#This Row],[Pre or Post]]="Post",1,0)+IF(D105="Pre",1,0)=4,Table4424666569[[#This Row],[Post Total]],""),"")</f>
        <v/>
      </c>
      <c r="O106" s="5" t="str">
        <f>IF(IF(ISNUMBER(K105),1,0)+IF(ISNUMBER(Table4424666569[[#This Row],[Post Total]]),1,0)=2,IF(IF(Table4424666569[[#This Row],[Student Number]]=C105,1,0)+IF(Table4424666569[[#This Row],[Session]]=B105,1,0)+IF(Table4424666569[[#This Row],[Pre or Post]]="Post",1,0)+IF(D105="Pre",1,0)=4,Table4424666569[[#This Row],[Post Total]]-K105,""),"")</f>
        <v/>
      </c>
      <c r="P106" s="5" t="b">
        <f>ISNUMBER(Table4424666569[[#This Row],[Change]])</f>
        <v>0</v>
      </c>
      <c r="Q106" s="5" t="str">
        <f>IF(E105="Yes",Table4424666569[[#This Row],[Change]],"")</f>
        <v/>
      </c>
      <c r="R106" s="5" t="str">
        <f>IF(E105="No",Table4424666569[[#This Row],[Change]],"")</f>
        <v/>
      </c>
      <c r="S106" s="5" t="b">
        <f>ISNUMBER(Table4424666569[[#This Row],[If Pre3 Yes]])</f>
        <v>0</v>
      </c>
      <c r="T106" s="5" t="b">
        <f>ISNUMBER(Table4424666569[[#This Row],[If Pre3 No]])</f>
        <v>0</v>
      </c>
    </row>
    <row r="107" spans="1:20">
      <c r="A107" s="2"/>
      <c r="B107" s="2"/>
      <c r="C107" s="2"/>
      <c r="D107" s="2"/>
      <c r="E107" s="2"/>
      <c r="F107" s="2"/>
      <c r="G107" s="2"/>
      <c r="H107" s="2"/>
      <c r="I107" s="6">
        <f>SUM([Pre Answers])</f>
        <v>40</v>
      </c>
      <c r="J107" s="6">
        <f>SUM([Post Answers])</f>
        <v>65</v>
      </c>
      <c r="K107" s="2">
        <f>SUM([Pre Total])</f>
        <v>106</v>
      </c>
      <c r="L107" s="2">
        <f>SUM([Post Total])</f>
        <v>211</v>
      </c>
      <c r="M107" s="2">
        <f>SUM([Pre Total (Pooled)])</f>
        <v>106</v>
      </c>
      <c r="N107" s="2">
        <f>SUM([Post Total (Pooled)])</f>
        <v>135</v>
      </c>
      <c r="O107" s="2">
        <f>SUM([Change])</f>
        <v>29</v>
      </c>
      <c r="P107" s="2">
        <f>COUNTIF([Number 2 Resp],TRUE)</f>
        <v>40</v>
      </c>
      <c r="Q107" s="2">
        <f>SUM([If Pre3 Yes])</f>
        <v>29</v>
      </c>
      <c r="R107" s="2">
        <f>SUM([If Pre3 No])</f>
        <v>0</v>
      </c>
      <c r="S107" s="2">
        <f>COUNTIF([Pre3 Yes Answers],"TRUE")</f>
        <v>38</v>
      </c>
      <c r="T107" s="2">
        <f>COUNTIF([Pre3 No Answers],"TRUE")</f>
        <v>2</v>
      </c>
    </row>
    <row r="108" spans="1:20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1" t="s">
        <v>175</v>
      </c>
    </row>
    <row r="110" spans="1:20" ht="30">
      <c r="A110" s="16" t="s">
        <v>191</v>
      </c>
      <c r="B110" s="16" t="s">
        <v>36</v>
      </c>
      <c r="C110" s="16" t="s">
        <v>37</v>
      </c>
      <c r="D110" s="16" t="s">
        <v>68</v>
      </c>
      <c r="E110" s="16" t="s">
        <v>69</v>
      </c>
      <c r="F110" s="16"/>
      <c r="G110" s="16"/>
      <c r="H110" s="16"/>
      <c r="I110" s="16"/>
      <c r="J110" s="16"/>
      <c r="K110" s="16"/>
    </row>
    <row r="111" spans="1:20">
      <c r="A111" s="1" t="s">
        <v>8</v>
      </c>
      <c r="B111" s="1">
        <f>COUNTIF(Table4424666569[Pre3 Yes or No],"Yes")</f>
        <v>38</v>
      </c>
      <c r="C111" s="1">
        <f>Table4424666569[[#Totals],[Pre3 Yes Answers]]</f>
        <v>38</v>
      </c>
      <c r="D111" s="1">
        <f>Table4424666569[[#Totals],[If Pre3 Yes]]/Table51225676870[[#This Row],[Total Answers]]</f>
        <v>0.76315789473684215</v>
      </c>
      <c r="E111" s="1">
        <f>STDEV(Table4424666569[If Pre3 Yes])</f>
        <v>1.3035131433690987</v>
      </c>
    </row>
    <row r="112" spans="1:20">
      <c r="A112" s="1" t="s">
        <v>9</v>
      </c>
      <c r="B112" s="1">
        <f>COUNTIF(Table4424666569[Pre3 Yes or No],"No")</f>
        <v>2</v>
      </c>
      <c r="C112" s="1">
        <f>Table4424666569[[#Totals],[Pre3 No Answers]]</f>
        <v>2</v>
      </c>
      <c r="D112" s="1">
        <f>Table4424666569[[#Totals],[If Pre3 No]]/Table51225676870[[#This Row],[Total Answers]]</f>
        <v>0</v>
      </c>
      <c r="E112" s="1">
        <f>STDEV(Table4424666569[If Pre3 No])</f>
        <v>2.8284271247461903</v>
      </c>
    </row>
    <row r="116" spans="1:5">
      <c r="A116"/>
      <c r="B116" s="16"/>
      <c r="C116" s="16"/>
      <c r="D116" s="16"/>
      <c r="E116" s="16"/>
    </row>
    <row r="117" spans="1:5">
      <c r="A117"/>
      <c r="D117" s="5"/>
    </row>
    <row r="118" spans="1:5">
      <c r="A118"/>
      <c r="D118" s="5"/>
    </row>
  </sheetData>
  <conditionalFormatting sqref="C116 F109 F113:F153 G107:G108 G2:H106">
    <cfRule type="cellIs" dxfId="293" priority="3" operator="equal">
      <formula>"No"</formula>
    </cfRule>
    <cfRule type="cellIs" dxfId="292" priority="4" operator="equal">
      <formula>"Yes"</formula>
    </cfRule>
  </conditionalFormatting>
  <conditionalFormatting sqref="G109 G113:G153 F110:F112 H2:H108">
    <cfRule type="cellIs" dxfId="291" priority="1" operator="equal">
      <formula>"Yes"</formula>
    </cfRule>
    <cfRule type="cellIs" dxfId="290" priority="2" operator="equal">
      <formula>"No"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F23"/>
  <sheetViews>
    <sheetView workbookViewId="0">
      <selection activeCell="G32" sqref="G32"/>
    </sheetView>
  </sheetViews>
  <sheetFormatPr defaultRowHeight="15"/>
  <cols>
    <col min="1" max="1" width="9.7109375" bestFit="1" customWidth="1"/>
    <col min="2" max="3" width="10.140625" bestFit="1" customWidth="1"/>
    <col min="4" max="4" width="10.85546875" bestFit="1" customWidth="1"/>
    <col min="5" max="5" width="12.7109375" bestFit="1" customWidth="1"/>
    <col min="6" max="6" width="12" bestFit="1" customWidth="1"/>
  </cols>
  <sheetData>
    <row r="1" spans="1:6" ht="45">
      <c r="A1" s="16" t="s">
        <v>180</v>
      </c>
      <c r="B1" s="16" t="s">
        <v>186</v>
      </c>
      <c r="C1" s="16" t="s">
        <v>36</v>
      </c>
      <c r="D1" s="16" t="s">
        <v>37</v>
      </c>
      <c r="E1" s="16" t="s">
        <v>68</v>
      </c>
      <c r="F1" s="16" t="s">
        <v>69</v>
      </c>
    </row>
    <row r="2" spans="1:6">
      <c r="A2" s="1" t="s">
        <v>24</v>
      </c>
      <c r="B2" s="1" t="s">
        <v>8</v>
      </c>
      <c r="C2" s="1">
        <v>50</v>
      </c>
      <c r="D2" s="1">
        <v>48</v>
      </c>
      <c r="E2" s="1">
        <v>1.1458333333333333</v>
      </c>
      <c r="F2" s="1">
        <v>1.3836366411055792</v>
      </c>
    </row>
    <row r="3" spans="1:6">
      <c r="A3" s="1" t="s">
        <v>24</v>
      </c>
      <c r="B3" s="1" t="s">
        <v>9</v>
      </c>
      <c r="C3" s="1">
        <v>11</v>
      </c>
      <c r="D3" s="1">
        <v>10</v>
      </c>
      <c r="E3" s="1">
        <v>1.1000000000000001</v>
      </c>
      <c r="F3" s="1">
        <v>1.1972189997378648</v>
      </c>
    </row>
    <row r="4" spans="1:6">
      <c r="A4" s="2" t="s">
        <v>12</v>
      </c>
      <c r="B4" s="1" t="s">
        <v>8</v>
      </c>
      <c r="C4" s="1">
        <v>38</v>
      </c>
      <c r="D4" s="1">
        <v>38</v>
      </c>
      <c r="E4" s="1">
        <v>0.76315789473684215</v>
      </c>
      <c r="F4" s="1">
        <v>1.3035131433690987</v>
      </c>
    </row>
    <row r="5" spans="1:6">
      <c r="A5" s="2" t="s">
        <v>12</v>
      </c>
      <c r="B5" s="1" t="s">
        <v>9</v>
      </c>
      <c r="C5" s="1">
        <v>2</v>
      </c>
      <c r="D5" s="1">
        <v>2</v>
      </c>
      <c r="E5" s="1">
        <v>0</v>
      </c>
      <c r="F5" s="1">
        <v>2.8284271247461903</v>
      </c>
    </row>
    <row r="6" spans="1:6">
      <c r="A6" s="1"/>
      <c r="B6" s="1"/>
      <c r="C6" s="1"/>
      <c r="D6" s="1"/>
      <c r="E6" s="1"/>
    </row>
    <row r="7" spans="1:6">
      <c r="A7" s="1" t="s">
        <v>181</v>
      </c>
      <c r="B7" s="1"/>
      <c r="C7" s="1"/>
      <c r="D7" s="1"/>
      <c r="E7" s="1"/>
    </row>
    <row r="8" spans="1:6">
      <c r="A8" t="s">
        <v>192</v>
      </c>
    </row>
    <row r="9" spans="1:6">
      <c r="A9" s="3" t="s">
        <v>24</v>
      </c>
      <c r="B9" s="3" t="s">
        <v>8</v>
      </c>
      <c r="C9" s="3">
        <v>50</v>
      </c>
      <c r="D9" s="3">
        <v>48</v>
      </c>
      <c r="E9" s="3">
        <v>1.1458333333333333</v>
      </c>
      <c r="F9" s="20">
        <v>1.3836366411055792</v>
      </c>
    </row>
    <row r="10" spans="1:6">
      <c r="A10" s="3" t="s">
        <v>12</v>
      </c>
      <c r="B10" s="3" t="s">
        <v>8</v>
      </c>
      <c r="C10" s="3">
        <v>38</v>
      </c>
      <c r="D10" s="3">
        <v>38</v>
      </c>
      <c r="E10" s="3">
        <v>0.76315789473684215</v>
      </c>
      <c r="F10" s="20">
        <v>1.3035131433690987</v>
      </c>
    </row>
    <row r="11" spans="1:6">
      <c r="A11" t="s">
        <v>196</v>
      </c>
    </row>
    <row r="12" spans="1:6">
      <c r="A12" t="s">
        <v>193</v>
      </c>
    </row>
    <row r="13" spans="1:6">
      <c r="A13" s="21" t="s">
        <v>24</v>
      </c>
      <c r="B13" s="21" t="s">
        <v>9</v>
      </c>
      <c r="C13" s="21">
        <v>11</v>
      </c>
      <c r="D13" s="21">
        <v>10</v>
      </c>
      <c r="E13" s="21">
        <v>1.1000000000000001</v>
      </c>
      <c r="F13" s="22">
        <v>1.1972189997378648</v>
      </c>
    </row>
    <row r="14" spans="1:6">
      <c r="A14" s="23" t="s">
        <v>12</v>
      </c>
      <c r="B14" s="23" t="s">
        <v>9</v>
      </c>
      <c r="C14" s="23">
        <v>2</v>
      </c>
      <c r="D14" s="23">
        <v>2</v>
      </c>
      <c r="E14" s="23">
        <v>0</v>
      </c>
      <c r="F14" s="24">
        <v>2.8284271247461903</v>
      </c>
    </row>
    <row r="15" spans="1:6">
      <c r="A15" t="s">
        <v>197</v>
      </c>
    </row>
    <row r="16" spans="1:6">
      <c r="A16" t="s">
        <v>194</v>
      </c>
    </row>
    <row r="17" spans="1:6">
      <c r="A17" s="3" t="s">
        <v>24</v>
      </c>
      <c r="B17" s="3" t="s">
        <v>8</v>
      </c>
      <c r="C17" s="3">
        <v>50</v>
      </c>
      <c r="D17" s="3">
        <v>48</v>
      </c>
      <c r="E17" s="3">
        <v>1.1458333333333333</v>
      </c>
      <c r="F17" s="20">
        <v>1.3836366411055792</v>
      </c>
    </row>
    <row r="18" spans="1:6">
      <c r="A18" s="26" t="s">
        <v>24</v>
      </c>
      <c r="B18" s="26" t="s">
        <v>9</v>
      </c>
      <c r="C18" s="26">
        <v>11</v>
      </c>
      <c r="D18" s="26">
        <v>10</v>
      </c>
      <c r="E18" s="26">
        <v>1.1000000000000001</v>
      </c>
      <c r="F18" s="27">
        <v>1.1972189997378648</v>
      </c>
    </row>
    <row r="19" spans="1:6">
      <c r="A19" t="s">
        <v>198</v>
      </c>
    </row>
    <row r="20" spans="1:6">
      <c r="A20" t="s">
        <v>195</v>
      </c>
    </row>
    <row r="21" spans="1:6">
      <c r="A21" s="3" t="s">
        <v>12</v>
      </c>
      <c r="B21" s="3" t="s">
        <v>8</v>
      </c>
      <c r="C21" s="3">
        <v>38</v>
      </c>
      <c r="D21" s="3">
        <v>38</v>
      </c>
      <c r="E21" s="3">
        <v>0.76315789473684215</v>
      </c>
      <c r="F21" s="20">
        <v>1.3035131433690987</v>
      </c>
    </row>
    <row r="22" spans="1:6">
      <c r="A22" s="4" t="s">
        <v>12</v>
      </c>
      <c r="B22" s="4" t="s">
        <v>9</v>
      </c>
      <c r="C22" s="4">
        <v>2</v>
      </c>
      <c r="D22" s="4">
        <v>2</v>
      </c>
      <c r="E22" s="4">
        <v>0</v>
      </c>
      <c r="F22" s="25">
        <v>2.8284271247461903</v>
      </c>
    </row>
    <row r="23" spans="1:6">
      <c r="A23" t="s">
        <v>197</v>
      </c>
    </row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/>
  </sheetPr>
  <dimension ref="A1:T170"/>
  <sheetViews>
    <sheetView topLeftCell="E1" workbookViewId="0">
      <pane ySplit="1" topLeftCell="A2" activePane="bottomLeft" state="frozen"/>
      <selection pane="bottomLeft" activeCell="I9" sqref="I9"/>
    </sheetView>
  </sheetViews>
  <sheetFormatPr defaultColWidth="16.7109375" defaultRowHeight="15"/>
  <cols>
    <col min="1" max="16384" width="16.7109375" style="1"/>
  </cols>
  <sheetData>
    <row r="1" spans="1:20">
      <c r="A1" s="1" t="s">
        <v>11</v>
      </c>
      <c r="B1" s="1" t="s">
        <v>0</v>
      </c>
      <c r="C1" s="1" t="s">
        <v>1</v>
      </c>
      <c r="D1" s="1" t="s">
        <v>4</v>
      </c>
      <c r="E1" s="1" t="s">
        <v>201</v>
      </c>
      <c r="F1" s="1" t="s">
        <v>2</v>
      </c>
      <c r="G1" s="1" t="s">
        <v>3</v>
      </c>
      <c r="H1" s="1" t="s">
        <v>20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88</v>
      </c>
      <c r="N1" s="1" t="s">
        <v>89</v>
      </c>
      <c r="O1" s="1" t="s">
        <v>72</v>
      </c>
      <c r="P1" s="1" t="s">
        <v>83</v>
      </c>
      <c r="Q1" s="19" t="s">
        <v>199</v>
      </c>
      <c r="R1" s="19" t="s">
        <v>200</v>
      </c>
      <c r="S1" s="19" t="s">
        <v>202</v>
      </c>
      <c r="T1" s="19" t="s">
        <v>203</v>
      </c>
    </row>
    <row r="2" spans="1:20">
      <c r="A2" s="2" t="s">
        <v>24</v>
      </c>
      <c r="B2" s="2" t="s">
        <v>30</v>
      </c>
      <c r="C2" s="1">
        <v>1</v>
      </c>
      <c r="D2" s="2" t="s">
        <v>16</v>
      </c>
      <c r="E2" s="6"/>
      <c r="F2" s="1">
        <v>2</v>
      </c>
      <c r="G2" s="2">
        <v>4</v>
      </c>
      <c r="H2" s="2" t="s">
        <v>9</v>
      </c>
      <c r="I2" s="5" t="str">
        <f>IF(IF(Table4424666572[[#This Row],[Pre or Post]]="Pre",1,0)+IF(ISNUMBER(Table4424666572[[#This Row],[Response]])=TRUE,1,0)=2,1,"")</f>
        <v/>
      </c>
      <c r="J2" s="5">
        <f>IF(IF(Table4424666572[[#This Row],[Pre or Post]]="Post",1,0)+IF(ISNUMBER(Table4424666572[[#This Row],[Response]])=TRUE,1,0)=2,1,"")</f>
        <v>1</v>
      </c>
      <c r="K2" s="6" t="str">
        <f>IF(IF(Table4424666572[[#This Row],[Pre or Post]]="Pre",1,0)+IF(ISNUMBER(Table4424666572[[#This Row],[Response]])=TRUE,1,0)=2,Table4424666572[[#This Row],[Response]],"")</f>
        <v/>
      </c>
      <c r="L2" s="6">
        <f>IF(IF(Table4424666572[[#This Row],[Pre or Post]]="Post",1,0)+IF(ISNUMBER(Table4424666572[[#This Row],[Response]])=TRUE,1,0)=2,Table4424666572[[#This Row],[Response]],"")</f>
        <v>4</v>
      </c>
      <c r="M2" s="5" t="str">
        <f>IF(IF(ISNUMBER(K2),1,0)+IF(ISNUMBER(L3),1,0)=2,IF(IF(C3=C2,1,0)+IF(B3=B2,1,0)+IF(D3="Post",1,0)+IF(D2="Pre",1,0)=4,Table4424666572[[#This Row],[Pre Total]],""),"")</f>
        <v/>
      </c>
      <c r="N2" s="5" t="str">
        <f>IF(IF(ISNUMBER(K1),1,0)+IF(ISNUMBER(Table4424666572[[#This Row],[Post Total]]),1,0)=2,IF(IF(Table4424666572[[#This Row],[Student Number]]=C1,1,0)+IF(Table4424666572[[#This Row],[Session]]=B1,1,0)+IF(Table4424666572[[#This Row],[Pre or Post]]="Post",1,0)+IF(D1="Pre",1,0)=4,Table4424666572[[#This Row],[Post Total]],""),"")</f>
        <v/>
      </c>
      <c r="O2" s="5" t="str">
        <f>IF(IF(ISNUMBER(K1),1,0)+IF(ISNUMBER(Table4424666572[[#This Row],[Post Total]]),1,0)=2,IF(IF(Table4424666572[[#This Row],[Student Number]]=C1,1,0)+IF(Table4424666572[[#This Row],[Session]]=B1,1,0)+IF(Table4424666572[[#This Row],[Pre or Post]]="Post",1,0)+IF(D1="Pre",1,0)=4,Table4424666572[[#This Row],[Post Total]]-K1,""),"")</f>
        <v/>
      </c>
      <c r="P2" s="5" t="b">
        <f>ISNUMBER(Table4424666572[[#This Row],[Change]])</f>
        <v>0</v>
      </c>
      <c r="Q2" s="5" t="str">
        <f>IF(E1="Yes",Table4424666572[[#This Row],[Change]],"")</f>
        <v/>
      </c>
      <c r="R2" s="5" t="str">
        <f>IF(E1="No",Table4424666572[[#This Row],[Change]],"")</f>
        <v/>
      </c>
      <c r="S2" s="5" t="b">
        <f>ISNUMBER(Table4424666572[[#This Row],[If Pre5 Yes]])</f>
        <v>0</v>
      </c>
      <c r="T2" s="5" t="b">
        <f>ISNUMBER(Table4424666572[[#This Row],[If Pre5 No]])</f>
        <v>0</v>
      </c>
    </row>
    <row r="3" spans="1:20">
      <c r="A3" s="2" t="s">
        <v>24</v>
      </c>
      <c r="B3" s="2" t="s">
        <v>30</v>
      </c>
      <c r="C3" s="1">
        <v>2</v>
      </c>
      <c r="D3" s="2" t="s">
        <v>16</v>
      </c>
      <c r="E3" s="6"/>
      <c r="F3" s="1">
        <v>2</v>
      </c>
      <c r="G3" s="1">
        <v>4</v>
      </c>
      <c r="H3" s="2" t="s">
        <v>9</v>
      </c>
      <c r="I3" s="5" t="str">
        <f>IF(IF(Table4424666572[[#This Row],[Pre or Post]]="Pre",1,0)+IF(ISNUMBER(Table4424666572[[#This Row],[Response]])=TRUE,1,0)=2,1,"")</f>
        <v/>
      </c>
      <c r="J3" s="5">
        <f>IF(IF(Table4424666572[[#This Row],[Pre or Post]]="Post",1,0)+IF(ISNUMBER(Table4424666572[[#This Row],[Response]])=TRUE,1,0)=2,1,"")</f>
        <v>1</v>
      </c>
      <c r="K3" s="6" t="str">
        <f>IF(IF(Table4424666572[[#This Row],[Pre or Post]]="Pre",1,0)+IF(ISNUMBER(Table4424666572[[#This Row],[Response]])=TRUE,1,0)=2,Table4424666572[[#This Row],[Response]],"")</f>
        <v/>
      </c>
      <c r="L3" s="6">
        <f>IF(IF(Table4424666572[[#This Row],[Pre or Post]]="Post",1,0)+IF(ISNUMBER(Table4424666572[[#This Row],[Response]])=TRUE,1,0)=2,Table4424666572[[#This Row],[Response]],"")</f>
        <v>4</v>
      </c>
      <c r="M3" s="5" t="str">
        <f>IF(IF(ISNUMBER(K3),1,0)+IF(ISNUMBER(L4),1,0)=2,IF(IF(C4=C3,1,0)+IF(B4=B3,1,0)+IF(D4="Post",1,0)+IF(D3="Pre",1,0)=4,Table4424666572[[#This Row],[Pre Total]],""),"")</f>
        <v/>
      </c>
      <c r="N3" s="5" t="str">
        <f>IF(IF(ISNUMBER(K2),1,0)+IF(ISNUMBER(Table4424666572[[#This Row],[Post Total]]),1,0)=2,IF(IF(Table4424666572[[#This Row],[Student Number]]=C2,1,0)+IF(Table4424666572[[#This Row],[Session]]=B2,1,0)+IF(Table4424666572[[#This Row],[Pre or Post]]="Post",1,0)+IF(D2="Pre",1,0)=4,Table4424666572[[#This Row],[Post Total]],""),"")</f>
        <v/>
      </c>
      <c r="O3" s="5" t="str">
        <f>IF(IF(ISNUMBER(K2),1,0)+IF(ISNUMBER(Table4424666572[[#This Row],[Post Total]]),1,0)=2,IF(IF(Table4424666572[[#This Row],[Student Number]]=C2,1,0)+IF(Table4424666572[[#This Row],[Session]]=B2,1,0)+IF(Table4424666572[[#This Row],[Pre or Post]]="Post",1,0)+IF(D2="Pre",1,0)=4,Table4424666572[[#This Row],[Post Total]]-K2,""),"")</f>
        <v/>
      </c>
      <c r="P3" s="5" t="b">
        <f>ISNUMBER(Table4424666572[[#This Row],[Change]])</f>
        <v>0</v>
      </c>
      <c r="Q3" s="5" t="str">
        <f>IF(E2="Yes",Table4424666572[[#This Row],[Change]],"")</f>
        <v/>
      </c>
      <c r="R3" s="5" t="str">
        <f>IF(E2="No",Table4424666572[[#This Row],[Change]],"")</f>
        <v/>
      </c>
      <c r="S3" s="5" t="b">
        <f>ISNUMBER(Table4424666572[[#This Row],[If Pre5 Yes]])</f>
        <v>0</v>
      </c>
      <c r="T3" s="5" t="b">
        <f>ISNUMBER(Table4424666572[[#This Row],[If Pre5 No]])</f>
        <v>0</v>
      </c>
    </row>
    <row r="4" spans="1:20">
      <c r="A4" s="2" t="s">
        <v>24</v>
      </c>
      <c r="B4" s="2" t="s">
        <v>30</v>
      </c>
      <c r="C4" s="1">
        <v>3</v>
      </c>
      <c r="D4" s="2" t="s">
        <v>16</v>
      </c>
      <c r="E4" s="6"/>
      <c r="F4" s="1">
        <v>2</v>
      </c>
      <c r="G4" s="1">
        <v>2</v>
      </c>
      <c r="H4" s="2" t="s">
        <v>9</v>
      </c>
      <c r="I4" s="5" t="str">
        <f>IF(IF(Table4424666572[[#This Row],[Pre or Post]]="Pre",1,0)+IF(ISNUMBER(Table4424666572[[#This Row],[Response]])=TRUE,1,0)=2,1,"")</f>
        <v/>
      </c>
      <c r="J4" s="5">
        <f>IF(IF(Table4424666572[[#This Row],[Pre or Post]]="Post",1,0)+IF(ISNUMBER(Table4424666572[[#This Row],[Response]])=TRUE,1,0)=2,1,"")</f>
        <v>1</v>
      </c>
      <c r="K4" s="6" t="str">
        <f>IF(IF(Table4424666572[[#This Row],[Pre or Post]]="Pre",1,0)+IF(ISNUMBER(Table4424666572[[#This Row],[Response]])=TRUE,1,0)=2,Table4424666572[[#This Row],[Response]],"")</f>
        <v/>
      </c>
      <c r="L4" s="6">
        <f>IF(IF(Table4424666572[[#This Row],[Pre or Post]]="Post",1,0)+IF(ISNUMBER(Table4424666572[[#This Row],[Response]])=TRUE,1,0)=2,Table4424666572[[#This Row],[Response]],"")</f>
        <v>2</v>
      </c>
      <c r="M4" s="5" t="str">
        <f>IF(IF(ISNUMBER(K4),1,0)+IF(ISNUMBER(L5),1,0)=2,IF(IF(C5=C4,1,0)+IF(B5=B4,1,0)+IF(D5="Post",1,0)+IF(D4="Pre",1,0)=4,Table4424666572[[#This Row],[Pre Total]],""),"")</f>
        <v/>
      </c>
      <c r="N4" s="5" t="str">
        <f>IF(IF(ISNUMBER(K3),1,0)+IF(ISNUMBER(Table4424666572[[#This Row],[Post Total]]),1,0)=2,IF(IF(Table4424666572[[#This Row],[Student Number]]=C3,1,0)+IF(Table4424666572[[#This Row],[Session]]=B3,1,0)+IF(Table4424666572[[#This Row],[Pre or Post]]="Post",1,0)+IF(D3="Pre",1,0)=4,Table4424666572[[#This Row],[Post Total]],""),"")</f>
        <v/>
      </c>
      <c r="O4" s="5" t="str">
        <f>IF(IF(ISNUMBER(K3),1,0)+IF(ISNUMBER(Table4424666572[[#This Row],[Post Total]]),1,0)=2,IF(IF(Table4424666572[[#This Row],[Student Number]]=C3,1,0)+IF(Table4424666572[[#This Row],[Session]]=B3,1,0)+IF(Table4424666572[[#This Row],[Pre or Post]]="Post",1,0)+IF(D3="Pre",1,0)=4,Table4424666572[[#This Row],[Post Total]]-K3,""),"")</f>
        <v/>
      </c>
      <c r="P4" s="5" t="b">
        <f>ISNUMBER(Table4424666572[[#This Row],[Change]])</f>
        <v>0</v>
      </c>
      <c r="Q4" s="5" t="str">
        <f>IF(E3="Yes",Table4424666572[[#This Row],[Change]],"")</f>
        <v/>
      </c>
      <c r="R4" s="5" t="str">
        <f>IF(E3="No",Table4424666572[[#This Row],[Change]],"")</f>
        <v/>
      </c>
      <c r="S4" s="5" t="b">
        <f>ISNUMBER(Table4424666572[[#This Row],[If Pre5 Yes]])</f>
        <v>0</v>
      </c>
      <c r="T4" s="5" t="b">
        <f>ISNUMBER(Table4424666572[[#This Row],[If Pre5 No]])</f>
        <v>0</v>
      </c>
    </row>
    <row r="5" spans="1:20">
      <c r="A5" s="2" t="s">
        <v>24</v>
      </c>
      <c r="B5" s="2" t="s">
        <v>30</v>
      </c>
      <c r="C5" s="1">
        <v>4</v>
      </c>
      <c r="D5" s="2" t="s">
        <v>16</v>
      </c>
      <c r="E5" s="6"/>
      <c r="F5" s="1">
        <v>2</v>
      </c>
      <c r="G5" s="1">
        <v>4</v>
      </c>
      <c r="H5" s="2" t="s">
        <v>9</v>
      </c>
      <c r="I5" s="6" t="str">
        <f>IF(IF(Table4424666572[[#This Row],[Pre or Post]]="Pre",1,0)+IF(ISNUMBER(Table4424666572[[#This Row],[Response]])=TRUE,1,0)=2,1,"")</f>
        <v/>
      </c>
      <c r="J5" s="6">
        <f>IF(IF(Table4424666572[[#This Row],[Pre or Post]]="Post",1,0)+IF(ISNUMBER(Table4424666572[[#This Row],[Response]])=TRUE,1,0)=2,1,"")</f>
        <v>1</v>
      </c>
      <c r="K5" s="6" t="str">
        <f>IF(IF(Table4424666572[[#This Row],[Pre or Post]]="Pre",1,0)+IF(ISNUMBER(Table4424666572[[#This Row],[Response]])=TRUE,1,0)=2,Table4424666572[[#This Row],[Response]],"")</f>
        <v/>
      </c>
      <c r="L5" s="6">
        <f>IF(IF(Table4424666572[[#This Row],[Pre or Post]]="Post",1,0)+IF(ISNUMBER(Table4424666572[[#This Row],[Response]])=TRUE,1,0)=2,Table4424666572[[#This Row],[Response]],"")</f>
        <v>4</v>
      </c>
      <c r="M5" s="6" t="str">
        <f>IF(IF(ISNUMBER(K5),1,0)+IF(ISNUMBER(L6),1,0)=2,IF(IF(C6=C5,1,0)+IF(B6=B5,1,0)+IF(D6="Post",1,0)+IF(D5="Pre",1,0)=4,Table4424666572[[#This Row],[Pre Total]],""),"")</f>
        <v/>
      </c>
      <c r="N5" s="6" t="str">
        <f>IF(IF(ISNUMBER(K4),1,0)+IF(ISNUMBER(Table4424666572[[#This Row],[Post Total]]),1,0)=2,IF(IF(Table4424666572[[#This Row],[Student Number]]=C4,1,0)+IF(Table4424666572[[#This Row],[Session]]=B4,1,0)+IF(Table4424666572[[#This Row],[Pre or Post]]="Post",1,0)+IF(D4="Pre",1,0)=4,Table4424666572[[#This Row],[Post Total]],""),"")</f>
        <v/>
      </c>
      <c r="O5" s="6" t="str">
        <f>IF(IF(ISNUMBER(K4),1,0)+IF(ISNUMBER(Table4424666572[[#This Row],[Post Total]]),1,0)=2,IF(IF(Table4424666572[[#This Row],[Student Number]]=C4,1,0)+IF(Table4424666572[[#This Row],[Session]]=B4,1,0)+IF(Table4424666572[[#This Row],[Pre or Post]]="Post",1,0)+IF(D4="Pre",1,0)=4,Table4424666572[[#This Row],[Post Total]]-K4,""),"")</f>
        <v/>
      </c>
      <c r="P5" s="6" t="b">
        <f>ISNUMBER(Table4424666572[[#This Row],[Change]])</f>
        <v>0</v>
      </c>
      <c r="Q5" s="5" t="str">
        <f>IF(E4="Yes",Table4424666572[[#This Row],[Change]],"")</f>
        <v/>
      </c>
      <c r="R5" s="5" t="str">
        <f>IF(E4="No",Table4424666572[[#This Row],[Change]],"")</f>
        <v/>
      </c>
      <c r="S5" s="5" t="b">
        <f>ISNUMBER(Table4424666572[[#This Row],[If Pre5 Yes]])</f>
        <v>0</v>
      </c>
      <c r="T5" s="5" t="b">
        <f>ISNUMBER(Table4424666572[[#This Row],[If Pre5 No]])</f>
        <v>0</v>
      </c>
    </row>
    <row r="6" spans="1:20">
      <c r="A6" s="2" t="s">
        <v>24</v>
      </c>
      <c r="B6" s="2" t="s">
        <v>30</v>
      </c>
      <c r="C6" s="1">
        <v>5</v>
      </c>
      <c r="D6" s="2" t="s">
        <v>16</v>
      </c>
      <c r="E6" s="6"/>
      <c r="F6" s="1">
        <v>2</v>
      </c>
      <c r="G6" s="1">
        <v>2</v>
      </c>
      <c r="H6" s="2" t="s">
        <v>9</v>
      </c>
      <c r="I6" s="6" t="str">
        <f>IF(IF(Table4424666572[[#This Row],[Pre or Post]]="Pre",1,0)+IF(ISNUMBER(Table4424666572[[#This Row],[Response]])=TRUE,1,0)=2,1,"")</f>
        <v/>
      </c>
      <c r="J6" s="6">
        <f>IF(IF(Table4424666572[[#This Row],[Pre or Post]]="Post",1,0)+IF(ISNUMBER(Table4424666572[[#This Row],[Response]])=TRUE,1,0)=2,1,"")</f>
        <v>1</v>
      </c>
      <c r="K6" s="6" t="str">
        <f>IF(IF(Table4424666572[[#This Row],[Pre or Post]]="Pre",1,0)+IF(ISNUMBER(Table4424666572[[#This Row],[Response]])=TRUE,1,0)=2,Table4424666572[[#This Row],[Response]],"")</f>
        <v/>
      </c>
      <c r="L6" s="6">
        <f>IF(IF(Table4424666572[[#This Row],[Pre or Post]]="Post",1,0)+IF(ISNUMBER(Table4424666572[[#This Row],[Response]])=TRUE,1,0)=2,Table4424666572[[#This Row],[Response]],"")</f>
        <v>2</v>
      </c>
      <c r="M6" s="6" t="str">
        <f>IF(IF(ISNUMBER(K6),1,0)+IF(ISNUMBER(L7),1,0)=2,IF(IF(C7=C6,1,0)+IF(B7=B6,1,0)+IF(D7="Post",1,0)+IF(D6="Pre",1,0)=4,Table4424666572[[#This Row],[Pre Total]],""),"")</f>
        <v/>
      </c>
      <c r="N6" s="6" t="str">
        <f>IF(IF(ISNUMBER(K5),1,0)+IF(ISNUMBER(Table4424666572[[#This Row],[Post Total]]),1,0)=2,IF(IF(Table4424666572[[#This Row],[Student Number]]=C5,1,0)+IF(Table4424666572[[#This Row],[Session]]=B5,1,0)+IF(Table4424666572[[#This Row],[Pre or Post]]="Post",1,0)+IF(D5="Pre",1,0)=4,Table4424666572[[#This Row],[Post Total]],""),"")</f>
        <v/>
      </c>
      <c r="O6" s="6" t="str">
        <f>IF(IF(ISNUMBER(K5),1,0)+IF(ISNUMBER(Table4424666572[[#This Row],[Post Total]]),1,0)=2,IF(IF(Table4424666572[[#This Row],[Student Number]]=C5,1,0)+IF(Table4424666572[[#This Row],[Session]]=B5,1,0)+IF(Table4424666572[[#This Row],[Pre or Post]]="Post",1,0)+IF(D5="Pre",1,0)=4,Table4424666572[[#This Row],[Post Total]]-K5,""),"")</f>
        <v/>
      </c>
      <c r="P6" s="6" t="b">
        <f>ISNUMBER(Table4424666572[[#This Row],[Change]])</f>
        <v>0</v>
      </c>
      <c r="Q6" s="5" t="str">
        <f>IF(E5="Yes",Table4424666572[[#This Row],[Change]],"")</f>
        <v/>
      </c>
      <c r="R6" s="5" t="str">
        <f>IF(E5="No",Table4424666572[[#This Row],[Change]],"")</f>
        <v/>
      </c>
      <c r="S6" s="5" t="b">
        <f>ISNUMBER(Table4424666572[[#This Row],[If Pre5 Yes]])</f>
        <v>0</v>
      </c>
      <c r="T6" s="5" t="b">
        <f>ISNUMBER(Table4424666572[[#This Row],[If Pre5 No]])</f>
        <v>0</v>
      </c>
    </row>
    <row r="7" spans="1:20">
      <c r="A7" s="2" t="s">
        <v>24</v>
      </c>
      <c r="B7" s="2" t="s">
        <v>30</v>
      </c>
      <c r="C7" s="1">
        <v>6</v>
      </c>
      <c r="D7" s="2" t="s">
        <v>16</v>
      </c>
      <c r="E7" s="6"/>
      <c r="F7" s="1">
        <v>2</v>
      </c>
      <c r="G7" s="1">
        <v>4</v>
      </c>
      <c r="H7" s="2" t="s">
        <v>9</v>
      </c>
      <c r="I7" s="6" t="str">
        <f>IF(IF(Table4424666572[[#This Row],[Pre or Post]]="Pre",1,0)+IF(ISNUMBER(Table4424666572[[#This Row],[Response]])=TRUE,1,0)=2,1,"")</f>
        <v/>
      </c>
      <c r="J7" s="6">
        <f>IF(IF(Table4424666572[[#This Row],[Pre or Post]]="Post",1,0)+IF(ISNUMBER(Table4424666572[[#This Row],[Response]])=TRUE,1,0)=2,1,"")</f>
        <v>1</v>
      </c>
      <c r="K7" s="6" t="str">
        <f>IF(IF(Table4424666572[[#This Row],[Pre or Post]]="Pre",1,0)+IF(ISNUMBER(Table4424666572[[#This Row],[Response]])=TRUE,1,0)=2,Table4424666572[[#This Row],[Response]],"")</f>
        <v/>
      </c>
      <c r="L7" s="6">
        <f>IF(IF(Table4424666572[[#This Row],[Pre or Post]]="Post",1,0)+IF(ISNUMBER(Table4424666572[[#This Row],[Response]])=TRUE,1,0)=2,Table4424666572[[#This Row],[Response]],"")</f>
        <v>4</v>
      </c>
      <c r="M7" s="6" t="str">
        <f>IF(IF(ISNUMBER(K7),1,0)+IF(ISNUMBER(L8),1,0)=2,IF(IF(C8=C7,1,0)+IF(B8=B7,1,0)+IF(D8="Post",1,0)+IF(D7="Pre",1,0)=4,Table4424666572[[#This Row],[Pre Total]],""),"")</f>
        <v/>
      </c>
      <c r="N7" s="6" t="str">
        <f>IF(IF(ISNUMBER(K6),1,0)+IF(ISNUMBER(Table4424666572[[#This Row],[Post Total]]),1,0)=2,IF(IF(Table4424666572[[#This Row],[Student Number]]=C6,1,0)+IF(Table4424666572[[#This Row],[Session]]=B6,1,0)+IF(Table4424666572[[#This Row],[Pre or Post]]="Post",1,0)+IF(D6="Pre",1,0)=4,Table4424666572[[#This Row],[Post Total]],""),"")</f>
        <v/>
      </c>
      <c r="O7" s="6" t="str">
        <f>IF(IF(ISNUMBER(K6),1,0)+IF(ISNUMBER(Table4424666572[[#This Row],[Post Total]]),1,0)=2,IF(IF(Table4424666572[[#This Row],[Student Number]]=C6,1,0)+IF(Table4424666572[[#This Row],[Session]]=B6,1,0)+IF(Table4424666572[[#This Row],[Pre or Post]]="Post",1,0)+IF(D6="Pre",1,0)=4,Table4424666572[[#This Row],[Post Total]]-K6,""),"")</f>
        <v/>
      </c>
      <c r="P7" s="6" t="b">
        <f>ISNUMBER(Table4424666572[[#This Row],[Change]])</f>
        <v>0</v>
      </c>
      <c r="Q7" s="5" t="str">
        <f>IF(E6="Yes",Table4424666572[[#This Row],[Change]],"")</f>
        <v/>
      </c>
      <c r="R7" s="5" t="str">
        <f>IF(E6="No",Table4424666572[[#This Row],[Change]],"")</f>
        <v/>
      </c>
      <c r="S7" s="5" t="b">
        <f>ISNUMBER(Table4424666572[[#This Row],[If Pre5 Yes]])</f>
        <v>0</v>
      </c>
      <c r="T7" s="5" t="b">
        <f>ISNUMBER(Table4424666572[[#This Row],[If Pre5 No]])</f>
        <v>0</v>
      </c>
    </row>
    <row r="8" spans="1:20">
      <c r="A8" s="2" t="s">
        <v>24</v>
      </c>
      <c r="B8" s="2" t="s">
        <v>30</v>
      </c>
      <c r="C8" s="1">
        <v>7</v>
      </c>
      <c r="D8" s="2" t="s">
        <v>16</v>
      </c>
      <c r="E8" s="6"/>
      <c r="F8" s="1">
        <v>2</v>
      </c>
      <c r="G8" s="1">
        <v>4</v>
      </c>
      <c r="H8" s="2" t="s">
        <v>9</v>
      </c>
      <c r="I8" s="5" t="str">
        <f>IF(IF(Table4424666572[[#This Row],[Pre or Post]]="Pre",1,0)+IF(ISNUMBER(Table4424666572[[#This Row],[Response]])=TRUE,1,0)=2,1,"")</f>
        <v/>
      </c>
      <c r="J8" s="5">
        <f>IF(IF(Table4424666572[[#This Row],[Pre or Post]]="Post",1,0)+IF(ISNUMBER(Table4424666572[[#This Row],[Response]])=TRUE,1,0)=2,1,"")</f>
        <v>1</v>
      </c>
      <c r="K8" s="6" t="str">
        <f>IF(IF(Table4424666572[[#This Row],[Pre or Post]]="Pre",1,0)+IF(ISNUMBER(Table4424666572[[#This Row],[Response]])=TRUE,1,0)=2,Table4424666572[[#This Row],[Response]],"")</f>
        <v/>
      </c>
      <c r="L8" s="6">
        <f>IF(IF(Table4424666572[[#This Row],[Pre or Post]]="Post",1,0)+IF(ISNUMBER(Table4424666572[[#This Row],[Response]])=TRUE,1,0)=2,Table4424666572[[#This Row],[Response]],"")</f>
        <v>4</v>
      </c>
      <c r="M8" s="5" t="str">
        <f>IF(IF(ISNUMBER(K8),1,0)+IF(ISNUMBER(L9),1,0)=2,IF(IF(C9=C8,1,0)+IF(B9=B8,1,0)+IF(D9="Post",1,0)+IF(D8="Pre",1,0)=4,Table4424666572[[#This Row],[Pre Total]],""),"")</f>
        <v/>
      </c>
      <c r="N8" s="5" t="str">
        <f>IF(IF(ISNUMBER(K7),1,0)+IF(ISNUMBER(Table4424666572[[#This Row],[Post Total]]),1,0)=2,IF(IF(Table4424666572[[#This Row],[Student Number]]=C7,1,0)+IF(Table4424666572[[#This Row],[Session]]=B7,1,0)+IF(Table4424666572[[#This Row],[Pre or Post]]="Post",1,0)+IF(D7="Pre",1,0)=4,Table4424666572[[#This Row],[Post Total]],""),"")</f>
        <v/>
      </c>
      <c r="O8" s="5" t="str">
        <f>IF(IF(ISNUMBER(K7),1,0)+IF(ISNUMBER(Table4424666572[[#This Row],[Post Total]]),1,0)=2,IF(IF(Table4424666572[[#This Row],[Student Number]]=C7,1,0)+IF(Table4424666572[[#This Row],[Session]]=B7,1,0)+IF(Table4424666572[[#This Row],[Pre or Post]]="Post",1,0)+IF(D7="Pre",1,0)=4,Table4424666572[[#This Row],[Post Total]]-K7,""),"")</f>
        <v/>
      </c>
      <c r="P8" s="5" t="b">
        <f>ISNUMBER(Table4424666572[[#This Row],[Change]])</f>
        <v>0</v>
      </c>
      <c r="Q8" s="5" t="str">
        <f>IF(E7="Yes",Table4424666572[[#This Row],[Change]],"")</f>
        <v/>
      </c>
      <c r="R8" s="5" t="str">
        <f>IF(E7="No",Table4424666572[[#This Row],[Change]],"")</f>
        <v/>
      </c>
      <c r="S8" s="5" t="b">
        <f>ISNUMBER(Table4424666572[[#This Row],[If Pre5 Yes]])</f>
        <v>0</v>
      </c>
      <c r="T8" s="5" t="b">
        <f>ISNUMBER(Table4424666572[[#This Row],[If Pre5 No]])</f>
        <v>0</v>
      </c>
    </row>
    <row r="9" spans="1:20">
      <c r="A9" s="2" t="s">
        <v>24</v>
      </c>
      <c r="B9" s="2" t="s">
        <v>30</v>
      </c>
      <c r="C9" s="1">
        <v>8</v>
      </c>
      <c r="D9" s="2" t="s">
        <v>16</v>
      </c>
      <c r="E9" s="6"/>
      <c r="F9" s="1">
        <v>2</v>
      </c>
      <c r="G9" s="1">
        <v>3</v>
      </c>
      <c r="H9" s="2" t="s">
        <v>9</v>
      </c>
      <c r="I9" s="5" t="str">
        <f>IF(IF(Table4424666572[[#This Row],[Pre or Post]]="Pre",1,0)+IF(ISNUMBER(Table4424666572[[#This Row],[Response]])=TRUE,1,0)=2,1,"")</f>
        <v/>
      </c>
      <c r="J9" s="5">
        <f>IF(IF(Table4424666572[[#This Row],[Pre or Post]]="Post",1,0)+IF(ISNUMBER(Table4424666572[[#This Row],[Response]])=TRUE,1,0)=2,1,"")</f>
        <v>1</v>
      </c>
      <c r="K9" s="6" t="str">
        <f>IF(IF(Table4424666572[[#This Row],[Pre or Post]]="Pre",1,0)+IF(ISNUMBER(Table4424666572[[#This Row],[Response]])=TRUE,1,0)=2,Table4424666572[[#This Row],[Response]],"")</f>
        <v/>
      </c>
      <c r="L9" s="6">
        <f>IF(IF(Table4424666572[[#This Row],[Pre or Post]]="Post",1,0)+IF(ISNUMBER(Table4424666572[[#This Row],[Response]])=TRUE,1,0)=2,Table4424666572[[#This Row],[Response]],"")</f>
        <v>3</v>
      </c>
      <c r="M9" s="5" t="str">
        <f>IF(IF(ISNUMBER(K9),1,0)+IF(ISNUMBER(L10),1,0)=2,IF(IF(C10=C9,1,0)+IF(B10=B9,1,0)+IF(D10="Post",1,0)+IF(D9="Pre",1,0)=4,Table4424666572[[#This Row],[Pre Total]],""),"")</f>
        <v/>
      </c>
      <c r="N9" s="5" t="str">
        <f>IF(IF(ISNUMBER(K8),1,0)+IF(ISNUMBER(Table4424666572[[#This Row],[Post Total]]),1,0)=2,IF(IF(Table4424666572[[#This Row],[Student Number]]=C8,1,0)+IF(Table4424666572[[#This Row],[Session]]=B8,1,0)+IF(Table4424666572[[#This Row],[Pre or Post]]="Post",1,0)+IF(D8="Pre",1,0)=4,Table4424666572[[#This Row],[Post Total]],""),"")</f>
        <v/>
      </c>
      <c r="O9" s="5" t="str">
        <f>IF(IF(ISNUMBER(K8),1,0)+IF(ISNUMBER(Table4424666572[[#This Row],[Post Total]]),1,0)=2,IF(IF(Table4424666572[[#This Row],[Student Number]]=C8,1,0)+IF(Table4424666572[[#This Row],[Session]]=B8,1,0)+IF(Table4424666572[[#This Row],[Pre or Post]]="Post",1,0)+IF(D8="Pre",1,0)=4,Table4424666572[[#This Row],[Post Total]]-K8,""),"")</f>
        <v/>
      </c>
      <c r="P9" s="5" t="b">
        <f>ISNUMBER(Table4424666572[[#This Row],[Change]])</f>
        <v>0</v>
      </c>
      <c r="Q9" s="5" t="str">
        <f>IF(E8="Yes",Table4424666572[[#This Row],[Change]],"")</f>
        <v/>
      </c>
      <c r="R9" s="5" t="str">
        <f>IF(E8="No",Table4424666572[[#This Row],[Change]],"")</f>
        <v/>
      </c>
      <c r="S9" s="5" t="b">
        <f>ISNUMBER(Table4424666572[[#This Row],[If Pre5 Yes]])</f>
        <v>0</v>
      </c>
      <c r="T9" s="5" t="b">
        <f>ISNUMBER(Table4424666572[[#This Row],[If Pre5 No]])</f>
        <v>0</v>
      </c>
    </row>
    <row r="10" spans="1:20">
      <c r="A10" s="2" t="s">
        <v>24</v>
      </c>
      <c r="B10" s="2" t="s">
        <v>30</v>
      </c>
      <c r="C10" s="1">
        <v>9</v>
      </c>
      <c r="D10" s="2" t="s">
        <v>16</v>
      </c>
      <c r="E10" s="6"/>
      <c r="F10" s="1">
        <v>2</v>
      </c>
      <c r="G10" s="1">
        <v>4</v>
      </c>
      <c r="H10" s="2" t="s">
        <v>9</v>
      </c>
      <c r="I10" s="6" t="str">
        <f>IF(IF(Table4424666572[[#This Row],[Pre or Post]]="Pre",1,0)+IF(ISNUMBER(Table4424666572[[#This Row],[Response]])=TRUE,1,0)=2,1,"")</f>
        <v/>
      </c>
      <c r="J10" s="6">
        <f>IF(IF(Table4424666572[[#This Row],[Pre or Post]]="Post",1,0)+IF(ISNUMBER(Table4424666572[[#This Row],[Response]])=TRUE,1,0)=2,1,"")</f>
        <v>1</v>
      </c>
      <c r="K10" s="6" t="str">
        <f>IF(IF(Table4424666572[[#This Row],[Pre or Post]]="Pre",1,0)+IF(ISNUMBER(Table4424666572[[#This Row],[Response]])=TRUE,1,0)=2,Table4424666572[[#This Row],[Response]],"")</f>
        <v/>
      </c>
      <c r="L10" s="6">
        <f>IF(IF(Table4424666572[[#This Row],[Pre or Post]]="Post",1,0)+IF(ISNUMBER(Table4424666572[[#This Row],[Response]])=TRUE,1,0)=2,Table4424666572[[#This Row],[Response]],"")</f>
        <v>4</v>
      </c>
      <c r="M10" s="6" t="str">
        <f>IF(IF(ISNUMBER(K10),1,0)+IF(ISNUMBER(L11),1,0)=2,IF(IF(C11=C10,1,0)+IF(B11=B10,1,0)+IF(D11="Post",1,0)+IF(D10="Pre",1,0)=4,Table4424666572[[#This Row],[Pre Total]],""),"")</f>
        <v/>
      </c>
      <c r="N10" s="6" t="str">
        <f>IF(IF(ISNUMBER(K9),1,0)+IF(ISNUMBER(Table4424666572[[#This Row],[Post Total]]),1,0)=2,IF(IF(Table4424666572[[#This Row],[Student Number]]=C9,1,0)+IF(Table4424666572[[#This Row],[Session]]=B9,1,0)+IF(Table4424666572[[#This Row],[Pre or Post]]="Post",1,0)+IF(D9="Pre",1,0)=4,Table4424666572[[#This Row],[Post Total]],""),"")</f>
        <v/>
      </c>
      <c r="O10" s="6" t="str">
        <f>IF(IF(ISNUMBER(K9),1,0)+IF(ISNUMBER(Table4424666572[[#This Row],[Post Total]]),1,0)=2,IF(IF(Table4424666572[[#This Row],[Student Number]]=C9,1,0)+IF(Table4424666572[[#This Row],[Session]]=B9,1,0)+IF(Table4424666572[[#This Row],[Pre or Post]]="Post",1,0)+IF(D9="Pre",1,0)=4,Table4424666572[[#This Row],[Post Total]]-K9,""),"")</f>
        <v/>
      </c>
      <c r="P10" s="6" t="b">
        <f>ISNUMBER(Table4424666572[[#This Row],[Change]])</f>
        <v>0</v>
      </c>
      <c r="Q10" s="5" t="str">
        <f>IF(E9="Yes",Table4424666572[[#This Row],[Change]],"")</f>
        <v/>
      </c>
      <c r="R10" s="5" t="str">
        <f>IF(E9="No",Table4424666572[[#This Row],[Change]],"")</f>
        <v/>
      </c>
      <c r="S10" s="5" t="b">
        <f>ISNUMBER(Table4424666572[[#This Row],[If Pre5 Yes]])</f>
        <v>0</v>
      </c>
      <c r="T10" s="5" t="b">
        <f>ISNUMBER(Table4424666572[[#This Row],[If Pre5 No]])</f>
        <v>0</v>
      </c>
    </row>
    <row r="11" spans="1:20">
      <c r="A11" s="2" t="s">
        <v>24</v>
      </c>
      <c r="B11" s="2" t="s">
        <v>30</v>
      </c>
      <c r="C11" s="1">
        <v>10</v>
      </c>
      <c r="D11" s="2" t="s">
        <v>16</v>
      </c>
      <c r="E11" s="6"/>
      <c r="F11" s="1">
        <v>2</v>
      </c>
      <c r="G11" s="1">
        <v>3</v>
      </c>
      <c r="H11" s="2" t="s">
        <v>9</v>
      </c>
      <c r="I11" s="6" t="str">
        <f>IF(IF(Table4424666572[[#This Row],[Pre or Post]]="Pre",1,0)+IF(ISNUMBER(Table4424666572[[#This Row],[Response]])=TRUE,1,0)=2,1,"")</f>
        <v/>
      </c>
      <c r="J11" s="6">
        <f>IF(IF(Table4424666572[[#This Row],[Pre or Post]]="Post",1,0)+IF(ISNUMBER(Table4424666572[[#This Row],[Response]])=TRUE,1,0)=2,1,"")</f>
        <v>1</v>
      </c>
      <c r="K11" s="6" t="str">
        <f>IF(IF(Table4424666572[[#This Row],[Pre or Post]]="Pre",1,0)+IF(ISNUMBER(Table4424666572[[#This Row],[Response]])=TRUE,1,0)=2,Table4424666572[[#This Row],[Response]],"")</f>
        <v/>
      </c>
      <c r="L11" s="6">
        <f>IF(IF(Table4424666572[[#This Row],[Pre or Post]]="Post",1,0)+IF(ISNUMBER(Table4424666572[[#This Row],[Response]])=TRUE,1,0)=2,Table4424666572[[#This Row],[Response]],"")</f>
        <v>3</v>
      </c>
      <c r="M11" s="6" t="str">
        <f>IF(IF(ISNUMBER(K11),1,0)+IF(ISNUMBER(L12),1,0)=2,IF(IF(C12=C11,1,0)+IF(B12=B11,1,0)+IF(D12="Post",1,0)+IF(D11="Pre",1,0)=4,Table4424666572[[#This Row],[Pre Total]],""),"")</f>
        <v/>
      </c>
      <c r="N11" s="6" t="str">
        <f>IF(IF(ISNUMBER(K10),1,0)+IF(ISNUMBER(Table4424666572[[#This Row],[Post Total]]),1,0)=2,IF(IF(Table4424666572[[#This Row],[Student Number]]=C10,1,0)+IF(Table4424666572[[#This Row],[Session]]=B10,1,0)+IF(Table4424666572[[#This Row],[Pre or Post]]="Post",1,0)+IF(D10="Pre",1,0)=4,Table4424666572[[#This Row],[Post Total]],""),"")</f>
        <v/>
      </c>
      <c r="O11" s="6" t="str">
        <f>IF(IF(ISNUMBER(K10),1,0)+IF(ISNUMBER(Table4424666572[[#This Row],[Post Total]]),1,0)=2,IF(IF(Table4424666572[[#This Row],[Student Number]]=C10,1,0)+IF(Table4424666572[[#This Row],[Session]]=B10,1,0)+IF(Table4424666572[[#This Row],[Pre or Post]]="Post",1,0)+IF(D10="Pre",1,0)=4,Table4424666572[[#This Row],[Post Total]]-K10,""),"")</f>
        <v/>
      </c>
      <c r="P11" s="6" t="b">
        <f>ISNUMBER(Table4424666572[[#This Row],[Change]])</f>
        <v>0</v>
      </c>
      <c r="Q11" s="5" t="str">
        <f>IF(E10="Yes",Table4424666572[[#This Row],[Change]],"")</f>
        <v/>
      </c>
      <c r="R11" s="5" t="str">
        <f>IF(E10="No",Table4424666572[[#This Row],[Change]],"")</f>
        <v/>
      </c>
      <c r="S11" s="5" t="b">
        <f>ISNUMBER(Table4424666572[[#This Row],[If Pre5 Yes]])</f>
        <v>0</v>
      </c>
      <c r="T11" s="5" t="b">
        <f>ISNUMBER(Table4424666572[[#This Row],[If Pre5 No]])</f>
        <v>0</v>
      </c>
    </row>
    <row r="12" spans="1:20">
      <c r="A12" s="2" t="s">
        <v>24</v>
      </c>
      <c r="B12" s="2" t="s">
        <v>30</v>
      </c>
      <c r="C12" s="1">
        <v>11</v>
      </c>
      <c r="D12" s="2" t="s">
        <v>16</v>
      </c>
      <c r="E12" s="6"/>
      <c r="F12" s="1">
        <v>2</v>
      </c>
      <c r="G12" s="1">
        <v>4</v>
      </c>
      <c r="H12" s="2" t="s">
        <v>9</v>
      </c>
      <c r="I12" s="5" t="str">
        <f>IF(IF(Table4424666572[[#This Row],[Pre or Post]]="Pre",1,0)+IF(ISNUMBER(Table4424666572[[#This Row],[Response]])=TRUE,1,0)=2,1,"")</f>
        <v/>
      </c>
      <c r="J12" s="5">
        <f>IF(IF(Table4424666572[[#This Row],[Pre or Post]]="Post",1,0)+IF(ISNUMBER(Table4424666572[[#This Row],[Response]])=TRUE,1,0)=2,1,"")</f>
        <v>1</v>
      </c>
      <c r="K12" s="6" t="str">
        <f>IF(IF(Table4424666572[[#This Row],[Pre or Post]]="Pre",1,0)+IF(ISNUMBER(Table4424666572[[#This Row],[Response]])=TRUE,1,0)=2,Table4424666572[[#This Row],[Response]],"")</f>
        <v/>
      </c>
      <c r="L12" s="6">
        <f>IF(IF(Table4424666572[[#This Row],[Pre or Post]]="Post",1,0)+IF(ISNUMBER(Table4424666572[[#This Row],[Response]])=TRUE,1,0)=2,Table4424666572[[#This Row],[Response]],"")</f>
        <v>4</v>
      </c>
      <c r="M12" s="5" t="str">
        <f>IF(IF(ISNUMBER(K12),1,0)+IF(ISNUMBER(L13),1,0)=2,IF(IF(C13=C12,1,0)+IF(B13=B12,1,0)+IF(D13="Post",1,0)+IF(D12="Pre",1,0)=4,Table4424666572[[#This Row],[Pre Total]],""),"")</f>
        <v/>
      </c>
      <c r="N12" s="5" t="str">
        <f>IF(IF(ISNUMBER(K11),1,0)+IF(ISNUMBER(Table4424666572[[#This Row],[Post Total]]),1,0)=2,IF(IF(Table4424666572[[#This Row],[Student Number]]=C11,1,0)+IF(Table4424666572[[#This Row],[Session]]=B11,1,0)+IF(Table4424666572[[#This Row],[Pre or Post]]="Post",1,0)+IF(D11="Pre",1,0)=4,Table4424666572[[#This Row],[Post Total]],""),"")</f>
        <v/>
      </c>
      <c r="O12" s="5" t="str">
        <f>IF(IF(ISNUMBER(K11),1,0)+IF(ISNUMBER(Table4424666572[[#This Row],[Post Total]]),1,0)=2,IF(IF(Table4424666572[[#This Row],[Student Number]]=C11,1,0)+IF(Table4424666572[[#This Row],[Session]]=B11,1,0)+IF(Table4424666572[[#This Row],[Pre or Post]]="Post",1,0)+IF(D11="Pre",1,0)=4,Table4424666572[[#This Row],[Post Total]]-K11,""),"")</f>
        <v/>
      </c>
      <c r="P12" s="5" t="b">
        <f>ISNUMBER(Table4424666572[[#This Row],[Change]])</f>
        <v>0</v>
      </c>
      <c r="Q12" s="5" t="str">
        <f>IF(E11="Yes",Table4424666572[[#This Row],[Change]],"")</f>
        <v/>
      </c>
      <c r="R12" s="5" t="str">
        <f>IF(E11="No",Table4424666572[[#This Row],[Change]],"")</f>
        <v/>
      </c>
      <c r="S12" s="5" t="b">
        <f>ISNUMBER(Table4424666572[[#This Row],[If Pre5 Yes]])</f>
        <v>0</v>
      </c>
      <c r="T12" s="5" t="b">
        <f>ISNUMBER(Table4424666572[[#This Row],[If Pre5 No]])</f>
        <v>0</v>
      </c>
    </row>
    <row r="13" spans="1:20">
      <c r="A13" s="2" t="s">
        <v>24</v>
      </c>
      <c r="B13" s="2" t="s">
        <v>30</v>
      </c>
      <c r="C13" s="1">
        <v>12</v>
      </c>
      <c r="D13" s="2" t="s">
        <v>16</v>
      </c>
      <c r="E13" s="6"/>
      <c r="F13" s="1">
        <v>2</v>
      </c>
      <c r="G13" s="1">
        <v>5</v>
      </c>
      <c r="H13" s="2" t="s">
        <v>9</v>
      </c>
      <c r="I13" s="5" t="str">
        <f>IF(IF(Table4424666572[[#This Row],[Pre or Post]]="Pre",1,0)+IF(ISNUMBER(Table4424666572[[#This Row],[Response]])=TRUE,1,0)=2,1,"")</f>
        <v/>
      </c>
      <c r="J13" s="5">
        <f>IF(IF(Table4424666572[[#This Row],[Pre or Post]]="Post",1,0)+IF(ISNUMBER(Table4424666572[[#This Row],[Response]])=TRUE,1,0)=2,1,"")</f>
        <v>1</v>
      </c>
      <c r="K13" s="6" t="str">
        <f>IF(IF(Table4424666572[[#This Row],[Pre or Post]]="Pre",1,0)+IF(ISNUMBER(Table4424666572[[#This Row],[Response]])=TRUE,1,0)=2,Table4424666572[[#This Row],[Response]],"")</f>
        <v/>
      </c>
      <c r="L13" s="6">
        <f>IF(IF(Table4424666572[[#This Row],[Pre or Post]]="Post",1,0)+IF(ISNUMBER(Table4424666572[[#This Row],[Response]])=TRUE,1,0)=2,Table4424666572[[#This Row],[Response]],"")</f>
        <v>5</v>
      </c>
      <c r="M13" s="5" t="str">
        <f>IF(IF(ISNUMBER(K13),1,0)+IF(ISNUMBER(L14),1,0)=2,IF(IF(C14=C13,1,0)+IF(B14=B13,1,0)+IF(D14="Post",1,0)+IF(D13="Pre",1,0)=4,Table4424666572[[#This Row],[Pre Total]],""),"")</f>
        <v/>
      </c>
      <c r="N13" s="5" t="str">
        <f>IF(IF(ISNUMBER(K12),1,0)+IF(ISNUMBER(Table4424666572[[#This Row],[Post Total]]),1,0)=2,IF(IF(Table4424666572[[#This Row],[Student Number]]=C12,1,0)+IF(Table4424666572[[#This Row],[Session]]=B12,1,0)+IF(Table4424666572[[#This Row],[Pre or Post]]="Post",1,0)+IF(D12="Pre",1,0)=4,Table4424666572[[#This Row],[Post Total]],""),"")</f>
        <v/>
      </c>
      <c r="O13" s="5" t="str">
        <f>IF(IF(ISNUMBER(K12),1,0)+IF(ISNUMBER(Table4424666572[[#This Row],[Post Total]]),1,0)=2,IF(IF(Table4424666572[[#This Row],[Student Number]]=C12,1,0)+IF(Table4424666572[[#This Row],[Session]]=B12,1,0)+IF(Table4424666572[[#This Row],[Pre or Post]]="Post",1,0)+IF(D12="Pre",1,0)=4,Table4424666572[[#This Row],[Post Total]]-K12,""),"")</f>
        <v/>
      </c>
      <c r="P13" s="5" t="b">
        <f>ISNUMBER(Table4424666572[[#This Row],[Change]])</f>
        <v>0</v>
      </c>
      <c r="Q13" s="5" t="str">
        <f>IF(E12="Yes",Table4424666572[[#This Row],[Change]],"")</f>
        <v/>
      </c>
      <c r="R13" s="5" t="str">
        <f>IF(E12="No",Table4424666572[[#This Row],[Change]],"")</f>
        <v/>
      </c>
      <c r="S13" s="5" t="b">
        <f>ISNUMBER(Table4424666572[[#This Row],[If Pre5 Yes]])</f>
        <v>0</v>
      </c>
      <c r="T13" s="5" t="b">
        <f>ISNUMBER(Table4424666572[[#This Row],[If Pre5 No]])</f>
        <v>0</v>
      </c>
    </row>
    <row r="14" spans="1:20">
      <c r="A14" s="2" t="s">
        <v>24</v>
      </c>
      <c r="B14" s="2" t="s">
        <v>30</v>
      </c>
      <c r="C14" s="1">
        <v>13</v>
      </c>
      <c r="D14" s="2" t="s">
        <v>16</v>
      </c>
      <c r="E14" s="6"/>
      <c r="F14" s="1">
        <v>2</v>
      </c>
      <c r="G14" s="1">
        <v>4</v>
      </c>
      <c r="H14" s="2" t="s">
        <v>9</v>
      </c>
      <c r="I14" s="6" t="str">
        <f>IF(IF(Table4424666572[[#This Row],[Pre or Post]]="Pre",1,0)+IF(ISNUMBER(Table4424666572[[#This Row],[Response]])=TRUE,1,0)=2,1,"")</f>
        <v/>
      </c>
      <c r="J14" s="6">
        <f>IF(IF(Table4424666572[[#This Row],[Pre or Post]]="Post",1,0)+IF(ISNUMBER(Table4424666572[[#This Row],[Response]])=TRUE,1,0)=2,1,"")</f>
        <v>1</v>
      </c>
      <c r="K14" s="6" t="str">
        <f>IF(IF(Table4424666572[[#This Row],[Pre or Post]]="Pre",1,0)+IF(ISNUMBER(Table4424666572[[#This Row],[Response]])=TRUE,1,0)=2,Table4424666572[[#This Row],[Response]],"")</f>
        <v/>
      </c>
      <c r="L14" s="6">
        <f>IF(IF(Table4424666572[[#This Row],[Pre or Post]]="Post",1,0)+IF(ISNUMBER(Table4424666572[[#This Row],[Response]])=TRUE,1,0)=2,Table4424666572[[#This Row],[Response]],"")</f>
        <v>4</v>
      </c>
      <c r="M14" s="6" t="str">
        <f>IF(IF(ISNUMBER(K14),1,0)+IF(ISNUMBER(L15),1,0)=2,IF(IF(C15=C14,1,0)+IF(B15=B14,1,0)+IF(D15="Post",1,0)+IF(D14="Pre",1,0)=4,Table4424666572[[#This Row],[Pre Total]],""),"")</f>
        <v/>
      </c>
      <c r="N14" s="6" t="str">
        <f>IF(IF(ISNUMBER(K13),1,0)+IF(ISNUMBER(Table4424666572[[#This Row],[Post Total]]),1,0)=2,IF(IF(Table4424666572[[#This Row],[Student Number]]=C13,1,0)+IF(Table4424666572[[#This Row],[Session]]=B13,1,0)+IF(Table4424666572[[#This Row],[Pre or Post]]="Post",1,0)+IF(D13="Pre",1,0)=4,Table4424666572[[#This Row],[Post Total]],""),"")</f>
        <v/>
      </c>
      <c r="O14" s="6" t="str">
        <f>IF(IF(ISNUMBER(K13),1,0)+IF(ISNUMBER(Table4424666572[[#This Row],[Post Total]]),1,0)=2,IF(IF(Table4424666572[[#This Row],[Student Number]]=C13,1,0)+IF(Table4424666572[[#This Row],[Session]]=B13,1,0)+IF(Table4424666572[[#This Row],[Pre or Post]]="Post",1,0)+IF(D13="Pre",1,0)=4,Table4424666572[[#This Row],[Post Total]]-K13,""),"")</f>
        <v/>
      </c>
      <c r="P14" s="6" t="b">
        <f>ISNUMBER(Table4424666572[[#This Row],[Change]])</f>
        <v>0</v>
      </c>
      <c r="Q14" s="5" t="str">
        <f>IF(E13="Yes",Table4424666572[[#This Row],[Change]],"")</f>
        <v/>
      </c>
      <c r="R14" s="5" t="str">
        <f>IF(E13="No",Table4424666572[[#This Row],[Change]],"")</f>
        <v/>
      </c>
      <c r="S14" s="5" t="b">
        <f>ISNUMBER(Table4424666572[[#This Row],[If Pre5 Yes]])</f>
        <v>0</v>
      </c>
      <c r="T14" s="5" t="b">
        <f>ISNUMBER(Table4424666572[[#This Row],[If Pre5 No]])</f>
        <v>0</v>
      </c>
    </row>
    <row r="15" spans="1:20">
      <c r="A15" s="2" t="s">
        <v>24</v>
      </c>
      <c r="B15" s="2" t="s">
        <v>30</v>
      </c>
      <c r="C15" s="1">
        <v>14</v>
      </c>
      <c r="D15" s="2" t="s">
        <v>16</v>
      </c>
      <c r="E15" s="6"/>
      <c r="F15" s="1">
        <v>2</v>
      </c>
      <c r="G15" s="1">
        <v>5</v>
      </c>
      <c r="H15" s="2" t="s">
        <v>9</v>
      </c>
      <c r="I15" s="6" t="str">
        <f>IF(IF(Table4424666572[[#This Row],[Pre or Post]]="Pre",1,0)+IF(ISNUMBER(Table4424666572[[#This Row],[Response]])=TRUE,1,0)=2,1,"")</f>
        <v/>
      </c>
      <c r="J15" s="6">
        <f>IF(IF(Table4424666572[[#This Row],[Pre or Post]]="Post",1,0)+IF(ISNUMBER(Table4424666572[[#This Row],[Response]])=TRUE,1,0)=2,1,"")</f>
        <v>1</v>
      </c>
      <c r="K15" s="6" t="str">
        <f>IF(IF(Table4424666572[[#This Row],[Pre or Post]]="Pre",1,0)+IF(ISNUMBER(Table4424666572[[#This Row],[Response]])=TRUE,1,0)=2,Table4424666572[[#This Row],[Response]],"")</f>
        <v/>
      </c>
      <c r="L15" s="6">
        <f>IF(IF(Table4424666572[[#This Row],[Pre or Post]]="Post",1,0)+IF(ISNUMBER(Table4424666572[[#This Row],[Response]])=TRUE,1,0)=2,Table4424666572[[#This Row],[Response]],"")</f>
        <v>5</v>
      </c>
      <c r="M15" s="6" t="str">
        <f>IF(IF(ISNUMBER(K15),1,0)+IF(ISNUMBER(L16),1,0)=2,IF(IF(C16=C15,1,0)+IF(B16=B15,1,0)+IF(D16="Post",1,0)+IF(D15="Pre",1,0)=4,Table4424666572[[#This Row],[Pre Total]],""),"")</f>
        <v/>
      </c>
      <c r="N15" s="6" t="str">
        <f>IF(IF(ISNUMBER(K14),1,0)+IF(ISNUMBER(Table4424666572[[#This Row],[Post Total]]),1,0)=2,IF(IF(Table4424666572[[#This Row],[Student Number]]=C14,1,0)+IF(Table4424666572[[#This Row],[Session]]=B14,1,0)+IF(Table4424666572[[#This Row],[Pre or Post]]="Post",1,0)+IF(D14="Pre",1,0)=4,Table4424666572[[#This Row],[Post Total]],""),"")</f>
        <v/>
      </c>
      <c r="O15" s="6" t="str">
        <f>IF(IF(ISNUMBER(K14),1,0)+IF(ISNUMBER(Table4424666572[[#This Row],[Post Total]]),1,0)=2,IF(IF(Table4424666572[[#This Row],[Student Number]]=C14,1,0)+IF(Table4424666572[[#This Row],[Session]]=B14,1,0)+IF(Table4424666572[[#This Row],[Pre or Post]]="Post",1,0)+IF(D14="Pre",1,0)=4,Table4424666572[[#This Row],[Post Total]]-K14,""),"")</f>
        <v/>
      </c>
      <c r="P15" s="6" t="b">
        <f>ISNUMBER(Table4424666572[[#This Row],[Change]])</f>
        <v>0</v>
      </c>
      <c r="Q15" s="5" t="str">
        <f>IF(E14="Yes",Table4424666572[[#This Row],[Change]],"")</f>
        <v/>
      </c>
      <c r="R15" s="5" t="str">
        <f>IF(E14="No",Table4424666572[[#This Row],[Change]],"")</f>
        <v/>
      </c>
      <c r="S15" s="5" t="b">
        <f>ISNUMBER(Table4424666572[[#This Row],[If Pre5 Yes]])</f>
        <v>0</v>
      </c>
      <c r="T15" s="5" t="b">
        <f>ISNUMBER(Table4424666572[[#This Row],[If Pre5 No]])</f>
        <v>0</v>
      </c>
    </row>
    <row r="16" spans="1:20">
      <c r="A16" s="2" t="s">
        <v>24</v>
      </c>
      <c r="B16" s="2" t="s">
        <v>30</v>
      </c>
      <c r="C16" s="1">
        <v>15</v>
      </c>
      <c r="D16" s="2" t="s">
        <v>16</v>
      </c>
      <c r="E16" s="6"/>
      <c r="F16" s="1">
        <v>2</v>
      </c>
      <c r="G16" s="1">
        <v>3</v>
      </c>
      <c r="H16" s="2" t="s">
        <v>9</v>
      </c>
      <c r="I16" s="5" t="str">
        <f>IF(IF(Table4424666572[[#This Row],[Pre or Post]]="Pre",1,0)+IF(ISNUMBER(Table4424666572[[#This Row],[Response]])=TRUE,1,0)=2,1,"")</f>
        <v/>
      </c>
      <c r="J16" s="5">
        <f>IF(IF(Table4424666572[[#This Row],[Pre or Post]]="Post",1,0)+IF(ISNUMBER(Table4424666572[[#This Row],[Response]])=TRUE,1,0)=2,1,"")</f>
        <v>1</v>
      </c>
      <c r="K16" s="6" t="str">
        <f>IF(IF(Table4424666572[[#This Row],[Pre or Post]]="Pre",1,0)+IF(ISNUMBER(Table4424666572[[#This Row],[Response]])=TRUE,1,0)=2,Table4424666572[[#This Row],[Response]],"")</f>
        <v/>
      </c>
      <c r="L16" s="6">
        <f>IF(IF(Table4424666572[[#This Row],[Pre or Post]]="Post",1,0)+IF(ISNUMBER(Table4424666572[[#This Row],[Response]])=TRUE,1,0)=2,Table4424666572[[#This Row],[Response]],"")</f>
        <v>3</v>
      </c>
      <c r="M16" s="5" t="str">
        <f>IF(IF(ISNUMBER(K16),1,0)+IF(ISNUMBER(L17),1,0)=2,IF(IF(C17=C16,1,0)+IF(B17=B16,1,0)+IF(D17="Post",1,0)+IF(D16="Pre",1,0)=4,Table4424666572[[#This Row],[Pre Total]],""),"")</f>
        <v/>
      </c>
      <c r="N16" s="5" t="str">
        <f>IF(IF(ISNUMBER(K15),1,0)+IF(ISNUMBER(Table4424666572[[#This Row],[Post Total]]),1,0)=2,IF(IF(Table4424666572[[#This Row],[Student Number]]=C15,1,0)+IF(Table4424666572[[#This Row],[Session]]=B15,1,0)+IF(Table4424666572[[#This Row],[Pre or Post]]="Post",1,0)+IF(D15="Pre",1,0)=4,Table4424666572[[#This Row],[Post Total]],""),"")</f>
        <v/>
      </c>
      <c r="O16" s="5" t="str">
        <f>IF(IF(ISNUMBER(K15),1,0)+IF(ISNUMBER(Table4424666572[[#This Row],[Post Total]]),1,0)=2,IF(IF(Table4424666572[[#This Row],[Student Number]]=C15,1,0)+IF(Table4424666572[[#This Row],[Session]]=B15,1,0)+IF(Table4424666572[[#This Row],[Pre or Post]]="Post",1,0)+IF(D15="Pre",1,0)=4,Table4424666572[[#This Row],[Post Total]]-K15,""),"")</f>
        <v/>
      </c>
      <c r="P16" s="5" t="b">
        <f>ISNUMBER(Table4424666572[[#This Row],[Change]])</f>
        <v>0</v>
      </c>
      <c r="Q16" s="5" t="str">
        <f>IF(E15="Yes",Table4424666572[[#This Row],[Change]],"")</f>
        <v/>
      </c>
      <c r="R16" s="5" t="str">
        <f>IF(E15="No",Table4424666572[[#This Row],[Change]],"")</f>
        <v/>
      </c>
      <c r="S16" s="5" t="b">
        <f>ISNUMBER(Table4424666572[[#This Row],[If Pre5 Yes]])</f>
        <v>0</v>
      </c>
      <c r="T16" s="5" t="b">
        <f>ISNUMBER(Table4424666572[[#This Row],[If Pre5 No]])</f>
        <v>0</v>
      </c>
    </row>
    <row r="17" spans="1:20">
      <c r="A17" s="2" t="s">
        <v>24</v>
      </c>
      <c r="B17" s="2" t="s">
        <v>30</v>
      </c>
      <c r="C17" s="1">
        <v>16</v>
      </c>
      <c r="D17" s="2" t="s">
        <v>16</v>
      </c>
      <c r="E17" s="6"/>
      <c r="F17" s="1">
        <v>2</v>
      </c>
      <c r="G17" s="1">
        <v>4</v>
      </c>
      <c r="H17" s="2" t="s">
        <v>9</v>
      </c>
      <c r="I17" s="5" t="str">
        <f>IF(IF(Table4424666572[[#This Row],[Pre or Post]]="Pre",1,0)+IF(ISNUMBER(Table4424666572[[#This Row],[Response]])=TRUE,1,0)=2,1,"")</f>
        <v/>
      </c>
      <c r="J17" s="5">
        <f>IF(IF(Table4424666572[[#This Row],[Pre or Post]]="Post",1,0)+IF(ISNUMBER(Table4424666572[[#This Row],[Response]])=TRUE,1,0)=2,1,"")</f>
        <v>1</v>
      </c>
      <c r="K17" s="6" t="str">
        <f>IF(IF(Table4424666572[[#This Row],[Pre or Post]]="Pre",1,0)+IF(ISNUMBER(Table4424666572[[#This Row],[Response]])=TRUE,1,0)=2,Table4424666572[[#This Row],[Response]],"")</f>
        <v/>
      </c>
      <c r="L17" s="6">
        <f>IF(IF(Table4424666572[[#This Row],[Pre or Post]]="Post",1,0)+IF(ISNUMBER(Table4424666572[[#This Row],[Response]])=TRUE,1,0)=2,Table4424666572[[#This Row],[Response]],"")</f>
        <v>4</v>
      </c>
      <c r="M17" s="5" t="str">
        <f>IF(IF(ISNUMBER(K17),1,0)+IF(ISNUMBER(L18),1,0)=2,IF(IF(C18=C17,1,0)+IF(B18=B17,1,0)+IF(D18="Post",1,0)+IF(D17="Pre",1,0)=4,Table4424666572[[#This Row],[Pre Total]],""),"")</f>
        <v/>
      </c>
      <c r="N17" s="5" t="str">
        <f>IF(IF(ISNUMBER(K16),1,0)+IF(ISNUMBER(Table4424666572[[#This Row],[Post Total]]),1,0)=2,IF(IF(Table4424666572[[#This Row],[Student Number]]=C16,1,0)+IF(Table4424666572[[#This Row],[Session]]=B16,1,0)+IF(Table4424666572[[#This Row],[Pre or Post]]="Post",1,0)+IF(D16="Pre",1,0)=4,Table4424666572[[#This Row],[Post Total]],""),"")</f>
        <v/>
      </c>
      <c r="O17" s="5" t="str">
        <f>IF(IF(ISNUMBER(K16),1,0)+IF(ISNUMBER(Table4424666572[[#This Row],[Post Total]]),1,0)=2,IF(IF(Table4424666572[[#This Row],[Student Number]]=C16,1,0)+IF(Table4424666572[[#This Row],[Session]]=B16,1,0)+IF(Table4424666572[[#This Row],[Pre or Post]]="Post",1,0)+IF(D16="Pre",1,0)=4,Table4424666572[[#This Row],[Post Total]]-K16,""),"")</f>
        <v/>
      </c>
      <c r="P17" s="5" t="b">
        <f>ISNUMBER(Table4424666572[[#This Row],[Change]])</f>
        <v>0</v>
      </c>
      <c r="Q17" s="5" t="str">
        <f>IF(E16="Yes",Table4424666572[[#This Row],[Change]],"")</f>
        <v/>
      </c>
      <c r="R17" s="5" t="str">
        <f>IF(E16="No",Table4424666572[[#This Row],[Change]],"")</f>
        <v/>
      </c>
      <c r="S17" s="5" t="b">
        <f>ISNUMBER(Table4424666572[[#This Row],[If Pre5 Yes]])</f>
        <v>0</v>
      </c>
      <c r="T17" s="5" t="b">
        <f>ISNUMBER(Table4424666572[[#This Row],[If Pre5 No]])</f>
        <v>0</v>
      </c>
    </row>
    <row r="18" spans="1:20">
      <c r="A18" s="2" t="s">
        <v>24</v>
      </c>
      <c r="B18" s="2" t="s">
        <v>30</v>
      </c>
      <c r="C18" s="1">
        <v>17</v>
      </c>
      <c r="D18" s="2" t="s">
        <v>16</v>
      </c>
      <c r="E18" s="6"/>
      <c r="F18" s="1">
        <v>2</v>
      </c>
      <c r="G18" s="1">
        <v>3</v>
      </c>
      <c r="H18" s="2" t="s">
        <v>9</v>
      </c>
      <c r="I18" s="6" t="str">
        <f>IF(IF(Table4424666572[[#This Row],[Pre or Post]]="Pre",1,0)+IF(ISNUMBER(Table4424666572[[#This Row],[Response]])=TRUE,1,0)=2,1,"")</f>
        <v/>
      </c>
      <c r="J18" s="6">
        <f>IF(IF(Table4424666572[[#This Row],[Pre or Post]]="Post",1,0)+IF(ISNUMBER(Table4424666572[[#This Row],[Response]])=TRUE,1,0)=2,1,"")</f>
        <v>1</v>
      </c>
      <c r="K18" s="6" t="str">
        <f>IF(IF(Table4424666572[[#This Row],[Pre or Post]]="Pre",1,0)+IF(ISNUMBER(Table4424666572[[#This Row],[Response]])=TRUE,1,0)=2,Table4424666572[[#This Row],[Response]],"")</f>
        <v/>
      </c>
      <c r="L18" s="6">
        <f>IF(IF(Table4424666572[[#This Row],[Pre or Post]]="Post",1,0)+IF(ISNUMBER(Table4424666572[[#This Row],[Response]])=TRUE,1,0)=2,Table4424666572[[#This Row],[Response]],"")</f>
        <v>3</v>
      </c>
      <c r="M18" s="6" t="str">
        <f>IF(IF(ISNUMBER(K18),1,0)+IF(ISNUMBER(L19),1,0)=2,IF(IF(C19=C18,1,0)+IF(B19=B18,1,0)+IF(D19="Post",1,0)+IF(D18="Pre",1,0)=4,Table4424666572[[#This Row],[Pre Total]],""),"")</f>
        <v/>
      </c>
      <c r="N18" s="6" t="str">
        <f>IF(IF(ISNUMBER(K17),1,0)+IF(ISNUMBER(Table4424666572[[#This Row],[Post Total]]),1,0)=2,IF(IF(Table4424666572[[#This Row],[Student Number]]=C17,1,0)+IF(Table4424666572[[#This Row],[Session]]=B17,1,0)+IF(Table4424666572[[#This Row],[Pre or Post]]="Post",1,0)+IF(D17="Pre",1,0)=4,Table4424666572[[#This Row],[Post Total]],""),"")</f>
        <v/>
      </c>
      <c r="O18" s="6" t="str">
        <f>IF(IF(ISNUMBER(K17),1,0)+IF(ISNUMBER(Table4424666572[[#This Row],[Post Total]]),1,0)=2,IF(IF(Table4424666572[[#This Row],[Student Number]]=C17,1,0)+IF(Table4424666572[[#This Row],[Session]]=B17,1,0)+IF(Table4424666572[[#This Row],[Pre or Post]]="Post",1,0)+IF(D17="Pre",1,0)=4,Table4424666572[[#This Row],[Post Total]]-K17,""),"")</f>
        <v/>
      </c>
      <c r="P18" s="6" t="b">
        <f>ISNUMBER(Table4424666572[[#This Row],[Change]])</f>
        <v>0</v>
      </c>
      <c r="Q18" s="5" t="str">
        <f>IF(E17="Yes",Table4424666572[[#This Row],[Change]],"")</f>
        <v/>
      </c>
      <c r="R18" s="5" t="str">
        <f>IF(E17="No",Table4424666572[[#This Row],[Change]],"")</f>
        <v/>
      </c>
      <c r="S18" s="5" t="b">
        <f>ISNUMBER(Table4424666572[[#This Row],[If Pre5 Yes]])</f>
        <v>0</v>
      </c>
      <c r="T18" s="5" t="b">
        <f>ISNUMBER(Table4424666572[[#This Row],[If Pre5 No]])</f>
        <v>0</v>
      </c>
    </row>
    <row r="19" spans="1:20">
      <c r="A19" s="2" t="s">
        <v>24</v>
      </c>
      <c r="B19" s="2" t="s">
        <v>30</v>
      </c>
      <c r="C19" s="1">
        <v>18</v>
      </c>
      <c r="D19" s="2" t="s">
        <v>16</v>
      </c>
      <c r="E19" s="6"/>
      <c r="F19" s="1">
        <v>2</v>
      </c>
      <c r="G19" s="1">
        <v>3</v>
      </c>
      <c r="H19" s="2" t="s">
        <v>9</v>
      </c>
      <c r="I19" s="6" t="str">
        <f>IF(IF(Table4424666572[[#This Row],[Pre or Post]]="Pre",1,0)+IF(ISNUMBER(Table4424666572[[#This Row],[Response]])=TRUE,1,0)=2,1,"")</f>
        <v/>
      </c>
      <c r="J19" s="6">
        <f>IF(IF(Table4424666572[[#This Row],[Pre or Post]]="Post",1,0)+IF(ISNUMBER(Table4424666572[[#This Row],[Response]])=TRUE,1,0)=2,1,"")</f>
        <v>1</v>
      </c>
      <c r="K19" s="6" t="str">
        <f>IF(IF(Table4424666572[[#This Row],[Pre or Post]]="Pre",1,0)+IF(ISNUMBER(Table4424666572[[#This Row],[Response]])=TRUE,1,0)=2,Table4424666572[[#This Row],[Response]],"")</f>
        <v/>
      </c>
      <c r="L19" s="6">
        <f>IF(IF(Table4424666572[[#This Row],[Pre or Post]]="Post",1,0)+IF(ISNUMBER(Table4424666572[[#This Row],[Response]])=TRUE,1,0)=2,Table4424666572[[#This Row],[Response]],"")</f>
        <v>3</v>
      </c>
      <c r="M19" s="6" t="str">
        <f>IF(IF(ISNUMBER(K19),1,0)+IF(ISNUMBER(L20),1,0)=2,IF(IF(C20=C19,1,0)+IF(B20=B19,1,0)+IF(D20="Post",1,0)+IF(D19="Pre",1,0)=4,Table4424666572[[#This Row],[Pre Total]],""),"")</f>
        <v/>
      </c>
      <c r="N19" s="6" t="str">
        <f>IF(IF(ISNUMBER(K18),1,0)+IF(ISNUMBER(Table4424666572[[#This Row],[Post Total]]),1,0)=2,IF(IF(Table4424666572[[#This Row],[Student Number]]=C18,1,0)+IF(Table4424666572[[#This Row],[Session]]=B18,1,0)+IF(Table4424666572[[#This Row],[Pre or Post]]="Post",1,0)+IF(D18="Pre",1,0)=4,Table4424666572[[#This Row],[Post Total]],""),"")</f>
        <v/>
      </c>
      <c r="O19" s="6" t="str">
        <f>IF(IF(ISNUMBER(K18),1,0)+IF(ISNUMBER(Table4424666572[[#This Row],[Post Total]]),1,0)=2,IF(IF(Table4424666572[[#This Row],[Student Number]]=C18,1,0)+IF(Table4424666572[[#This Row],[Session]]=B18,1,0)+IF(Table4424666572[[#This Row],[Pre or Post]]="Post",1,0)+IF(D18="Pre",1,0)=4,Table4424666572[[#This Row],[Post Total]]-K18,""),"")</f>
        <v/>
      </c>
      <c r="P19" s="6" t="b">
        <f>ISNUMBER(Table4424666572[[#This Row],[Change]])</f>
        <v>0</v>
      </c>
      <c r="Q19" s="5" t="str">
        <f>IF(E18="Yes",Table4424666572[[#This Row],[Change]],"")</f>
        <v/>
      </c>
      <c r="R19" s="5" t="str">
        <f>IF(E18="No",Table4424666572[[#This Row],[Change]],"")</f>
        <v/>
      </c>
      <c r="S19" s="5" t="b">
        <f>ISNUMBER(Table4424666572[[#This Row],[If Pre5 Yes]])</f>
        <v>0</v>
      </c>
      <c r="T19" s="5" t="b">
        <f>ISNUMBER(Table4424666572[[#This Row],[If Pre5 No]])</f>
        <v>0</v>
      </c>
    </row>
    <row r="20" spans="1:20">
      <c r="A20" s="2" t="s">
        <v>24</v>
      </c>
      <c r="B20" s="2" t="s">
        <v>30</v>
      </c>
      <c r="C20" s="2">
        <v>19</v>
      </c>
      <c r="D20" s="2" t="s">
        <v>16</v>
      </c>
      <c r="E20" s="6"/>
      <c r="F20" s="1">
        <v>2</v>
      </c>
      <c r="G20" s="1">
        <v>3</v>
      </c>
      <c r="H20" s="2" t="s">
        <v>9</v>
      </c>
      <c r="I20" s="5" t="str">
        <f>IF(IF(Table4424666572[[#This Row],[Pre or Post]]="Pre",1,0)+IF(ISNUMBER(Table4424666572[[#This Row],[Response]])=TRUE,1,0)=2,1,"")</f>
        <v/>
      </c>
      <c r="J20" s="5">
        <f>IF(IF(Table4424666572[[#This Row],[Pre or Post]]="Post",1,0)+IF(ISNUMBER(Table4424666572[[#This Row],[Response]])=TRUE,1,0)=2,1,"")</f>
        <v>1</v>
      </c>
      <c r="K20" s="6" t="str">
        <f>IF(IF(Table4424666572[[#This Row],[Pre or Post]]="Pre",1,0)+IF(ISNUMBER(Table4424666572[[#This Row],[Response]])=TRUE,1,0)=2,Table4424666572[[#This Row],[Response]],"")</f>
        <v/>
      </c>
      <c r="L20" s="6">
        <f>IF(IF(Table4424666572[[#This Row],[Pre or Post]]="Post",1,0)+IF(ISNUMBER(Table4424666572[[#This Row],[Response]])=TRUE,1,0)=2,Table4424666572[[#This Row],[Response]],"")</f>
        <v>3</v>
      </c>
      <c r="M20" s="5" t="str">
        <f>IF(IF(ISNUMBER(K20),1,0)+IF(ISNUMBER(L21),1,0)=2,IF(IF(C21=C20,1,0)+IF(B21=B20,1,0)+IF(D21="Post",1,0)+IF(D20="Pre",1,0)=4,Table4424666572[[#This Row],[Pre Total]],""),"")</f>
        <v/>
      </c>
      <c r="N20" s="5" t="str">
        <f>IF(IF(ISNUMBER(K19),1,0)+IF(ISNUMBER(Table4424666572[[#This Row],[Post Total]]),1,0)=2,IF(IF(Table4424666572[[#This Row],[Student Number]]=C19,1,0)+IF(Table4424666572[[#This Row],[Session]]=B19,1,0)+IF(Table4424666572[[#This Row],[Pre or Post]]="Post",1,0)+IF(D19="Pre",1,0)=4,Table4424666572[[#This Row],[Post Total]],""),"")</f>
        <v/>
      </c>
      <c r="O20" s="5" t="str">
        <f>IF(IF(ISNUMBER(K19),1,0)+IF(ISNUMBER(Table4424666572[[#This Row],[Post Total]]),1,0)=2,IF(IF(Table4424666572[[#This Row],[Student Number]]=C19,1,0)+IF(Table4424666572[[#This Row],[Session]]=B19,1,0)+IF(Table4424666572[[#This Row],[Pre or Post]]="Post",1,0)+IF(D19="Pre",1,0)=4,Table4424666572[[#This Row],[Post Total]]-K19,""),"")</f>
        <v/>
      </c>
      <c r="P20" s="5" t="b">
        <f>ISNUMBER(Table4424666572[[#This Row],[Change]])</f>
        <v>0</v>
      </c>
      <c r="Q20" s="5" t="str">
        <f>IF(E19="Yes",Table4424666572[[#This Row],[Change]],"")</f>
        <v/>
      </c>
      <c r="R20" s="5" t="str">
        <f>IF(E19="No",Table4424666572[[#This Row],[Change]],"")</f>
        <v/>
      </c>
      <c r="S20" s="5" t="b">
        <f>ISNUMBER(Table4424666572[[#This Row],[If Pre5 Yes]])</f>
        <v>0</v>
      </c>
      <c r="T20" s="5" t="b">
        <f>ISNUMBER(Table4424666572[[#This Row],[If Pre5 No]])</f>
        <v>0</v>
      </c>
    </row>
    <row r="21" spans="1:20">
      <c r="A21" s="1" t="s">
        <v>24</v>
      </c>
      <c r="B21" s="1" t="s">
        <v>23</v>
      </c>
      <c r="C21" s="1">
        <v>1</v>
      </c>
      <c r="D21" s="1" t="s">
        <v>6</v>
      </c>
      <c r="E21" s="5" t="s">
        <v>8</v>
      </c>
      <c r="F21" s="1">
        <v>9</v>
      </c>
      <c r="G21" s="1">
        <v>3</v>
      </c>
      <c r="H21" s="1" t="s">
        <v>8</v>
      </c>
      <c r="I21" s="5">
        <f>IF(IF(Table4424666572[[#This Row],[Pre or Post]]="Pre",1,0)+IF(ISNUMBER(Table4424666572[[#This Row],[Response]])=TRUE,1,0)=2,1,"")</f>
        <v>1</v>
      </c>
      <c r="J21" s="5" t="str">
        <f>IF(IF(Table4424666572[[#This Row],[Pre or Post]]="Post",1,0)+IF(ISNUMBER(Table4424666572[[#This Row],[Response]])=TRUE,1,0)=2,1,"")</f>
        <v/>
      </c>
      <c r="K21" s="6">
        <f>IF(IF(Table4424666572[[#This Row],[Pre or Post]]="Pre",1,0)+IF(ISNUMBER(Table4424666572[[#This Row],[Response]])=TRUE,1,0)=2,Table4424666572[[#This Row],[Response]],"")</f>
        <v>3</v>
      </c>
      <c r="L21" s="6" t="str">
        <f>IF(IF(Table4424666572[[#This Row],[Pre or Post]]="Post",1,0)+IF(ISNUMBER(Table4424666572[[#This Row],[Response]])=TRUE,1,0)=2,Table4424666572[[#This Row],[Response]],"")</f>
        <v/>
      </c>
      <c r="M21" s="5">
        <f>IF(IF(ISNUMBER(K21),1,0)+IF(ISNUMBER(L22),1,0)=2,IF(IF(C22=C21,1,0)+IF(B22=B21,1,0)+IF(D22="Post",1,0)+IF(D21="Pre",1,0)=4,Table4424666572[[#This Row],[Pre Total]],""),"")</f>
        <v>3</v>
      </c>
      <c r="N21" s="5" t="str">
        <f>IF(IF(ISNUMBER(K20),1,0)+IF(ISNUMBER(Table4424666572[[#This Row],[Post Total]]),1,0)=2,IF(IF(Table4424666572[[#This Row],[Student Number]]=C20,1,0)+IF(Table4424666572[[#This Row],[Session]]=B20,1,0)+IF(Table4424666572[[#This Row],[Pre or Post]]="Post",1,0)+IF(D20="Pre",1,0)=4,Table4424666572[[#This Row],[Post Total]],""),"")</f>
        <v/>
      </c>
      <c r="O21" s="5" t="str">
        <f>IF(IF(ISNUMBER(K20),1,0)+IF(ISNUMBER(Table4424666572[[#This Row],[Post Total]]),1,0)=2,IF(IF(Table4424666572[[#This Row],[Student Number]]=C20,1,0)+IF(Table4424666572[[#This Row],[Session]]=B20,1,0)+IF(Table4424666572[[#This Row],[Pre or Post]]="Post",1,0)+IF(D20="Pre",1,0)=4,Table4424666572[[#This Row],[Post Total]]-K20,""),"")</f>
        <v/>
      </c>
      <c r="P21" s="5" t="b">
        <f>ISNUMBER(Table4424666572[[#This Row],[Change]])</f>
        <v>0</v>
      </c>
      <c r="Q21" s="5" t="str">
        <f>IF(E20="Yes",Table4424666572[[#This Row],[Change]],"")</f>
        <v/>
      </c>
      <c r="R21" s="5" t="str">
        <f>IF(E20="No",Table4424666572[[#This Row],[Change]],"")</f>
        <v/>
      </c>
      <c r="S21" s="5" t="b">
        <f>ISNUMBER(Table4424666572[[#This Row],[If Pre5 Yes]])</f>
        <v>0</v>
      </c>
      <c r="T21" s="5" t="b">
        <f>ISNUMBER(Table4424666572[[#This Row],[If Pre5 No]])</f>
        <v>0</v>
      </c>
    </row>
    <row r="22" spans="1:20">
      <c r="A22" s="1" t="s">
        <v>24</v>
      </c>
      <c r="B22" s="1" t="s">
        <v>23</v>
      </c>
      <c r="C22" s="1">
        <v>1</v>
      </c>
      <c r="D22" s="1" t="s">
        <v>16</v>
      </c>
      <c r="E22" s="5"/>
      <c r="F22" s="1">
        <v>2</v>
      </c>
      <c r="G22" s="1">
        <v>2</v>
      </c>
      <c r="H22" s="1" t="s">
        <v>8</v>
      </c>
      <c r="I22" s="6" t="str">
        <f>IF(IF(Table4424666572[[#This Row],[Pre or Post]]="Pre",1,0)+IF(ISNUMBER(Table4424666572[[#This Row],[Response]])=TRUE,1,0)=2,1,"")</f>
        <v/>
      </c>
      <c r="J22" s="6">
        <f>IF(IF(Table4424666572[[#This Row],[Pre or Post]]="Post",1,0)+IF(ISNUMBER(Table4424666572[[#This Row],[Response]])=TRUE,1,0)=2,1,"")</f>
        <v>1</v>
      </c>
      <c r="K22" s="6" t="str">
        <f>IF(IF(Table4424666572[[#This Row],[Pre or Post]]="Pre",1,0)+IF(ISNUMBER(Table4424666572[[#This Row],[Response]])=TRUE,1,0)=2,Table4424666572[[#This Row],[Response]],"")</f>
        <v/>
      </c>
      <c r="L22" s="6">
        <f>IF(IF(Table4424666572[[#This Row],[Pre or Post]]="Post",1,0)+IF(ISNUMBER(Table4424666572[[#This Row],[Response]])=TRUE,1,0)=2,Table4424666572[[#This Row],[Response]],"")</f>
        <v>2</v>
      </c>
      <c r="M22" s="6" t="str">
        <f>IF(IF(ISNUMBER(K22),1,0)+IF(ISNUMBER(L23),1,0)=2,IF(IF(C23=C22,1,0)+IF(B23=B22,1,0)+IF(D23="Post",1,0)+IF(D22="Pre",1,0)=4,Table4424666572[[#This Row],[Pre Total]],""),"")</f>
        <v/>
      </c>
      <c r="N22" s="6">
        <f>IF(IF(ISNUMBER(K21),1,0)+IF(ISNUMBER(Table4424666572[[#This Row],[Post Total]]),1,0)=2,IF(IF(Table4424666572[[#This Row],[Student Number]]=C21,1,0)+IF(Table4424666572[[#This Row],[Session]]=B21,1,0)+IF(Table4424666572[[#This Row],[Pre or Post]]="Post",1,0)+IF(D21="Pre",1,0)=4,Table4424666572[[#This Row],[Post Total]],""),"")</f>
        <v>2</v>
      </c>
      <c r="O22" s="6">
        <f>IF(IF(ISNUMBER(K21),1,0)+IF(ISNUMBER(Table4424666572[[#This Row],[Post Total]]),1,0)=2,IF(IF(Table4424666572[[#This Row],[Student Number]]=C21,1,0)+IF(Table4424666572[[#This Row],[Session]]=B21,1,0)+IF(Table4424666572[[#This Row],[Pre or Post]]="Post",1,0)+IF(D21="Pre",1,0)=4,Table4424666572[[#This Row],[Post Total]]-K21,""),"")</f>
        <v>-1</v>
      </c>
      <c r="P22" s="6" t="b">
        <f>ISNUMBER(Table4424666572[[#This Row],[Change]])</f>
        <v>1</v>
      </c>
      <c r="Q22" s="5">
        <f>IF(E21="Yes",Table4424666572[[#This Row],[Change]],"")</f>
        <v>-1</v>
      </c>
      <c r="R22" s="5" t="str">
        <f>IF(E21="No",Table4424666572[[#This Row],[Change]],"")</f>
        <v/>
      </c>
      <c r="S22" s="5" t="b">
        <f>ISNUMBER(Table4424666572[[#This Row],[If Pre5 Yes]])</f>
        <v>1</v>
      </c>
      <c r="T22" s="5" t="b">
        <f>ISNUMBER(Table4424666572[[#This Row],[If Pre5 No]])</f>
        <v>0</v>
      </c>
    </row>
    <row r="23" spans="1:20">
      <c r="A23" s="1" t="s">
        <v>24</v>
      </c>
      <c r="B23" s="1" t="s">
        <v>23</v>
      </c>
      <c r="C23" s="1">
        <v>2</v>
      </c>
      <c r="D23" s="1" t="s">
        <v>6</v>
      </c>
      <c r="E23" s="5" t="s">
        <v>8</v>
      </c>
      <c r="F23" s="1">
        <v>9</v>
      </c>
      <c r="G23" s="1">
        <v>1</v>
      </c>
      <c r="H23" s="1" t="s">
        <v>8</v>
      </c>
      <c r="I23" s="6">
        <f>IF(IF(Table4424666572[[#This Row],[Pre or Post]]="Pre",1,0)+IF(ISNUMBER(Table4424666572[[#This Row],[Response]])=TRUE,1,0)=2,1,"")</f>
        <v>1</v>
      </c>
      <c r="J23" s="6" t="str">
        <f>IF(IF(Table4424666572[[#This Row],[Pre or Post]]="Post",1,0)+IF(ISNUMBER(Table4424666572[[#This Row],[Response]])=TRUE,1,0)=2,1,"")</f>
        <v/>
      </c>
      <c r="K23" s="6">
        <f>IF(IF(Table4424666572[[#This Row],[Pre or Post]]="Pre",1,0)+IF(ISNUMBER(Table4424666572[[#This Row],[Response]])=TRUE,1,0)=2,Table4424666572[[#This Row],[Response]],"")</f>
        <v>1</v>
      </c>
      <c r="L23" s="6" t="str">
        <f>IF(IF(Table4424666572[[#This Row],[Pre or Post]]="Post",1,0)+IF(ISNUMBER(Table4424666572[[#This Row],[Response]])=TRUE,1,0)=2,Table4424666572[[#This Row],[Response]],"")</f>
        <v/>
      </c>
      <c r="M23" s="6">
        <f>IF(IF(ISNUMBER(K23),1,0)+IF(ISNUMBER(L24),1,0)=2,IF(IF(C24=C23,1,0)+IF(B24=B23,1,0)+IF(D24="Post",1,0)+IF(D23="Pre",1,0)=4,Table4424666572[[#This Row],[Pre Total]],""),"")</f>
        <v>1</v>
      </c>
      <c r="N23" s="6" t="str">
        <f>IF(IF(ISNUMBER(K22),1,0)+IF(ISNUMBER(Table4424666572[[#This Row],[Post Total]]),1,0)=2,IF(IF(Table4424666572[[#This Row],[Student Number]]=C22,1,0)+IF(Table4424666572[[#This Row],[Session]]=B22,1,0)+IF(Table4424666572[[#This Row],[Pre or Post]]="Post",1,0)+IF(D22="Pre",1,0)=4,Table4424666572[[#This Row],[Post Total]],""),"")</f>
        <v/>
      </c>
      <c r="O23" s="6" t="str">
        <f>IF(IF(ISNUMBER(K22),1,0)+IF(ISNUMBER(Table4424666572[[#This Row],[Post Total]]),1,0)=2,IF(IF(Table4424666572[[#This Row],[Student Number]]=C22,1,0)+IF(Table4424666572[[#This Row],[Session]]=B22,1,0)+IF(Table4424666572[[#This Row],[Pre or Post]]="Post",1,0)+IF(D22="Pre",1,0)=4,Table4424666572[[#This Row],[Post Total]]-K22,""),"")</f>
        <v/>
      </c>
      <c r="P23" s="6" t="b">
        <f>ISNUMBER(Table4424666572[[#This Row],[Change]])</f>
        <v>0</v>
      </c>
      <c r="Q23" s="5" t="str">
        <f>IF(E22="Yes",Table4424666572[[#This Row],[Change]],"")</f>
        <v/>
      </c>
      <c r="R23" s="5" t="str">
        <f>IF(E22="No",Table4424666572[[#This Row],[Change]],"")</f>
        <v/>
      </c>
      <c r="S23" s="5" t="b">
        <f>ISNUMBER(Table4424666572[[#This Row],[If Pre5 Yes]])</f>
        <v>0</v>
      </c>
      <c r="T23" s="5" t="b">
        <f>ISNUMBER(Table4424666572[[#This Row],[If Pre5 No]])</f>
        <v>0</v>
      </c>
    </row>
    <row r="24" spans="1:20">
      <c r="A24" s="1" t="s">
        <v>24</v>
      </c>
      <c r="B24" s="1" t="s">
        <v>23</v>
      </c>
      <c r="C24" s="1">
        <v>2</v>
      </c>
      <c r="D24" s="1" t="s">
        <v>16</v>
      </c>
      <c r="E24" s="5"/>
      <c r="F24" s="1">
        <v>2</v>
      </c>
      <c r="G24" s="1">
        <v>1</v>
      </c>
      <c r="H24" s="1" t="s">
        <v>8</v>
      </c>
      <c r="I24" s="6" t="str">
        <f>IF(IF(Table4424666572[[#This Row],[Pre or Post]]="Pre",1,0)+IF(ISNUMBER(Table4424666572[[#This Row],[Response]])=TRUE,1,0)=2,1,"")</f>
        <v/>
      </c>
      <c r="J24" s="6">
        <f>IF(IF(Table4424666572[[#This Row],[Pre or Post]]="Post",1,0)+IF(ISNUMBER(Table4424666572[[#This Row],[Response]])=TRUE,1,0)=2,1,"")</f>
        <v>1</v>
      </c>
      <c r="K24" s="6" t="str">
        <f>IF(IF(Table4424666572[[#This Row],[Pre or Post]]="Pre",1,0)+IF(ISNUMBER(Table4424666572[[#This Row],[Response]])=TRUE,1,0)=2,Table4424666572[[#This Row],[Response]],"")</f>
        <v/>
      </c>
      <c r="L24" s="6">
        <f>IF(IF(Table4424666572[[#This Row],[Pre or Post]]="Post",1,0)+IF(ISNUMBER(Table4424666572[[#This Row],[Response]])=TRUE,1,0)=2,Table4424666572[[#This Row],[Response]],"")</f>
        <v>1</v>
      </c>
      <c r="M24" s="6" t="str">
        <f>IF(IF(ISNUMBER(K24),1,0)+IF(ISNUMBER(L25),1,0)=2,IF(IF(C25=C24,1,0)+IF(B25=B24,1,0)+IF(D25="Post",1,0)+IF(D24="Pre",1,0)=4,Table4424666572[[#This Row],[Pre Total]],""),"")</f>
        <v/>
      </c>
      <c r="N24" s="6">
        <f>IF(IF(ISNUMBER(K23),1,0)+IF(ISNUMBER(Table4424666572[[#This Row],[Post Total]]),1,0)=2,IF(IF(Table4424666572[[#This Row],[Student Number]]=C23,1,0)+IF(Table4424666572[[#This Row],[Session]]=B23,1,0)+IF(Table4424666572[[#This Row],[Pre or Post]]="Post",1,0)+IF(D23="Pre",1,0)=4,Table4424666572[[#This Row],[Post Total]],""),"")</f>
        <v>1</v>
      </c>
      <c r="O24" s="6">
        <f>IF(IF(ISNUMBER(K23),1,0)+IF(ISNUMBER(Table4424666572[[#This Row],[Post Total]]),1,0)=2,IF(IF(Table4424666572[[#This Row],[Student Number]]=C23,1,0)+IF(Table4424666572[[#This Row],[Session]]=B23,1,0)+IF(Table4424666572[[#This Row],[Pre or Post]]="Post",1,0)+IF(D23="Pre",1,0)=4,Table4424666572[[#This Row],[Post Total]]-K23,""),"")</f>
        <v>0</v>
      </c>
      <c r="P24" s="6" t="b">
        <f>ISNUMBER(Table4424666572[[#This Row],[Change]])</f>
        <v>1</v>
      </c>
      <c r="Q24" s="5">
        <f>IF(E23="Yes",Table4424666572[[#This Row],[Change]],"")</f>
        <v>0</v>
      </c>
      <c r="R24" s="5" t="str">
        <f>IF(E23="No",Table4424666572[[#This Row],[Change]],"")</f>
        <v/>
      </c>
      <c r="S24" s="5" t="b">
        <f>ISNUMBER(Table4424666572[[#This Row],[If Pre5 Yes]])</f>
        <v>1</v>
      </c>
      <c r="T24" s="5" t="b">
        <f>ISNUMBER(Table4424666572[[#This Row],[If Pre5 No]])</f>
        <v>0</v>
      </c>
    </row>
    <row r="25" spans="1:20">
      <c r="A25" s="1" t="s">
        <v>24</v>
      </c>
      <c r="B25" s="1" t="s">
        <v>23</v>
      </c>
      <c r="C25" s="1">
        <v>3</v>
      </c>
      <c r="D25" s="1" t="s">
        <v>6</v>
      </c>
      <c r="E25" s="5" t="s">
        <v>9</v>
      </c>
      <c r="F25" s="1">
        <v>9</v>
      </c>
      <c r="G25" s="1">
        <v>2</v>
      </c>
      <c r="H25" s="1" t="s">
        <v>8</v>
      </c>
      <c r="I25" s="5">
        <f>IF(IF(Table4424666572[[#This Row],[Pre or Post]]="Pre",1,0)+IF(ISNUMBER(Table4424666572[[#This Row],[Response]])=TRUE,1,0)=2,1,"")</f>
        <v>1</v>
      </c>
      <c r="J25" s="5" t="str">
        <f>IF(IF(Table4424666572[[#This Row],[Pre or Post]]="Post",1,0)+IF(ISNUMBER(Table4424666572[[#This Row],[Response]])=TRUE,1,0)=2,1,"")</f>
        <v/>
      </c>
      <c r="K25" s="6">
        <f>IF(IF(Table4424666572[[#This Row],[Pre or Post]]="Pre",1,0)+IF(ISNUMBER(Table4424666572[[#This Row],[Response]])=TRUE,1,0)=2,Table4424666572[[#This Row],[Response]],"")</f>
        <v>2</v>
      </c>
      <c r="L25" s="6" t="str">
        <f>IF(IF(Table4424666572[[#This Row],[Pre or Post]]="Post",1,0)+IF(ISNUMBER(Table4424666572[[#This Row],[Response]])=TRUE,1,0)=2,Table4424666572[[#This Row],[Response]],"")</f>
        <v/>
      </c>
      <c r="M25" s="5">
        <f>IF(IF(ISNUMBER(K25),1,0)+IF(ISNUMBER(L26),1,0)=2,IF(IF(C26=C25,1,0)+IF(B26=B25,1,0)+IF(D26="Post",1,0)+IF(D25="Pre",1,0)=4,Table4424666572[[#This Row],[Pre Total]],""),"")</f>
        <v>2</v>
      </c>
      <c r="N25" s="5" t="str">
        <f>IF(IF(ISNUMBER(K24),1,0)+IF(ISNUMBER(Table4424666572[[#This Row],[Post Total]]),1,0)=2,IF(IF(Table4424666572[[#This Row],[Student Number]]=C24,1,0)+IF(Table4424666572[[#This Row],[Session]]=B24,1,0)+IF(Table4424666572[[#This Row],[Pre or Post]]="Post",1,0)+IF(D24="Pre",1,0)=4,Table4424666572[[#This Row],[Post Total]],""),"")</f>
        <v/>
      </c>
      <c r="O25" s="5" t="str">
        <f>IF(IF(ISNUMBER(K24),1,0)+IF(ISNUMBER(Table4424666572[[#This Row],[Post Total]]),1,0)=2,IF(IF(Table4424666572[[#This Row],[Student Number]]=C24,1,0)+IF(Table4424666572[[#This Row],[Session]]=B24,1,0)+IF(Table4424666572[[#This Row],[Pre or Post]]="Post",1,0)+IF(D24="Pre",1,0)=4,Table4424666572[[#This Row],[Post Total]]-K24,""),"")</f>
        <v/>
      </c>
      <c r="P25" s="5" t="b">
        <f>ISNUMBER(Table4424666572[[#This Row],[Change]])</f>
        <v>0</v>
      </c>
      <c r="Q25" s="5" t="str">
        <f>IF(E24="Yes",Table4424666572[[#This Row],[Change]],"")</f>
        <v/>
      </c>
      <c r="R25" s="5" t="str">
        <f>IF(E24="No",Table4424666572[[#This Row],[Change]],"")</f>
        <v/>
      </c>
      <c r="S25" s="5" t="b">
        <f>ISNUMBER(Table4424666572[[#This Row],[If Pre5 Yes]])</f>
        <v>0</v>
      </c>
      <c r="T25" s="5" t="b">
        <f>ISNUMBER(Table4424666572[[#This Row],[If Pre5 No]])</f>
        <v>0</v>
      </c>
    </row>
    <row r="26" spans="1:20">
      <c r="A26" s="1" t="s">
        <v>24</v>
      </c>
      <c r="B26" s="1" t="s">
        <v>23</v>
      </c>
      <c r="C26" s="1">
        <v>3</v>
      </c>
      <c r="D26" s="1" t="s">
        <v>16</v>
      </c>
      <c r="E26" s="5"/>
      <c r="F26" s="1">
        <v>2</v>
      </c>
      <c r="G26" s="1">
        <v>3</v>
      </c>
      <c r="H26" s="1" t="s">
        <v>8</v>
      </c>
      <c r="I26" s="5" t="str">
        <f>IF(IF(Table4424666572[[#This Row],[Pre or Post]]="Pre",1,0)+IF(ISNUMBER(Table4424666572[[#This Row],[Response]])=TRUE,1,0)=2,1,"")</f>
        <v/>
      </c>
      <c r="J26" s="5">
        <f>IF(IF(Table4424666572[[#This Row],[Pre or Post]]="Post",1,0)+IF(ISNUMBER(Table4424666572[[#This Row],[Response]])=TRUE,1,0)=2,1,"")</f>
        <v>1</v>
      </c>
      <c r="K26" s="6" t="str">
        <f>IF(IF(Table4424666572[[#This Row],[Pre or Post]]="Pre",1,0)+IF(ISNUMBER(Table4424666572[[#This Row],[Response]])=TRUE,1,0)=2,Table4424666572[[#This Row],[Response]],"")</f>
        <v/>
      </c>
      <c r="L26" s="6">
        <f>IF(IF(Table4424666572[[#This Row],[Pre or Post]]="Post",1,0)+IF(ISNUMBER(Table4424666572[[#This Row],[Response]])=TRUE,1,0)=2,Table4424666572[[#This Row],[Response]],"")</f>
        <v>3</v>
      </c>
      <c r="M26" s="5" t="str">
        <f>IF(IF(ISNUMBER(K26),1,0)+IF(ISNUMBER(L27),1,0)=2,IF(IF(C27=C26,1,0)+IF(B27=B26,1,0)+IF(D27="Post",1,0)+IF(D26="Pre",1,0)=4,Table4424666572[[#This Row],[Pre Total]],""),"")</f>
        <v/>
      </c>
      <c r="N26" s="5">
        <f>IF(IF(ISNUMBER(K25),1,0)+IF(ISNUMBER(Table4424666572[[#This Row],[Post Total]]),1,0)=2,IF(IF(Table4424666572[[#This Row],[Student Number]]=C25,1,0)+IF(Table4424666572[[#This Row],[Session]]=B25,1,0)+IF(Table4424666572[[#This Row],[Pre or Post]]="Post",1,0)+IF(D25="Pre",1,0)=4,Table4424666572[[#This Row],[Post Total]],""),"")</f>
        <v>3</v>
      </c>
      <c r="O26" s="5">
        <f>IF(IF(ISNUMBER(K25),1,0)+IF(ISNUMBER(Table4424666572[[#This Row],[Post Total]]),1,0)=2,IF(IF(Table4424666572[[#This Row],[Student Number]]=C25,1,0)+IF(Table4424666572[[#This Row],[Session]]=B25,1,0)+IF(Table4424666572[[#This Row],[Pre or Post]]="Post",1,0)+IF(D25="Pre",1,0)=4,Table4424666572[[#This Row],[Post Total]]-K25,""),"")</f>
        <v>1</v>
      </c>
      <c r="P26" s="5" t="b">
        <f>ISNUMBER(Table4424666572[[#This Row],[Change]])</f>
        <v>1</v>
      </c>
      <c r="Q26" s="5" t="str">
        <f>IF(E25="Yes",Table4424666572[[#This Row],[Change]],"")</f>
        <v/>
      </c>
      <c r="R26" s="5">
        <f>IF(E25="No",Table4424666572[[#This Row],[Change]],"")</f>
        <v>1</v>
      </c>
      <c r="S26" s="5" t="b">
        <f>ISNUMBER(Table4424666572[[#This Row],[If Pre5 Yes]])</f>
        <v>0</v>
      </c>
      <c r="T26" s="5" t="b">
        <f>ISNUMBER(Table4424666572[[#This Row],[If Pre5 No]])</f>
        <v>1</v>
      </c>
    </row>
    <row r="27" spans="1:20">
      <c r="A27" s="1" t="s">
        <v>24</v>
      </c>
      <c r="B27" s="1" t="s">
        <v>23</v>
      </c>
      <c r="C27" s="1">
        <v>4</v>
      </c>
      <c r="D27" s="1" t="s">
        <v>6</v>
      </c>
      <c r="E27" s="5" t="s">
        <v>9</v>
      </c>
      <c r="F27" s="1">
        <v>9</v>
      </c>
      <c r="G27" s="1">
        <v>3</v>
      </c>
      <c r="H27" s="1" t="s">
        <v>8</v>
      </c>
      <c r="I27" s="6">
        <f>IF(IF(Table4424666572[[#This Row],[Pre or Post]]="Pre",1,0)+IF(ISNUMBER(Table4424666572[[#This Row],[Response]])=TRUE,1,0)=2,1,"")</f>
        <v>1</v>
      </c>
      <c r="J27" s="6" t="str">
        <f>IF(IF(Table4424666572[[#This Row],[Pre or Post]]="Post",1,0)+IF(ISNUMBER(Table4424666572[[#This Row],[Response]])=TRUE,1,0)=2,1,"")</f>
        <v/>
      </c>
      <c r="K27" s="6">
        <f>IF(IF(Table4424666572[[#This Row],[Pre or Post]]="Pre",1,0)+IF(ISNUMBER(Table4424666572[[#This Row],[Response]])=TRUE,1,0)=2,Table4424666572[[#This Row],[Response]],"")</f>
        <v>3</v>
      </c>
      <c r="L27" s="6" t="str">
        <f>IF(IF(Table4424666572[[#This Row],[Pre or Post]]="Post",1,0)+IF(ISNUMBER(Table4424666572[[#This Row],[Response]])=TRUE,1,0)=2,Table4424666572[[#This Row],[Response]],"")</f>
        <v/>
      </c>
      <c r="M27" s="6">
        <f>IF(IF(ISNUMBER(K27),1,0)+IF(ISNUMBER(L28),1,0)=2,IF(IF(C28=C27,1,0)+IF(B28=B27,1,0)+IF(D28="Post",1,0)+IF(D27="Pre",1,0)=4,Table4424666572[[#This Row],[Pre Total]],""),"")</f>
        <v>3</v>
      </c>
      <c r="N27" s="6" t="str">
        <f>IF(IF(ISNUMBER(K26),1,0)+IF(ISNUMBER(Table4424666572[[#This Row],[Post Total]]),1,0)=2,IF(IF(Table4424666572[[#This Row],[Student Number]]=C26,1,0)+IF(Table4424666572[[#This Row],[Session]]=B26,1,0)+IF(Table4424666572[[#This Row],[Pre or Post]]="Post",1,0)+IF(D26="Pre",1,0)=4,Table4424666572[[#This Row],[Post Total]],""),"")</f>
        <v/>
      </c>
      <c r="O27" s="6" t="str">
        <f>IF(IF(ISNUMBER(K26),1,0)+IF(ISNUMBER(Table4424666572[[#This Row],[Post Total]]),1,0)=2,IF(IF(Table4424666572[[#This Row],[Student Number]]=C26,1,0)+IF(Table4424666572[[#This Row],[Session]]=B26,1,0)+IF(Table4424666572[[#This Row],[Pre or Post]]="Post",1,0)+IF(D26="Pre",1,0)=4,Table4424666572[[#This Row],[Post Total]]-K26,""),"")</f>
        <v/>
      </c>
      <c r="P27" s="6" t="b">
        <f>ISNUMBER(Table4424666572[[#This Row],[Change]])</f>
        <v>0</v>
      </c>
      <c r="Q27" s="5" t="str">
        <f>IF(E26="Yes",Table4424666572[[#This Row],[Change]],"")</f>
        <v/>
      </c>
      <c r="R27" s="5" t="str">
        <f>IF(E26="No",Table4424666572[[#This Row],[Change]],"")</f>
        <v/>
      </c>
      <c r="S27" s="5" t="b">
        <f>ISNUMBER(Table4424666572[[#This Row],[If Pre5 Yes]])</f>
        <v>0</v>
      </c>
      <c r="T27" s="5" t="b">
        <f>ISNUMBER(Table4424666572[[#This Row],[If Pre5 No]])</f>
        <v>0</v>
      </c>
    </row>
    <row r="28" spans="1:20">
      <c r="A28" s="1" t="s">
        <v>24</v>
      </c>
      <c r="B28" s="1" t="s">
        <v>23</v>
      </c>
      <c r="C28" s="1">
        <v>4</v>
      </c>
      <c r="D28" s="1" t="s">
        <v>16</v>
      </c>
      <c r="E28" s="5"/>
      <c r="F28" s="1">
        <v>2</v>
      </c>
      <c r="G28" s="1">
        <v>3</v>
      </c>
      <c r="H28" s="1" t="s">
        <v>8</v>
      </c>
      <c r="I28" s="5" t="str">
        <f>IF(IF(Table4424666572[[#This Row],[Pre or Post]]="Pre",1,0)+IF(ISNUMBER(Table4424666572[[#This Row],[Response]])=TRUE,1,0)=2,1,"")</f>
        <v/>
      </c>
      <c r="J28" s="5">
        <f>IF(IF(Table4424666572[[#This Row],[Pre or Post]]="Post",1,0)+IF(ISNUMBER(Table4424666572[[#This Row],[Response]])=TRUE,1,0)=2,1,"")</f>
        <v>1</v>
      </c>
      <c r="K28" s="6" t="str">
        <f>IF(IF(Table4424666572[[#This Row],[Pre or Post]]="Pre",1,0)+IF(ISNUMBER(Table4424666572[[#This Row],[Response]])=TRUE,1,0)=2,Table4424666572[[#This Row],[Response]],"")</f>
        <v/>
      </c>
      <c r="L28" s="6">
        <f>IF(IF(Table4424666572[[#This Row],[Pre or Post]]="Post",1,0)+IF(ISNUMBER(Table4424666572[[#This Row],[Response]])=TRUE,1,0)=2,Table4424666572[[#This Row],[Response]],"")</f>
        <v>3</v>
      </c>
      <c r="M28" s="5" t="str">
        <f>IF(IF(ISNUMBER(K28),1,0)+IF(ISNUMBER(L29),1,0)=2,IF(IF(C29=C28,1,0)+IF(B29=B28,1,0)+IF(D29="Post",1,0)+IF(D28="Pre",1,0)=4,Table4424666572[[#This Row],[Pre Total]],""),"")</f>
        <v/>
      </c>
      <c r="N28" s="5">
        <f>IF(IF(ISNUMBER(K27),1,0)+IF(ISNUMBER(Table4424666572[[#This Row],[Post Total]]),1,0)=2,IF(IF(Table4424666572[[#This Row],[Student Number]]=C27,1,0)+IF(Table4424666572[[#This Row],[Session]]=B27,1,0)+IF(Table4424666572[[#This Row],[Pre or Post]]="Post",1,0)+IF(D27="Pre",1,0)=4,Table4424666572[[#This Row],[Post Total]],""),"")</f>
        <v>3</v>
      </c>
      <c r="O28" s="5">
        <f>IF(IF(ISNUMBER(K27),1,0)+IF(ISNUMBER(Table4424666572[[#This Row],[Post Total]]),1,0)=2,IF(IF(Table4424666572[[#This Row],[Student Number]]=C27,1,0)+IF(Table4424666572[[#This Row],[Session]]=B27,1,0)+IF(Table4424666572[[#This Row],[Pre or Post]]="Post",1,0)+IF(D27="Pre",1,0)=4,Table4424666572[[#This Row],[Post Total]]-K27,""),"")</f>
        <v>0</v>
      </c>
      <c r="P28" s="5" t="b">
        <f>ISNUMBER(Table4424666572[[#This Row],[Change]])</f>
        <v>1</v>
      </c>
      <c r="Q28" s="5" t="str">
        <f>IF(E27="Yes",Table4424666572[[#This Row],[Change]],"")</f>
        <v/>
      </c>
      <c r="R28" s="5">
        <f>IF(E27="No",Table4424666572[[#This Row],[Change]],"")</f>
        <v>0</v>
      </c>
      <c r="S28" s="5" t="b">
        <f>ISNUMBER(Table4424666572[[#This Row],[If Pre5 Yes]])</f>
        <v>0</v>
      </c>
      <c r="T28" s="5" t="b">
        <f>ISNUMBER(Table4424666572[[#This Row],[If Pre5 No]])</f>
        <v>1</v>
      </c>
    </row>
    <row r="29" spans="1:20">
      <c r="A29" s="1" t="s">
        <v>24</v>
      </c>
      <c r="B29" s="1" t="s">
        <v>23</v>
      </c>
      <c r="C29" s="1">
        <v>5</v>
      </c>
      <c r="D29" s="1" t="s">
        <v>6</v>
      </c>
      <c r="E29" s="5" t="s">
        <v>8</v>
      </c>
      <c r="F29" s="1">
        <v>9</v>
      </c>
      <c r="G29" s="1">
        <v>2</v>
      </c>
      <c r="H29" s="1" t="s">
        <v>8</v>
      </c>
      <c r="I29" s="5">
        <f>IF(IF(Table4424666572[[#This Row],[Pre or Post]]="Pre",1,0)+IF(ISNUMBER(Table4424666572[[#This Row],[Response]])=TRUE,1,0)=2,1,"")</f>
        <v>1</v>
      </c>
      <c r="J29" s="5" t="str">
        <f>IF(IF(Table4424666572[[#This Row],[Pre or Post]]="Post",1,0)+IF(ISNUMBER(Table4424666572[[#This Row],[Response]])=TRUE,1,0)=2,1,"")</f>
        <v/>
      </c>
      <c r="K29" s="6">
        <f>IF(IF(Table4424666572[[#This Row],[Pre or Post]]="Pre",1,0)+IF(ISNUMBER(Table4424666572[[#This Row],[Response]])=TRUE,1,0)=2,Table4424666572[[#This Row],[Response]],"")</f>
        <v>2</v>
      </c>
      <c r="L29" s="6" t="str">
        <f>IF(IF(Table4424666572[[#This Row],[Pre or Post]]="Post",1,0)+IF(ISNUMBER(Table4424666572[[#This Row],[Response]])=TRUE,1,0)=2,Table4424666572[[#This Row],[Response]],"")</f>
        <v/>
      </c>
      <c r="M29" s="5">
        <f>IF(IF(ISNUMBER(K29),1,0)+IF(ISNUMBER(L30),1,0)=2,IF(IF(C30=C29,1,0)+IF(B30=B29,1,0)+IF(D30="Post",1,0)+IF(D29="Pre",1,0)=4,Table4424666572[[#This Row],[Pre Total]],""),"")</f>
        <v>2</v>
      </c>
      <c r="N29" s="5" t="str">
        <f>IF(IF(ISNUMBER(K28),1,0)+IF(ISNUMBER(Table4424666572[[#This Row],[Post Total]]),1,0)=2,IF(IF(Table4424666572[[#This Row],[Student Number]]=C28,1,0)+IF(Table4424666572[[#This Row],[Session]]=B28,1,0)+IF(Table4424666572[[#This Row],[Pre or Post]]="Post",1,0)+IF(D28="Pre",1,0)=4,Table4424666572[[#This Row],[Post Total]],""),"")</f>
        <v/>
      </c>
      <c r="O29" s="5" t="str">
        <f>IF(IF(ISNUMBER(K28),1,0)+IF(ISNUMBER(Table4424666572[[#This Row],[Post Total]]),1,0)=2,IF(IF(Table4424666572[[#This Row],[Student Number]]=C28,1,0)+IF(Table4424666572[[#This Row],[Session]]=B28,1,0)+IF(Table4424666572[[#This Row],[Pre or Post]]="Post",1,0)+IF(D28="Pre",1,0)=4,Table4424666572[[#This Row],[Post Total]]-K28,""),"")</f>
        <v/>
      </c>
      <c r="P29" s="5" t="b">
        <f>ISNUMBER(Table4424666572[[#This Row],[Change]])</f>
        <v>0</v>
      </c>
      <c r="Q29" s="5" t="str">
        <f>IF(E28="Yes",Table4424666572[[#This Row],[Change]],"")</f>
        <v/>
      </c>
      <c r="R29" s="5" t="str">
        <f>IF(E28="No",Table4424666572[[#This Row],[Change]],"")</f>
        <v/>
      </c>
      <c r="S29" s="5" t="b">
        <f>ISNUMBER(Table4424666572[[#This Row],[If Pre5 Yes]])</f>
        <v>0</v>
      </c>
      <c r="T29" s="5" t="b">
        <f>ISNUMBER(Table4424666572[[#This Row],[If Pre5 No]])</f>
        <v>0</v>
      </c>
    </row>
    <row r="30" spans="1:20">
      <c r="A30" s="1" t="s">
        <v>24</v>
      </c>
      <c r="B30" s="1" t="s">
        <v>23</v>
      </c>
      <c r="C30" s="1">
        <v>5</v>
      </c>
      <c r="D30" s="1" t="s">
        <v>16</v>
      </c>
      <c r="E30" s="5"/>
      <c r="F30" s="1">
        <v>2</v>
      </c>
      <c r="G30" s="1">
        <v>4</v>
      </c>
      <c r="H30" s="1" t="s">
        <v>8</v>
      </c>
      <c r="I30" s="6" t="str">
        <f>IF(IF(Table4424666572[[#This Row],[Pre or Post]]="Pre",1,0)+IF(ISNUMBER(Table4424666572[[#This Row],[Response]])=TRUE,1,0)=2,1,"")</f>
        <v/>
      </c>
      <c r="J30" s="6">
        <f>IF(IF(Table4424666572[[#This Row],[Pre or Post]]="Post",1,0)+IF(ISNUMBER(Table4424666572[[#This Row],[Response]])=TRUE,1,0)=2,1,"")</f>
        <v>1</v>
      </c>
      <c r="K30" s="6" t="str">
        <f>IF(IF(Table4424666572[[#This Row],[Pre or Post]]="Pre",1,0)+IF(ISNUMBER(Table4424666572[[#This Row],[Response]])=TRUE,1,0)=2,Table4424666572[[#This Row],[Response]],"")</f>
        <v/>
      </c>
      <c r="L30" s="6">
        <f>IF(IF(Table4424666572[[#This Row],[Pre or Post]]="Post",1,0)+IF(ISNUMBER(Table4424666572[[#This Row],[Response]])=TRUE,1,0)=2,Table4424666572[[#This Row],[Response]],"")</f>
        <v>4</v>
      </c>
      <c r="M30" s="6" t="str">
        <f>IF(IF(ISNUMBER(K30),1,0)+IF(ISNUMBER(L31),1,0)=2,IF(IF(C31=C30,1,0)+IF(B31=B30,1,0)+IF(D31="Post",1,0)+IF(D30="Pre",1,0)=4,Table4424666572[[#This Row],[Pre Total]],""),"")</f>
        <v/>
      </c>
      <c r="N30" s="6">
        <f>IF(IF(ISNUMBER(K29),1,0)+IF(ISNUMBER(Table4424666572[[#This Row],[Post Total]]),1,0)=2,IF(IF(Table4424666572[[#This Row],[Student Number]]=C29,1,0)+IF(Table4424666572[[#This Row],[Session]]=B29,1,0)+IF(Table4424666572[[#This Row],[Pre or Post]]="Post",1,0)+IF(D29="Pre",1,0)=4,Table4424666572[[#This Row],[Post Total]],""),"")</f>
        <v>4</v>
      </c>
      <c r="O30" s="6">
        <f>IF(IF(ISNUMBER(K29),1,0)+IF(ISNUMBER(Table4424666572[[#This Row],[Post Total]]),1,0)=2,IF(IF(Table4424666572[[#This Row],[Student Number]]=C29,1,0)+IF(Table4424666572[[#This Row],[Session]]=B29,1,0)+IF(Table4424666572[[#This Row],[Pre or Post]]="Post",1,0)+IF(D29="Pre",1,0)=4,Table4424666572[[#This Row],[Post Total]]-K29,""),"")</f>
        <v>2</v>
      </c>
      <c r="P30" s="6" t="b">
        <f>ISNUMBER(Table4424666572[[#This Row],[Change]])</f>
        <v>1</v>
      </c>
      <c r="Q30" s="5">
        <f>IF(E29="Yes",Table4424666572[[#This Row],[Change]],"")</f>
        <v>2</v>
      </c>
      <c r="R30" s="5" t="str">
        <f>IF(E29="No",Table4424666572[[#This Row],[Change]],"")</f>
        <v/>
      </c>
      <c r="S30" s="5" t="b">
        <f>ISNUMBER(Table4424666572[[#This Row],[If Pre5 Yes]])</f>
        <v>1</v>
      </c>
      <c r="T30" s="5" t="b">
        <f>ISNUMBER(Table4424666572[[#This Row],[If Pre5 No]])</f>
        <v>0</v>
      </c>
    </row>
    <row r="31" spans="1:20">
      <c r="A31" s="1" t="s">
        <v>24</v>
      </c>
      <c r="B31" s="1" t="s">
        <v>23</v>
      </c>
      <c r="C31" s="1">
        <v>6</v>
      </c>
      <c r="D31" s="1" t="s">
        <v>6</v>
      </c>
      <c r="E31" s="5" t="s">
        <v>9</v>
      </c>
      <c r="F31" s="1">
        <v>9</v>
      </c>
      <c r="G31" s="1">
        <v>4</v>
      </c>
      <c r="H31" s="1" t="s">
        <v>8</v>
      </c>
      <c r="I31" s="6">
        <f>IF(IF(Table4424666572[[#This Row],[Pre or Post]]="Pre",1,0)+IF(ISNUMBER(Table4424666572[[#This Row],[Response]])=TRUE,1,0)=2,1,"")</f>
        <v>1</v>
      </c>
      <c r="J31" s="6" t="str">
        <f>IF(IF(Table4424666572[[#This Row],[Pre or Post]]="Post",1,0)+IF(ISNUMBER(Table4424666572[[#This Row],[Response]])=TRUE,1,0)=2,1,"")</f>
        <v/>
      </c>
      <c r="K31" s="6">
        <f>IF(IF(Table4424666572[[#This Row],[Pre or Post]]="Pre",1,0)+IF(ISNUMBER(Table4424666572[[#This Row],[Response]])=TRUE,1,0)=2,Table4424666572[[#This Row],[Response]],"")</f>
        <v>4</v>
      </c>
      <c r="L31" s="6" t="str">
        <f>IF(IF(Table4424666572[[#This Row],[Pre or Post]]="Post",1,0)+IF(ISNUMBER(Table4424666572[[#This Row],[Response]])=TRUE,1,0)=2,Table4424666572[[#This Row],[Response]],"")</f>
        <v/>
      </c>
      <c r="M31" s="6">
        <f>IF(IF(ISNUMBER(K31),1,0)+IF(ISNUMBER(L32),1,0)=2,IF(IF(C32=C31,1,0)+IF(B32=B31,1,0)+IF(D32="Post",1,0)+IF(D31="Pre",1,0)=4,Table4424666572[[#This Row],[Pre Total]],""),"")</f>
        <v>4</v>
      </c>
      <c r="N31" s="6" t="str">
        <f>IF(IF(ISNUMBER(K30),1,0)+IF(ISNUMBER(Table4424666572[[#This Row],[Post Total]]),1,0)=2,IF(IF(Table4424666572[[#This Row],[Student Number]]=C30,1,0)+IF(Table4424666572[[#This Row],[Session]]=B30,1,0)+IF(Table4424666572[[#This Row],[Pre or Post]]="Post",1,0)+IF(D30="Pre",1,0)=4,Table4424666572[[#This Row],[Post Total]],""),"")</f>
        <v/>
      </c>
      <c r="O31" s="6" t="str">
        <f>IF(IF(ISNUMBER(K30),1,0)+IF(ISNUMBER(Table4424666572[[#This Row],[Post Total]]),1,0)=2,IF(IF(Table4424666572[[#This Row],[Student Number]]=C30,1,0)+IF(Table4424666572[[#This Row],[Session]]=B30,1,0)+IF(Table4424666572[[#This Row],[Pre or Post]]="Post",1,0)+IF(D30="Pre",1,0)=4,Table4424666572[[#This Row],[Post Total]]-K30,""),"")</f>
        <v/>
      </c>
      <c r="P31" s="6" t="b">
        <f>ISNUMBER(Table4424666572[[#This Row],[Change]])</f>
        <v>0</v>
      </c>
      <c r="Q31" s="5" t="str">
        <f>IF(E30="Yes",Table4424666572[[#This Row],[Change]],"")</f>
        <v/>
      </c>
      <c r="R31" s="5" t="str">
        <f>IF(E30="No",Table4424666572[[#This Row],[Change]],"")</f>
        <v/>
      </c>
      <c r="S31" s="5" t="b">
        <f>ISNUMBER(Table4424666572[[#This Row],[If Pre5 Yes]])</f>
        <v>0</v>
      </c>
      <c r="T31" s="5" t="b">
        <f>ISNUMBER(Table4424666572[[#This Row],[If Pre5 No]])</f>
        <v>0</v>
      </c>
    </row>
    <row r="32" spans="1:20">
      <c r="A32" s="1" t="s">
        <v>24</v>
      </c>
      <c r="B32" s="1" t="s">
        <v>23</v>
      </c>
      <c r="C32" s="1">
        <v>6</v>
      </c>
      <c r="D32" s="1" t="s">
        <v>16</v>
      </c>
      <c r="E32" s="5"/>
      <c r="F32" s="1">
        <v>2</v>
      </c>
      <c r="G32" s="1">
        <v>4</v>
      </c>
      <c r="H32" s="1" t="s">
        <v>8</v>
      </c>
      <c r="I32" s="6" t="str">
        <f>IF(IF(Table4424666572[[#This Row],[Pre or Post]]="Pre",1,0)+IF(ISNUMBER(Table4424666572[[#This Row],[Response]])=TRUE,1,0)=2,1,"")</f>
        <v/>
      </c>
      <c r="J32" s="6">
        <f>IF(IF(Table4424666572[[#This Row],[Pre or Post]]="Post",1,0)+IF(ISNUMBER(Table4424666572[[#This Row],[Response]])=TRUE,1,0)=2,1,"")</f>
        <v>1</v>
      </c>
      <c r="K32" s="6" t="str">
        <f>IF(IF(Table4424666572[[#This Row],[Pre or Post]]="Pre",1,0)+IF(ISNUMBER(Table4424666572[[#This Row],[Response]])=TRUE,1,0)=2,Table4424666572[[#This Row],[Response]],"")</f>
        <v/>
      </c>
      <c r="L32" s="6">
        <f>IF(IF(Table4424666572[[#This Row],[Pre or Post]]="Post",1,0)+IF(ISNUMBER(Table4424666572[[#This Row],[Response]])=TRUE,1,0)=2,Table4424666572[[#This Row],[Response]],"")</f>
        <v>4</v>
      </c>
      <c r="M32" s="6" t="str">
        <f>IF(IF(ISNUMBER(K32),1,0)+IF(ISNUMBER(L33),1,0)=2,IF(IF(C33=C32,1,0)+IF(B33=B32,1,0)+IF(D33="Post",1,0)+IF(D32="Pre",1,0)=4,Table4424666572[[#This Row],[Pre Total]],""),"")</f>
        <v/>
      </c>
      <c r="N32" s="6">
        <f>IF(IF(ISNUMBER(K31),1,0)+IF(ISNUMBER(Table4424666572[[#This Row],[Post Total]]),1,0)=2,IF(IF(Table4424666572[[#This Row],[Student Number]]=C31,1,0)+IF(Table4424666572[[#This Row],[Session]]=B31,1,0)+IF(Table4424666572[[#This Row],[Pre or Post]]="Post",1,0)+IF(D31="Pre",1,0)=4,Table4424666572[[#This Row],[Post Total]],""),"")</f>
        <v>4</v>
      </c>
      <c r="O32" s="6">
        <f>IF(IF(ISNUMBER(K31),1,0)+IF(ISNUMBER(Table4424666572[[#This Row],[Post Total]]),1,0)=2,IF(IF(Table4424666572[[#This Row],[Student Number]]=C31,1,0)+IF(Table4424666572[[#This Row],[Session]]=B31,1,0)+IF(Table4424666572[[#This Row],[Pre or Post]]="Post",1,0)+IF(D31="Pre",1,0)=4,Table4424666572[[#This Row],[Post Total]]-K31,""),"")</f>
        <v>0</v>
      </c>
      <c r="P32" s="6" t="b">
        <f>ISNUMBER(Table4424666572[[#This Row],[Change]])</f>
        <v>1</v>
      </c>
      <c r="Q32" s="5" t="str">
        <f>IF(E31="Yes",Table4424666572[[#This Row],[Change]],"")</f>
        <v/>
      </c>
      <c r="R32" s="5">
        <f>IF(E31="No",Table4424666572[[#This Row],[Change]],"")</f>
        <v>0</v>
      </c>
      <c r="S32" s="5" t="b">
        <f>ISNUMBER(Table4424666572[[#This Row],[If Pre5 Yes]])</f>
        <v>0</v>
      </c>
      <c r="T32" s="5" t="b">
        <f>ISNUMBER(Table4424666572[[#This Row],[If Pre5 No]])</f>
        <v>1</v>
      </c>
    </row>
    <row r="33" spans="1:20">
      <c r="A33" s="1" t="s">
        <v>24</v>
      </c>
      <c r="B33" s="1" t="s">
        <v>23</v>
      </c>
      <c r="C33" s="1">
        <v>7</v>
      </c>
      <c r="D33" s="1" t="s">
        <v>6</v>
      </c>
      <c r="E33" s="5" t="s">
        <v>8</v>
      </c>
      <c r="F33" s="1">
        <v>9</v>
      </c>
      <c r="G33" s="1">
        <v>1</v>
      </c>
      <c r="H33" s="1" t="s">
        <v>8</v>
      </c>
      <c r="I33" s="5">
        <f>IF(IF(Table4424666572[[#This Row],[Pre or Post]]="Pre",1,0)+IF(ISNUMBER(Table4424666572[[#This Row],[Response]])=TRUE,1,0)=2,1,"")</f>
        <v>1</v>
      </c>
      <c r="J33" s="5" t="str">
        <f>IF(IF(Table4424666572[[#This Row],[Pre or Post]]="Post",1,0)+IF(ISNUMBER(Table4424666572[[#This Row],[Response]])=TRUE,1,0)=2,1,"")</f>
        <v/>
      </c>
      <c r="K33" s="6">
        <f>IF(IF(Table4424666572[[#This Row],[Pre or Post]]="Pre",1,0)+IF(ISNUMBER(Table4424666572[[#This Row],[Response]])=TRUE,1,0)=2,Table4424666572[[#This Row],[Response]],"")</f>
        <v>1</v>
      </c>
      <c r="L33" s="6" t="str">
        <f>IF(IF(Table4424666572[[#This Row],[Pre or Post]]="Post",1,0)+IF(ISNUMBER(Table4424666572[[#This Row],[Response]])=TRUE,1,0)=2,Table4424666572[[#This Row],[Response]],"")</f>
        <v/>
      </c>
      <c r="M33" s="5">
        <f>IF(IF(ISNUMBER(K33),1,0)+IF(ISNUMBER(L34),1,0)=2,IF(IF(C34=C33,1,0)+IF(B34=B33,1,0)+IF(D34="Post",1,0)+IF(D33="Pre",1,0)=4,Table4424666572[[#This Row],[Pre Total]],""),"")</f>
        <v>1</v>
      </c>
      <c r="N33" s="5" t="str">
        <f>IF(IF(ISNUMBER(K32),1,0)+IF(ISNUMBER(Table4424666572[[#This Row],[Post Total]]),1,0)=2,IF(IF(Table4424666572[[#This Row],[Student Number]]=C32,1,0)+IF(Table4424666572[[#This Row],[Session]]=B32,1,0)+IF(Table4424666572[[#This Row],[Pre or Post]]="Post",1,0)+IF(D32="Pre",1,0)=4,Table4424666572[[#This Row],[Post Total]],""),"")</f>
        <v/>
      </c>
      <c r="O33" s="5" t="str">
        <f>IF(IF(ISNUMBER(K32),1,0)+IF(ISNUMBER(Table4424666572[[#This Row],[Post Total]]),1,0)=2,IF(IF(Table4424666572[[#This Row],[Student Number]]=C32,1,0)+IF(Table4424666572[[#This Row],[Session]]=B32,1,0)+IF(Table4424666572[[#This Row],[Pre or Post]]="Post",1,0)+IF(D32="Pre",1,0)=4,Table4424666572[[#This Row],[Post Total]]-K32,""),"")</f>
        <v/>
      </c>
      <c r="P33" s="5" t="b">
        <f>ISNUMBER(Table4424666572[[#This Row],[Change]])</f>
        <v>0</v>
      </c>
      <c r="Q33" s="5" t="str">
        <f>IF(E32="Yes",Table4424666572[[#This Row],[Change]],"")</f>
        <v/>
      </c>
      <c r="R33" s="5" t="str">
        <f>IF(E32="No",Table4424666572[[#This Row],[Change]],"")</f>
        <v/>
      </c>
      <c r="S33" s="5" t="b">
        <f>ISNUMBER(Table4424666572[[#This Row],[If Pre5 Yes]])</f>
        <v>0</v>
      </c>
      <c r="T33" s="5" t="b">
        <f>ISNUMBER(Table4424666572[[#This Row],[If Pre5 No]])</f>
        <v>0</v>
      </c>
    </row>
    <row r="34" spans="1:20">
      <c r="A34" s="1" t="s">
        <v>24</v>
      </c>
      <c r="B34" s="1" t="s">
        <v>23</v>
      </c>
      <c r="C34" s="1">
        <v>7</v>
      </c>
      <c r="D34" s="1" t="s">
        <v>16</v>
      </c>
      <c r="E34" s="5"/>
      <c r="F34" s="1">
        <v>2</v>
      </c>
      <c r="G34" s="1">
        <v>1</v>
      </c>
      <c r="H34" s="1" t="s">
        <v>8</v>
      </c>
      <c r="I34" s="5" t="str">
        <f>IF(IF(Table4424666572[[#This Row],[Pre or Post]]="Pre",1,0)+IF(ISNUMBER(Table4424666572[[#This Row],[Response]])=TRUE,1,0)=2,1,"")</f>
        <v/>
      </c>
      <c r="J34" s="5">
        <f>IF(IF(Table4424666572[[#This Row],[Pre or Post]]="Post",1,0)+IF(ISNUMBER(Table4424666572[[#This Row],[Response]])=TRUE,1,0)=2,1,"")</f>
        <v>1</v>
      </c>
      <c r="K34" s="6" t="str">
        <f>IF(IF(Table4424666572[[#This Row],[Pre or Post]]="Pre",1,0)+IF(ISNUMBER(Table4424666572[[#This Row],[Response]])=TRUE,1,0)=2,Table4424666572[[#This Row],[Response]],"")</f>
        <v/>
      </c>
      <c r="L34" s="6">
        <f>IF(IF(Table4424666572[[#This Row],[Pre or Post]]="Post",1,0)+IF(ISNUMBER(Table4424666572[[#This Row],[Response]])=TRUE,1,0)=2,Table4424666572[[#This Row],[Response]],"")</f>
        <v>1</v>
      </c>
      <c r="M34" s="5" t="str">
        <f>IF(IF(ISNUMBER(K34),1,0)+IF(ISNUMBER(L35),1,0)=2,IF(IF(C35=C34,1,0)+IF(B35=B34,1,0)+IF(D35="Post",1,0)+IF(D34="Pre",1,0)=4,Table4424666572[[#This Row],[Pre Total]],""),"")</f>
        <v/>
      </c>
      <c r="N34" s="5">
        <f>IF(IF(ISNUMBER(K33),1,0)+IF(ISNUMBER(Table4424666572[[#This Row],[Post Total]]),1,0)=2,IF(IF(Table4424666572[[#This Row],[Student Number]]=C33,1,0)+IF(Table4424666572[[#This Row],[Session]]=B33,1,0)+IF(Table4424666572[[#This Row],[Pre or Post]]="Post",1,0)+IF(D33="Pre",1,0)=4,Table4424666572[[#This Row],[Post Total]],""),"")</f>
        <v>1</v>
      </c>
      <c r="O34" s="5">
        <f>IF(IF(ISNUMBER(K33),1,0)+IF(ISNUMBER(Table4424666572[[#This Row],[Post Total]]),1,0)=2,IF(IF(Table4424666572[[#This Row],[Student Number]]=C33,1,0)+IF(Table4424666572[[#This Row],[Session]]=B33,1,0)+IF(Table4424666572[[#This Row],[Pre or Post]]="Post",1,0)+IF(D33="Pre",1,0)=4,Table4424666572[[#This Row],[Post Total]]-K33,""),"")</f>
        <v>0</v>
      </c>
      <c r="P34" s="5" t="b">
        <f>ISNUMBER(Table4424666572[[#This Row],[Change]])</f>
        <v>1</v>
      </c>
      <c r="Q34" s="5">
        <f>IF(E33="Yes",Table4424666572[[#This Row],[Change]],"")</f>
        <v>0</v>
      </c>
      <c r="R34" s="5" t="str">
        <f>IF(E33="No",Table4424666572[[#This Row],[Change]],"")</f>
        <v/>
      </c>
      <c r="S34" s="5" t="b">
        <f>ISNUMBER(Table4424666572[[#This Row],[If Pre5 Yes]])</f>
        <v>1</v>
      </c>
      <c r="T34" s="5" t="b">
        <f>ISNUMBER(Table4424666572[[#This Row],[If Pre5 No]])</f>
        <v>0</v>
      </c>
    </row>
    <row r="35" spans="1:20">
      <c r="A35" s="1" t="s">
        <v>24</v>
      </c>
      <c r="B35" s="1" t="s">
        <v>23</v>
      </c>
      <c r="C35" s="1">
        <v>8</v>
      </c>
      <c r="D35" s="1" t="s">
        <v>6</v>
      </c>
      <c r="E35" s="5" t="s">
        <v>8</v>
      </c>
      <c r="F35" s="1">
        <v>9</v>
      </c>
      <c r="G35" s="1">
        <v>3</v>
      </c>
      <c r="H35" s="1" t="s">
        <v>8</v>
      </c>
      <c r="I35" s="5">
        <f>IF(IF(Table4424666572[[#This Row],[Pre or Post]]="Pre",1,0)+IF(ISNUMBER(Table4424666572[[#This Row],[Response]])=TRUE,1,0)=2,1,"")</f>
        <v>1</v>
      </c>
      <c r="J35" s="5" t="str">
        <f>IF(IF(Table4424666572[[#This Row],[Pre or Post]]="Post",1,0)+IF(ISNUMBER(Table4424666572[[#This Row],[Response]])=TRUE,1,0)=2,1,"")</f>
        <v/>
      </c>
      <c r="K35" s="6">
        <f>IF(IF(Table4424666572[[#This Row],[Pre or Post]]="Pre",1,0)+IF(ISNUMBER(Table4424666572[[#This Row],[Response]])=TRUE,1,0)=2,Table4424666572[[#This Row],[Response]],"")</f>
        <v>3</v>
      </c>
      <c r="L35" s="6" t="str">
        <f>IF(IF(Table4424666572[[#This Row],[Pre or Post]]="Post",1,0)+IF(ISNUMBER(Table4424666572[[#This Row],[Response]])=TRUE,1,0)=2,Table4424666572[[#This Row],[Response]],"")</f>
        <v/>
      </c>
      <c r="M35" s="5">
        <f>IF(IF(ISNUMBER(K35),1,0)+IF(ISNUMBER(L36),1,0)=2,IF(IF(C36=C35,1,0)+IF(B36=B35,1,0)+IF(D36="Post",1,0)+IF(D35="Pre",1,0)=4,Table4424666572[[#This Row],[Pre Total]],""),"")</f>
        <v>3</v>
      </c>
      <c r="N35" s="5" t="str">
        <f>IF(IF(ISNUMBER(K34),1,0)+IF(ISNUMBER(Table4424666572[[#This Row],[Post Total]]),1,0)=2,IF(IF(Table4424666572[[#This Row],[Student Number]]=C34,1,0)+IF(Table4424666572[[#This Row],[Session]]=B34,1,0)+IF(Table4424666572[[#This Row],[Pre or Post]]="Post",1,0)+IF(D34="Pre",1,0)=4,Table4424666572[[#This Row],[Post Total]],""),"")</f>
        <v/>
      </c>
      <c r="O35" s="5" t="str">
        <f>IF(IF(ISNUMBER(K34),1,0)+IF(ISNUMBER(Table4424666572[[#This Row],[Post Total]]),1,0)=2,IF(IF(Table4424666572[[#This Row],[Student Number]]=C34,1,0)+IF(Table4424666572[[#This Row],[Session]]=B34,1,0)+IF(Table4424666572[[#This Row],[Pre or Post]]="Post",1,0)+IF(D34="Pre",1,0)=4,Table4424666572[[#This Row],[Post Total]]-K34,""),"")</f>
        <v/>
      </c>
      <c r="P35" s="5" t="b">
        <f>ISNUMBER(Table4424666572[[#This Row],[Change]])</f>
        <v>0</v>
      </c>
      <c r="Q35" s="5" t="str">
        <f>IF(E34="Yes",Table4424666572[[#This Row],[Change]],"")</f>
        <v/>
      </c>
      <c r="R35" s="5" t="str">
        <f>IF(E34="No",Table4424666572[[#This Row],[Change]],"")</f>
        <v/>
      </c>
      <c r="S35" s="5" t="b">
        <f>ISNUMBER(Table4424666572[[#This Row],[If Pre5 Yes]])</f>
        <v>0</v>
      </c>
      <c r="T35" s="5" t="b">
        <f>ISNUMBER(Table4424666572[[#This Row],[If Pre5 No]])</f>
        <v>0</v>
      </c>
    </row>
    <row r="36" spans="1:20">
      <c r="A36" s="1" t="s">
        <v>24</v>
      </c>
      <c r="B36" s="1" t="s">
        <v>23</v>
      </c>
      <c r="C36" s="1">
        <v>8</v>
      </c>
      <c r="D36" s="1" t="s">
        <v>16</v>
      </c>
      <c r="E36" s="5"/>
      <c r="F36" s="1">
        <v>2</v>
      </c>
      <c r="G36" s="1">
        <v>3</v>
      </c>
      <c r="H36" s="1" t="s">
        <v>8</v>
      </c>
      <c r="I36" s="5" t="str">
        <f>IF(IF(Table4424666572[[#This Row],[Pre or Post]]="Pre",1,0)+IF(ISNUMBER(Table4424666572[[#This Row],[Response]])=TRUE,1,0)=2,1,"")</f>
        <v/>
      </c>
      <c r="J36" s="5">
        <f>IF(IF(Table4424666572[[#This Row],[Pre or Post]]="Post",1,0)+IF(ISNUMBER(Table4424666572[[#This Row],[Response]])=TRUE,1,0)=2,1,"")</f>
        <v>1</v>
      </c>
      <c r="K36" s="6" t="str">
        <f>IF(IF(Table4424666572[[#This Row],[Pre or Post]]="Pre",1,0)+IF(ISNUMBER(Table4424666572[[#This Row],[Response]])=TRUE,1,0)=2,Table4424666572[[#This Row],[Response]],"")</f>
        <v/>
      </c>
      <c r="L36" s="6">
        <f>IF(IF(Table4424666572[[#This Row],[Pre or Post]]="Post",1,0)+IF(ISNUMBER(Table4424666572[[#This Row],[Response]])=TRUE,1,0)=2,Table4424666572[[#This Row],[Response]],"")</f>
        <v>3</v>
      </c>
      <c r="M36" s="5" t="str">
        <f>IF(IF(ISNUMBER(K36),1,0)+IF(ISNUMBER(L37),1,0)=2,IF(IF(C37=C36,1,0)+IF(B37=B36,1,0)+IF(D37="Post",1,0)+IF(D36="Pre",1,0)=4,Table4424666572[[#This Row],[Pre Total]],""),"")</f>
        <v/>
      </c>
      <c r="N36" s="5">
        <f>IF(IF(ISNUMBER(K35),1,0)+IF(ISNUMBER(Table4424666572[[#This Row],[Post Total]]),1,0)=2,IF(IF(Table4424666572[[#This Row],[Student Number]]=C35,1,0)+IF(Table4424666572[[#This Row],[Session]]=B35,1,0)+IF(Table4424666572[[#This Row],[Pre or Post]]="Post",1,0)+IF(D35="Pre",1,0)=4,Table4424666572[[#This Row],[Post Total]],""),"")</f>
        <v>3</v>
      </c>
      <c r="O36" s="5">
        <f>IF(IF(ISNUMBER(K35),1,0)+IF(ISNUMBER(Table4424666572[[#This Row],[Post Total]]),1,0)=2,IF(IF(Table4424666572[[#This Row],[Student Number]]=C35,1,0)+IF(Table4424666572[[#This Row],[Session]]=B35,1,0)+IF(Table4424666572[[#This Row],[Pre or Post]]="Post",1,0)+IF(D35="Pre",1,0)=4,Table4424666572[[#This Row],[Post Total]]-K35,""),"")</f>
        <v>0</v>
      </c>
      <c r="P36" s="5" t="b">
        <f>ISNUMBER(Table4424666572[[#This Row],[Change]])</f>
        <v>1</v>
      </c>
      <c r="Q36" s="5">
        <f>IF(E35="Yes",Table4424666572[[#This Row],[Change]],"")</f>
        <v>0</v>
      </c>
      <c r="R36" s="5" t="str">
        <f>IF(E35="No",Table4424666572[[#This Row],[Change]],"")</f>
        <v/>
      </c>
      <c r="S36" s="5" t="b">
        <f>ISNUMBER(Table4424666572[[#This Row],[If Pre5 Yes]])</f>
        <v>1</v>
      </c>
      <c r="T36" s="5" t="b">
        <f>ISNUMBER(Table4424666572[[#This Row],[If Pre5 No]])</f>
        <v>0</v>
      </c>
    </row>
    <row r="37" spans="1:20">
      <c r="A37" s="1" t="s">
        <v>24</v>
      </c>
      <c r="B37" s="1" t="s">
        <v>23</v>
      </c>
      <c r="C37" s="1">
        <v>9</v>
      </c>
      <c r="D37" s="1" t="s">
        <v>6</v>
      </c>
      <c r="E37" s="5" t="s">
        <v>8</v>
      </c>
      <c r="F37" s="1">
        <v>9</v>
      </c>
      <c r="G37" s="1">
        <v>3</v>
      </c>
      <c r="H37" s="1" t="s">
        <v>8</v>
      </c>
      <c r="I37" s="5">
        <f>IF(IF(Table4424666572[[#This Row],[Pre or Post]]="Pre",1,0)+IF(ISNUMBER(Table4424666572[[#This Row],[Response]])=TRUE,1,0)=2,1,"")</f>
        <v>1</v>
      </c>
      <c r="J37" s="5" t="str">
        <f>IF(IF(Table4424666572[[#This Row],[Pre or Post]]="Post",1,0)+IF(ISNUMBER(Table4424666572[[#This Row],[Response]])=TRUE,1,0)=2,1,"")</f>
        <v/>
      </c>
      <c r="K37" s="6">
        <f>IF(IF(Table4424666572[[#This Row],[Pre or Post]]="Pre",1,0)+IF(ISNUMBER(Table4424666572[[#This Row],[Response]])=TRUE,1,0)=2,Table4424666572[[#This Row],[Response]],"")</f>
        <v>3</v>
      </c>
      <c r="L37" s="6" t="str">
        <f>IF(IF(Table4424666572[[#This Row],[Pre or Post]]="Post",1,0)+IF(ISNUMBER(Table4424666572[[#This Row],[Response]])=TRUE,1,0)=2,Table4424666572[[#This Row],[Response]],"")</f>
        <v/>
      </c>
      <c r="M37" s="5">
        <f>IF(IF(ISNUMBER(K37),1,0)+IF(ISNUMBER(L38),1,0)=2,IF(IF(C38=C37,1,0)+IF(B38=B37,1,0)+IF(D38="Post",1,0)+IF(D37="Pre",1,0)=4,Table4424666572[[#This Row],[Pre Total]],""),"")</f>
        <v>3</v>
      </c>
      <c r="N37" s="5" t="str">
        <f>IF(IF(ISNUMBER(K36),1,0)+IF(ISNUMBER(Table4424666572[[#This Row],[Post Total]]),1,0)=2,IF(IF(Table4424666572[[#This Row],[Student Number]]=C36,1,0)+IF(Table4424666572[[#This Row],[Session]]=B36,1,0)+IF(Table4424666572[[#This Row],[Pre or Post]]="Post",1,0)+IF(D36="Pre",1,0)=4,Table4424666572[[#This Row],[Post Total]],""),"")</f>
        <v/>
      </c>
      <c r="O37" s="5" t="str">
        <f>IF(IF(ISNUMBER(K36),1,0)+IF(ISNUMBER(Table4424666572[[#This Row],[Post Total]]),1,0)=2,IF(IF(Table4424666572[[#This Row],[Student Number]]=C36,1,0)+IF(Table4424666572[[#This Row],[Session]]=B36,1,0)+IF(Table4424666572[[#This Row],[Pre or Post]]="Post",1,0)+IF(D36="Pre",1,0)=4,Table4424666572[[#This Row],[Post Total]]-K36,""),"")</f>
        <v/>
      </c>
      <c r="P37" s="5" t="b">
        <f>ISNUMBER(Table4424666572[[#This Row],[Change]])</f>
        <v>0</v>
      </c>
      <c r="Q37" s="5" t="str">
        <f>IF(E36="Yes",Table4424666572[[#This Row],[Change]],"")</f>
        <v/>
      </c>
      <c r="R37" s="5" t="str">
        <f>IF(E36="No",Table4424666572[[#This Row],[Change]],"")</f>
        <v/>
      </c>
      <c r="S37" s="5" t="b">
        <f>ISNUMBER(Table4424666572[[#This Row],[If Pre5 Yes]])</f>
        <v>0</v>
      </c>
      <c r="T37" s="5" t="b">
        <f>ISNUMBER(Table4424666572[[#This Row],[If Pre5 No]])</f>
        <v>0</v>
      </c>
    </row>
    <row r="38" spans="1:20">
      <c r="A38" s="1" t="s">
        <v>24</v>
      </c>
      <c r="B38" s="1" t="s">
        <v>23</v>
      </c>
      <c r="C38" s="1">
        <v>9</v>
      </c>
      <c r="D38" s="1" t="s">
        <v>16</v>
      </c>
      <c r="E38" s="5"/>
      <c r="F38" s="1">
        <v>2</v>
      </c>
      <c r="G38" s="1">
        <v>3</v>
      </c>
      <c r="H38" s="1" t="s">
        <v>8</v>
      </c>
      <c r="I38" s="6" t="str">
        <f>IF(IF(Table4424666572[[#This Row],[Pre or Post]]="Pre",1,0)+IF(ISNUMBER(Table4424666572[[#This Row],[Response]])=TRUE,1,0)=2,1,"")</f>
        <v/>
      </c>
      <c r="J38" s="6">
        <f>IF(IF(Table4424666572[[#This Row],[Pre or Post]]="Post",1,0)+IF(ISNUMBER(Table4424666572[[#This Row],[Response]])=TRUE,1,0)=2,1,"")</f>
        <v>1</v>
      </c>
      <c r="K38" s="6" t="str">
        <f>IF(IF(Table4424666572[[#This Row],[Pre or Post]]="Pre",1,0)+IF(ISNUMBER(Table4424666572[[#This Row],[Response]])=TRUE,1,0)=2,Table4424666572[[#This Row],[Response]],"")</f>
        <v/>
      </c>
      <c r="L38" s="6">
        <f>IF(IF(Table4424666572[[#This Row],[Pre or Post]]="Post",1,0)+IF(ISNUMBER(Table4424666572[[#This Row],[Response]])=TRUE,1,0)=2,Table4424666572[[#This Row],[Response]],"")</f>
        <v>3</v>
      </c>
      <c r="M38" s="6" t="str">
        <f>IF(IF(ISNUMBER(K38),1,0)+IF(ISNUMBER(L39),1,0)=2,IF(IF(C39=C38,1,0)+IF(B39=B38,1,0)+IF(D39="Post",1,0)+IF(D38="Pre",1,0)=4,Table4424666572[[#This Row],[Pre Total]],""),"")</f>
        <v/>
      </c>
      <c r="N38" s="6">
        <f>IF(IF(ISNUMBER(K37),1,0)+IF(ISNUMBER(Table4424666572[[#This Row],[Post Total]]),1,0)=2,IF(IF(Table4424666572[[#This Row],[Student Number]]=C37,1,0)+IF(Table4424666572[[#This Row],[Session]]=B37,1,0)+IF(Table4424666572[[#This Row],[Pre or Post]]="Post",1,0)+IF(D37="Pre",1,0)=4,Table4424666572[[#This Row],[Post Total]],""),"")</f>
        <v>3</v>
      </c>
      <c r="O38" s="6">
        <f>IF(IF(ISNUMBER(K37),1,0)+IF(ISNUMBER(Table4424666572[[#This Row],[Post Total]]),1,0)=2,IF(IF(Table4424666572[[#This Row],[Student Number]]=C37,1,0)+IF(Table4424666572[[#This Row],[Session]]=B37,1,0)+IF(Table4424666572[[#This Row],[Pre or Post]]="Post",1,0)+IF(D37="Pre",1,0)=4,Table4424666572[[#This Row],[Post Total]]-K37,""),"")</f>
        <v>0</v>
      </c>
      <c r="P38" s="6" t="b">
        <f>ISNUMBER(Table4424666572[[#This Row],[Change]])</f>
        <v>1</v>
      </c>
      <c r="Q38" s="5">
        <f>IF(E37="Yes",Table4424666572[[#This Row],[Change]],"")</f>
        <v>0</v>
      </c>
      <c r="R38" s="5" t="str">
        <f>IF(E37="No",Table4424666572[[#This Row],[Change]],"")</f>
        <v/>
      </c>
      <c r="S38" s="5" t="b">
        <f>ISNUMBER(Table4424666572[[#This Row],[If Pre5 Yes]])</f>
        <v>1</v>
      </c>
      <c r="T38" s="5" t="b">
        <f>ISNUMBER(Table4424666572[[#This Row],[If Pre5 No]])</f>
        <v>0</v>
      </c>
    </row>
    <row r="39" spans="1:20">
      <c r="A39" s="1" t="s">
        <v>24</v>
      </c>
      <c r="B39" s="1" t="s">
        <v>23</v>
      </c>
      <c r="C39" s="1">
        <v>10</v>
      </c>
      <c r="D39" s="1" t="s">
        <v>6</v>
      </c>
      <c r="E39" s="5" t="s">
        <v>8</v>
      </c>
      <c r="F39" s="1">
        <v>9</v>
      </c>
      <c r="G39" s="1">
        <v>3</v>
      </c>
      <c r="H39" s="1" t="s">
        <v>8</v>
      </c>
      <c r="I39" s="6">
        <f>IF(IF(Table4424666572[[#This Row],[Pre or Post]]="Pre",1,0)+IF(ISNUMBER(Table4424666572[[#This Row],[Response]])=TRUE,1,0)=2,1,"")</f>
        <v>1</v>
      </c>
      <c r="J39" s="6" t="str">
        <f>IF(IF(Table4424666572[[#This Row],[Pre or Post]]="Post",1,0)+IF(ISNUMBER(Table4424666572[[#This Row],[Response]])=TRUE,1,0)=2,1,"")</f>
        <v/>
      </c>
      <c r="K39" s="6">
        <f>IF(IF(Table4424666572[[#This Row],[Pre or Post]]="Pre",1,0)+IF(ISNUMBER(Table4424666572[[#This Row],[Response]])=TRUE,1,0)=2,Table4424666572[[#This Row],[Response]],"")</f>
        <v>3</v>
      </c>
      <c r="L39" s="6" t="str">
        <f>IF(IF(Table4424666572[[#This Row],[Pre or Post]]="Post",1,0)+IF(ISNUMBER(Table4424666572[[#This Row],[Response]])=TRUE,1,0)=2,Table4424666572[[#This Row],[Response]],"")</f>
        <v/>
      </c>
      <c r="M39" s="6">
        <f>IF(IF(ISNUMBER(K39),1,0)+IF(ISNUMBER(L40),1,0)=2,IF(IF(C40=C39,1,0)+IF(B40=B39,1,0)+IF(D40="Post",1,0)+IF(D39="Pre",1,0)=4,Table4424666572[[#This Row],[Pre Total]],""),"")</f>
        <v>3</v>
      </c>
      <c r="N39" s="6" t="str">
        <f>IF(IF(ISNUMBER(K38),1,0)+IF(ISNUMBER(Table4424666572[[#This Row],[Post Total]]),1,0)=2,IF(IF(Table4424666572[[#This Row],[Student Number]]=C38,1,0)+IF(Table4424666572[[#This Row],[Session]]=B38,1,0)+IF(Table4424666572[[#This Row],[Pre or Post]]="Post",1,0)+IF(D38="Pre",1,0)=4,Table4424666572[[#This Row],[Post Total]],""),"")</f>
        <v/>
      </c>
      <c r="O39" s="6" t="str">
        <f>IF(IF(ISNUMBER(K38),1,0)+IF(ISNUMBER(Table4424666572[[#This Row],[Post Total]]),1,0)=2,IF(IF(Table4424666572[[#This Row],[Student Number]]=C38,1,0)+IF(Table4424666572[[#This Row],[Session]]=B38,1,0)+IF(Table4424666572[[#This Row],[Pre or Post]]="Post",1,0)+IF(D38="Pre",1,0)=4,Table4424666572[[#This Row],[Post Total]]-K38,""),"")</f>
        <v/>
      </c>
      <c r="P39" s="6" t="b">
        <f>ISNUMBER(Table4424666572[[#This Row],[Change]])</f>
        <v>0</v>
      </c>
      <c r="Q39" s="5" t="str">
        <f>IF(E38="Yes",Table4424666572[[#This Row],[Change]],"")</f>
        <v/>
      </c>
      <c r="R39" s="5" t="str">
        <f>IF(E38="No",Table4424666572[[#This Row],[Change]],"")</f>
        <v/>
      </c>
      <c r="S39" s="5" t="b">
        <f>ISNUMBER(Table4424666572[[#This Row],[If Pre5 Yes]])</f>
        <v>0</v>
      </c>
      <c r="T39" s="5" t="b">
        <f>ISNUMBER(Table4424666572[[#This Row],[If Pre5 No]])</f>
        <v>0</v>
      </c>
    </row>
    <row r="40" spans="1:20">
      <c r="A40" s="1" t="s">
        <v>24</v>
      </c>
      <c r="B40" s="1" t="s">
        <v>23</v>
      </c>
      <c r="C40" s="1">
        <v>10</v>
      </c>
      <c r="D40" s="1" t="s">
        <v>16</v>
      </c>
      <c r="E40" s="5"/>
      <c r="F40" s="1">
        <v>2</v>
      </c>
      <c r="G40" s="1">
        <v>4</v>
      </c>
      <c r="H40" s="1" t="s">
        <v>8</v>
      </c>
      <c r="I40" s="5" t="str">
        <f>IF(IF(Table4424666572[[#This Row],[Pre or Post]]="Pre",1,0)+IF(ISNUMBER(Table4424666572[[#This Row],[Response]])=TRUE,1,0)=2,1,"")</f>
        <v/>
      </c>
      <c r="J40" s="5">
        <f>IF(IF(Table4424666572[[#This Row],[Pre or Post]]="Post",1,0)+IF(ISNUMBER(Table4424666572[[#This Row],[Response]])=TRUE,1,0)=2,1,"")</f>
        <v>1</v>
      </c>
      <c r="K40" s="6" t="str">
        <f>IF(IF(Table4424666572[[#This Row],[Pre or Post]]="Pre",1,0)+IF(ISNUMBER(Table4424666572[[#This Row],[Response]])=TRUE,1,0)=2,Table4424666572[[#This Row],[Response]],"")</f>
        <v/>
      </c>
      <c r="L40" s="6">
        <f>IF(IF(Table4424666572[[#This Row],[Pre or Post]]="Post",1,0)+IF(ISNUMBER(Table4424666572[[#This Row],[Response]])=TRUE,1,0)=2,Table4424666572[[#This Row],[Response]],"")</f>
        <v>4</v>
      </c>
      <c r="M40" s="5" t="str">
        <f>IF(IF(ISNUMBER(K40),1,0)+IF(ISNUMBER(L41),1,0)=2,IF(IF(C41=C40,1,0)+IF(B41=B40,1,0)+IF(D41="Post",1,0)+IF(D40="Pre",1,0)=4,Table4424666572[[#This Row],[Pre Total]],""),"")</f>
        <v/>
      </c>
      <c r="N40" s="5">
        <f>IF(IF(ISNUMBER(K39),1,0)+IF(ISNUMBER(Table4424666572[[#This Row],[Post Total]]),1,0)=2,IF(IF(Table4424666572[[#This Row],[Student Number]]=C39,1,0)+IF(Table4424666572[[#This Row],[Session]]=B39,1,0)+IF(Table4424666572[[#This Row],[Pre or Post]]="Post",1,0)+IF(D39="Pre",1,0)=4,Table4424666572[[#This Row],[Post Total]],""),"")</f>
        <v>4</v>
      </c>
      <c r="O40" s="5">
        <f>IF(IF(ISNUMBER(K39),1,0)+IF(ISNUMBER(Table4424666572[[#This Row],[Post Total]]),1,0)=2,IF(IF(Table4424666572[[#This Row],[Student Number]]=C39,1,0)+IF(Table4424666572[[#This Row],[Session]]=B39,1,0)+IF(Table4424666572[[#This Row],[Pre or Post]]="Post",1,0)+IF(D39="Pre",1,0)=4,Table4424666572[[#This Row],[Post Total]]-K39,""),"")</f>
        <v>1</v>
      </c>
      <c r="P40" s="5" t="b">
        <f>ISNUMBER(Table4424666572[[#This Row],[Change]])</f>
        <v>1</v>
      </c>
      <c r="Q40" s="5">
        <f>IF(E39="Yes",Table4424666572[[#This Row],[Change]],"")</f>
        <v>1</v>
      </c>
      <c r="R40" s="5" t="str">
        <f>IF(E39="No",Table4424666572[[#This Row],[Change]],"")</f>
        <v/>
      </c>
      <c r="S40" s="5" t="b">
        <f>ISNUMBER(Table4424666572[[#This Row],[If Pre5 Yes]])</f>
        <v>1</v>
      </c>
      <c r="T40" s="5" t="b">
        <f>ISNUMBER(Table4424666572[[#This Row],[If Pre5 No]])</f>
        <v>0</v>
      </c>
    </row>
    <row r="41" spans="1:20">
      <c r="A41" s="1" t="s">
        <v>24</v>
      </c>
      <c r="B41" s="1" t="s">
        <v>23</v>
      </c>
      <c r="C41" s="1">
        <v>11</v>
      </c>
      <c r="D41" s="1" t="s">
        <v>6</v>
      </c>
      <c r="E41" s="5" t="s">
        <v>8</v>
      </c>
      <c r="F41" s="1">
        <v>9</v>
      </c>
      <c r="G41" s="1">
        <v>4</v>
      </c>
      <c r="H41" s="1" t="s">
        <v>8</v>
      </c>
      <c r="I41" s="5">
        <f>IF(IF(Table4424666572[[#This Row],[Pre or Post]]="Pre",1,0)+IF(ISNUMBER(Table4424666572[[#This Row],[Response]])=TRUE,1,0)=2,1,"")</f>
        <v>1</v>
      </c>
      <c r="J41" s="5" t="str">
        <f>IF(IF(Table4424666572[[#This Row],[Pre or Post]]="Post",1,0)+IF(ISNUMBER(Table4424666572[[#This Row],[Response]])=TRUE,1,0)=2,1,"")</f>
        <v/>
      </c>
      <c r="K41" s="6">
        <f>IF(IF(Table4424666572[[#This Row],[Pre or Post]]="Pre",1,0)+IF(ISNUMBER(Table4424666572[[#This Row],[Response]])=TRUE,1,0)=2,Table4424666572[[#This Row],[Response]],"")</f>
        <v>4</v>
      </c>
      <c r="L41" s="6" t="str">
        <f>IF(IF(Table4424666572[[#This Row],[Pre or Post]]="Post",1,0)+IF(ISNUMBER(Table4424666572[[#This Row],[Response]])=TRUE,1,0)=2,Table4424666572[[#This Row],[Response]],"")</f>
        <v/>
      </c>
      <c r="M41" s="5">
        <f>IF(IF(ISNUMBER(K41),1,0)+IF(ISNUMBER(L42),1,0)=2,IF(IF(C42=C41,1,0)+IF(B42=B41,1,0)+IF(D42="Post",1,0)+IF(D41="Pre",1,0)=4,Table4424666572[[#This Row],[Pre Total]],""),"")</f>
        <v>4</v>
      </c>
      <c r="N41" s="5" t="str">
        <f>IF(IF(ISNUMBER(K40),1,0)+IF(ISNUMBER(Table4424666572[[#This Row],[Post Total]]),1,0)=2,IF(IF(Table4424666572[[#This Row],[Student Number]]=C40,1,0)+IF(Table4424666572[[#This Row],[Session]]=B40,1,0)+IF(Table4424666572[[#This Row],[Pre or Post]]="Post",1,0)+IF(D40="Pre",1,0)=4,Table4424666572[[#This Row],[Post Total]],""),"")</f>
        <v/>
      </c>
      <c r="O41" s="5" t="str">
        <f>IF(IF(ISNUMBER(K40),1,0)+IF(ISNUMBER(Table4424666572[[#This Row],[Post Total]]),1,0)=2,IF(IF(Table4424666572[[#This Row],[Student Number]]=C40,1,0)+IF(Table4424666572[[#This Row],[Session]]=B40,1,0)+IF(Table4424666572[[#This Row],[Pre or Post]]="Post",1,0)+IF(D40="Pre",1,0)=4,Table4424666572[[#This Row],[Post Total]]-K40,""),"")</f>
        <v/>
      </c>
      <c r="P41" s="5" t="b">
        <f>ISNUMBER(Table4424666572[[#This Row],[Change]])</f>
        <v>0</v>
      </c>
      <c r="Q41" s="5" t="str">
        <f>IF(E40="Yes",Table4424666572[[#This Row],[Change]],"")</f>
        <v/>
      </c>
      <c r="R41" s="5" t="str">
        <f>IF(E40="No",Table4424666572[[#This Row],[Change]],"")</f>
        <v/>
      </c>
      <c r="S41" s="5" t="b">
        <f>ISNUMBER(Table4424666572[[#This Row],[If Pre5 Yes]])</f>
        <v>0</v>
      </c>
      <c r="T41" s="5" t="b">
        <f>ISNUMBER(Table4424666572[[#This Row],[If Pre5 No]])</f>
        <v>0</v>
      </c>
    </row>
    <row r="42" spans="1:20">
      <c r="A42" s="1" t="s">
        <v>24</v>
      </c>
      <c r="B42" s="1" t="s">
        <v>23</v>
      </c>
      <c r="C42" s="1">
        <v>11</v>
      </c>
      <c r="D42" s="1" t="s">
        <v>16</v>
      </c>
      <c r="E42" s="5"/>
      <c r="F42" s="1">
        <v>2</v>
      </c>
      <c r="G42" s="1">
        <v>4</v>
      </c>
      <c r="H42" s="1" t="s">
        <v>8</v>
      </c>
      <c r="I42" s="5" t="str">
        <f>IF(IF(Table4424666572[[#This Row],[Pre or Post]]="Pre",1,0)+IF(ISNUMBER(Table4424666572[[#This Row],[Response]])=TRUE,1,0)=2,1,"")</f>
        <v/>
      </c>
      <c r="J42" s="5">
        <f>IF(IF(Table4424666572[[#This Row],[Pre or Post]]="Post",1,0)+IF(ISNUMBER(Table4424666572[[#This Row],[Response]])=TRUE,1,0)=2,1,"")</f>
        <v>1</v>
      </c>
      <c r="K42" s="6" t="str">
        <f>IF(IF(Table4424666572[[#This Row],[Pre or Post]]="Pre",1,0)+IF(ISNUMBER(Table4424666572[[#This Row],[Response]])=TRUE,1,0)=2,Table4424666572[[#This Row],[Response]],"")</f>
        <v/>
      </c>
      <c r="L42" s="6">
        <f>IF(IF(Table4424666572[[#This Row],[Pre or Post]]="Post",1,0)+IF(ISNUMBER(Table4424666572[[#This Row],[Response]])=TRUE,1,0)=2,Table4424666572[[#This Row],[Response]],"")</f>
        <v>4</v>
      </c>
      <c r="M42" s="5" t="str">
        <f>IF(IF(ISNUMBER(K42),1,0)+IF(ISNUMBER(L43),1,0)=2,IF(IF(C43=C42,1,0)+IF(B43=B42,1,0)+IF(D43="Post",1,0)+IF(D42="Pre",1,0)=4,Table4424666572[[#This Row],[Pre Total]],""),"")</f>
        <v/>
      </c>
      <c r="N42" s="5">
        <f>IF(IF(ISNUMBER(K41),1,0)+IF(ISNUMBER(Table4424666572[[#This Row],[Post Total]]),1,0)=2,IF(IF(Table4424666572[[#This Row],[Student Number]]=C41,1,0)+IF(Table4424666572[[#This Row],[Session]]=B41,1,0)+IF(Table4424666572[[#This Row],[Pre or Post]]="Post",1,0)+IF(D41="Pre",1,0)=4,Table4424666572[[#This Row],[Post Total]],""),"")</f>
        <v>4</v>
      </c>
      <c r="O42" s="5">
        <f>IF(IF(ISNUMBER(K41),1,0)+IF(ISNUMBER(Table4424666572[[#This Row],[Post Total]]),1,0)=2,IF(IF(Table4424666572[[#This Row],[Student Number]]=C41,1,0)+IF(Table4424666572[[#This Row],[Session]]=B41,1,0)+IF(Table4424666572[[#This Row],[Pre or Post]]="Post",1,0)+IF(D41="Pre",1,0)=4,Table4424666572[[#This Row],[Post Total]]-K41,""),"")</f>
        <v>0</v>
      </c>
      <c r="P42" s="5" t="b">
        <f>ISNUMBER(Table4424666572[[#This Row],[Change]])</f>
        <v>1</v>
      </c>
      <c r="Q42" s="5">
        <f>IF(E41="Yes",Table4424666572[[#This Row],[Change]],"")</f>
        <v>0</v>
      </c>
      <c r="R42" s="5" t="str">
        <f>IF(E41="No",Table4424666572[[#This Row],[Change]],"")</f>
        <v/>
      </c>
      <c r="S42" s="5" t="b">
        <f>ISNUMBER(Table4424666572[[#This Row],[If Pre5 Yes]])</f>
        <v>1</v>
      </c>
      <c r="T42" s="5" t="b">
        <f>ISNUMBER(Table4424666572[[#This Row],[If Pre5 No]])</f>
        <v>0</v>
      </c>
    </row>
    <row r="43" spans="1:20">
      <c r="A43" s="1" t="s">
        <v>24</v>
      </c>
      <c r="B43" s="1" t="s">
        <v>23</v>
      </c>
      <c r="C43" s="1">
        <v>12</v>
      </c>
      <c r="D43" s="1" t="s">
        <v>6</v>
      </c>
      <c r="E43" s="5" t="s">
        <v>8</v>
      </c>
      <c r="F43" s="1">
        <v>9</v>
      </c>
      <c r="G43" s="1">
        <v>3</v>
      </c>
      <c r="H43" s="1" t="s">
        <v>8</v>
      </c>
      <c r="I43" s="5">
        <f>IF(IF(Table4424666572[[#This Row],[Pre or Post]]="Pre",1,0)+IF(ISNUMBER(Table4424666572[[#This Row],[Response]])=TRUE,1,0)=2,1,"")</f>
        <v>1</v>
      </c>
      <c r="J43" s="5" t="str">
        <f>IF(IF(Table4424666572[[#This Row],[Pre or Post]]="Post",1,0)+IF(ISNUMBER(Table4424666572[[#This Row],[Response]])=TRUE,1,0)=2,1,"")</f>
        <v/>
      </c>
      <c r="K43" s="6">
        <f>IF(IF(Table4424666572[[#This Row],[Pre or Post]]="Pre",1,0)+IF(ISNUMBER(Table4424666572[[#This Row],[Response]])=TRUE,1,0)=2,Table4424666572[[#This Row],[Response]],"")</f>
        <v>3</v>
      </c>
      <c r="L43" s="6" t="str">
        <f>IF(IF(Table4424666572[[#This Row],[Pre or Post]]="Post",1,0)+IF(ISNUMBER(Table4424666572[[#This Row],[Response]])=TRUE,1,0)=2,Table4424666572[[#This Row],[Response]],"")</f>
        <v/>
      </c>
      <c r="M43" s="5">
        <f>IF(IF(ISNUMBER(K43),1,0)+IF(ISNUMBER(L44),1,0)=2,IF(IF(C44=C43,1,0)+IF(B44=B43,1,0)+IF(D44="Post",1,0)+IF(D43="Pre",1,0)=4,Table4424666572[[#This Row],[Pre Total]],""),"")</f>
        <v>3</v>
      </c>
      <c r="N43" s="5" t="str">
        <f>IF(IF(ISNUMBER(K42),1,0)+IF(ISNUMBER(Table4424666572[[#This Row],[Post Total]]),1,0)=2,IF(IF(Table4424666572[[#This Row],[Student Number]]=C42,1,0)+IF(Table4424666572[[#This Row],[Session]]=B42,1,0)+IF(Table4424666572[[#This Row],[Pre or Post]]="Post",1,0)+IF(D42="Pre",1,0)=4,Table4424666572[[#This Row],[Post Total]],""),"")</f>
        <v/>
      </c>
      <c r="O43" s="5" t="str">
        <f>IF(IF(ISNUMBER(K42),1,0)+IF(ISNUMBER(Table4424666572[[#This Row],[Post Total]]),1,0)=2,IF(IF(Table4424666572[[#This Row],[Student Number]]=C42,1,0)+IF(Table4424666572[[#This Row],[Session]]=B42,1,0)+IF(Table4424666572[[#This Row],[Pre or Post]]="Post",1,0)+IF(D42="Pre",1,0)=4,Table4424666572[[#This Row],[Post Total]]-K42,""),"")</f>
        <v/>
      </c>
      <c r="P43" s="5" t="b">
        <f>ISNUMBER(Table4424666572[[#This Row],[Change]])</f>
        <v>0</v>
      </c>
      <c r="Q43" s="5" t="str">
        <f>IF(E42="Yes",Table4424666572[[#This Row],[Change]],"")</f>
        <v/>
      </c>
      <c r="R43" s="5" t="str">
        <f>IF(E42="No",Table4424666572[[#This Row],[Change]],"")</f>
        <v/>
      </c>
      <c r="S43" s="5" t="b">
        <f>ISNUMBER(Table4424666572[[#This Row],[If Pre5 Yes]])</f>
        <v>0</v>
      </c>
      <c r="T43" s="5" t="b">
        <f>ISNUMBER(Table4424666572[[#This Row],[If Pre5 No]])</f>
        <v>0</v>
      </c>
    </row>
    <row r="44" spans="1:20">
      <c r="A44" s="1" t="s">
        <v>24</v>
      </c>
      <c r="B44" s="1" t="s">
        <v>23</v>
      </c>
      <c r="C44" s="1">
        <v>12</v>
      </c>
      <c r="D44" s="1" t="s">
        <v>16</v>
      </c>
      <c r="E44" s="5"/>
      <c r="F44" s="1">
        <v>2</v>
      </c>
      <c r="G44" s="1">
        <v>3</v>
      </c>
      <c r="H44" s="1" t="s">
        <v>8</v>
      </c>
      <c r="I44" s="5" t="str">
        <f>IF(IF(Table4424666572[[#This Row],[Pre or Post]]="Pre",1,0)+IF(ISNUMBER(Table4424666572[[#This Row],[Response]])=TRUE,1,0)=2,1,"")</f>
        <v/>
      </c>
      <c r="J44" s="5">
        <f>IF(IF(Table4424666572[[#This Row],[Pre or Post]]="Post",1,0)+IF(ISNUMBER(Table4424666572[[#This Row],[Response]])=TRUE,1,0)=2,1,"")</f>
        <v>1</v>
      </c>
      <c r="K44" s="6" t="str">
        <f>IF(IF(Table4424666572[[#This Row],[Pre or Post]]="Pre",1,0)+IF(ISNUMBER(Table4424666572[[#This Row],[Response]])=TRUE,1,0)=2,Table4424666572[[#This Row],[Response]],"")</f>
        <v/>
      </c>
      <c r="L44" s="6">
        <f>IF(IF(Table4424666572[[#This Row],[Pre or Post]]="Post",1,0)+IF(ISNUMBER(Table4424666572[[#This Row],[Response]])=TRUE,1,0)=2,Table4424666572[[#This Row],[Response]],"")</f>
        <v>3</v>
      </c>
      <c r="M44" s="5" t="str">
        <f>IF(IF(ISNUMBER(K44),1,0)+IF(ISNUMBER(L45),1,0)=2,IF(IF(C45=C44,1,0)+IF(B45=B44,1,0)+IF(D45="Post",1,0)+IF(D44="Pre",1,0)=4,Table4424666572[[#This Row],[Pre Total]],""),"")</f>
        <v/>
      </c>
      <c r="N44" s="5">
        <f>IF(IF(ISNUMBER(K43),1,0)+IF(ISNUMBER(Table4424666572[[#This Row],[Post Total]]),1,0)=2,IF(IF(Table4424666572[[#This Row],[Student Number]]=C43,1,0)+IF(Table4424666572[[#This Row],[Session]]=B43,1,0)+IF(Table4424666572[[#This Row],[Pre or Post]]="Post",1,0)+IF(D43="Pre",1,0)=4,Table4424666572[[#This Row],[Post Total]],""),"")</f>
        <v>3</v>
      </c>
      <c r="O44" s="5">
        <f>IF(IF(ISNUMBER(K43),1,0)+IF(ISNUMBER(Table4424666572[[#This Row],[Post Total]]),1,0)=2,IF(IF(Table4424666572[[#This Row],[Student Number]]=C43,1,0)+IF(Table4424666572[[#This Row],[Session]]=B43,1,0)+IF(Table4424666572[[#This Row],[Pre or Post]]="Post",1,0)+IF(D43="Pre",1,0)=4,Table4424666572[[#This Row],[Post Total]]-K43,""),"")</f>
        <v>0</v>
      </c>
      <c r="P44" s="5" t="b">
        <f>ISNUMBER(Table4424666572[[#This Row],[Change]])</f>
        <v>1</v>
      </c>
      <c r="Q44" s="5">
        <f>IF(E43="Yes",Table4424666572[[#This Row],[Change]],"")</f>
        <v>0</v>
      </c>
      <c r="R44" s="5" t="str">
        <f>IF(E43="No",Table4424666572[[#This Row],[Change]],"")</f>
        <v/>
      </c>
      <c r="S44" s="5" t="b">
        <f>ISNUMBER(Table4424666572[[#This Row],[If Pre5 Yes]])</f>
        <v>1</v>
      </c>
      <c r="T44" s="5" t="b">
        <f>ISNUMBER(Table4424666572[[#This Row],[If Pre5 No]])</f>
        <v>0</v>
      </c>
    </row>
    <row r="45" spans="1:20">
      <c r="A45" s="1" t="s">
        <v>24</v>
      </c>
      <c r="B45" s="1" t="s">
        <v>23</v>
      </c>
      <c r="C45" s="1">
        <v>13</v>
      </c>
      <c r="D45" s="1" t="s">
        <v>6</v>
      </c>
      <c r="E45" s="5" t="s">
        <v>8</v>
      </c>
      <c r="F45" s="1">
        <v>9</v>
      </c>
      <c r="G45" s="1">
        <v>3</v>
      </c>
      <c r="H45" s="1" t="s">
        <v>8</v>
      </c>
      <c r="I45" s="5">
        <f>IF(IF(Table4424666572[[#This Row],[Pre or Post]]="Pre",1,0)+IF(ISNUMBER(Table4424666572[[#This Row],[Response]])=TRUE,1,0)=2,1,"")</f>
        <v>1</v>
      </c>
      <c r="J45" s="5" t="str">
        <f>IF(IF(Table4424666572[[#This Row],[Pre or Post]]="Post",1,0)+IF(ISNUMBER(Table4424666572[[#This Row],[Response]])=TRUE,1,0)=2,1,"")</f>
        <v/>
      </c>
      <c r="K45" s="6">
        <f>IF(IF(Table4424666572[[#This Row],[Pre or Post]]="Pre",1,0)+IF(ISNUMBER(Table4424666572[[#This Row],[Response]])=TRUE,1,0)=2,Table4424666572[[#This Row],[Response]],"")</f>
        <v>3</v>
      </c>
      <c r="L45" s="6" t="str">
        <f>IF(IF(Table4424666572[[#This Row],[Pre or Post]]="Post",1,0)+IF(ISNUMBER(Table4424666572[[#This Row],[Response]])=TRUE,1,0)=2,Table4424666572[[#This Row],[Response]],"")</f>
        <v/>
      </c>
      <c r="M45" s="5">
        <f>IF(IF(ISNUMBER(K45),1,0)+IF(ISNUMBER(L46),1,0)=2,IF(IF(C46=C45,1,0)+IF(B46=B45,1,0)+IF(D46="Post",1,0)+IF(D45="Pre",1,0)=4,Table4424666572[[#This Row],[Pre Total]],""),"")</f>
        <v>3</v>
      </c>
      <c r="N45" s="5" t="str">
        <f>IF(IF(ISNUMBER(K44),1,0)+IF(ISNUMBER(Table4424666572[[#This Row],[Post Total]]),1,0)=2,IF(IF(Table4424666572[[#This Row],[Student Number]]=C44,1,0)+IF(Table4424666572[[#This Row],[Session]]=B44,1,0)+IF(Table4424666572[[#This Row],[Pre or Post]]="Post",1,0)+IF(D44="Pre",1,0)=4,Table4424666572[[#This Row],[Post Total]],""),"")</f>
        <v/>
      </c>
      <c r="O45" s="5" t="str">
        <f>IF(IF(ISNUMBER(K44),1,0)+IF(ISNUMBER(Table4424666572[[#This Row],[Post Total]]),1,0)=2,IF(IF(Table4424666572[[#This Row],[Student Number]]=C44,1,0)+IF(Table4424666572[[#This Row],[Session]]=B44,1,0)+IF(Table4424666572[[#This Row],[Pre or Post]]="Post",1,0)+IF(D44="Pre",1,0)=4,Table4424666572[[#This Row],[Post Total]]-K44,""),"")</f>
        <v/>
      </c>
      <c r="P45" s="5" t="b">
        <f>ISNUMBER(Table4424666572[[#This Row],[Change]])</f>
        <v>0</v>
      </c>
      <c r="Q45" s="5" t="str">
        <f>IF(E44="Yes",Table4424666572[[#This Row],[Change]],"")</f>
        <v/>
      </c>
      <c r="R45" s="5" t="str">
        <f>IF(E44="No",Table4424666572[[#This Row],[Change]],"")</f>
        <v/>
      </c>
      <c r="S45" s="5" t="b">
        <f>ISNUMBER(Table4424666572[[#This Row],[If Pre5 Yes]])</f>
        <v>0</v>
      </c>
      <c r="T45" s="5" t="b">
        <f>ISNUMBER(Table4424666572[[#This Row],[If Pre5 No]])</f>
        <v>0</v>
      </c>
    </row>
    <row r="46" spans="1:20">
      <c r="A46" s="1" t="s">
        <v>24</v>
      </c>
      <c r="B46" s="1" t="s">
        <v>23</v>
      </c>
      <c r="C46" s="1">
        <v>13</v>
      </c>
      <c r="D46" s="1" t="s">
        <v>16</v>
      </c>
      <c r="E46" s="5"/>
      <c r="F46" s="1">
        <v>2</v>
      </c>
      <c r="G46" s="1">
        <v>3</v>
      </c>
      <c r="H46" s="1" t="s">
        <v>8</v>
      </c>
      <c r="I46" s="6" t="str">
        <f>IF(IF(Table4424666572[[#This Row],[Pre or Post]]="Pre",1,0)+IF(ISNUMBER(Table4424666572[[#This Row],[Response]])=TRUE,1,0)=2,1,"")</f>
        <v/>
      </c>
      <c r="J46" s="6">
        <f>IF(IF(Table4424666572[[#This Row],[Pre or Post]]="Post",1,0)+IF(ISNUMBER(Table4424666572[[#This Row],[Response]])=TRUE,1,0)=2,1,"")</f>
        <v>1</v>
      </c>
      <c r="K46" s="6" t="str">
        <f>IF(IF(Table4424666572[[#This Row],[Pre or Post]]="Pre",1,0)+IF(ISNUMBER(Table4424666572[[#This Row],[Response]])=TRUE,1,0)=2,Table4424666572[[#This Row],[Response]],"")</f>
        <v/>
      </c>
      <c r="L46" s="6">
        <f>IF(IF(Table4424666572[[#This Row],[Pre or Post]]="Post",1,0)+IF(ISNUMBER(Table4424666572[[#This Row],[Response]])=TRUE,1,0)=2,Table4424666572[[#This Row],[Response]],"")</f>
        <v>3</v>
      </c>
      <c r="M46" s="6" t="str">
        <f>IF(IF(ISNUMBER(K46),1,0)+IF(ISNUMBER(L47),1,0)=2,IF(IF(C47=C46,1,0)+IF(B47=B46,1,0)+IF(D47="Post",1,0)+IF(D46="Pre",1,0)=4,Table4424666572[[#This Row],[Pre Total]],""),"")</f>
        <v/>
      </c>
      <c r="N46" s="6">
        <f>IF(IF(ISNUMBER(K45),1,0)+IF(ISNUMBER(Table4424666572[[#This Row],[Post Total]]),1,0)=2,IF(IF(Table4424666572[[#This Row],[Student Number]]=C45,1,0)+IF(Table4424666572[[#This Row],[Session]]=B45,1,0)+IF(Table4424666572[[#This Row],[Pre or Post]]="Post",1,0)+IF(D45="Pre",1,0)=4,Table4424666572[[#This Row],[Post Total]],""),"")</f>
        <v>3</v>
      </c>
      <c r="O46" s="6">
        <f>IF(IF(ISNUMBER(K45),1,0)+IF(ISNUMBER(Table4424666572[[#This Row],[Post Total]]),1,0)=2,IF(IF(Table4424666572[[#This Row],[Student Number]]=C45,1,0)+IF(Table4424666572[[#This Row],[Session]]=B45,1,0)+IF(Table4424666572[[#This Row],[Pre or Post]]="Post",1,0)+IF(D45="Pre",1,0)=4,Table4424666572[[#This Row],[Post Total]]-K45,""),"")</f>
        <v>0</v>
      </c>
      <c r="P46" s="6" t="b">
        <f>ISNUMBER(Table4424666572[[#This Row],[Change]])</f>
        <v>1</v>
      </c>
      <c r="Q46" s="5">
        <f>IF(E45="Yes",Table4424666572[[#This Row],[Change]],"")</f>
        <v>0</v>
      </c>
      <c r="R46" s="5" t="str">
        <f>IF(E45="No",Table4424666572[[#This Row],[Change]],"")</f>
        <v/>
      </c>
      <c r="S46" s="5" t="b">
        <f>ISNUMBER(Table4424666572[[#This Row],[If Pre5 Yes]])</f>
        <v>1</v>
      </c>
      <c r="T46" s="5" t="b">
        <f>ISNUMBER(Table4424666572[[#This Row],[If Pre5 No]])</f>
        <v>0</v>
      </c>
    </row>
    <row r="47" spans="1:20">
      <c r="A47" s="1" t="s">
        <v>24</v>
      </c>
      <c r="B47" s="1" t="s">
        <v>23</v>
      </c>
      <c r="C47" s="1">
        <v>14</v>
      </c>
      <c r="D47" s="1" t="s">
        <v>6</v>
      </c>
      <c r="E47" s="5" t="s">
        <v>8</v>
      </c>
      <c r="F47" s="1">
        <v>9</v>
      </c>
      <c r="G47" s="1">
        <v>2</v>
      </c>
      <c r="H47" s="1" t="s">
        <v>8</v>
      </c>
      <c r="I47" s="6">
        <f>IF(IF(Table4424666572[[#This Row],[Pre or Post]]="Pre",1,0)+IF(ISNUMBER(Table4424666572[[#This Row],[Response]])=TRUE,1,0)=2,1,"")</f>
        <v>1</v>
      </c>
      <c r="J47" s="6" t="str">
        <f>IF(IF(Table4424666572[[#This Row],[Pre or Post]]="Post",1,0)+IF(ISNUMBER(Table4424666572[[#This Row],[Response]])=TRUE,1,0)=2,1,"")</f>
        <v/>
      </c>
      <c r="K47" s="6">
        <f>IF(IF(Table4424666572[[#This Row],[Pre or Post]]="Pre",1,0)+IF(ISNUMBER(Table4424666572[[#This Row],[Response]])=TRUE,1,0)=2,Table4424666572[[#This Row],[Response]],"")</f>
        <v>2</v>
      </c>
      <c r="L47" s="6" t="str">
        <f>IF(IF(Table4424666572[[#This Row],[Pre or Post]]="Post",1,0)+IF(ISNUMBER(Table4424666572[[#This Row],[Response]])=TRUE,1,0)=2,Table4424666572[[#This Row],[Response]],"")</f>
        <v/>
      </c>
      <c r="M47" s="6">
        <f>IF(IF(ISNUMBER(K47),1,0)+IF(ISNUMBER(L48),1,0)=2,IF(IF(C48=C47,1,0)+IF(B48=B47,1,0)+IF(D48="Post",1,0)+IF(D47="Pre",1,0)=4,Table4424666572[[#This Row],[Pre Total]],""),"")</f>
        <v>2</v>
      </c>
      <c r="N47" s="6" t="str">
        <f>IF(IF(ISNUMBER(K46),1,0)+IF(ISNUMBER(Table4424666572[[#This Row],[Post Total]]),1,0)=2,IF(IF(Table4424666572[[#This Row],[Student Number]]=C46,1,0)+IF(Table4424666572[[#This Row],[Session]]=B46,1,0)+IF(Table4424666572[[#This Row],[Pre or Post]]="Post",1,0)+IF(D46="Pre",1,0)=4,Table4424666572[[#This Row],[Post Total]],""),"")</f>
        <v/>
      </c>
      <c r="O47" s="6" t="str">
        <f>IF(IF(ISNUMBER(K46),1,0)+IF(ISNUMBER(Table4424666572[[#This Row],[Post Total]]),1,0)=2,IF(IF(Table4424666572[[#This Row],[Student Number]]=C46,1,0)+IF(Table4424666572[[#This Row],[Session]]=B46,1,0)+IF(Table4424666572[[#This Row],[Pre or Post]]="Post",1,0)+IF(D46="Pre",1,0)=4,Table4424666572[[#This Row],[Post Total]]-K46,""),"")</f>
        <v/>
      </c>
      <c r="P47" s="6" t="b">
        <f>ISNUMBER(Table4424666572[[#This Row],[Change]])</f>
        <v>0</v>
      </c>
      <c r="Q47" s="5" t="str">
        <f>IF(E46="Yes",Table4424666572[[#This Row],[Change]],"")</f>
        <v/>
      </c>
      <c r="R47" s="5" t="str">
        <f>IF(E46="No",Table4424666572[[#This Row],[Change]],"")</f>
        <v/>
      </c>
      <c r="S47" s="5" t="b">
        <f>ISNUMBER(Table4424666572[[#This Row],[If Pre5 Yes]])</f>
        <v>0</v>
      </c>
      <c r="T47" s="5" t="b">
        <f>ISNUMBER(Table4424666572[[#This Row],[If Pre5 No]])</f>
        <v>0</v>
      </c>
    </row>
    <row r="48" spans="1:20">
      <c r="A48" s="1" t="s">
        <v>24</v>
      </c>
      <c r="B48" s="1" t="s">
        <v>23</v>
      </c>
      <c r="C48" s="1">
        <v>14</v>
      </c>
      <c r="D48" s="1" t="s">
        <v>16</v>
      </c>
      <c r="E48" s="5"/>
      <c r="F48" s="1">
        <v>2</v>
      </c>
      <c r="G48" s="1">
        <v>3</v>
      </c>
      <c r="H48" s="1" t="s">
        <v>8</v>
      </c>
      <c r="I48" s="5" t="str">
        <f>IF(IF(Table4424666572[[#This Row],[Pre or Post]]="Pre",1,0)+IF(ISNUMBER(Table4424666572[[#This Row],[Response]])=TRUE,1,0)=2,1,"")</f>
        <v/>
      </c>
      <c r="J48" s="5">
        <f>IF(IF(Table4424666572[[#This Row],[Pre or Post]]="Post",1,0)+IF(ISNUMBER(Table4424666572[[#This Row],[Response]])=TRUE,1,0)=2,1,"")</f>
        <v>1</v>
      </c>
      <c r="K48" s="6" t="str">
        <f>IF(IF(Table4424666572[[#This Row],[Pre or Post]]="Pre",1,0)+IF(ISNUMBER(Table4424666572[[#This Row],[Response]])=TRUE,1,0)=2,Table4424666572[[#This Row],[Response]],"")</f>
        <v/>
      </c>
      <c r="L48" s="6">
        <f>IF(IF(Table4424666572[[#This Row],[Pre or Post]]="Post",1,0)+IF(ISNUMBER(Table4424666572[[#This Row],[Response]])=TRUE,1,0)=2,Table4424666572[[#This Row],[Response]],"")</f>
        <v>3</v>
      </c>
      <c r="M48" s="5" t="str">
        <f>IF(IF(ISNUMBER(K48),1,0)+IF(ISNUMBER(L49),1,0)=2,IF(IF(C49=C48,1,0)+IF(B49=B48,1,0)+IF(D49="Post",1,0)+IF(D48="Pre",1,0)=4,Table4424666572[[#This Row],[Pre Total]],""),"")</f>
        <v/>
      </c>
      <c r="N48" s="5">
        <f>IF(IF(ISNUMBER(K47),1,0)+IF(ISNUMBER(Table4424666572[[#This Row],[Post Total]]),1,0)=2,IF(IF(Table4424666572[[#This Row],[Student Number]]=C47,1,0)+IF(Table4424666572[[#This Row],[Session]]=B47,1,0)+IF(Table4424666572[[#This Row],[Pre or Post]]="Post",1,0)+IF(D47="Pre",1,0)=4,Table4424666572[[#This Row],[Post Total]],""),"")</f>
        <v>3</v>
      </c>
      <c r="O48" s="5">
        <f>IF(IF(ISNUMBER(K47),1,0)+IF(ISNUMBER(Table4424666572[[#This Row],[Post Total]]),1,0)=2,IF(IF(Table4424666572[[#This Row],[Student Number]]=C47,1,0)+IF(Table4424666572[[#This Row],[Session]]=B47,1,0)+IF(Table4424666572[[#This Row],[Pre or Post]]="Post",1,0)+IF(D47="Pre",1,0)=4,Table4424666572[[#This Row],[Post Total]]-K47,""),"")</f>
        <v>1</v>
      </c>
      <c r="P48" s="5" t="b">
        <f>ISNUMBER(Table4424666572[[#This Row],[Change]])</f>
        <v>1</v>
      </c>
      <c r="Q48" s="5">
        <f>IF(E47="Yes",Table4424666572[[#This Row],[Change]],"")</f>
        <v>1</v>
      </c>
      <c r="R48" s="5" t="str">
        <f>IF(E47="No",Table4424666572[[#This Row],[Change]],"")</f>
        <v/>
      </c>
      <c r="S48" s="5" t="b">
        <f>ISNUMBER(Table4424666572[[#This Row],[If Pre5 Yes]])</f>
        <v>1</v>
      </c>
      <c r="T48" s="5" t="b">
        <f>ISNUMBER(Table4424666572[[#This Row],[If Pre5 No]])</f>
        <v>0</v>
      </c>
    </row>
    <row r="49" spans="1:20">
      <c r="A49" s="1" t="s">
        <v>24</v>
      </c>
      <c r="B49" s="1" t="s">
        <v>23</v>
      </c>
      <c r="C49" s="1">
        <v>15</v>
      </c>
      <c r="D49" s="1" t="s">
        <v>6</v>
      </c>
      <c r="E49" s="5" t="s">
        <v>8</v>
      </c>
      <c r="F49" s="1">
        <v>9</v>
      </c>
      <c r="G49" s="1">
        <v>4</v>
      </c>
      <c r="H49" s="1" t="s">
        <v>8</v>
      </c>
      <c r="I49" s="5">
        <f>IF(IF(Table4424666572[[#This Row],[Pre or Post]]="Pre",1,0)+IF(ISNUMBER(Table4424666572[[#This Row],[Response]])=TRUE,1,0)=2,1,"")</f>
        <v>1</v>
      </c>
      <c r="J49" s="5" t="str">
        <f>IF(IF(Table4424666572[[#This Row],[Pre or Post]]="Post",1,0)+IF(ISNUMBER(Table4424666572[[#This Row],[Response]])=TRUE,1,0)=2,1,"")</f>
        <v/>
      </c>
      <c r="K49" s="6">
        <f>IF(IF(Table4424666572[[#This Row],[Pre or Post]]="Pre",1,0)+IF(ISNUMBER(Table4424666572[[#This Row],[Response]])=TRUE,1,0)=2,Table4424666572[[#This Row],[Response]],"")</f>
        <v>4</v>
      </c>
      <c r="L49" s="6" t="str">
        <f>IF(IF(Table4424666572[[#This Row],[Pre or Post]]="Post",1,0)+IF(ISNUMBER(Table4424666572[[#This Row],[Response]])=TRUE,1,0)=2,Table4424666572[[#This Row],[Response]],"")</f>
        <v/>
      </c>
      <c r="M49" s="5">
        <f>IF(IF(ISNUMBER(K49),1,0)+IF(ISNUMBER(L50),1,0)=2,IF(IF(C50=C49,1,0)+IF(B50=B49,1,0)+IF(D50="Post",1,0)+IF(D49="Pre",1,0)=4,Table4424666572[[#This Row],[Pre Total]],""),"")</f>
        <v>4</v>
      </c>
      <c r="N49" s="5" t="str">
        <f>IF(IF(ISNUMBER(K48),1,0)+IF(ISNUMBER(Table4424666572[[#This Row],[Post Total]]),1,0)=2,IF(IF(Table4424666572[[#This Row],[Student Number]]=C48,1,0)+IF(Table4424666572[[#This Row],[Session]]=B48,1,0)+IF(Table4424666572[[#This Row],[Pre or Post]]="Post",1,0)+IF(D48="Pre",1,0)=4,Table4424666572[[#This Row],[Post Total]],""),"")</f>
        <v/>
      </c>
      <c r="O49" s="5" t="str">
        <f>IF(IF(ISNUMBER(K48),1,0)+IF(ISNUMBER(Table4424666572[[#This Row],[Post Total]]),1,0)=2,IF(IF(Table4424666572[[#This Row],[Student Number]]=C48,1,0)+IF(Table4424666572[[#This Row],[Session]]=B48,1,0)+IF(Table4424666572[[#This Row],[Pre or Post]]="Post",1,0)+IF(D48="Pre",1,0)=4,Table4424666572[[#This Row],[Post Total]]-K48,""),"")</f>
        <v/>
      </c>
      <c r="P49" s="5" t="b">
        <f>ISNUMBER(Table4424666572[[#This Row],[Change]])</f>
        <v>0</v>
      </c>
      <c r="Q49" s="5" t="str">
        <f>IF(E48="Yes",Table4424666572[[#This Row],[Change]],"")</f>
        <v/>
      </c>
      <c r="R49" s="5" t="str">
        <f>IF(E48="No",Table4424666572[[#This Row],[Change]],"")</f>
        <v/>
      </c>
      <c r="S49" s="5" t="b">
        <f>ISNUMBER(Table4424666572[[#This Row],[If Pre5 Yes]])</f>
        <v>0</v>
      </c>
      <c r="T49" s="5" t="b">
        <f>ISNUMBER(Table4424666572[[#This Row],[If Pre5 No]])</f>
        <v>0</v>
      </c>
    </row>
    <row r="50" spans="1:20">
      <c r="A50" s="1" t="s">
        <v>24</v>
      </c>
      <c r="B50" s="1" t="s">
        <v>23</v>
      </c>
      <c r="C50" s="1">
        <v>15</v>
      </c>
      <c r="D50" s="1" t="s">
        <v>16</v>
      </c>
      <c r="E50" s="5"/>
      <c r="F50" s="1">
        <v>2</v>
      </c>
      <c r="G50" s="1">
        <v>4</v>
      </c>
      <c r="H50" s="1" t="s">
        <v>8</v>
      </c>
      <c r="I50" s="5" t="str">
        <f>IF(IF(Table4424666572[[#This Row],[Pre or Post]]="Pre",1,0)+IF(ISNUMBER(Table4424666572[[#This Row],[Response]])=TRUE,1,0)=2,1,"")</f>
        <v/>
      </c>
      <c r="J50" s="5">
        <f>IF(IF(Table4424666572[[#This Row],[Pre or Post]]="Post",1,0)+IF(ISNUMBER(Table4424666572[[#This Row],[Response]])=TRUE,1,0)=2,1,"")</f>
        <v>1</v>
      </c>
      <c r="K50" s="6" t="str">
        <f>IF(IF(Table4424666572[[#This Row],[Pre or Post]]="Pre",1,0)+IF(ISNUMBER(Table4424666572[[#This Row],[Response]])=TRUE,1,0)=2,Table4424666572[[#This Row],[Response]],"")</f>
        <v/>
      </c>
      <c r="L50" s="6">
        <f>IF(IF(Table4424666572[[#This Row],[Pre or Post]]="Post",1,0)+IF(ISNUMBER(Table4424666572[[#This Row],[Response]])=TRUE,1,0)=2,Table4424666572[[#This Row],[Response]],"")</f>
        <v>4</v>
      </c>
      <c r="M50" s="5" t="str">
        <f>IF(IF(ISNUMBER(K50),1,0)+IF(ISNUMBER(L51),1,0)=2,IF(IF(C51=C50,1,0)+IF(B51=B50,1,0)+IF(D51="Post",1,0)+IF(D50="Pre",1,0)=4,Table4424666572[[#This Row],[Pre Total]],""),"")</f>
        <v/>
      </c>
      <c r="N50" s="5">
        <f>IF(IF(ISNUMBER(K49),1,0)+IF(ISNUMBER(Table4424666572[[#This Row],[Post Total]]),1,0)=2,IF(IF(Table4424666572[[#This Row],[Student Number]]=C49,1,0)+IF(Table4424666572[[#This Row],[Session]]=B49,1,0)+IF(Table4424666572[[#This Row],[Pre or Post]]="Post",1,0)+IF(D49="Pre",1,0)=4,Table4424666572[[#This Row],[Post Total]],""),"")</f>
        <v>4</v>
      </c>
      <c r="O50" s="5">
        <f>IF(IF(ISNUMBER(K49),1,0)+IF(ISNUMBER(Table4424666572[[#This Row],[Post Total]]),1,0)=2,IF(IF(Table4424666572[[#This Row],[Student Number]]=C49,1,0)+IF(Table4424666572[[#This Row],[Session]]=B49,1,0)+IF(Table4424666572[[#This Row],[Pre or Post]]="Post",1,0)+IF(D49="Pre",1,0)=4,Table4424666572[[#This Row],[Post Total]]-K49,""),"")</f>
        <v>0</v>
      </c>
      <c r="P50" s="5" t="b">
        <f>ISNUMBER(Table4424666572[[#This Row],[Change]])</f>
        <v>1</v>
      </c>
      <c r="Q50" s="5">
        <f>IF(E49="Yes",Table4424666572[[#This Row],[Change]],"")</f>
        <v>0</v>
      </c>
      <c r="R50" s="5" t="str">
        <f>IF(E49="No",Table4424666572[[#This Row],[Change]],"")</f>
        <v/>
      </c>
      <c r="S50" s="5" t="b">
        <f>ISNUMBER(Table4424666572[[#This Row],[If Pre5 Yes]])</f>
        <v>1</v>
      </c>
      <c r="T50" s="5" t="b">
        <f>ISNUMBER(Table4424666572[[#This Row],[If Pre5 No]])</f>
        <v>0</v>
      </c>
    </row>
    <row r="51" spans="1:20">
      <c r="A51" s="1" t="s">
        <v>24</v>
      </c>
      <c r="B51" s="1" t="s">
        <v>23</v>
      </c>
      <c r="C51" s="1">
        <v>16</v>
      </c>
      <c r="D51" s="1" t="s">
        <v>6</v>
      </c>
      <c r="E51" s="5" t="s">
        <v>8</v>
      </c>
      <c r="F51" s="1">
        <v>9</v>
      </c>
      <c r="G51" s="1">
        <v>3</v>
      </c>
      <c r="H51" s="1" t="s">
        <v>8</v>
      </c>
      <c r="I51" s="5">
        <f>IF(IF(Table4424666572[[#This Row],[Pre or Post]]="Pre",1,0)+IF(ISNUMBER(Table4424666572[[#This Row],[Response]])=TRUE,1,0)=2,1,"")</f>
        <v>1</v>
      </c>
      <c r="J51" s="5" t="str">
        <f>IF(IF(Table4424666572[[#This Row],[Pre or Post]]="Post",1,0)+IF(ISNUMBER(Table4424666572[[#This Row],[Response]])=TRUE,1,0)=2,1,"")</f>
        <v/>
      </c>
      <c r="K51" s="6">
        <f>IF(IF(Table4424666572[[#This Row],[Pre or Post]]="Pre",1,0)+IF(ISNUMBER(Table4424666572[[#This Row],[Response]])=TRUE,1,0)=2,Table4424666572[[#This Row],[Response]],"")</f>
        <v>3</v>
      </c>
      <c r="L51" s="6" t="str">
        <f>IF(IF(Table4424666572[[#This Row],[Pre or Post]]="Post",1,0)+IF(ISNUMBER(Table4424666572[[#This Row],[Response]])=TRUE,1,0)=2,Table4424666572[[#This Row],[Response]],"")</f>
        <v/>
      </c>
      <c r="M51" s="5">
        <f>IF(IF(ISNUMBER(K51),1,0)+IF(ISNUMBER(L52),1,0)=2,IF(IF(C52=C51,1,0)+IF(B52=B51,1,0)+IF(D52="Post",1,0)+IF(D51="Pre",1,0)=4,Table4424666572[[#This Row],[Pre Total]],""),"")</f>
        <v>3</v>
      </c>
      <c r="N51" s="5" t="str">
        <f>IF(IF(ISNUMBER(K50),1,0)+IF(ISNUMBER(Table4424666572[[#This Row],[Post Total]]),1,0)=2,IF(IF(Table4424666572[[#This Row],[Student Number]]=C50,1,0)+IF(Table4424666572[[#This Row],[Session]]=B50,1,0)+IF(Table4424666572[[#This Row],[Pre or Post]]="Post",1,0)+IF(D50="Pre",1,0)=4,Table4424666572[[#This Row],[Post Total]],""),"")</f>
        <v/>
      </c>
      <c r="O51" s="5" t="str">
        <f>IF(IF(ISNUMBER(K50),1,0)+IF(ISNUMBER(Table4424666572[[#This Row],[Post Total]]),1,0)=2,IF(IF(Table4424666572[[#This Row],[Student Number]]=C50,1,0)+IF(Table4424666572[[#This Row],[Session]]=B50,1,0)+IF(Table4424666572[[#This Row],[Pre or Post]]="Post",1,0)+IF(D50="Pre",1,0)=4,Table4424666572[[#This Row],[Post Total]]-K50,""),"")</f>
        <v/>
      </c>
      <c r="P51" s="5" t="b">
        <f>ISNUMBER(Table4424666572[[#This Row],[Change]])</f>
        <v>0</v>
      </c>
      <c r="Q51" s="5" t="str">
        <f>IF(E50="Yes",Table4424666572[[#This Row],[Change]],"")</f>
        <v/>
      </c>
      <c r="R51" s="5" t="str">
        <f>IF(E50="No",Table4424666572[[#This Row],[Change]],"")</f>
        <v/>
      </c>
      <c r="S51" s="5" t="b">
        <f>ISNUMBER(Table4424666572[[#This Row],[If Pre5 Yes]])</f>
        <v>0</v>
      </c>
      <c r="T51" s="5" t="b">
        <f>ISNUMBER(Table4424666572[[#This Row],[If Pre5 No]])</f>
        <v>0</v>
      </c>
    </row>
    <row r="52" spans="1:20">
      <c r="A52" s="1" t="s">
        <v>24</v>
      </c>
      <c r="B52" s="1" t="s">
        <v>23</v>
      </c>
      <c r="C52" s="1">
        <v>16</v>
      </c>
      <c r="D52" s="1" t="s">
        <v>16</v>
      </c>
      <c r="E52" s="5"/>
      <c r="F52" s="1">
        <v>2</v>
      </c>
      <c r="G52" s="1">
        <v>3</v>
      </c>
      <c r="H52" s="1" t="s">
        <v>8</v>
      </c>
      <c r="I52" s="6" t="str">
        <f>IF(IF(Table4424666572[[#This Row],[Pre or Post]]="Pre",1,0)+IF(ISNUMBER(Table4424666572[[#This Row],[Response]])=TRUE,1,0)=2,1,"")</f>
        <v/>
      </c>
      <c r="J52" s="6">
        <f>IF(IF(Table4424666572[[#This Row],[Pre or Post]]="Post",1,0)+IF(ISNUMBER(Table4424666572[[#This Row],[Response]])=TRUE,1,0)=2,1,"")</f>
        <v>1</v>
      </c>
      <c r="K52" s="6" t="str">
        <f>IF(IF(Table4424666572[[#This Row],[Pre or Post]]="Pre",1,0)+IF(ISNUMBER(Table4424666572[[#This Row],[Response]])=TRUE,1,0)=2,Table4424666572[[#This Row],[Response]],"")</f>
        <v/>
      </c>
      <c r="L52" s="6">
        <f>IF(IF(Table4424666572[[#This Row],[Pre or Post]]="Post",1,0)+IF(ISNUMBER(Table4424666572[[#This Row],[Response]])=TRUE,1,0)=2,Table4424666572[[#This Row],[Response]],"")</f>
        <v>3</v>
      </c>
      <c r="M52" s="6" t="str">
        <f>IF(IF(ISNUMBER(K52),1,0)+IF(ISNUMBER(L53),1,0)=2,IF(IF(C53=C52,1,0)+IF(B53=B52,1,0)+IF(D53="Post",1,0)+IF(D52="Pre",1,0)=4,Table4424666572[[#This Row],[Pre Total]],""),"")</f>
        <v/>
      </c>
      <c r="N52" s="6">
        <f>IF(IF(ISNUMBER(K51),1,0)+IF(ISNUMBER(Table4424666572[[#This Row],[Post Total]]),1,0)=2,IF(IF(Table4424666572[[#This Row],[Student Number]]=C51,1,0)+IF(Table4424666572[[#This Row],[Session]]=B51,1,0)+IF(Table4424666572[[#This Row],[Pre or Post]]="Post",1,0)+IF(D51="Pre",1,0)=4,Table4424666572[[#This Row],[Post Total]],""),"")</f>
        <v>3</v>
      </c>
      <c r="O52" s="6">
        <f>IF(IF(ISNUMBER(K51),1,0)+IF(ISNUMBER(Table4424666572[[#This Row],[Post Total]]),1,0)=2,IF(IF(Table4424666572[[#This Row],[Student Number]]=C51,1,0)+IF(Table4424666572[[#This Row],[Session]]=B51,1,0)+IF(Table4424666572[[#This Row],[Pre or Post]]="Post",1,0)+IF(D51="Pre",1,0)=4,Table4424666572[[#This Row],[Post Total]]-K51,""),"")</f>
        <v>0</v>
      </c>
      <c r="P52" s="6" t="b">
        <f>ISNUMBER(Table4424666572[[#This Row],[Change]])</f>
        <v>1</v>
      </c>
      <c r="Q52" s="5">
        <f>IF(E51="Yes",Table4424666572[[#This Row],[Change]],"")</f>
        <v>0</v>
      </c>
      <c r="R52" s="5" t="str">
        <f>IF(E51="No",Table4424666572[[#This Row],[Change]],"")</f>
        <v/>
      </c>
      <c r="S52" s="5" t="b">
        <f>ISNUMBER(Table4424666572[[#This Row],[If Pre5 Yes]])</f>
        <v>1</v>
      </c>
      <c r="T52" s="5" t="b">
        <f>ISNUMBER(Table4424666572[[#This Row],[If Pre5 No]])</f>
        <v>0</v>
      </c>
    </row>
    <row r="53" spans="1:20">
      <c r="A53" s="1" t="s">
        <v>24</v>
      </c>
      <c r="B53" s="1" t="s">
        <v>25</v>
      </c>
      <c r="C53" s="1">
        <v>1</v>
      </c>
      <c r="D53" s="1" t="s">
        <v>6</v>
      </c>
      <c r="E53" s="5" t="s">
        <v>8</v>
      </c>
      <c r="F53" s="1">
        <v>9</v>
      </c>
      <c r="G53" s="1">
        <v>3</v>
      </c>
      <c r="H53" s="1" t="s">
        <v>8</v>
      </c>
      <c r="I53" s="5">
        <f>IF(IF(Table4424666572[[#This Row],[Pre or Post]]="Pre",1,0)+IF(ISNUMBER(Table4424666572[[#This Row],[Response]])=TRUE,1,0)=2,1,"")</f>
        <v>1</v>
      </c>
      <c r="J53" s="5" t="str">
        <f>IF(IF(Table4424666572[[#This Row],[Pre or Post]]="Post",1,0)+IF(ISNUMBER(Table4424666572[[#This Row],[Response]])=TRUE,1,0)=2,1,"")</f>
        <v/>
      </c>
      <c r="K53" s="6">
        <f>IF(IF(Table4424666572[[#This Row],[Pre or Post]]="Pre",1,0)+IF(ISNUMBER(Table4424666572[[#This Row],[Response]])=TRUE,1,0)=2,Table4424666572[[#This Row],[Response]],"")</f>
        <v>3</v>
      </c>
      <c r="L53" s="6" t="str">
        <f>IF(IF(Table4424666572[[#This Row],[Pre or Post]]="Post",1,0)+IF(ISNUMBER(Table4424666572[[#This Row],[Response]])=TRUE,1,0)=2,Table4424666572[[#This Row],[Response]],"")</f>
        <v/>
      </c>
      <c r="M53" s="5">
        <f>IF(IF(ISNUMBER(K53),1,0)+IF(ISNUMBER(L54),1,0)=2,IF(IF(C54=C53,1,0)+IF(B54=B53,1,0)+IF(D54="Post",1,0)+IF(D53="Pre",1,0)=4,Table4424666572[[#This Row],[Pre Total]],""),"")</f>
        <v>3</v>
      </c>
      <c r="N53" s="5" t="str">
        <f>IF(IF(ISNUMBER(K52),1,0)+IF(ISNUMBER(Table4424666572[[#This Row],[Post Total]]),1,0)=2,IF(IF(Table4424666572[[#This Row],[Student Number]]=C52,1,0)+IF(Table4424666572[[#This Row],[Session]]=B52,1,0)+IF(Table4424666572[[#This Row],[Pre or Post]]="Post",1,0)+IF(D52="Pre",1,0)=4,Table4424666572[[#This Row],[Post Total]],""),"")</f>
        <v/>
      </c>
      <c r="O53" s="5" t="str">
        <f>IF(IF(ISNUMBER(K52),1,0)+IF(ISNUMBER(Table4424666572[[#This Row],[Post Total]]),1,0)=2,IF(IF(Table4424666572[[#This Row],[Student Number]]=C52,1,0)+IF(Table4424666572[[#This Row],[Session]]=B52,1,0)+IF(Table4424666572[[#This Row],[Pre or Post]]="Post",1,0)+IF(D52="Pre",1,0)=4,Table4424666572[[#This Row],[Post Total]]-K52,""),"")</f>
        <v/>
      </c>
      <c r="P53" s="5" t="b">
        <f>ISNUMBER(Table4424666572[[#This Row],[Change]])</f>
        <v>0</v>
      </c>
      <c r="Q53" s="5" t="str">
        <f>IF(E52="Yes",Table4424666572[[#This Row],[Change]],"")</f>
        <v/>
      </c>
      <c r="R53" s="5" t="str">
        <f>IF(E52="No",Table4424666572[[#This Row],[Change]],"")</f>
        <v/>
      </c>
      <c r="S53" s="5" t="b">
        <f>ISNUMBER(Table4424666572[[#This Row],[If Pre5 Yes]])</f>
        <v>0</v>
      </c>
      <c r="T53" s="5" t="b">
        <f>ISNUMBER(Table4424666572[[#This Row],[If Pre5 No]])</f>
        <v>0</v>
      </c>
    </row>
    <row r="54" spans="1:20">
      <c r="A54" s="1" t="s">
        <v>24</v>
      </c>
      <c r="B54" s="1" t="s">
        <v>25</v>
      </c>
      <c r="C54" s="1">
        <v>1</v>
      </c>
      <c r="D54" s="1" t="s">
        <v>16</v>
      </c>
      <c r="E54" s="5"/>
      <c r="F54" s="1">
        <v>2</v>
      </c>
      <c r="G54" s="1">
        <v>3</v>
      </c>
      <c r="H54" s="2" t="s">
        <v>8</v>
      </c>
      <c r="I54" s="6" t="str">
        <f>IF(IF(Table4424666572[[#This Row],[Pre or Post]]="Pre",1,0)+IF(ISNUMBER(Table4424666572[[#This Row],[Response]])=TRUE,1,0)=2,1,"")</f>
        <v/>
      </c>
      <c r="J54" s="6">
        <f>IF(IF(Table4424666572[[#This Row],[Pre or Post]]="Post",1,0)+IF(ISNUMBER(Table4424666572[[#This Row],[Response]])=TRUE,1,0)=2,1,"")</f>
        <v>1</v>
      </c>
      <c r="K54" s="6" t="str">
        <f>IF(IF(Table4424666572[[#This Row],[Pre or Post]]="Pre",1,0)+IF(ISNUMBER(Table4424666572[[#This Row],[Response]])=TRUE,1,0)=2,Table4424666572[[#This Row],[Response]],"")</f>
        <v/>
      </c>
      <c r="L54" s="6">
        <f>IF(IF(Table4424666572[[#This Row],[Pre or Post]]="Post",1,0)+IF(ISNUMBER(Table4424666572[[#This Row],[Response]])=TRUE,1,0)=2,Table4424666572[[#This Row],[Response]],"")</f>
        <v>3</v>
      </c>
      <c r="M54" s="6" t="str">
        <f>IF(IF(ISNUMBER(K54),1,0)+IF(ISNUMBER(L55),1,0)=2,IF(IF(C55=C54,1,0)+IF(B55=B54,1,0)+IF(D55="Post",1,0)+IF(D54="Pre",1,0)=4,Table4424666572[[#This Row],[Pre Total]],""),"")</f>
        <v/>
      </c>
      <c r="N54" s="6">
        <f>IF(IF(ISNUMBER(K53),1,0)+IF(ISNUMBER(Table4424666572[[#This Row],[Post Total]]),1,0)=2,IF(IF(Table4424666572[[#This Row],[Student Number]]=C53,1,0)+IF(Table4424666572[[#This Row],[Session]]=B53,1,0)+IF(Table4424666572[[#This Row],[Pre or Post]]="Post",1,0)+IF(D53="Pre",1,0)=4,Table4424666572[[#This Row],[Post Total]],""),"")</f>
        <v>3</v>
      </c>
      <c r="O54" s="6">
        <f>IF(IF(ISNUMBER(K53),1,0)+IF(ISNUMBER(Table4424666572[[#This Row],[Post Total]]),1,0)=2,IF(IF(Table4424666572[[#This Row],[Student Number]]=C53,1,0)+IF(Table4424666572[[#This Row],[Session]]=B53,1,0)+IF(Table4424666572[[#This Row],[Pre or Post]]="Post",1,0)+IF(D53="Pre",1,0)=4,Table4424666572[[#This Row],[Post Total]]-K53,""),"")</f>
        <v>0</v>
      </c>
      <c r="P54" s="6" t="b">
        <f>ISNUMBER(Table4424666572[[#This Row],[Change]])</f>
        <v>1</v>
      </c>
      <c r="Q54" s="5">
        <f>IF(E53="Yes",Table4424666572[[#This Row],[Change]],"")</f>
        <v>0</v>
      </c>
      <c r="R54" s="5" t="str">
        <f>IF(E53="No",Table4424666572[[#This Row],[Change]],"")</f>
        <v/>
      </c>
      <c r="S54" s="5" t="b">
        <f>ISNUMBER(Table4424666572[[#This Row],[If Pre5 Yes]])</f>
        <v>1</v>
      </c>
      <c r="T54" s="5" t="b">
        <f>ISNUMBER(Table4424666572[[#This Row],[If Pre5 No]])</f>
        <v>0</v>
      </c>
    </row>
    <row r="55" spans="1:20">
      <c r="A55" s="1" t="s">
        <v>24</v>
      </c>
      <c r="B55" s="1" t="s">
        <v>25</v>
      </c>
      <c r="C55" s="1">
        <v>2</v>
      </c>
      <c r="D55" s="1" t="s">
        <v>6</v>
      </c>
      <c r="E55" s="5" t="s">
        <v>8</v>
      </c>
      <c r="F55" s="1">
        <v>9</v>
      </c>
      <c r="G55" s="1">
        <v>3</v>
      </c>
      <c r="H55" s="1" t="s">
        <v>8</v>
      </c>
      <c r="I55" s="6">
        <f>IF(IF(Table4424666572[[#This Row],[Pre or Post]]="Pre",1,0)+IF(ISNUMBER(Table4424666572[[#This Row],[Response]])=TRUE,1,0)=2,1,"")</f>
        <v>1</v>
      </c>
      <c r="J55" s="6" t="str">
        <f>IF(IF(Table4424666572[[#This Row],[Pre or Post]]="Post",1,0)+IF(ISNUMBER(Table4424666572[[#This Row],[Response]])=TRUE,1,0)=2,1,"")</f>
        <v/>
      </c>
      <c r="K55" s="6">
        <f>IF(IF(Table4424666572[[#This Row],[Pre or Post]]="Pre",1,0)+IF(ISNUMBER(Table4424666572[[#This Row],[Response]])=TRUE,1,0)=2,Table4424666572[[#This Row],[Response]],"")</f>
        <v>3</v>
      </c>
      <c r="L55" s="6" t="str">
        <f>IF(IF(Table4424666572[[#This Row],[Pre or Post]]="Post",1,0)+IF(ISNUMBER(Table4424666572[[#This Row],[Response]])=TRUE,1,0)=2,Table4424666572[[#This Row],[Response]],"")</f>
        <v/>
      </c>
      <c r="M55" s="6">
        <f>IF(IF(ISNUMBER(K55),1,0)+IF(ISNUMBER(L56),1,0)=2,IF(IF(C56=C55,1,0)+IF(B56=B55,1,0)+IF(D56="Post",1,0)+IF(D55="Pre",1,0)=4,Table4424666572[[#This Row],[Pre Total]],""),"")</f>
        <v>3</v>
      </c>
      <c r="N55" s="6" t="str">
        <f>IF(IF(ISNUMBER(K54),1,0)+IF(ISNUMBER(Table4424666572[[#This Row],[Post Total]]),1,0)=2,IF(IF(Table4424666572[[#This Row],[Student Number]]=C54,1,0)+IF(Table4424666572[[#This Row],[Session]]=B54,1,0)+IF(Table4424666572[[#This Row],[Pre or Post]]="Post",1,0)+IF(D54="Pre",1,0)=4,Table4424666572[[#This Row],[Post Total]],""),"")</f>
        <v/>
      </c>
      <c r="O55" s="6" t="str">
        <f>IF(IF(ISNUMBER(K54),1,0)+IF(ISNUMBER(Table4424666572[[#This Row],[Post Total]]),1,0)=2,IF(IF(Table4424666572[[#This Row],[Student Number]]=C54,1,0)+IF(Table4424666572[[#This Row],[Session]]=B54,1,0)+IF(Table4424666572[[#This Row],[Pre or Post]]="Post",1,0)+IF(D54="Pre",1,0)=4,Table4424666572[[#This Row],[Post Total]]-K54,""),"")</f>
        <v/>
      </c>
      <c r="P55" s="6" t="b">
        <f>ISNUMBER(Table4424666572[[#This Row],[Change]])</f>
        <v>0</v>
      </c>
      <c r="Q55" s="5" t="str">
        <f>IF(E54="Yes",Table4424666572[[#This Row],[Change]],"")</f>
        <v/>
      </c>
      <c r="R55" s="5" t="str">
        <f>IF(E54="No",Table4424666572[[#This Row],[Change]],"")</f>
        <v/>
      </c>
      <c r="S55" s="5" t="b">
        <f>ISNUMBER(Table4424666572[[#This Row],[If Pre5 Yes]])</f>
        <v>0</v>
      </c>
      <c r="T55" s="5" t="b">
        <f>ISNUMBER(Table4424666572[[#This Row],[If Pre5 No]])</f>
        <v>0</v>
      </c>
    </row>
    <row r="56" spans="1:20">
      <c r="A56" s="1" t="s">
        <v>24</v>
      </c>
      <c r="B56" s="1" t="s">
        <v>25</v>
      </c>
      <c r="C56" s="1">
        <v>2</v>
      </c>
      <c r="D56" s="1" t="s">
        <v>16</v>
      </c>
      <c r="E56" s="5"/>
      <c r="F56" s="1">
        <v>2</v>
      </c>
      <c r="G56" s="1">
        <v>3</v>
      </c>
      <c r="H56" s="2" t="s">
        <v>8</v>
      </c>
      <c r="I56" s="5" t="str">
        <f>IF(IF(Table4424666572[[#This Row],[Pre or Post]]="Pre",1,0)+IF(ISNUMBER(Table4424666572[[#This Row],[Response]])=TRUE,1,0)=2,1,"")</f>
        <v/>
      </c>
      <c r="J56" s="5">
        <f>IF(IF(Table4424666572[[#This Row],[Pre or Post]]="Post",1,0)+IF(ISNUMBER(Table4424666572[[#This Row],[Response]])=TRUE,1,0)=2,1,"")</f>
        <v>1</v>
      </c>
      <c r="K56" s="6" t="str">
        <f>IF(IF(Table4424666572[[#This Row],[Pre or Post]]="Pre",1,0)+IF(ISNUMBER(Table4424666572[[#This Row],[Response]])=TRUE,1,0)=2,Table4424666572[[#This Row],[Response]],"")</f>
        <v/>
      </c>
      <c r="L56" s="6">
        <f>IF(IF(Table4424666572[[#This Row],[Pre or Post]]="Post",1,0)+IF(ISNUMBER(Table4424666572[[#This Row],[Response]])=TRUE,1,0)=2,Table4424666572[[#This Row],[Response]],"")</f>
        <v>3</v>
      </c>
      <c r="M56" s="5" t="str">
        <f>IF(IF(ISNUMBER(K56),1,0)+IF(ISNUMBER(L57),1,0)=2,IF(IF(C57=C56,1,0)+IF(B57=B56,1,0)+IF(D57="Post",1,0)+IF(D56="Pre",1,0)=4,Table4424666572[[#This Row],[Pre Total]],""),"")</f>
        <v/>
      </c>
      <c r="N56" s="5">
        <f>IF(IF(ISNUMBER(K55),1,0)+IF(ISNUMBER(Table4424666572[[#This Row],[Post Total]]),1,0)=2,IF(IF(Table4424666572[[#This Row],[Student Number]]=C55,1,0)+IF(Table4424666572[[#This Row],[Session]]=B55,1,0)+IF(Table4424666572[[#This Row],[Pre or Post]]="Post",1,0)+IF(D55="Pre",1,0)=4,Table4424666572[[#This Row],[Post Total]],""),"")</f>
        <v>3</v>
      </c>
      <c r="O56" s="5">
        <f>IF(IF(ISNUMBER(K55),1,0)+IF(ISNUMBER(Table4424666572[[#This Row],[Post Total]]),1,0)=2,IF(IF(Table4424666572[[#This Row],[Student Number]]=C55,1,0)+IF(Table4424666572[[#This Row],[Session]]=B55,1,0)+IF(Table4424666572[[#This Row],[Pre or Post]]="Post",1,0)+IF(D55="Pre",1,0)=4,Table4424666572[[#This Row],[Post Total]]-K55,""),"")</f>
        <v>0</v>
      </c>
      <c r="P56" s="5" t="b">
        <f>ISNUMBER(Table4424666572[[#This Row],[Change]])</f>
        <v>1</v>
      </c>
      <c r="Q56" s="5">
        <f>IF(E55="Yes",Table4424666572[[#This Row],[Change]],"")</f>
        <v>0</v>
      </c>
      <c r="R56" s="5" t="str">
        <f>IF(E55="No",Table4424666572[[#This Row],[Change]],"")</f>
        <v/>
      </c>
      <c r="S56" s="5" t="b">
        <f>ISNUMBER(Table4424666572[[#This Row],[If Pre5 Yes]])</f>
        <v>1</v>
      </c>
      <c r="T56" s="5" t="b">
        <f>ISNUMBER(Table4424666572[[#This Row],[If Pre5 No]])</f>
        <v>0</v>
      </c>
    </row>
    <row r="57" spans="1:20">
      <c r="A57" s="1" t="s">
        <v>24</v>
      </c>
      <c r="B57" s="1" t="s">
        <v>25</v>
      </c>
      <c r="C57" s="1">
        <v>3</v>
      </c>
      <c r="D57" s="1" t="s">
        <v>6</v>
      </c>
      <c r="E57" s="5" t="s">
        <v>8</v>
      </c>
      <c r="F57" s="1">
        <v>9</v>
      </c>
      <c r="G57" s="1">
        <v>3</v>
      </c>
      <c r="H57" s="1" t="s">
        <v>8</v>
      </c>
      <c r="I57" s="5">
        <f>IF(IF(Table4424666572[[#This Row],[Pre or Post]]="Pre",1,0)+IF(ISNUMBER(Table4424666572[[#This Row],[Response]])=TRUE,1,0)=2,1,"")</f>
        <v>1</v>
      </c>
      <c r="J57" s="5" t="str">
        <f>IF(IF(Table4424666572[[#This Row],[Pre or Post]]="Post",1,0)+IF(ISNUMBER(Table4424666572[[#This Row],[Response]])=TRUE,1,0)=2,1,"")</f>
        <v/>
      </c>
      <c r="K57" s="6">
        <f>IF(IF(Table4424666572[[#This Row],[Pre or Post]]="Pre",1,0)+IF(ISNUMBER(Table4424666572[[#This Row],[Response]])=TRUE,1,0)=2,Table4424666572[[#This Row],[Response]],"")</f>
        <v>3</v>
      </c>
      <c r="L57" s="6" t="str">
        <f>IF(IF(Table4424666572[[#This Row],[Pre or Post]]="Post",1,0)+IF(ISNUMBER(Table4424666572[[#This Row],[Response]])=TRUE,1,0)=2,Table4424666572[[#This Row],[Response]],"")</f>
        <v/>
      </c>
      <c r="M57" s="5">
        <f>IF(IF(ISNUMBER(K57),1,0)+IF(ISNUMBER(L58),1,0)=2,IF(IF(C58=C57,1,0)+IF(B58=B57,1,0)+IF(D58="Post",1,0)+IF(D57="Pre",1,0)=4,Table4424666572[[#This Row],[Pre Total]],""),"")</f>
        <v>3</v>
      </c>
      <c r="N57" s="5" t="str">
        <f>IF(IF(ISNUMBER(K56),1,0)+IF(ISNUMBER(Table4424666572[[#This Row],[Post Total]]),1,0)=2,IF(IF(Table4424666572[[#This Row],[Student Number]]=C56,1,0)+IF(Table4424666572[[#This Row],[Session]]=B56,1,0)+IF(Table4424666572[[#This Row],[Pre or Post]]="Post",1,0)+IF(D56="Pre",1,0)=4,Table4424666572[[#This Row],[Post Total]],""),"")</f>
        <v/>
      </c>
      <c r="O57" s="5" t="str">
        <f>IF(IF(ISNUMBER(K56),1,0)+IF(ISNUMBER(Table4424666572[[#This Row],[Post Total]]),1,0)=2,IF(IF(Table4424666572[[#This Row],[Student Number]]=C56,1,0)+IF(Table4424666572[[#This Row],[Session]]=B56,1,0)+IF(Table4424666572[[#This Row],[Pre or Post]]="Post",1,0)+IF(D56="Pre",1,0)=4,Table4424666572[[#This Row],[Post Total]]-K56,""),"")</f>
        <v/>
      </c>
      <c r="P57" s="5" t="b">
        <f>ISNUMBER(Table4424666572[[#This Row],[Change]])</f>
        <v>0</v>
      </c>
      <c r="Q57" s="5" t="str">
        <f>IF(E56="Yes",Table4424666572[[#This Row],[Change]],"")</f>
        <v/>
      </c>
      <c r="R57" s="5" t="str">
        <f>IF(E56="No",Table4424666572[[#This Row],[Change]],"")</f>
        <v/>
      </c>
      <c r="S57" s="5" t="b">
        <f>ISNUMBER(Table4424666572[[#This Row],[If Pre5 Yes]])</f>
        <v>0</v>
      </c>
      <c r="T57" s="5" t="b">
        <f>ISNUMBER(Table4424666572[[#This Row],[If Pre5 No]])</f>
        <v>0</v>
      </c>
    </row>
    <row r="58" spans="1:20">
      <c r="A58" s="1" t="s">
        <v>24</v>
      </c>
      <c r="B58" s="1" t="s">
        <v>25</v>
      </c>
      <c r="C58" s="1">
        <v>3</v>
      </c>
      <c r="D58" s="1" t="s">
        <v>16</v>
      </c>
      <c r="E58" s="5"/>
      <c r="F58" s="1">
        <v>2</v>
      </c>
      <c r="G58" s="1">
        <v>3</v>
      </c>
      <c r="H58" s="2" t="s">
        <v>8</v>
      </c>
      <c r="I58" s="5" t="str">
        <f>IF(IF(Table4424666572[[#This Row],[Pre or Post]]="Pre",1,0)+IF(ISNUMBER(Table4424666572[[#This Row],[Response]])=TRUE,1,0)=2,1,"")</f>
        <v/>
      </c>
      <c r="J58" s="5">
        <f>IF(IF(Table4424666572[[#This Row],[Pre or Post]]="Post",1,0)+IF(ISNUMBER(Table4424666572[[#This Row],[Response]])=TRUE,1,0)=2,1,"")</f>
        <v>1</v>
      </c>
      <c r="K58" s="6" t="str">
        <f>IF(IF(Table4424666572[[#This Row],[Pre or Post]]="Pre",1,0)+IF(ISNUMBER(Table4424666572[[#This Row],[Response]])=TRUE,1,0)=2,Table4424666572[[#This Row],[Response]],"")</f>
        <v/>
      </c>
      <c r="L58" s="6">
        <f>IF(IF(Table4424666572[[#This Row],[Pre or Post]]="Post",1,0)+IF(ISNUMBER(Table4424666572[[#This Row],[Response]])=TRUE,1,0)=2,Table4424666572[[#This Row],[Response]],"")</f>
        <v>3</v>
      </c>
      <c r="M58" s="5" t="str">
        <f>IF(IF(ISNUMBER(K58),1,0)+IF(ISNUMBER(L59),1,0)=2,IF(IF(C59=C58,1,0)+IF(B59=B58,1,0)+IF(D59="Post",1,0)+IF(D58="Pre",1,0)=4,Table4424666572[[#This Row],[Pre Total]],""),"")</f>
        <v/>
      </c>
      <c r="N58" s="5">
        <f>IF(IF(ISNUMBER(K57),1,0)+IF(ISNUMBER(Table4424666572[[#This Row],[Post Total]]),1,0)=2,IF(IF(Table4424666572[[#This Row],[Student Number]]=C57,1,0)+IF(Table4424666572[[#This Row],[Session]]=B57,1,0)+IF(Table4424666572[[#This Row],[Pre or Post]]="Post",1,0)+IF(D57="Pre",1,0)=4,Table4424666572[[#This Row],[Post Total]],""),"")</f>
        <v>3</v>
      </c>
      <c r="O58" s="5">
        <f>IF(IF(ISNUMBER(K57),1,0)+IF(ISNUMBER(Table4424666572[[#This Row],[Post Total]]),1,0)=2,IF(IF(Table4424666572[[#This Row],[Student Number]]=C57,1,0)+IF(Table4424666572[[#This Row],[Session]]=B57,1,0)+IF(Table4424666572[[#This Row],[Pre or Post]]="Post",1,0)+IF(D57="Pre",1,0)=4,Table4424666572[[#This Row],[Post Total]]-K57,""),"")</f>
        <v>0</v>
      </c>
      <c r="P58" s="5" t="b">
        <f>ISNUMBER(Table4424666572[[#This Row],[Change]])</f>
        <v>1</v>
      </c>
      <c r="Q58" s="5">
        <f>IF(E57="Yes",Table4424666572[[#This Row],[Change]],"")</f>
        <v>0</v>
      </c>
      <c r="R58" s="5" t="str">
        <f>IF(E57="No",Table4424666572[[#This Row],[Change]],"")</f>
        <v/>
      </c>
      <c r="S58" s="5" t="b">
        <f>ISNUMBER(Table4424666572[[#This Row],[If Pre5 Yes]])</f>
        <v>1</v>
      </c>
      <c r="T58" s="5" t="b">
        <f>ISNUMBER(Table4424666572[[#This Row],[If Pre5 No]])</f>
        <v>0</v>
      </c>
    </row>
    <row r="59" spans="1:20">
      <c r="A59" s="1" t="s">
        <v>24</v>
      </c>
      <c r="B59" s="1" t="s">
        <v>25</v>
      </c>
      <c r="C59" s="1">
        <v>4</v>
      </c>
      <c r="D59" s="1" t="s">
        <v>6</v>
      </c>
      <c r="E59" s="5" t="s">
        <v>8</v>
      </c>
      <c r="F59" s="1">
        <v>9</v>
      </c>
      <c r="G59" s="1">
        <v>3</v>
      </c>
      <c r="H59" s="1" t="s">
        <v>8</v>
      </c>
      <c r="I59" s="6">
        <f>IF(IF(Table4424666572[[#This Row],[Pre or Post]]="Pre",1,0)+IF(ISNUMBER(Table4424666572[[#This Row],[Response]])=TRUE,1,0)=2,1,"")</f>
        <v>1</v>
      </c>
      <c r="J59" s="6" t="str">
        <f>IF(IF(Table4424666572[[#This Row],[Pre or Post]]="Post",1,0)+IF(ISNUMBER(Table4424666572[[#This Row],[Response]])=TRUE,1,0)=2,1,"")</f>
        <v/>
      </c>
      <c r="K59" s="6">
        <f>IF(IF(Table4424666572[[#This Row],[Pre or Post]]="Pre",1,0)+IF(ISNUMBER(Table4424666572[[#This Row],[Response]])=TRUE,1,0)=2,Table4424666572[[#This Row],[Response]],"")</f>
        <v>3</v>
      </c>
      <c r="L59" s="6" t="str">
        <f>IF(IF(Table4424666572[[#This Row],[Pre or Post]]="Post",1,0)+IF(ISNUMBER(Table4424666572[[#This Row],[Response]])=TRUE,1,0)=2,Table4424666572[[#This Row],[Response]],"")</f>
        <v/>
      </c>
      <c r="M59" s="6">
        <f>IF(IF(ISNUMBER(K59),1,0)+IF(ISNUMBER(L60),1,0)=2,IF(IF(C60=C59,1,0)+IF(B60=B59,1,0)+IF(D60="Post",1,0)+IF(D59="Pre",1,0)=4,Table4424666572[[#This Row],[Pre Total]],""),"")</f>
        <v>3</v>
      </c>
      <c r="N59" s="6" t="str">
        <f>IF(IF(ISNUMBER(K58),1,0)+IF(ISNUMBER(Table4424666572[[#This Row],[Post Total]]),1,0)=2,IF(IF(Table4424666572[[#This Row],[Student Number]]=C58,1,0)+IF(Table4424666572[[#This Row],[Session]]=B58,1,0)+IF(Table4424666572[[#This Row],[Pre or Post]]="Post",1,0)+IF(D58="Pre",1,0)=4,Table4424666572[[#This Row],[Post Total]],""),"")</f>
        <v/>
      </c>
      <c r="O59" s="6" t="str">
        <f>IF(IF(ISNUMBER(K58),1,0)+IF(ISNUMBER(Table4424666572[[#This Row],[Post Total]]),1,0)=2,IF(IF(Table4424666572[[#This Row],[Student Number]]=C58,1,0)+IF(Table4424666572[[#This Row],[Session]]=B58,1,0)+IF(Table4424666572[[#This Row],[Pre or Post]]="Post",1,0)+IF(D58="Pre",1,0)=4,Table4424666572[[#This Row],[Post Total]]-K58,""),"")</f>
        <v/>
      </c>
      <c r="P59" s="6" t="b">
        <f>ISNUMBER(Table4424666572[[#This Row],[Change]])</f>
        <v>0</v>
      </c>
      <c r="Q59" s="5" t="str">
        <f>IF(E58="Yes",Table4424666572[[#This Row],[Change]],"")</f>
        <v/>
      </c>
      <c r="R59" s="5" t="str">
        <f>IF(E58="No",Table4424666572[[#This Row],[Change]],"")</f>
        <v/>
      </c>
      <c r="S59" s="5" t="b">
        <f>ISNUMBER(Table4424666572[[#This Row],[If Pre5 Yes]])</f>
        <v>0</v>
      </c>
      <c r="T59" s="5" t="b">
        <f>ISNUMBER(Table4424666572[[#This Row],[If Pre5 No]])</f>
        <v>0</v>
      </c>
    </row>
    <row r="60" spans="1:20">
      <c r="A60" s="1" t="s">
        <v>24</v>
      </c>
      <c r="B60" s="1" t="s">
        <v>25</v>
      </c>
      <c r="C60" s="1">
        <v>4</v>
      </c>
      <c r="D60" s="1" t="s">
        <v>16</v>
      </c>
      <c r="E60" s="5"/>
      <c r="F60" s="1">
        <v>2</v>
      </c>
      <c r="G60" s="1">
        <v>3</v>
      </c>
      <c r="H60" s="2" t="s">
        <v>8</v>
      </c>
      <c r="I60" s="6" t="str">
        <f>IF(IF(Table4424666572[[#This Row],[Pre or Post]]="Pre",1,0)+IF(ISNUMBER(Table4424666572[[#This Row],[Response]])=TRUE,1,0)=2,1,"")</f>
        <v/>
      </c>
      <c r="J60" s="6">
        <f>IF(IF(Table4424666572[[#This Row],[Pre or Post]]="Post",1,0)+IF(ISNUMBER(Table4424666572[[#This Row],[Response]])=TRUE,1,0)=2,1,"")</f>
        <v>1</v>
      </c>
      <c r="K60" s="6" t="str">
        <f>IF(IF(Table4424666572[[#This Row],[Pre or Post]]="Pre",1,0)+IF(ISNUMBER(Table4424666572[[#This Row],[Response]])=TRUE,1,0)=2,Table4424666572[[#This Row],[Response]],"")</f>
        <v/>
      </c>
      <c r="L60" s="6">
        <f>IF(IF(Table4424666572[[#This Row],[Pre or Post]]="Post",1,0)+IF(ISNUMBER(Table4424666572[[#This Row],[Response]])=TRUE,1,0)=2,Table4424666572[[#This Row],[Response]],"")</f>
        <v>3</v>
      </c>
      <c r="M60" s="6" t="str">
        <f>IF(IF(ISNUMBER(K60),1,0)+IF(ISNUMBER(L61),1,0)=2,IF(IF(C61=C60,1,0)+IF(B61=B60,1,0)+IF(D61="Post",1,0)+IF(D60="Pre",1,0)=4,Table4424666572[[#This Row],[Pre Total]],""),"")</f>
        <v/>
      </c>
      <c r="N60" s="6">
        <f>IF(IF(ISNUMBER(K59),1,0)+IF(ISNUMBER(Table4424666572[[#This Row],[Post Total]]),1,0)=2,IF(IF(Table4424666572[[#This Row],[Student Number]]=C59,1,0)+IF(Table4424666572[[#This Row],[Session]]=B59,1,0)+IF(Table4424666572[[#This Row],[Pre or Post]]="Post",1,0)+IF(D59="Pre",1,0)=4,Table4424666572[[#This Row],[Post Total]],""),"")</f>
        <v>3</v>
      </c>
      <c r="O60" s="6">
        <f>IF(IF(ISNUMBER(K59),1,0)+IF(ISNUMBER(Table4424666572[[#This Row],[Post Total]]),1,0)=2,IF(IF(Table4424666572[[#This Row],[Student Number]]=C59,1,0)+IF(Table4424666572[[#This Row],[Session]]=B59,1,0)+IF(Table4424666572[[#This Row],[Pre or Post]]="Post",1,0)+IF(D59="Pre",1,0)=4,Table4424666572[[#This Row],[Post Total]]-K59,""),"")</f>
        <v>0</v>
      </c>
      <c r="P60" s="6" t="b">
        <f>ISNUMBER(Table4424666572[[#This Row],[Change]])</f>
        <v>1</v>
      </c>
      <c r="Q60" s="5">
        <f>IF(E59="Yes",Table4424666572[[#This Row],[Change]],"")</f>
        <v>0</v>
      </c>
      <c r="R60" s="5" t="str">
        <f>IF(E59="No",Table4424666572[[#This Row],[Change]],"")</f>
        <v/>
      </c>
      <c r="S60" s="5" t="b">
        <f>ISNUMBER(Table4424666572[[#This Row],[If Pre5 Yes]])</f>
        <v>1</v>
      </c>
      <c r="T60" s="5" t="b">
        <f>ISNUMBER(Table4424666572[[#This Row],[If Pre5 No]])</f>
        <v>0</v>
      </c>
    </row>
    <row r="61" spans="1:20">
      <c r="A61" s="1" t="s">
        <v>24</v>
      </c>
      <c r="B61" s="1" t="s">
        <v>25</v>
      </c>
      <c r="C61" s="1">
        <v>5</v>
      </c>
      <c r="D61" s="1" t="s">
        <v>6</v>
      </c>
      <c r="E61" s="5" t="s">
        <v>8</v>
      </c>
      <c r="F61" s="1">
        <v>9</v>
      </c>
      <c r="G61" s="1">
        <v>3</v>
      </c>
      <c r="H61" s="1" t="s">
        <v>8</v>
      </c>
      <c r="I61" s="5">
        <f>IF(IF(Table4424666572[[#This Row],[Pre or Post]]="Pre",1,0)+IF(ISNUMBER(Table4424666572[[#This Row],[Response]])=TRUE,1,0)=2,1,"")</f>
        <v>1</v>
      </c>
      <c r="J61" s="5" t="str">
        <f>IF(IF(Table4424666572[[#This Row],[Pre or Post]]="Post",1,0)+IF(ISNUMBER(Table4424666572[[#This Row],[Response]])=TRUE,1,0)=2,1,"")</f>
        <v/>
      </c>
      <c r="K61" s="6">
        <f>IF(IF(Table4424666572[[#This Row],[Pre or Post]]="Pre",1,0)+IF(ISNUMBER(Table4424666572[[#This Row],[Response]])=TRUE,1,0)=2,Table4424666572[[#This Row],[Response]],"")</f>
        <v>3</v>
      </c>
      <c r="L61" s="6" t="str">
        <f>IF(IF(Table4424666572[[#This Row],[Pre or Post]]="Post",1,0)+IF(ISNUMBER(Table4424666572[[#This Row],[Response]])=TRUE,1,0)=2,Table4424666572[[#This Row],[Response]],"")</f>
        <v/>
      </c>
      <c r="M61" s="5">
        <f>IF(IF(ISNUMBER(K61),1,0)+IF(ISNUMBER(L62),1,0)=2,IF(IF(C62=C61,1,0)+IF(B62=B61,1,0)+IF(D62="Post",1,0)+IF(D61="Pre",1,0)=4,Table4424666572[[#This Row],[Pre Total]],""),"")</f>
        <v>3</v>
      </c>
      <c r="N61" s="5" t="str">
        <f>IF(IF(ISNUMBER(K60),1,0)+IF(ISNUMBER(Table4424666572[[#This Row],[Post Total]]),1,0)=2,IF(IF(Table4424666572[[#This Row],[Student Number]]=C60,1,0)+IF(Table4424666572[[#This Row],[Session]]=B60,1,0)+IF(Table4424666572[[#This Row],[Pre or Post]]="Post",1,0)+IF(D60="Pre",1,0)=4,Table4424666572[[#This Row],[Post Total]],""),"")</f>
        <v/>
      </c>
      <c r="O61" s="5" t="str">
        <f>IF(IF(ISNUMBER(K60),1,0)+IF(ISNUMBER(Table4424666572[[#This Row],[Post Total]]),1,0)=2,IF(IF(Table4424666572[[#This Row],[Student Number]]=C60,1,0)+IF(Table4424666572[[#This Row],[Session]]=B60,1,0)+IF(Table4424666572[[#This Row],[Pre or Post]]="Post",1,0)+IF(D60="Pre",1,0)=4,Table4424666572[[#This Row],[Post Total]]-K60,""),"")</f>
        <v/>
      </c>
      <c r="P61" s="5" t="b">
        <f>ISNUMBER(Table4424666572[[#This Row],[Change]])</f>
        <v>0</v>
      </c>
      <c r="Q61" s="5" t="str">
        <f>IF(E60="Yes",Table4424666572[[#This Row],[Change]],"")</f>
        <v/>
      </c>
      <c r="R61" s="5" t="str">
        <f>IF(E60="No",Table4424666572[[#This Row],[Change]],"")</f>
        <v/>
      </c>
      <c r="S61" s="5" t="b">
        <f>ISNUMBER(Table4424666572[[#This Row],[If Pre5 Yes]])</f>
        <v>0</v>
      </c>
      <c r="T61" s="5" t="b">
        <f>ISNUMBER(Table4424666572[[#This Row],[If Pre5 No]])</f>
        <v>0</v>
      </c>
    </row>
    <row r="62" spans="1:20">
      <c r="A62" s="1" t="s">
        <v>24</v>
      </c>
      <c r="B62" s="1" t="s">
        <v>25</v>
      </c>
      <c r="C62" s="1">
        <v>5</v>
      </c>
      <c r="D62" s="1" t="s">
        <v>16</v>
      </c>
      <c r="E62" s="5"/>
      <c r="F62" s="1">
        <v>2</v>
      </c>
      <c r="G62" s="1">
        <v>4</v>
      </c>
      <c r="H62" s="2" t="s">
        <v>8</v>
      </c>
      <c r="I62" s="5" t="str">
        <f>IF(IF(Table4424666572[[#This Row],[Pre or Post]]="Pre",1,0)+IF(ISNUMBER(Table4424666572[[#This Row],[Response]])=TRUE,1,0)=2,1,"")</f>
        <v/>
      </c>
      <c r="J62" s="5">
        <f>IF(IF(Table4424666572[[#This Row],[Pre or Post]]="Post",1,0)+IF(ISNUMBER(Table4424666572[[#This Row],[Response]])=TRUE,1,0)=2,1,"")</f>
        <v>1</v>
      </c>
      <c r="K62" s="6" t="str">
        <f>IF(IF(Table4424666572[[#This Row],[Pre or Post]]="Pre",1,0)+IF(ISNUMBER(Table4424666572[[#This Row],[Response]])=TRUE,1,0)=2,Table4424666572[[#This Row],[Response]],"")</f>
        <v/>
      </c>
      <c r="L62" s="6">
        <f>IF(IF(Table4424666572[[#This Row],[Pre or Post]]="Post",1,0)+IF(ISNUMBER(Table4424666572[[#This Row],[Response]])=TRUE,1,0)=2,Table4424666572[[#This Row],[Response]],"")</f>
        <v>4</v>
      </c>
      <c r="M62" s="5" t="str">
        <f>IF(IF(ISNUMBER(K62),1,0)+IF(ISNUMBER(L63),1,0)=2,IF(IF(C63=C62,1,0)+IF(B63=B62,1,0)+IF(D63="Post",1,0)+IF(D62="Pre",1,0)=4,Table4424666572[[#This Row],[Pre Total]],""),"")</f>
        <v/>
      </c>
      <c r="N62" s="5">
        <f>IF(IF(ISNUMBER(K61),1,0)+IF(ISNUMBER(Table4424666572[[#This Row],[Post Total]]),1,0)=2,IF(IF(Table4424666572[[#This Row],[Student Number]]=C61,1,0)+IF(Table4424666572[[#This Row],[Session]]=B61,1,0)+IF(Table4424666572[[#This Row],[Pre or Post]]="Post",1,0)+IF(D61="Pre",1,0)=4,Table4424666572[[#This Row],[Post Total]],""),"")</f>
        <v>4</v>
      </c>
      <c r="O62" s="5">
        <f>IF(IF(ISNUMBER(K61),1,0)+IF(ISNUMBER(Table4424666572[[#This Row],[Post Total]]),1,0)=2,IF(IF(Table4424666572[[#This Row],[Student Number]]=C61,1,0)+IF(Table4424666572[[#This Row],[Session]]=B61,1,0)+IF(Table4424666572[[#This Row],[Pre or Post]]="Post",1,0)+IF(D61="Pre",1,0)=4,Table4424666572[[#This Row],[Post Total]]-K61,""),"")</f>
        <v>1</v>
      </c>
      <c r="P62" s="5" t="b">
        <f>ISNUMBER(Table4424666572[[#This Row],[Change]])</f>
        <v>1</v>
      </c>
      <c r="Q62" s="5">
        <f>IF(E61="Yes",Table4424666572[[#This Row],[Change]],"")</f>
        <v>1</v>
      </c>
      <c r="R62" s="5" t="str">
        <f>IF(E61="No",Table4424666572[[#This Row],[Change]],"")</f>
        <v/>
      </c>
      <c r="S62" s="5" t="b">
        <f>ISNUMBER(Table4424666572[[#This Row],[If Pre5 Yes]])</f>
        <v>1</v>
      </c>
      <c r="T62" s="5" t="b">
        <f>ISNUMBER(Table4424666572[[#This Row],[If Pre5 No]])</f>
        <v>0</v>
      </c>
    </row>
    <row r="63" spans="1:20">
      <c r="A63" s="1" t="s">
        <v>24</v>
      </c>
      <c r="B63" s="1" t="s">
        <v>25</v>
      </c>
      <c r="C63" s="1">
        <v>6</v>
      </c>
      <c r="D63" s="1" t="s">
        <v>6</v>
      </c>
      <c r="E63" s="5" t="s">
        <v>8</v>
      </c>
      <c r="F63" s="1">
        <v>9</v>
      </c>
      <c r="G63" s="1">
        <v>3</v>
      </c>
      <c r="H63" s="1" t="s">
        <v>8</v>
      </c>
      <c r="I63" s="6">
        <f>IF(IF(Table4424666572[[#This Row],[Pre or Post]]="Pre",1,0)+IF(ISNUMBER(Table4424666572[[#This Row],[Response]])=TRUE,1,0)=2,1,"")</f>
        <v>1</v>
      </c>
      <c r="J63" s="6" t="str">
        <f>IF(IF(Table4424666572[[#This Row],[Pre or Post]]="Post",1,0)+IF(ISNUMBER(Table4424666572[[#This Row],[Response]])=TRUE,1,0)=2,1,"")</f>
        <v/>
      </c>
      <c r="K63" s="6">
        <f>IF(IF(Table4424666572[[#This Row],[Pre or Post]]="Pre",1,0)+IF(ISNUMBER(Table4424666572[[#This Row],[Response]])=TRUE,1,0)=2,Table4424666572[[#This Row],[Response]],"")</f>
        <v>3</v>
      </c>
      <c r="L63" s="6" t="str">
        <f>IF(IF(Table4424666572[[#This Row],[Pre or Post]]="Post",1,0)+IF(ISNUMBER(Table4424666572[[#This Row],[Response]])=TRUE,1,0)=2,Table4424666572[[#This Row],[Response]],"")</f>
        <v/>
      </c>
      <c r="M63" s="6">
        <f>IF(IF(ISNUMBER(K63),1,0)+IF(ISNUMBER(L64),1,0)=2,IF(IF(C64=C63,1,0)+IF(B64=B63,1,0)+IF(D64="Post",1,0)+IF(D63="Pre",1,0)=4,Table4424666572[[#This Row],[Pre Total]],""),"")</f>
        <v>3</v>
      </c>
      <c r="N63" s="6" t="str">
        <f>IF(IF(ISNUMBER(K62),1,0)+IF(ISNUMBER(Table4424666572[[#This Row],[Post Total]]),1,0)=2,IF(IF(Table4424666572[[#This Row],[Student Number]]=C62,1,0)+IF(Table4424666572[[#This Row],[Session]]=B62,1,0)+IF(Table4424666572[[#This Row],[Pre or Post]]="Post",1,0)+IF(D62="Pre",1,0)=4,Table4424666572[[#This Row],[Post Total]],""),"")</f>
        <v/>
      </c>
      <c r="O63" s="6" t="str">
        <f>IF(IF(ISNUMBER(K62),1,0)+IF(ISNUMBER(Table4424666572[[#This Row],[Post Total]]),1,0)=2,IF(IF(Table4424666572[[#This Row],[Student Number]]=C62,1,0)+IF(Table4424666572[[#This Row],[Session]]=B62,1,0)+IF(Table4424666572[[#This Row],[Pre or Post]]="Post",1,0)+IF(D62="Pre",1,0)=4,Table4424666572[[#This Row],[Post Total]]-K62,""),"")</f>
        <v/>
      </c>
      <c r="P63" s="6" t="b">
        <f>ISNUMBER(Table4424666572[[#This Row],[Change]])</f>
        <v>0</v>
      </c>
      <c r="Q63" s="5" t="str">
        <f>IF(E62="Yes",Table4424666572[[#This Row],[Change]],"")</f>
        <v/>
      </c>
      <c r="R63" s="5" t="str">
        <f>IF(E62="No",Table4424666572[[#This Row],[Change]],"")</f>
        <v/>
      </c>
      <c r="S63" s="5" t="b">
        <f>ISNUMBER(Table4424666572[[#This Row],[If Pre5 Yes]])</f>
        <v>0</v>
      </c>
      <c r="T63" s="5" t="b">
        <f>ISNUMBER(Table4424666572[[#This Row],[If Pre5 No]])</f>
        <v>0</v>
      </c>
    </row>
    <row r="64" spans="1:20">
      <c r="A64" s="1" t="s">
        <v>24</v>
      </c>
      <c r="B64" s="1" t="s">
        <v>25</v>
      </c>
      <c r="C64" s="1">
        <v>6</v>
      </c>
      <c r="D64" s="1" t="s">
        <v>16</v>
      </c>
      <c r="E64" s="5"/>
      <c r="F64" s="1">
        <v>2</v>
      </c>
      <c r="G64" s="1">
        <v>4</v>
      </c>
      <c r="H64" s="2" t="s">
        <v>8</v>
      </c>
      <c r="I64" s="6" t="str">
        <f>IF(IF(Table4424666572[[#This Row],[Pre or Post]]="Pre",1,0)+IF(ISNUMBER(Table4424666572[[#This Row],[Response]])=TRUE,1,0)=2,1,"")</f>
        <v/>
      </c>
      <c r="J64" s="6">
        <f>IF(IF(Table4424666572[[#This Row],[Pre or Post]]="Post",1,0)+IF(ISNUMBER(Table4424666572[[#This Row],[Response]])=TRUE,1,0)=2,1,"")</f>
        <v>1</v>
      </c>
      <c r="K64" s="6" t="str">
        <f>IF(IF(Table4424666572[[#This Row],[Pre or Post]]="Pre",1,0)+IF(ISNUMBER(Table4424666572[[#This Row],[Response]])=TRUE,1,0)=2,Table4424666572[[#This Row],[Response]],"")</f>
        <v/>
      </c>
      <c r="L64" s="6">
        <f>IF(IF(Table4424666572[[#This Row],[Pre or Post]]="Post",1,0)+IF(ISNUMBER(Table4424666572[[#This Row],[Response]])=TRUE,1,0)=2,Table4424666572[[#This Row],[Response]],"")</f>
        <v>4</v>
      </c>
      <c r="M64" s="6" t="str">
        <f>IF(IF(ISNUMBER(K64),1,0)+IF(ISNUMBER(L65),1,0)=2,IF(IF(C65=C64,1,0)+IF(B65=B64,1,0)+IF(D65="Post",1,0)+IF(D64="Pre",1,0)=4,Table4424666572[[#This Row],[Pre Total]],""),"")</f>
        <v/>
      </c>
      <c r="N64" s="6">
        <f>IF(IF(ISNUMBER(K63),1,0)+IF(ISNUMBER(Table4424666572[[#This Row],[Post Total]]),1,0)=2,IF(IF(Table4424666572[[#This Row],[Student Number]]=C63,1,0)+IF(Table4424666572[[#This Row],[Session]]=B63,1,0)+IF(Table4424666572[[#This Row],[Pre or Post]]="Post",1,0)+IF(D63="Pre",1,0)=4,Table4424666572[[#This Row],[Post Total]],""),"")</f>
        <v>4</v>
      </c>
      <c r="O64" s="6">
        <f>IF(IF(ISNUMBER(K63),1,0)+IF(ISNUMBER(Table4424666572[[#This Row],[Post Total]]),1,0)=2,IF(IF(Table4424666572[[#This Row],[Student Number]]=C63,1,0)+IF(Table4424666572[[#This Row],[Session]]=B63,1,0)+IF(Table4424666572[[#This Row],[Pre or Post]]="Post",1,0)+IF(D63="Pre",1,0)=4,Table4424666572[[#This Row],[Post Total]]-K63,""),"")</f>
        <v>1</v>
      </c>
      <c r="P64" s="6" t="b">
        <f>ISNUMBER(Table4424666572[[#This Row],[Change]])</f>
        <v>1</v>
      </c>
      <c r="Q64" s="5">
        <f>IF(E63="Yes",Table4424666572[[#This Row],[Change]],"")</f>
        <v>1</v>
      </c>
      <c r="R64" s="5" t="str">
        <f>IF(E63="No",Table4424666572[[#This Row],[Change]],"")</f>
        <v/>
      </c>
      <c r="S64" s="5" t="b">
        <f>ISNUMBER(Table4424666572[[#This Row],[If Pre5 Yes]])</f>
        <v>1</v>
      </c>
      <c r="T64" s="5" t="b">
        <f>ISNUMBER(Table4424666572[[#This Row],[If Pre5 No]])</f>
        <v>0</v>
      </c>
    </row>
    <row r="65" spans="1:20">
      <c r="A65" s="1" t="s">
        <v>24</v>
      </c>
      <c r="B65" s="1" t="s">
        <v>25</v>
      </c>
      <c r="C65" s="1">
        <v>7</v>
      </c>
      <c r="D65" s="1" t="s">
        <v>6</v>
      </c>
      <c r="E65" s="5" t="s">
        <v>8</v>
      </c>
      <c r="F65" s="1">
        <v>9</v>
      </c>
      <c r="G65" s="1">
        <v>3</v>
      </c>
      <c r="H65" s="1" t="s">
        <v>8</v>
      </c>
      <c r="I65" s="5">
        <f>IF(IF(Table4424666572[[#This Row],[Pre or Post]]="Pre",1,0)+IF(ISNUMBER(Table4424666572[[#This Row],[Response]])=TRUE,1,0)=2,1,"")</f>
        <v>1</v>
      </c>
      <c r="J65" s="5" t="str">
        <f>IF(IF(Table4424666572[[#This Row],[Pre or Post]]="Post",1,0)+IF(ISNUMBER(Table4424666572[[#This Row],[Response]])=TRUE,1,0)=2,1,"")</f>
        <v/>
      </c>
      <c r="K65" s="6">
        <f>IF(IF(Table4424666572[[#This Row],[Pre or Post]]="Pre",1,0)+IF(ISNUMBER(Table4424666572[[#This Row],[Response]])=TRUE,1,0)=2,Table4424666572[[#This Row],[Response]],"")</f>
        <v>3</v>
      </c>
      <c r="L65" s="6" t="str">
        <f>IF(IF(Table4424666572[[#This Row],[Pre or Post]]="Post",1,0)+IF(ISNUMBER(Table4424666572[[#This Row],[Response]])=TRUE,1,0)=2,Table4424666572[[#This Row],[Response]],"")</f>
        <v/>
      </c>
      <c r="M65" s="5">
        <f>IF(IF(ISNUMBER(K65),1,0)+IF(ISNUMBER(L66),1,0)=2,IF(IF(C66=C65,1,0)+IF(B66=B65,1,0)+IF(D66="Post",1,0)+IF(D65="Pre",1,0)=4,Table4424666572[[#This Row],[Pre Total]],""),"")</f>
        <v>3</v>
      </c>
      <c r="N65" s="5" t="str">
        <f>IF(IF(ISNUMBER(K64),1,0)+IF(ISNUMBER(Table4424666572[[#This Row],[Post Total]]),1,0)=2,IF(IF(Table4424666572[[#This Row],[Student Number]]=C64,1,0)+IF(Table4424666572[[#This Row],[Session]]=B64,1,0)+IF(Table4424666572[[#This Row],[Pre or Post]]="Post",1,0)+IF(D64="Pre",1,0)=4,Table4424666572[[#This Row],[Post Total]],""),"")</f>
        <v/>
      </c>
      <c r="O65" s="5" t="str">
        <f>IF(IF(ISNUMBER(K64),1,0)+IF(ISNUMBER(Table4424666572[[#This Row],[Post Total]]),1,0)=2,IF(IF(Table4424666572[[#This Row],[Student Number]]=C64,1,0)+IF(Table4424666572[[#This Row],[Session]]=B64,1,0)+IF(Table4424666572[[#This Row],[Pre or Post]]="Post",1,0)+IF(D64="Pre",1,0)=4,Table4424666572[[#This Row],[Post Total]]-K64,""),"")</f>
        <v/>
      </c>
      <c r="P65" s="5" t="b">
        <f>ISNUMBER(Table4424666572[[#This Row],[Change]])</f>
        <v>0</v>
      </c>
      <c r="Q65" s="5" t="str">
        <f>IF(E64="Yes",Table4424666572[[#This Row],[Change]],"")</f>
        <v/>
      </c>
      <c r="R65" s="5" t="str">
        <f>IF(E64="No",Table4424666572[[#This Row],[Change]],"")</f>
        <v/>
      </c>
      <c r="S65" s="5" t="b">
        <f>ISNUMBER(Table4424666572[[#This Row],[If Pre5 Yes]])</f>
        <v>0</v>
      </c>
      <c r="T65" s="5" t="b">
        <f>ISNUMBER(Table4424666572[[#This Row],[If Pre5 No]])</f>
        <v>0</v>
      </c>
    </row>
    <row r="66" spans="1:20">
      <c r="A66" s="1" t="s">
        <v>24</v>
      </c>
      <c r="B66" s="1" t="s">
        <v>25</v>
      </c>
      <c r="C66" s="1">
        <v>7</v>
      </c>
      <c r="D66" s="1" t="s">
        <v>16</v>
      </c>
      <c r="E66" s="5"/>
      <c r="F66" s="1">
        <v>2</v>
      </c>
      <c r="G66" s="1">
        <v>4</v>
      </c>
      <c r="H66" s="2" t="s">
        <v>8</v>
      </c>
      <c r="I66" s="5" t="str">
        <f>IF(IF(Table4424666572[[#This Row],[Pre or Post]]="Pre",1,0)+IF(ISNUMBER(Table4424666572[[#This Row],[Response]])=TRUE,1,0)=2,1,"")</f>
        <v/>
      </c>
      <c r="J66" s="5">
        <f>IF(IF(Table4424666572[[#This Row],[Pre or Post]]="Post",1,0)+IF(ISNUMBER(Table4424666572[[#This Row],[Response]])=TRUE,1,0)=2,1,"")</f>
        <v>1</v>
      </c>
      <c r="K66" s="6" t="str">
        <f>IF(IF(Table4424666572[[#This Row],[Pre or Post]]="Pre",1,0)+IF(ISNUMBER(Table4424666572[[#This Row],[Response]])=TRUE,1,0)=2,Table4424666572[[#This Row],[Response]],"")</f>
        <v/>
      </c>
      <c r="L66" s="6">
        <f>IF(IF(Table4424666572[[#This Row],[Pre or Post]]="Post",1,0)+IF(ISNUMBER(Table4424666572[[#This Row],[Response]])=TRUE,1,0)=2,Table4424666572[[#This Row],[Response]],"")</f>
        <v>4</v>
      </c>
      <c r="M66" s="5" t="str">
        <f>IF(IF(ISNUMBER(K66),1,0)+IF(ISNUMBER(L67),1,0)=2,IF(IF(C67=C66,1,0)+IF(B67=B66,1,0)+IF(D67="Post",1,0)+IF(D66="Pre",1,0)=4,Table4424666572[[#This Row],[Pre Total]],""),"")</f>
        <v/>
      </c>
      <c r="N66" s="5">
        <f>IF(IF(ISNUMBER(K65),1,0)+IF(ISNUMBER(Table4424666572[[#This Row],[Post Total]]),1,0)=2,IF(IF(Table4424666572[[#This Row],[Student Number]]=C65,1,0)+IF(Table4424666572[[#This Row],[Session]]=B65,1,0)+IF(Table4424666572[[#This Row],[Pre or Post]]="Post",1,0)+IF(D65="Pre",1,0)=4,Table4424666572[[#This Row],[Post Total]],""),"")</f>
        <v>4</v>
      </c>
      <c r="O66" s="5">
        <f>IF(IF(ISNUMBER(K65),1,0)+IF(ISNUMBER(Table4424666572[[#This Row],[Post Total]]),1,0)=2,IF(IF(Table4424666572[[#This Row],[Student Number]]=C65,1,0)+IF(Table4424666572[[#This Row],[Session]]=B65,1,0)+IF(Table4424666572[[#This Row],[Pre or Post]]="Post",1,0)+IF(D65="Pre",1,0)=4,Table4424666572[[#This Row],[Post Total]]-K65,""),"")</f>
        <v>1</v>
      </c>
      <c r="P66" s="5" t="b">
        <f>ISNUMBER(Table4424666572[[#This Row],[Change]])</f>
        <v>1</v>
      </c>
      <c r="Q66" s="5">
        <f>IF(E65="Yes",Table4424666572[[#This Row],[Change]],"")</f>
        <v>1</v>
      </c>
      <c r="R66" s="5" t="str">
        <f>IF(E65="No",Table4424666572[[#This Row],[Change]],"")</f>
        <v/>
      </c>
      <c r="S66" s="5" t="b">
        <f>ISNUMBER(Table4424666572[[#This Row],[If Pre5 Yes]])</f>
        <v>1</v>
      </c>
      <c r="T66" s="5" t="b">
        <f>ISNUMBER(Table4424666572[[#This Row],[If Pre5 No]])</f>
        <v>0</v>
      </c>
    </row>
    <row r="67" spans="1:20">
      <c r="A67" s="1" t="s">
        <v>24</v>
      </c>
      <c r="B67" s="1" t="s">
        <v>25</v>
      </c>
      <c r="C67" s="1">
        <v>8</v>
      </c>
      <c r="D67" s="1" t="s">
        <v>6</v>
      </c>
      <c r="E67" s="5" t="s">
        <v>8</v>
      </c>
      <c r="F67" s="1">
        <v>9</v>
      </c>
      <c r="G67" s="1">
        <v>1</v>
      </c>
      <c r="H67" s="1" t="s">
        <v>8</v>
      </c>
      <c r="I67" s="6">
        <f>IF(IF(Table4424666572[[#This Row],[Pre or Post]]="Pre",1,0)+IF(ISNUMBER(Table4424666572[[#This Row],[Response]])=TRUE,1,0)=2,1,"")</f>
        <v>1</v>
      </c>
      <c r="J67" s="6" t="str">
        <f>IF(IF(Table4424666572[[#This Row],[Pre or Post]]="Post",1,0)+IF(ISNUMBER(Table4424666572[[#This Row],[Response]])=TRUE,1,0)=2,1,"")</f>
        <v/>
      </c>
      <c r="K67" s="6">
        <f>IF(IF(Table4424666572[[#This Row],[Pre or Post]]="Pre",1,0)+IF(ISNUMBER(Table4424666572[[#This Row],[Response]])=TRUE,1,0)=2,Table4424666572[[#This Row],[Response]],"")</f>
        <v>1</v>
      </c>
      <c r="L67" s="6" t="str">
        <f>IF(IF(Table4424666572[[#This Row],[Pre or Post]]="Post",1,0)+IF(ISNUMBER(Table4424666572[[#This Row],[Response]])=TRUE,1,0)=2,Table4424666572[[#This Row],[Response]],"")</f>
        <v/>
      </c>
      <c r="M67" s="6">
        <f>IF(IF(ISNUMBER(K67),1,0)+IF(ISNUMBER(L68),1,0)=2,IF(IF(C68=C67,1,0)+IF(B68=B67,1,0)+IF(D68="Post",1,0)+IF(D67="Pre",1,0)=4,Table4424666572[[#This Row],[Pre Total]],""),"")</f>
        <v>1</v>
      </c>
      <c r="N67" s="6" t="str">
        <f>IF(IF(ISNUMBER(K66),1,0)+IF(ISNUMBER(Table4424666572[[#This Row],[Post Total]]),1,0)=2,IF(IF(Table4424666572[[#This Row],[Student Number]]=C66,1,0)+IF(Table4424666572[[#This Row],[Session]]=B66,1,0)+IF(Table4424666572[[#This Row],[Pre or Post]]="Post",1,0)+IF(D66="Pre",1,0)=4,Table4424666572[[#This Row],[Post Total]],""),"")</f>
        <v/>
      </c>
      <c r="O67" s="6" t="str">
        <f>IF(IF(ISNUMBER(K66),1,0)+IF(ISNUMBER(Table4424666572[[#This Row],[Post Total]]),1,0)=2,IF(IF(Table4424666572[[#This Row],[Student Number]]=C66,1,0)+IF(Table4424666572[[#This Row],[Session]]=B66,1,0)+IF(Table4424666572[[#This Row],[Pre or Post]]="Post",1,0)+IF(D66="Pre",1,0)=4,Table4424666572[[#This Row],[Post Total]]-K66,""),"")</f>
        <v/>
      </c>
      <c r="P67" s="6" t="b">
        <f>ISNUMBER(Table4424666572[[#This Row],[Change]])</f>
        <v>0</v>
      </c>
      <c r="Q67" s="5" t="str">
        <f>IF(E66="Yes",Table4424666572[[#This Row],[Change]],"")</f>
        <v/>
      </c>
      <c r="R67" s="5" t="str">
        <f>IF(E66="No",Table4424666572[[#This Row],[Change]],"")</f>
        <v/>
      </c>
      <c r="S67" s="5" t="b">
        <f>ISNUMBER(Table4424666572[[#This Row],[If Pre5 Yes]])</f>
        <v>0</v>
      </c>
      <c r="T67" s="5" t="b">
        <f>ISNUMBER(Table4424666572[[#This Row],[If Pre5 No]])</f>
        <v>0</v>
      </c>
    </row>
    <row r="68" spans="1:20">
      <c r="A68" s="1" t="s">
        <v>24</v>
      </c>
      <c r="B68" s="1" t="s">
        <v>25</v>
      </c>
      <c r="C68" s="1">
        <v>8</v>
      </c>
      <c r="D68" s="1" t="s">
        <v>16</v>
      </c>
      <c r="E68" s="5"/>
      <c r="F68" s="1">
        <v>2</v>
      </c>
      <c r="G68" s="1">
        <v>3</v>
      </c>
      <c r="H68" s="2" t="s">
        <v>8</v>
      </c>
      <c r="I68" s="6" t="str">
        <f>IF(IF(Table4424666572[[#This Row],[Pre or Post]]="Pre",1,0)+IF(ISNUMBER(Table4424666572[[#This Row],[Response]])=TRUE,1,0)=2,1,"")</f>
        <v/>
      </c>
      <c r="J68" s="6">
        <f>IF(IF(Table4424666572[[#This Row],[Pre or Post]]="Post",1,0)+IF(ISNUMBER(Table4424666572[[#This Row],[Response]])=TRUE,1,0)=2,1,"")</f>
        <v>1</v>
      </c>
      <c r="K68" s="6" t="str">
        <f>IF(IF(Table4424666572[[#This Row],[Pre or Post]]="Pre",1,0)+IF(ISNUMBER(Table4424666572[[#This Row],[Response]])=TRUE,1,0)=2,Table4424666572[[#This Row],[Response]],"")</f>
        <v/>
      </c>
      <c r="L68" s="6">
        <f>IF(IF(Table4424666572[[#This Row],[Pre or Post]]="Post",1,0)+IF(ISNUMBER(Table4424666572[[#This Row],[Response]])=TRUE,1,0)=2,Table4424666572[[#This Row],[Response]],"")</f>
        <v>3</v>
      </c>
      <c r="M68" s="6" t="str">
        <f>IF(IF(ISNUMBER(K68),1,0)+IF(ISNUMBER(L69),1,0)=2,IF(IF(C69=C68,1,0)+IF(B69=B68,1,0)+IF(D69="Post",1,0)+IF(D68="Pre",1,0)=4,Table4424666572[[#This Row],[Pre Total]],""),"")</f>
        <v/>
      </c>
      <c r="N68" s="6">
        <f>IF(IF(ISNUMBER(K67),1,0)+IF(ISNUMBER(Table4424666572[[#This Row],[Post Total]]),1,0)=2,IF(IF(Table4424666572[[#This Row],[Student Number]]=C67,1,0)+IF(Table4424666572[[#This Row],[Session]]=B67,1,0)+IF(Table4424666572[[#This Row],[Pre or Post]]="Post",1,0)+IF(D67="Pre",1,0)=4,Table4424666572[[#This Row],[Post Total]],""),"")</f>
        <v>3</v>
      </c>
      <c r="O68" s="6">
        <f>IF(IF(ISNUMBER(K67),1,0)+IF(ISNUMBER(Table4424666572[[#This Row],[Post Total]]),1,0)=2,IF(IF(Table4424666572[[#This Row],[Student Number]]=C67,1,0)+IF(Table4424666572[[#This Row],[Session]]=B67,1,0)+IF(Table4424666572[[#This Row],[Pre or Post]]="Post",1,0)+IF(D67="Pre",1,0)=4,Table4424666572[[#This Row],[Post Total]]-K67,""),"")</f>
        <v>2</v>
      </c>
      <c r="P68" s="6" t="b">
        <f>ISNUMBER(Table4424666572[[#This Row],[Change]])</f>
        <v>1</v>
      </c>
      <c r="Q68" s="5">
        <f>IF(E67="Yes",Table4424666572[[#This Row],[Change]],"")</f>
        <v>2</v>
      </c>
      <c r="R68" s="5" t="str">
        <f>IF(E67="No",Table4424666572[[#This Row],[Change]],"")</f>
        <v/>
      </c>
      <c r="S68" s="5" t="b">
        <f>ISNUMBER(Table4424666572[[#This Row],[If Pre5 Yes]])</f>
        <v>1</v>
      </c>
      <c r="T68" s="5" t="b">
        <f>ISNUMBER(Table4424666572[[#This Row],[If Pre5 No]])</f>
        <v>0</v>
      </c>
    </row>
    <row r="69" spans="1:20">
      <c r="A69" s="1" t="s">
        <v>24</v>
      </c>
      <c r="B69" s="1" t="s">
        <v>25</v>
      </c>
      <c r="C69" s="1">
        <v>9</v>
      </c>
      <c r="D69" s="1" t="s">
        <v>6</v>
      </c>
      <c r="E69" s="5" t="s">
        <v>8</v>
      </c>
      <c r="F69" s="1">
        <v>9</v>
      </c>
      <c r="G69" s="1">
        <v>1</v>
      </c>
      <c r="H69" s="1" t="s">
        <v>8</v>
      </c>
      <c r="I69" s="5">
        <f>IF(IF(Table4424666572[[#This Row],[Pre or Post]]="Pre",1,0)+IF(ISNUMBER(Table4424666572[[#This Row],[Response]])=TRUE,1,0)=2,1,"")</f>
        <v>1</v>
      </c>
      <c r="J69" s="5" t="str">
        <f>IF(IF(Table4424666572[[#This Row],[Pre or Post]]="Post",1,0)+IF(ISNUMBER(Table4424666572[[#This Row],[Response]])=TRUE,1,0)=2,1,"")</f>
        <v/>
      </c>
      <c r="K69" s="6">
        <f>IF(IF(Table4424666572[[#This Row],[Pre or Post]]="Pre",1,0)+IF(ISNUMBER(Table4424666572[[#This Row],[Response]])=TRUE,1,0)=2,Table4424666572[[#This Row],[Response]],"")</f>
        <v>1</v>
      </c>
      <c r="L69" s="6" t="str">
        <f>IF(IF(Table4424666572[[#This Row],[Pre or Post]]="Post",1,0)+IF(ISNUMBER(Table4424666572[[#This Row],[Response]])=TRUE,1,0)=2,Table4424666572[[#This Row],[Response]],"")</f>
        <v/>
      </c>
      <c r="M69" s="5">
        <f>IF(IF(ISNUMBER(K69),1,0)+IF(ISNUMBER(L70),1,0)=2,IF(IF(C70=C69,1,0)+IF(B70=B69,1,0)+IF(D70="Post",1,0)+IF(D69="Pre",1,0)=4,Table4424666572[[#This Row],[Pre Total]],""),"")</f>
        <v>1</v>
      </c>
      <c r="N69" s="5" t="str">
        <f>IF(IF(ISNUMBER(K68),1,0)+IF(ISNUMBER(Table4424666572[[#This Row],[Post Total]]),1,0)=2,IF(IF(Table4424666572[[#This Row],[Student Number]]=C68,1,0)+IF(Table4424666572[[#This Row],[Session]]=B68,1,0)+IF(Table4424666572[[#This Row],[Pre or Post]]="Post",1,0)+IF(D68="Pre",1,0)=4,Table4424666572[[#This Row],[Post Total]],""),"")</f>
        <v/>
      </c>
      <c r="O69" s="5" t="str">
        <f>IF(IF(ISNUMBER(K68),1,0)+IF(ISNUMBER(Table4424666572[[#This Row],[Post Total]]),1,0)=2,IF(IF(Table4424666572[[#This Row],[Student Number]]=C68,1,0)+IF(Table4424666572[[#This Row],[Session]]=B68,1,0)+IF(Table4424666572[[#This Row],[Pre or Post]]="Post",1,0)+IF(D68="Pre",1,0)=4,Table4424666572[[#This Row],[Post Total]]-K68,""),"")</f>
        <v/>
      </c>
      <c r="P69" s="5" t="b">
        <f>ISNUMBER(Table4424666572[[#This Row],[Change]])</f>
        <v>0</v>
      </c>
      <c r="Q69" s="5" t="str">
        <f>IF(E68="Yes",Table4424666572[[#This Row],[Change]],"")</f>
        <v/>
      </c>
      <c r="R69" s="5" t="str">
        <f>IF(E68="No",Table4424666572[[#This Row],[Change]],"")</f>
        <v/>
      </c>
      <c r="S69" s="5" t="b">
        <f>ISNUMBER(Table4424666572[[#This Row],[If Pre5 Yes]])</f>
        <v>0</v>
      </c>
      <c r="T69" s="5" t="b">
        <f>ISNUMBER(Table4424666572[[#This Row],[If Pre5 No]])</f>
        <v>0</v>
      </c>
    </row>
    <row r="70" spans="1:20">
      <c r="A70" s="1" t="s">
        <v>24</v>
      </c>
      <c r="B70" s="1" t="s">
        <v>25</v>
      </c>
      <c r="C70" s="1">
        <v>9</v>
      </c>
      <c r="D70" s="1" t="s">
        <v>16</v>
      </c>
      <c r="E70" s="5"/>
      <c r="F70" s="1">
        <v>2</v>
      </c>
      <c r="G70" s="1">
        <v>3</v>
      </c>
      <c r="H70" s="2" t="s">
        <v>8</v>
      </c>
      <c r="I70" s="5" t="str">
        <f>IF(IF(Table4424666572[[#This Row],[Pre or Post]]="Pre",1,0)+IF(ISNUMBER(Table4424666572[[#This Row],[Response]])=TRUE,1,0)=2,1,"")</f>
        <v/>
      </c>
      <c r="J70" s="5">
        <f>IF(IF(Table4424666572[[#This Row],[Pre or Post]]="Post",1,0)+IF(ISNUMBER(Table4424666572[[#This Row],[Response]])=TRUE,1,0)=2,1,"")</f>
        <v>1</v>
      </c>
      <c r="K70" s="6" t="str">
        <f>IF(IF(Table4424666572[[#This Row],[Pre or Post]]="Pre",1,0)+IF(ISNUMBER(Table4424666572[[#This Row],[Response]])=TRUE,1,0)=2,Table4424666572[[#This Row],[Response]],"")</f>
        <v/>
      </c>
      <c r="L70" s="6">
        <f>IF(IF(Table4424666572[[#This Row],[Pre or Post]]="Post",1,0)+IF(ISNUMBER(Table4424666572[[#This Row],[Response]])=TRUE,1,0)=2,Table4424666572[[#This Row],[Response]],"")</f>
        <v>3</v>
      </c>
      <c r="M70" s="5" t="str">
        <f>IF(IF(ISNUMBER(K70),1,0)+IF(ISNUMBER(L71),1,0)=2,IF(IF(C71=C70,1,0)+IF(B71=B70,1,0)+IF(D71="Post",1,0)+IF(D70="Pre",1,0)=4,Table4424666572[[#This Row],[Pre Total]],""),"")</f>
        <v/>
      </c>
      <c r="N70" s="5">
        <f>IF(IF(ISNUMBER(K69),1,0)+IF(ISNUMBER(Table4424666572[[#This Row],[Post Total]]),1,0)=2,IF(IF(Table4424666572[[#This Row],[Student Number]]=C69,1,0)+IF(Table4424666572[[#This Row],[Session]]=B69,1,0)+IF(Table4424666572[[#This Row],[Pre or Post]]="Post",1,0)+IF(D69="Pre",1,0)=4,Table4424666572[[#This Row],[Post Total]],""),"")</f>
        <v>3</v>
      </c>
      <c r="O70" s="5">
        <f>IF(IF(ISNUMBER(K69),1,0)+IF(ISNUMBER(Table4424666572[[#This Row],[Post Total]]),1,0)=2,IF(IF(Table4424666572[[#This Row],[Student Number]]=C69,1,0)+IF(Table4424666572[[#This Row],[Session]]=B69,1,0)+IF(Table4424666572[[#This Row],[Pre or Post]]="Post",1,0)+IF(D69="Pre",1,0)=4,Table4424666572[[#This Row],[Post Total]]-K69,""),"")</f>
        <v>2</v>
      </c>
      <c r="P70" s="5" t="b">
        <f>ISNUMBER(Table4424666572[[#This Row],[Change]])</f>
        <v>1</v>
      </c>
      <c r="Q70" s="5">
        <f>IF(E69="Yes",Table4424666572[[#This Row],[Change]],"")</f>
        <v>2</v>
      </c>
      <c r="R70" s="5" t="str">
        <f>IF(E69="No",Table4424666572[[#This Row],[Change]],"")</f>
        <v/>
      </c>
      <c r="S70" s="5" t="b">
        <f>ISNUMBER(Table4424666572[[#This Row],[If Pre5 Yes]])</f>
        <v>1</v>
      </c>
      <c r="T70" s="5" t="b">
        <f>ISNUMBER(Table4424666572[[#This Row],[If Pre5 No]])</f>
        <v>0</v>
      </c>
    </row>
    <row r="71" spans="1:20">
      <c r="A71" s="1" t="s">
        <v>24</v>
      </c>
      <c r="B71" s="1" t="s">
        <v>25</v>
      </c>
      <c r="C71" s="1">
        <v>10</v>
      </c>
      <c r="D71" s="1" t="s">
        <v>6</v>
      </c>
      <c r="E71" s="5" t="s">
        <v>8</v>
      </c>
      <c r="F71" s="1">
        <v>9</v>
      </c>
      <c r="G71" s="1">
        <v>1</v>
      </c>
      <c r="H71" s="1" t="s">
        <v>8</v>
      </c>
      <c r="I71" s="6">
        <f>IF(IF(Table4424666572[[#This Row],[Pre or Post]]="Pre",1,0)+IF(ISNUMBER(Table4424666572[[#This Row],[Response]])=TRUE,1,0)=2,1,"")</f>
        <v>1</v>
      </c>
      <c r="J71" s="6" t="str">
        <f>IF(IF(Table4424666572[[#This Row],[Pre or Post]]="Post",1,0)+IF(ISNUMBER(Table4424666572[[#This Row],[Response]])=TRUE,1,0)=2,1,"")</f>
        <v/>
      </c>
      <c r="K71" s="6">
        <f>IF(IF(Table4424666572[[#This Row],[Pre or Post]]="Pre",1,0)+IF(ISNUMBER(Table4424666572[[#This Row],[Response]])=TRUE,1,0)=2,Table4424666572[[#This Row],[Response]],"")</f>
        <v>1</v>
      </c>
      <c r="L71" s="6" t="str">
        <f>IF(IF(Table4424666572[[#This Row],[Pre or Post]]="Post",1,0)+IF(ISNUMBER(Table4424666572[[#This Row],[Response]])=TRUE,1,0)=2,Table4424666572[[#This Row],[Response]],"")</f>
        <v/>
      </c>
      <c r="M71" s="6">
        <f>IF(IF(ISNUMBER(K71),1,0)+IF(ISNUMBER(L72),1,0)=2,IF(IF(C72=C71,1,0)+IF(B72=B71,1,0)+IF(D72="Post",1,0)+IF(D71="Pre",1,0)=4,Table4424666572[[#This Row],[Pre Total]],""),"")</f>
        <v>1</v>
      </c>
      <c r="N71" s="6" t="str">
        <f>IF(IF(ISNUMBER(K70),1,0)+IF(ISNUMBER(Table4424666572[[#This Row],[Post Total]]),1,0)=2,IF(IF(Table4424666572[[#This Row],[Student Number]]=C70,1,0)+IF(Table4424666572[[#This Row],[Session]]=B70,1,0)+IF(Table4424666572[[#This Row],[Pre or Post]]="Post",1,0)+IF(D70="Pre",1,0)=4,Table4424666572[[#This Row],[Post Total]],""),"")</f>
        <v/>
      </c>
      <c r="O71" s="6" t="str">
        <f>IF(IF(ISNUMBER(K70),1,0)+IF(ISNUMBER(Table4424666572[[#This Row],[Post Total]]),1,0)=2,IF(IF(Table4424666572[[#This Row],[Student Number]]=C70,1,0)+IF(Table4424666572[[#This Row],[Session]]=B70,1,0)+IF(Table4424666572[[#This Row],[Pre or Post]]="Post",1,0)+IF(D70="Pre",1,0)=4,Table4424666572[[#This Row],[Post Total]]-K70,""),"")</f>
        <v/>
      </c>
      <c r="P71" s="6" t="b">
        <f>ISNUMBER(Table4424666572[[#This Row],[Change]])</f>
        <v>0</v>
      </c>
      <c r="Q71" s="5" t="str">
        <f>IF(E70="Yes",Table4424666572[[#This Row],[Change]],"")</f>
        <v/>
      </c>
      <c r="R71" s="5" t="str">
        <f>IF(E70="No",Table4424666572[[#This Row],[Change]],"")</f>
        <v/>
      </c>
      <c r="S71" s="5" t="b">
        <f>ISNUMBER(Table4424666572[[#This Row],[If Pre5 Yes]])</f>
        <v>0</v>
      </c>
      <c r="T71" s="5" t="b">
        <f>ISNUMBER(Table4424666572[[#This Row],[If Pre5 No]])</f>
        <v>0</v>
      </c>
    </row>
    <row r="72" spans="1:20">
      <c r="A72" s="1" t="s">
        <v>24</v>
      </c>
      <c r="B72" s="1" t="s">
        <v>25</v>
      </c>
      <c r="C72" s="1">
        <v>10</v>
      </c>
      <c r="D72" s="1" t="s">
        <v>16</v>
      </c>
      <c r="E72" s="5"/>
      <c r="F72" s="1">
        <v>2</v>
      </c>
      <c r="G72" s="2">
        <v>2</v>
      </c>
      <c r="H72" s="2" t="s">
        <v>8</v>
      </c>
      <c r="I72" s="5" t="str">
        <f>IF(IF(Table4424666572[[#This Row],[Pre or Post]]="Pre",1,0)+IF(ISNUMBER(Table4424666572[[#This Row],[Response]])=TRUE,1,0)=2,1,"")</f>
        <v/>
      </c>
      <c r="J72" s="5">
        <f>IF(IF(Table4424666572[[#This Row],[Pre or Post]]="Post",1,0)+IF(ISNUMBER(Table4424666572[[#This Row],[Response]])=TRUE,1,0)=2,1,"")</f>
        <v>1</v>
      </c>
      <c r="K72" s="6" t="str">
        <f>IF(IF(Table4424666572[[#This Row],[Pre or Post]]="Pre",1,0)+IF(ISNUMBER(Table4424666572[[#This Row],[Response]])=TRUE,1,0)=2,Table4424666572[[#This Row],[Response]],"")</f>
        <v/>
      </c>
      <c r="L72" s="6">
        <f>IF(IF(Table4424666572[[#This Row],[Pre or Post]]="Post",1,0)+IF(ISNUMBER(Table4424666572[[#This Row],[Response]])=TRUE,1,0)=2,Table4424666572[[#This Row],[Response]],"")</f>
        <v>2</v>
      </c>
      <c r="M72" s="5" t="str">
        <f>IF(IF(ISNUMBER(K72),1,0)+IF(ISNUMBER(L73),1,0)=2,IF(IF(C73=C72,1,0)+IF(B73=B72,1,0)+IF(D73="Post",1,0)+IF(D72="Pre",1,0)=4,Table4424666572[[#This Row],[Pre Total]],""),"")</f>
        <v/>
      </c>
      <c r="N72" s="5">
        <f>IF(IF(ISNUMBER(K71),1,0)+IF(ISNUMBER(Table4424666572[[#This Row],[Post Total]]),1,0)=2,IF(IF(Table4424666572[[#This Row],[Student Number]]=C71,1,0)+IF(Table4424666572[[#This Row],[Session]]=B71,1,0)+IF(Table4424666572[[#This Row],[Pre or Post]]="Post",1,0)+IF(D71="Pre",1,0)=4,Table4424666572[[#This Row],[Post Total]],""),"")</f>
        <v>2</v>
      </c>
      <c r="O72" s="5">
        <f>IF(IF(ISNUMBER(K71),1,0)+IF(ISNUMBER(Table4424666572[[#This Row],[Post Total]]),1,0)=2,IF(IF(Table4424666572[[#This Row],[Student Number]]=C71,1,0)+IF(Table4424666572[[#This Row],[Session]]=B71,1,0)+IF(Table4424666572[[#This Row],[Pre or Post]]="Post",1,0)+IF(D71="Pre",1,0)=4,Table4424666572[[#This Row],[Post Total]]-K71,""),"")</f>
        <v>1</v>
      </c>
      <c r="P72" s="5" t="b">
        <f>ISNUMBER(Table4424666572[[#This Row],[Change]])</f>
        <v>1</v>
      </c>
      <c r="Q72" s="5">
        <f>IF(E71="Yes",Table4424666572[[#This Row],[Change]],"")</f>
        <v>1</v>
      </c>
      <c r="R72" s="5" t="str">
        <f>IF(E71="No",Table4424666572[[#This Row],[Change]],"")</f>
        <v/>
      </c>
      <c r="S72" s="5" t="b">
        <f>ISNUMBER(Table4424666572[[#This Row],[If Pre5 Yes]])</f>
        <v>1</v>
      </c>
      <c r="T72" s="5" t="b">
        <f>ISNUMBER(Table4424666572[[#This Row],[If Pre5 No]])</f>
        <v>0</v>
      </c>
    </row>
    <row r="73" spans="1:20">
      <c r="A73" s="1" t="s">
        <v>24</v>
      </c>
      <c r="B73" s="1" t="s">
        <v>25</v>
      </c>
      <c r="C73" s="1">
        <v>11</v>
      </c>
      <c r="D73" s="1" t="s">
        <v>6</v>
      </c>
      <c r="E73" s="5" t="s">
        <v>8</v>
      </c>
      <c r="F73" s="1">
        <v>9</v>
      </c>
      <c r="G73" s="1">
        <v>4</v>
      </c>
      <c r="H73" s="1" t="s">
        <v>8</v>
      </c>
      <c r="I73" s="5">
        <f>IF(IF(Table4424666572[[#This Row],[Pre or Post]]="Pre",1,0)+IF(ISNUMBER(Table4424666572[[#This Row],[Response]])=TRUE,1,0)=2,1,"")</f>
        <v>1</v>
      </c>
      <c r="J73" s="5" t="str">
        <f>IF(IF(Table4424666572[[#This Row],[Pre or Post]]="Post",1,0)+IF(ISNUMBER(Table4424666572[[#This Row],[Response]])=TRUE,1,0)=2,1,"")</f>
        <v/>
      </c>
      <c r="K73" s="6">
        <f>IF(IF(Table4424666572[[#This Row],[Pre or Post]]="Pre",1,0)+IF(ISNUMBER(Table4424666572[[#This Row],[Response]])=TRUE,1,0)=2,Table4424666572[[#This Row],[Response]],"")</f>
        <v>4</v>
      </c>
      <c r="L73" s="6" t="str">
        <f>IF(IF(Table4424666572[[#This Row],[Pre or Post]]="Post",1,0)+IF(ISNUMBER(Table4424666572[[#This Row],[Response]])=TRUE,1,0)=2,Table4424666572[[#This Row],[Response]],"")</f>
        <v/>
      </c>
      <c r="M73" s="5">
        <f>IF(IF(ISNUMBER(K73),1,0)+IF(ISNUMBER(L74),1,0)=2,IF(IF(C74=C73,1,0)+IF(B74=B73,1,0)+IF(D74="Post",1,0)+IF(D73="Pre",1,0)=4,Table4424666572[[#This Row],[Pre Total]],""),"")</f>
        <v>4</v>
      </c>
      <c r="N73" s="5" t="str">
        <f>IF(IF(ISNUMBER(K72),1,0)+IF(ISNUMBER(Table4424666572[[#This Row],[Post Total]]),1,0)=2,IF(IF(Table4424666572[[#This Row],[Student Number]]=C72,1,0)+IF(Table4424666572[[#This Row],[Session]]=B72,1,0)+IF(Table4424666572[[#This Row],[Pre or Post]]="Post",1,0)+IF(D72="Pre",1,0)=4,Table4424666572[[#This Row],[Post Total]],""),"")</f>
        <v/>
      </c>
      <c r="O73" s="5" t="str">
        <f>IF(IF(ISNUMBER(K72),1,0)+IF(ISNUMBER(Table4424666572[[#This Row],[Post Total]]),1,0)=2,IF(IF(Table4424666572[[#This Row],[Student Number]]=C72,1,0)+IF(Table4424666572[[#This Row],[Session]]=B72,1,0)+IF(Table4424666572[[#This Row],[Pre or Post]]="Post",1,0)+IF(D72="Pre",1,0)=4,Table4424666572[[#This Row],[Post Total]]-K72,""),"")</f>
        <v/>
      </c>
      <c r="P73" s="5" t="b">
        <f>ISNUMBER(Table4424666572[[#This Row],[Change]])</f>
        <v>0</v>
      </c>
      <c r="Q73" s="5" t="str">
        <f>IF(E72="Yes",Table4424666572[[#This Row],[Change]],"")</f>
        <v/>
      </c>
      <c r="R73" s="5" t="str">
        <f>IF(E72="No",Table4424666572[[#This Row],[Change]],"")</f>
        <v/>
      </c>
      <c r="S73" s="5" t="b">
        <f>ISNUMBER(Table4424666572[[#This Row],[If Pre5 Yes]])</f>
        <v>0</v>
      </c>
      <c r="T73" s="5" t="b">
        <f>ISNUMBER(Table4424666572[[#This Row],[If Pre5 No]])</f>
        <v>0</v>
      </c>
    </row>
    <row r="74" spans="1:20">
      <c r="A74" s="1" t="s">
        <v>24</v>
      </c>
      <c r="B74" s="1" t="s">
        <v>25</v>
      </c>
      <c r="C74" s="1">
        <v>11</v>
      </c>
      <c r="D74" s="1" t="s">
        <v>16</v>
      </c>
      <c r="E74" s="5"/>
      <c r="F74" s="1">
        <v>2</v>
      </c>
      <c r="G74" s="1">
        <v>4</v>
      </c>
      <c r="H74" s="2" t="s">
        <v>8</v>
      </c>
      <c r="I74" s="5" t="str">
        <f>IF(IF(Table4424666572[[#This Row],[Pre or Post]]="Pre",1,0)+IF(ISNUMBER(Table4424666572[[#This Row],[Response]])=TRUE,1,0)=2,1,"")</f>
        <v/>
      </c>
      <c r="J74" s="5">
        <f>IF(IF(Table4424666572[[#This Row],[Pre or Post]]="Post",1,0)+IF(ISNUMBER(Table4424666572[[#This Row],[Response]])=TRUE,1,0)=2,1,"")</f>
        <v>1</v>
      </c>
      <c r="K74" s="6" t="str">
        <f>IF(IF(Table4424666572[[#This Row],[Pre or Post]]="Pre",1,0)+IF(ISNUMBER(Table4424666572[[#This Row],[Response]])=TRUE,1,0)=2,Table4424666572[[#This Row],[Response]],"")</f>
        <v/>
      </c>
      <c r="L74" s="6">
        <f>IF(IF(Table4424666572[[#This Row],[Pre or Post]]="Post",1,0)+IF(ISNUMBER(Table4424666572[[#This Row],[Response]])=TRUE,1,0)=2,Table4424666572[[#This Row],[Response]],"")</f>
        <v>4</v>
      </c>
      <c r="M74" s="5" t="str">
        <f>IF(IF(ISNUMBER(K74),1,0)+IF(ISNUMBER(L75),1,0)=2,IF(IF(C75=C74,1,0)+IF(B75=B74,1,0)+IF(D75="Post",1,0)+IF(D74="Pre",1,0)=4,Table4424666572[[#This Row],[Pre Total]],""),"")</f>
        <v/>
      </c>
      <c r="N74" s="5">
        <f>IF(IF(ISNUMBER(K73),1,0)+IF(ISNUMBER(Table4424666572[[#This Row],[Post Total]]),1,0)=2,IF(IF(Table4424666572[[#This Row],[Student Number]]=C73,1,0)+IF(Table4424666572[[#This Row],[Session]]=B73,1,0)+IF(Table4424666572[[#This Row],[Pre or Post]]="Post",1,0)+IF(D73="Pre",1,0)=4,Table4424666572[[#This Row],[Post Total]],""),"")</f>
        <v>4</v>
      </c>
      <c r="O74" s="5">
        <f>IF(IF(ISNUMBER(K73),1,0)+IF(ISNUMBER(Table4424666572[[#This Row],[Post Total]]),1,0)=2,IF(IF(Table4424666572[[#This Row],[Student Number]]=C73,1,0)+IF(Table4424666572[[#This Row],[Session]]=B73,1,0)+IF(Table4424666572[[#This Row],[Pre or Post]]="Post",1,0)+IF(D73="Pre",1,0)=4,Table4424666572[[#This Row],[Post Total]]-K73,""),"")</f>
        <v>0</v>
      </c>
      <c r="P74" s="5" t="b">
        <f>ISNUMBER(Table4424666572[[#This Row],[Change]])</f>
        <v>1</v>
      </c>
      <c r="Q74" s="5">
        <f>IF(E73="Yes",Table4424666572[[#This Row],[Change]],"")</f>
        <v>0</v>
      </c>
      <c r="R74" s="5" t="str">
        <f>IF(E73="No",Table4424666572[[#This Row],[Change]],"")</f>
        <v/>
      </c>
      <c r="S74" s="5" t="b">
        <f>ISNUMBER(Table4424666572[[#This Row],[If Pre5 Yes]])</f>
        <v>1</v>
      </c>
      <c r="T74" s="5" t="b">
        <f>ISNUMBER(Table4424666572[[#This Row],[If Pre5 No]])</f>
        <v>0</v>
      </c>
    </row>
    <row r="75" spans="1:20">
      <c r="A75" s="1" t="s">
        <v>24</v>
      </c>
      <c r="B75" s="1" t="s">
        <v>25</v>
      </c>
      <c r="C75" s="1">
        <v>12</v>
      </c>
      <c r="D75" s="1" t="s">
        <v>6</v>
      </c>
      <c r="E75" s="5" t="s">
        <v>8</v>
      </c>
      <c r="F75" s="1">
        <v>9</v>
      </c>
      <c r="G75" s="1">
        <v>2</v>
      </c>
      <c r="H75" s="1" t="s">
        <v>8</v>
      </c>
      <c r="I75" s="5">
        <f>IF(IF(Table4424666572[[#This Row],[Pre or Post]]="Pre",1,0)+IF(ISNUMBER(Table4424666572[[#This Row],[Response]])=TRUE,1,0)=2,1,"")</f>
        <v>1</v>
      </c>
      <c r="J75" s="5" t="str">
        <f>IF(IF(Table4424666572[[#This Row],[Pre or Post]]="Post",1,0)+IF(ISNUMBER(Table4424666572[[#This Row],[Response]])=TRUE,1,0)=2,1,"")</f>
        <v/>
      </c>
      <c r="K75" s="6">
        <f>IF(IF(Table4424666572[[#This Row],[Pre or Post]]="Pre",1,0)+IF(ISNUMBER(Table4424666572[[#This Row],[Response]])=TRUE,1,0)=2,Table4424666572[[#This Row],[Response]],"")</f>
        <v>2</v>
      </c>
      <c r="L75" s="6" t="str">
        <f>IF(IF(Table4424666572[[#This Row],[Pre or Post]]="Post",1,0)+IF(ISNUMBER(Table4424666572[[#This Row],[Response]])=TRUE,1,0)=2,Table4424666572[[#This Row],[Response]],"")</f>
        <v/>
      </c>
      <c r="M75" s="5">
        <f>IF(IF(ISNUMBER(K75),1,0)+IF(ISNUMBER(L76),1,0)=2,IF(IF(C76=C75,1,0)+IF(B76=B75,1,0)+IF(D76="Post",1,0)+IF(D75="Pre",1,0)=4,Table4424666572[[#This Row],[Pre Total]],""),"")</f>
        <v>2</v>
      </c>
      <c r="N75" s="5" t="str">
        <f>IF(IF(ISNUMBER(K74),1,0)+IF(ISNUMBER(Table4424666572[[#This Row],[Post Total]]),1,0)=2,IF(IF(Table4424666572[[#This Row],[Student Number]]=C74,1,0)+IF(Table4424666572[[#This Row],[Session]]=B74,1,0)+IF(Table4424666572[[#This Row],[Pre or Post]]="Post",1,0)+IF(D74="Pre",1,0)=4,Table4424666572[[#This Row],[Post Total]],""),"")</f>
        <v/>
      </c>
      <c r="O75" s="5" t="str">
        <f>IF(IF(ISNUMBER(K74),1,0)+IF(ISNUMBER(Table4424666572[[#This Row],[Post Total]]),1,0)=2,IF(IF(Table4424666572[[#This Row],[Student Number]]=C74,1,0)+IF(Table4424666572[[#This Row],[Session]]=B74,1,0)+IF(Table4424666572[[#This Row],[Pre or Post]]="Post",1,0)+IF(D74="Pre",1,0)=4,Table4424666572[[#This Row],[Post Total]]-K74,""),"")</f>
        <v/>
      </c>
      <c r="P75" s="5" t="b">
        <f>ISNUMBER(Table4424666572[[#This Row],[Change]])</f>
        <v>0</v>
      </c>
      <c r="Q75" s="5" t="str">
        <f>IF(E74="Yes",Table4424666572[[#This Row],[Change]],"")</f>
        <v/>
      </c>
      <c r="R75" s="5" t="str">
        <f>IF(E74="No",Table4424666572[[#This Row],[Change]],"")</f>
        <v/>
      </c>
      <c r="S75" s="5" t="b">
        <f>ISNUMBER(Table4424666572[[#This Row],[If Pre5 Yes]])</f>
        <v>0</v>
      </c>
      <c r="T75" s="5" t="b">
        <f>ISNUMBER(Table4424666572[[#This Row],[If Pre5 No]])</f>
        <v>0</v>
      </c>
    </row>
    <row r="76" spans="1:20">
      <c r="A76" s="1" t="s">
        <v>24</v>
      </c>
      <c r="B76" s="1" t="s">
        <v>25</v>
      </c>
      <c r="C76" s="1">
        <v>12</v>
      </c>
      <c r="D76" s="1" t="s">
        <v>16</v>
      </c>
      <c r="E76" s="5"/>
      <c r="F76" s="1">
        <v>2</v>
      </c>
      <c r="G76" s="1">
        <v>3</v>
      </c>
      <c r="H76" s="2" t="s">
        <v>8</v>
      </c>
      <c r="I76" s="6" t="str">
        <f>IF(IF(Table4424666572[[#This Row],[Pre or Post]]="Pre",1,0)+IF(ISNUMBER(Table4424666572[[#This Row],[Response]])=TRUE,1,0)=2,1,"")</f>
        <v/>
      </c>
      <c r="J76" s="6">
        <f>IF(IF(Table4424666572[[#This Row],[Pre or Post]]="Post",1,0)+IF(ISNUMBER(Table4424666572[[#This Row],[Response]])=TRUE,1,0)=2,1,"")</f>
        <v>1</v>
      </c>
      <c r="K76" s="6" t="str">
        <f>IF(IF(Table4424666572[[#This Row],[Pre or Post]]="Pre",1,0)+IF(ISNUMBER(Table4424666572[[#This Row],[Response]])=TRUE,1,0)=2,Table4424666572[[#This Row],[Response]],"")</f>
        <v/>
      </c>
      <c r="L76" s="6">
        <f>IF(IF(Table4424666572[[#This Row],[Pre or Post]]="Post",1,0)+IF(ISNUMBER(Table4424666572[[#This Row],[Response]])=TRUE,1,0)=2,Table4424666572[[#This Row],[Response]],"")</f>
        <v>3</v>
      </c>
      <c r="M76" s="6" t="str">
        <f>IF(IF(ISNUMBER(K76),1,0)+IF(ISNUMBER(L77),1,0)=2,IF(IF(C77=C76,1,0)+IF(B77=B76,1,0)+IF(D77="Post",1,0)+IF(D76="Pre",1,0)=4,Table4424666572[[#This Row],[Pre Total]],""),"")</f>
        <v/>
      </c>
      <c r="N76" s="6">
        <f>IF(IF(ISNUMBER(K75),1,0)+IF(ISNUMBER(Table4424666572[[#This Row],[Post Total]]),1,0)=2,IF(IF(Table4424666572[[#This Row],[Student Number]]=C75,1,0)+IF(Table4424666572[[#This Row],[Session]]=B75,1,0)+IF(Table4424666572[[#This Row],[Pre or Post]]="Post",1,0)+IF(D75="Pre",1,0)=4,Table4424666572[[#This Row],[Post Total]],""),"")</f>
        <v>3</v>
      </c>
      <c r="O76" s="6">
        <f>IF(IF(ISNUMBER(K75),1,0)+IF(ISNUMBER(Table4424666572[[#This Row],[Post Total]]),1,0)=2,IF(IF(Table4424666572[[#This Row],[Student Number]]=C75,1,0)+IF(Table4424666572[[#This Row],[Session]]=B75,1,0)+IF(Table4424666572[[#This Row],[Pre or Post]]="Post",1,0)+IF(D75="Pre",1,0)=4,Table4424666572[[#This Row],[Post Total]]-K75,""),"")</f>
        <v>1</v>
      </c>
      <c r="P76" s="6" t="b">
        <f>ISNUMBER(Table4424666572[[#This Row],[Change]])</f>
        <v>1</v>
      </c>
      <c r="Q76" s="5">
        <f>IF(E75="Yes",Table4424666572[[#This Row],[Change]],"")</f>
        <v>1</v>
      </c>
      <c r="R76" s="5" t="str">
        <f>IF(E75="No",Table4424666572[[#This Row],[Change]],"")</f>
        <v/>
      </c>
      <c r="S76" s="5" t="b">
        <f>ISNUMBER(Table4424666572[[#This Row],[If Pre5 Yes]])</f>
        <v>1</v>
      </c>
      <c r="T76" s="5" t="b">
        <f>ISNUMBER(Table4424666572[[#This Row],[If Pre5 No]])</f>
        <v>0</v>
      </c>
    </row>
    <row r="77" spans="1:20">
      <c r="A77" s="1" t="s">
        <v>24</v>
      </c>
      <c r="B77" s="1" t="s">
        <v>25</v>
      </c>
      <c r="C77" s="1">
        <v>13</v>
      </c>
      <c r="D77" s="1" t="s">
        <v>6</v>
      </c>
      <c r="E77" s="5" t="s">
        <v>8</v>
      </c>
      <c r="F77" s="1">
        <v>9</v>
      </c>
      <c r="G77" s="1">
        <v>2</v>
      </c>
      <c r="H77" s="1" t="s">
        <v>8</v>
      </c>
      <c r="I77" s="5">
        <f>IF(IF(Table4424666572[[#This Row],[Pre or Post]]="Pre",1,0)+IF(ISNUMBER(Table4424666572[[#This Row],[Response]])=TRUE,1,0)=2,1,"")</f>
        <v>1</v>
      </c>
      <c r="J77" s="5" t="str">
        <f>IF(IF(Table4424666572[[#This Row],[Pre or Post]]="Post",1,0)+IF(ISNUMBER(Table4424666572[[#This Row],[Response]])=TRUE,1,0)=2,1,"")</f>
        <v/>
      </c>
      <c r="K77" s="6">
        <f>IF(IF(Table4424666572[[#This Row],[Pre or Post]]="Pre",1,0)+IF(ISNUMBER(Table4424666572[[#This Row],[Response]])=TRUE,1,0)=2,Table4424666572[[#This Row],[Response]],"")</f>
        <v>2</v>
      </c>
      <c r="L77" s="6" t="str">
        <f>IF(IF(Table4424666572[[#This Row],[Pre or Post]]="Post",1,0)+IF(ISNUMBER(Table4424666572[[#This Row],[Response]])=TRUE,1,0)=2,Table4424666572[[#This Row],[Response]],"")</f>
        <v/>
      </c>
      <c r="M77" s="5">
        <f>IF(IF(ISNUMBER(K77),1,0)+IF(ISNUMBER(L78),1,0)=2,IF(IF(C78=C77,1,0)+IF(B78=B77,1,0)+IF(D78="Post",1,0)+IF(D77="Pre",1,0)=4,Table4424666572[[#This Row],[Pre Total]],""),"")</f>
        <v>2</v>
      </c>
      <c r="N77" s="5" t="str">
        <f>IF(IF(ISNUMBER(K76),1,0)+IF(ISNUMBER(Table4424666572[[#This Row],[Post Total]]),1,0)=2,IF(IF(Table4424666572[[#This Row],[Student Number]]=C76,1,0)+IF(Table4424666572[[#This Row],[Session]]=B76,1,0)+IF(Table4424666572[[#This Row],[Pre or Post]]="Post",1,0)+IF(D76="Pre",1,0)=4,Table4424666572[[#This Row],[Post Total]],""),"")</f>
        <v/>
      </c>
      <c r="O77" s="5" t="str">
        <f>IF(IF(ISNUMBER(K76),1,0)+IF(ISNUMBER(Table4424666572[[#This Row],[Post Total]]),1,0)=2,IF(IF(Table4424666572[[#This Row],[Student Number]]=C76,1,0)+IF(Table4424666572[[#This Row],[Session]]=B76,1,0)+IF(Table4424666572[[#This Row],[Pre or Post]]="Post",1,0)+IF(D76="Pre",1,0)=4,Table4424666572[[#This Row],[Post Total]]-K76,""),"")</f>
        <v/>
      </c>
      <c r="P77" s="5" t="b">
        <f>ISNUMBER(Table4424666572[[#This Row],[Change]])</f>
        <v>0</v>
      </c>
      <c r="Q77" s="5" t="str">
        <f>IF(E76="Yes",Table4424666572[[#This Row],[Change]],"")</f>
        <v/>
      </c>
      <c r="R77" s="5" t="str">
        <f>IF(E76="No",Table4424666572[[#This Row],[Change]],"")</f>
        <v/>
      </c>
      <c r="S77" s="5" t="b">
        <f>ISNUMBER(Table4424666572[[#This Row],[If Pre5 Yes]])</f>
        <v>0</v>
      </c>
      <c r="T77" s="5" t="b">
        <f>ISNUMBER(Table4424666572[[#This Row],[If Pre5 No]])</f>
        <v>0</v>
      </c>
    </row>
    <row r="78" spans="1:20">
      <c r="A78" s="1" t="s">
        <v>24</v>
      </c>
      <c r="B78" s="1" t="s">
        <v>25</v>
      </c>
      <c r="C78" s="1">
        <v>13</v>
      </c>
      <c r="D78" s="1" t="s">
        <v>16</v>
      </c>
      <c r="E78" s="5"/>
      <c r="F78" s="1">
        <v>2</v>
      </c>
      <c r="G78" s="1">
        <v>3</v>
      </c>
      <c r="H78" s="2" t="s">
        <v>8</v>
      </c>
      <c r="I78" s="6" t="str">
        <f>IF(IF(Table4424666572[[#This Row],[Pre or Post]]="Pre",1,0)+IF(ISNUMBER(Table4424666572[[#This Row],[Response]])=TRUE,1,0)=2,1,"")</f>
        <v/>
      </c>
      <c r="J78" s="6">
        <f>IF(IF(Table4424666572[[#This Row],[Pre or Post]]="Post",1,0)+IF(ISNUMBER(Table4424666572[[#This Row],[Response]])=TRUE,1,0)=2,1,"")</f>
        <v>1</v>
      </c>
      <c r="K78" s="6" t="str">
        <f>IF(IF(Table4424666572[[#This Row],[Pre or Post]]="Pre",1,0)+IF(ISNUMBER(Table4424666572[[#This Row],[Response]])=TRUE,1,0)=2,Table4424666572[[#This Row],[Response]],"")</f>
        <v/>
      </c>
      <c r="L78" s="6">
        <f>IF(IF(Table4424666572[[#This Row],[Pre or Post]]="Post",1,0)+IF(ISNUMBER(Table4424666572[[#This Row],[Response]])=TRUE,1,0)=2,Table4424666572[[#This Row],[Response]],"")</f>
        <v>3</v>
      </c>
      <c r="M78" s="6" t="str">
        <f>IF(IF(ISNUMBER(K78),1,0)+IF(ISNUMBER(L79),1,0)=2,IF(IF(C79=C78,1,0)+IF(B79=B78,1,0)+IF(D79="Post",1,0)+IF(D78="Pre",1,0)=4,Table4424666572[[#This Row],[Pre Total]],""),"")</f>
        <v/>
      </c>
      <c r="N78" s="6">
        <f>IF(IF(ISNUMBER(K77),1,0)+IF(ISNUMBER(Table4424666572[[#This Row],[Post Total]]),1,0)=2,IF(IF(Table4424666572[[#This Row],[Student Number]]=C77,1,0)+IF(Table4424666572[[#This Row],[Session]]=B77,1,0)+IF(Table4424666572[[#This Row],[Pre or Post]]="Post",1,0)+IF(D77="Pre",1,0)=4,Table4424666572[[#This Row],[Post Total]],""),"")</f>
        <v>3</v>
      </c>
      <c r="O78" s="6">
        <f>IF(IF(ISNUMBER(K77),1,0)+IF(ISNUMBER(Table4424666572[[#This Row],[Post Total]]),1,0)=2,IF(IF(Table4424666572[[#This Row],[Student Number]]=C77,1,0)+IF(Table4424666572[[#This Row],[Session]]=B77,1,0)+IF(Table4424666572[[#This Row],[Pre or Post]]="Post",1,0)+IF(D77="Pre",1,0)=4,Table4424666572[[#This Row],[Post Total]]-K77,""),"")</f>
        <v>1</v>
      </c>
      <c r="P78" s="6" t="b">
        <f>ISNUMBER(Table4424666572[[#This Row],[Change]])</f>
        <v>1</v>
      </c>
      <c r="Q78" s="5">
        <f>IF(E77="Yes",Table4424666572[[#This Row],[Change]],"")</f>
        <v>1</v>
      </c>
      <c r="R78" s="5" t="str">
        <f>IF(E77="No",Table4424666572[[#This Row],[Change]],"")</f>
        <v/>
      </c>
      <c r="S78" s="5" t="b">
        <f>ISNUMBER(Table4424666572[[#This Row],[If Pre5 Yes]])</f>
        <v>1</v>
      </c>
      <c r="T78" s="5" t="b">
        <f>ISNUMBER(Table4424666572[[#This Row],[If Pre5 No]])</f>
        <v>0</v>
      </c>
    </row>
    <row r="79" spans="1:20">
      <c r="A79" s="1" t="s">
        <v>24</v>
      </c>
      <c r="B79" s="1" t="s">
        <v>25</v>
      </c>
      <c r="C79" s="1">
        <v>14</v>
      </c>
      <c r="D79" s="1" t="s">
        <v>6</v>
      </c>
      <c r="E79" s="5" t="s">
        <v>8</v>
      </c>
      <c r="F79" s="1">
        <v>9</v>
      </c>
      <c r="G79" s="1">
        <v>3</v>
      </c>
      <c r="H79" s="1" t="s">
        <v>8</v>
      </c>
      <c r="I79" s="5">
        <f>IF(IF(Table4424666572[[#This Row],[Pre or Post]]="Pre",1,0)+IF(ISNUMBER(Table4424666572[[#This Row],[Response]])=TRUE,1,0)=2,1,"")</f>
        <v>1</v>
      </c>
      <c r="J79" s="5" t="str">
        <f>IF(IF(Table4424666572[[#This Row],[Pre or Post]]="Post",1,0)+IF(ISNUMBER(Table4424666572[[#This Row],[Response]])=TRUE,1,0)=2,1,"")</f>
        <v/>
      </c>
      <c r="K79" s="6">
        <f>IF(IF(Table4424666572[[#This Row],[Pre or Post]]="Pre",1,0)+IF(ISNUMBER(Table4424666572[[#This Row],[Response]])=TRUE,1,0)=2,Table4424666572[[#This Row],[Response]],"")</f>
        <v>3</v>
      </c>
      <c r="L79" s="6" t="str">
        <f>IF(IF(Table4424666572[[#This Row],[Pre or Post]]="Post",1,0)+IF(ISNUMBER(Table4424666572[[#This Row],[Response]])=TRUE,1,0)=2,Table4424666572[[#This Row],[Response]],"")</f>
        <v/>
      </c>
      <c r="M79" s="5">
        <f>IF(IF(ISNUMBER(K79),1,0)+IF(ISNUMBER(L80),1,0)=2,IF(IF(C80=C79,1,0)+IF(B80=B79,1,0)+IF(D80="Post",1,0)+IF(D79="Pre",1,0)=4,Table4424666572[[#This Row],[Pre Total]],""),"")</f>
        <v>3</v>
      </c>
      <c r="N79" s="5" t="str">
        <f>IF(IF(ISNUMBER(K78),1,0)+IF(ISNUMBER(Table4424666572[[#This Row],[Post Total]]),1,0)=2,IF(IF(Table4424666572[[#This Row],[Student Number]]=C78,1,0)+IF(Table4424666572[[#This Row],[Session]]=B78,1,0)+IF(Table4424666572[[#This Row],[Pre or Post]]="Post",1,0)+IF(D78="Pre",1,0)=4,Table4424666572[[#This Row],[Post Total]],""),"")</f>
        <v/>
      </c>
      <c r="O79" s="5" t="str">
        <f>IF(IF(ISNUMBER(K78),1,0)+IF(ISNUMBER(Table4424666572[[#This Row],[Post Total]]),1,0)=2,IF(IF(Table4424666572[[#This Row],[Student Number]]=C78,1,0)+IF(Table4424666572[[#This Row],[Session]]=B78,1,0)+IF(Table4424666572[[#This Row],[Pre or Post]]="Post",1,0)+IF(D78="Pre",1,0)=4,Table4424666572[[#This Row],[Post Total]]-K78,""),"")</f>
        <v/>
      </c>
      <c r="P79" s="5" t="b">
        <f>ISNUMBER(Table4424666572[[#This Row],[Change]])</f>
        <v>0</v>
      </c>
      <c r="Q79" s="5" t="str">
        <f>IF(E78="Yes",Table4424666572[[#This Row],[Change]],"")</f>
        <v/>
      </c>
      <c r="R79" s="5" t="str">
        <f>IF(E78="No",Table4424666572[[#This Row],[Change]],"")</f>
        <v/>
      </c>
      <c r="S79" s="5" t="b">
        <f>ISNUMBER(Table4424666572[[#This Row],[If Pre5 Yes]])</f>
        <v>0</v>
      </c>
      <c r="T79" s="5" t="b">
        <f>ISNUMBER(Table4424666572[[#This Row],[If Pre5 No]])</f>
        <v>0</v>
      </c>
    </row>
    <row r="80" spans="1:20">
      <c r="A80" s="1" t="s">
        <v>24</v>
      </c>
      <c r="B80" s="1" t="s">
        <v>25</v>
      </c>
      <c r="C80" s="1">
        <v>14</v>
      </c>
      <c r="D80" s="1" t="s">
        <v>16</v>
      </c>
      <c r="E80" s="5"/>
      <c r="F80" s="1">
        <v>2</v>
      </c>
      <c r="G80" s="1">
        <v>3</v>
      </c>
      <c r="H80" s="2" t="s">
        <v>8</v>
      </c>
      <c r="I80" s="5" t="str">
        <f>IF(IF(Table4424666572[[#This Row],[Pre or Post]]="Pre",1,0)+IF(ISNUMBER(Table4424666572[[#This Row],[Response]])=TRUE,1,0)=2,1,"")</f>
        <v/>
      </c>
      <c r="J80" s="5">
        <f>IF(IF(Table4424666572[[#This Row],[Pre or Post]]="Post",1,0)+IF(ISNUMBER(Table4424666572[[#This Row],[Response]])=TRUE,1,0)=2,1,"")</f>
        <v>1</v>
      </c>
      <c r="K80" s="6" t="str">
        <f>IF(IF(Table4424666572[[#This Row],[Pre or Post]]="Pre",1,0)+IF(ISNUMBER(Table4424666572[[#This Row],[Response]])=TRUE,1,0)=2,Table4424666572[[#This Row],[Response]],"")</f>
        <v/>
      </c>
      <c r="L80" s="6">
        <f>IF(IF(Table4424666572[[#This Row],[Pre or Post]]="Post",1,0)+IF(ISNUMBER(Table4424666572[[#This Row],[Response]])=TRUE,1,0)=2,Table4424666572[[#This Row],[Response]],"")</f>
        <v>3</v>
      </c>
      <c r="M80" s="5" t="str">
        <f>IF(IF(ISNUMBER(K80),1,0)+IF(ISNUMBER(L81),1,0)=2,IF(IF(C81=C80,1,0)+IF(B81=B80,1,0)+IF(D81="Post",1,0)+IF(D80="Pre",1,0)=4,Table4424666572[[#This Row],[Pre Total]],""),"")</f>
        <v/>
      </c>
      <c r="N80" s="5">
        <f>IF(IF(ISNUMBER(K79),1,0)+IF(ISNUMBER(Table4424666572[[#This Row],[Post Total]]),1,0)=2,IF(IF(Table4424666572[[#This Row],[Student Number]]=C79,1,0)+IF(Table4424666572[[#This Row],[Session]]=B79,1,0)+IF(Table4424666572[[#This Row],[Pre or Post]]="Post",1,0)+IF(D79="Pre",1,0)=4,Table4424666572[[#This Row],[Post Total]],""),"")</f>
        <v>3</v>
      </c>
      <c r="O80" s="5">
        <f>IF(IF(ISNUMBER(K79),1,0)+IF(ISNUMBER(Table4424666572[[#This Row],[Post Total]]),1,0)=2,IF(IF(Table4424666572[[#This Row],[Student Number]]=C79,1,0)+IF(Table4424666572[[#This Row],[Session]]=B79,1,0)+IF(Table4424666572[[#This Row],[Pre or Post]]="Post",1,0)+IF(D79="Pre",1,0)=4,Table4424666572[[#This Row],[Post Total]]-K79,""),"")</f>
        <v>0</v>
      </c>
      <c r="P80" s="5" t="b">
        <f>ISNUMBER(Table4424666572[[#This Row],[Change]])</f>
        <v>1</v>
      </c>
      <c r="Q80" s="5">
        <f>IF(E79="Yes",Table4424666572[[#This Row],[Change]],"")</f>
        <v>0</v>
      </c>
      <c r="R80" s="5" t="str">
        <f>IF(E79="No",Table4424666572[[#This Row],[Change]],"")</f>
        <v/>
      </c>
      <c r="S80" s="5" t="b">
        <f>ISNUMBER(Table4424666572[[#This Row],[If Pre5 Yes]])</f>
        <v>1</v>
      </c>
      <c r="T80" s="5" t="b">
        <f>ISNUMBER(Table4424666572[[#This Row],[If Pre5 No]])</f>
        <v>0</v>
      </c>
    </row>
    <row r="81" spans="1:20">
      <c r="A81" s="1" t="s">
        <v>24</v>
      </c>
      <c r="B81" s="1" t="s">
        <v>25</v>
      </c>
      <c r="C81" s="1">
        <v>15</v>
      </c>
      <c r="D81" s="1" t="s">
        <v>6</v>
      </c>
      <c r="E81" s="5" t="s">
        <v>8</v>
      </c>
      <c r="F81" s="1">
        <v>9</v>
      </c>
      <c r="G81" s="1">
        <v>4</v>
      </c>
      <c r="H81" s="2" t="s">
        <v>9</v>
      </c>
      <c r="I81" s="5">
        <f>IF(IF(Table4424666572[[#This Row],[Pre or Post]]="Pre",1,0)+IF(ISNUMBER(Table4424666572[[#This Row],[Response]])=TRUE,1,0)=2,1,"")</f>
        <v>1</v>
      </c>
      <c r="J81" s="5" t="str">
        <f>IF(IF(Table4424666572[[#This Row],[Pre or Post]]="Post",1,0)+IF(ISNUMBER(Table4424666572[[#This Row],[Response]])=TRUE,1,0)=2,1,"")</f>
        <v/>
      </c>
      <c r="K81" s="6">
        <f>IF(IF(Table4424666572[[#This Row],[Pre or Post]]="Pre",1,0)+IF(ISNUMBER(Table4424666572[[#This Row],[Response]])=TRUE,1,0)=2,Table4424666572[[#This Row],[Response]],"")</f>
        <v>4</v>
      </c>
      <c r="L81" s="6" t="str">
        <f>IF(IF(Table4424666572[[#This Row],[Pre or Post]]="Post",1,0)+IF(ISNUMBER(Table4424666572[[#This Row],[Response]])=TRUE,1,0)=2,Table4424666572[[#This Row],[Response]],"")</f>
        <v/>
      </c>
      <c r="M81" s="5" t="str">
        <f>IF(IF(ISNUMBER(K81),1,0)+IF(ISNUMBER(L82),1,0)=2,IF(IF(C82=C81,1,0)+IF(B82=B81,1,0)+IF(D82="Post",1,0)+IF(D81="Pre",1,0)=4,Table4424666572[[#This Row],[Pre Total]],""),"")</f>
        <v/>
      </c>
      <c r="N81" s="5" t="str">
        <f>IF(IF(ISNUMBER(K80),1,0)+IF(ISNUMBER(Table4424666572[[#This Row],[Post Total]]),1,0)=2,IF(IF(Table4424666572[[#This Row],[Student Number]]=C80,1,0)+IF(Table4424666572[[#This Row],[Session]]=B80,1,0)+IF(Table4424666572[[#This Row],[Pre or Post]]="Post",1,0)+IF(D80="Pre",1,0)=4,Table4424666572[[#This Row],[Post Total]],""),"")</f>
        <v/>
      </c>
      <c r="O81" s="5" t="str">
        <f>IF(IF(ISNUMBER(K80),1,0)+IF(ISNUMBER(Table4424666572[[#This Row],[Post Total]]),1,0)=2,IF(IF(Table4424666572[[#This Row],[Student Number]]=C80,1,0)+IF(Table4424666572[[#This Row],[Session]]=B80,1,0)+IF(Table4424666572[[#This Row],[Pre or Post]]="Post",1,0)+IF(D80="Pre",1,0)=4,Table4424666572[[#This Row],[Post Total]]-K80,""),"")</f>
        <v/>
      </c>
      <c r="P81" s="5" t="b">
        <f>ISNUMBER(Table4424666572[[#This Row],[Change]])</f>
        <v>0</v>
      </c>
      <c r="Q81" s="5" t="str">
        <f>IF(E80="Yes",Table4424666572[[#This Row],[Change]],"")</f>
        <v/>
      </c>
      <c r="R81" s="5" t="str">
        <f>IF(E80="No",Table4424666572[[#This Row],[Change]],"")</f>
        <v/>
      </c>
      <c r="S81" s="5" t="b">
        <f>ISNUMBER(Table4424666572[[#This Row],[If Pre5 Yes]])</f>
        <v>0</v>
      </c>
      <c r="T81" s="5" t="b">
        <f>ISNUMBER(Table4424666572[[#This Row],[If Pre5 No]])</f>
        <v>0</v>
      </c>
    </row>
    <row r="82" spans="1:20">
      <c r="A82" s="1" t="s">
        <v>24</v>
      </c>
      <c r="B82" s="1" t="s">
        <v>25</v>
      </c>
      <c r="C82" s="1">
        <v>16</v>
      </c>
      <c r="D82" s="1" t="s">
        <v>6</v>
      </c>
      <c r="E82" s="5"/>
      <c r="F82" s="1">
        <v>9</v>
      </c>
      <c r="G82" s="1">
        <v>3</v>
      </c>
      <c r="H82" s="2" t="s">
        <v>9</v>
      </c>
      <c r="I82" s="5">
        <f>IF(IF(Table4424666572[[#This Row],[Pre or Post]]="Pre",1,0)+IF(ISNUMBER(Table4424666572[[#This Row],[Response]])=TRUE,1,0)=2,1,"")</f>
        <v>1</v>
      </c>
      <c r="J82" s="5" t="str">
        <f>IF(IF(Table4424666572[[#This Row],[Pre or Post]]="Post",1,0)+IF(ISNUMBER(Table4424666572[[#This Row],[Response]])=TRUE,1,0)=2,1,"")</f>
        <v/>
      </c>
      <c r="K82" s="6">
        <f>IF(IF(Table4424666572[[#This Row],[Pre or Post]]="Pre",1,0)+IF(ISNUMBER(Table4424666572[[#This Row],[Response]])=TRUE,1,0)=2,Table4424666572[[#This Row],[Response]],"")</f>
        <v>3</v>
      </c>
      <c r="L82" s="6" t="str">
        <f>IF(IF(Table4424666572[[#This Row],[Pre or Post]]="Post",1,0)+IF(ISNUMBER(Table4424666572[[#This Row],[Response]])=TRUE,1,0)=2,Table4424666572[[#This Row],[Response]],"")</f>
        <v/>
      </c>
      <c r="M82" s="5" t="str">
        <f>IF(IF(ISNUMBER(K82),1,0)+IF(ISNUMBER(L83),1,0)=2,IF(IF(C83=C82,1,0)+IF(B83=B82,1,0)+IF(D83="Post",1,0)+IF(D82="Pre",1,0)=4,Table4424666572[[#This Row],[Pre Total]],""),"")</f>
        <v/>
      </c>
      <c r="N82" s="5" t="str">
        <f>IF(IF(ISNUMBER(K81),1,0)+IF(ISNUMBER(Table4424666572[[#This Row],[Post Total]]),1,0)=2,IF(IF(Table4424666572[[#This Row],[Student Number]]=C81,1,0)+IF(Table4424666572[[#This Row],[Session]]=B81,1,0)+IF(Table4424666572[[#This Row],[Pre or Post]]="Post",1,0)+IF(D81="Pre",1,0)=4,Table4424666572[[#This Row],[Post Total]],""),"")</f>
        <v/>
      </c>
      <c r="O82" s="5" t="str">
        <f>IF(IF(ISNUMBER(K81),1,0)+IF(ISNUMBER(Table4424666572[[#This Row],[Post Total]]),1,0)=2,IF(IF(Table4424666572[[#This Row],[Student Number]]=C81,1,0)+IF(Table4424666572[[#This Row],[Session]]=B81,1,0)+IF(Table4424666572[[#This Row],[Pre or Post]]="Post",1,0)+IF(D81="Pre",1,0)=4,Table4424666572[[#This Row],[Post Total]]-K81,""),"")</f>
        <v/>
      </c>
      <c r="P82" s="5" t="b">
        <f>ISNUMBER(Table4424666572[[#This Row],[Change]])</f>
        <v>0</v>
      </c>
      <c r="Q82" s="5" t="str">
        <f>IF(E81="Yes",Table4424666572[[#This Row],[Change]],"")</f>
        <v/>
      </c>
      <c r="R82" s="5" t="str">
        <f>IF(E81="No",Table4424666572[[#This Row],[Change]],"")</f>
        <v/>
      </c>
      <c r="S82" s="5" t="b">
        <f>ISNUMBER(Table4424666572[[#This Row],[If Pre5 Yes]])</f>
        <v>0</v>
      </c>
      <c r="T82" s="5" t="b">
        <f>ISNUMBER(Table4424666572[[#This Row],[If Pre5 No]])</f>
        <v>0</v>
      </c>
    </row>
    <row r="83" spans="1:20">
      <c r="A83" s="1" t="s">
        <v>24</v>
      </c>
      <c r="B83" s="1" t="s">
        <v>25</v>
      </c>
      <c r="C83" s="1">
        <v>17</v>
      </c>
      <c r="D83" s="1" t="s">
        <v>6</v>
      </c>
      <c r="E83" s="5" t="s">
        <v>8</v>
      </c>
      <c r="F83" s="1">
        <v>9</v>
      </c>
      <c r="G83" s="1">
        <v>3</v>
      </c>
      <c r="H83" s="2" t="s">
        <v>9</v>
      </c>
      <c r="I83" s="5">
        <f>IF(IF(Table4424666572[[#This Row],[Pre or Post]]="Pre",1,0)+IF(ISNUMBER(Table4424666572[[#This Row],[Response]])=TRUE,1,0)=2,1,"")</f>
        <v>1</v>
      </c>
      <c r="J83" s="5" t="str">
        <f>IF(IF(Table4424666572[[#This Row],[Pre or Post]]="Post",1,0)+IF(ISNUMBER(Table4424666572[[#This Row],[Response]])=TRUE,1,0)=2,1,"")</f>
        <v/>
      </c>
      <c r="K83" s="6">
        <f>IF(IF(Table4424666572[[#This Row],[Pre or Post]]="Pre",1,0)+IF(ISNUMBER(Table4424666572[[#This Row],[Response]])=TRUE,1,0)=2,Table4424666572[[#This Row],[Response]],"")</f>
        <v>3</v>
      </c>
      <c r="L83" s="6" t="str">
        <f>IF(IF(Table4424666572[[#This Row],[Pre or Post]]="Post",1,0)+IF(ISNUMBER(Table4424666572[[#This Row],[Response]])=TRUE,1,0)=2,Table4424666572[[#This Row],[Response]],"")</f>
        <v/>
      </c>
      <c r="M83" s="5" t="str">
        <f>IF(IF(ISNUMBER(K83),1,0)+IF(ISNUMBER(L84),1,0)=2,IF(IF(C84=C83,1,0)+IF(B84=B83,1,0)+IF(D84="Post",1,0)+IF(D83="Pre",1,0)=4,Table4424666572[[#This Row],[Pre Total]],""),"")</f>
        <v/>
      </c>
      <c r="N83" s="5" t="str">
        <f>IF(IF(ISNUMBER(K82),1,0)+IF(ISNUMBER(Table4424666572[[#This Row],[Post Total]]),1,0)=2,IF(IF(Table4424666572[[#This Row],[Student Number]]=C82,1,0)+IF(Table4424666572[[#This Row],[Session]]=B82,1,0)+IF(Table4424666572[[#This Row],[Pre or Post]]="Post",1,0)+IF(D82="Pre",1,0)=4,Table4424666572[[#This Row],[Post Total]],""),"")</f>
        <v/>
      </c>
      <c r="O83" s="5" t="str">
        <f>IF(IF(ISNUMBER(K82),1,0)+IF(ISNUMBER(Table4424666572[[#This Row],[Post Total]]),1,0)=2,IF(IF(Table4424666572[[#This Row],[Student Number]]=C82,1,0)+IF(Table4424666572[[#This Row],[Session]]=B82,1,0)+IF(Table4424666572[[#This Row],[Pre or Post]]="Post",1,0)+IF(D82="Pre",1,0)=4,Table4424666572[[#This Row],[Post Total]]-K82,""),"")</f>
        <v/>
      </c>
      <c r="P83" s="5" t="b">
        <f>ISNUMBER(Table4424666572[[#This Row],[Change]])</f>
        <v>0</v>
      </c>
      <c r="Q83" s="5" t="str">
        <f>IF(E82="Yes",Table4424666572[[#This Row],[Change]],"")</f>
        <v/>
      </c>
      <c r="R83" s="5" t="str">
        <f>IF(E82="No",Table4424666572[[#This Row],[Change]],"")</f>
        <v/>
      </c>
      <c r="S83" s="5" t="b">
        <f>ISNUMBER(Table4424666572[[#This Row],[If Pre5 Yes]])</f>
        <v>0</v>
      </c>
      <c r="T83" s="5" t="b">
        <f>ISNUMBER(Table4424666572[[#This Row],[If Pre5 No]])</f>
        <v>0</v>
      </c>
    </row>
    <row r="84" spans="1:20">
      <c r="A84" s="1" t="s">
        <v>24</v>
      </c>
      <c r="B84" s="1" t="s">
        <v>25</v>
      </c>
      <c r="C84" s="1">
        <v>18</v>
      </c>
      <c r="D84" s="1" t="s">
        <v>16</v>
      </c>
      <c r="E84" s="5"/>
      <c r="F84" s="1">
        <v>2</v>
      </c>
      <c r="G84" s="1">
        <v>3</v>
      </c>
      <c r="H84" s="2" t="s">
        <v>9</v>
      </c>
      <c r="I84" s="5" t="str">
        <f>IF(IF(Table4424666572[[#This Row],[Pre or Post]]="Pre",1,0)+IF(ISNUMBER(Table4424666572[[#This Row],[Response]])=TRUE,1,0)=2,1,"")</f>
        <v/>
      </c>
      <c r="J84" s="5">
        <f>IF(IF(Table4424666572[[#This Row],[Pre or Post]]="Post",1,0)+IF(ISNUMBER(Table4424666572[[#This Row],[Response]])=TRUE,1,0)=2,1,"")</f>
        <v>1</v>
      </c>
      <c r="K84" s="6" t="str">
        <f>IF(IF(Table4424666572[[#This Row],[Pre or Post]]="Pre",1,0)+IF(ISNUMBER(Table4424666572[[#This Row],[Response]])=TRUE,1,0)=2,Table4424666572[[#This Row],[Response]],"")</f>
        <v/>
      </c>
      <c r="L84" s="6">
        <f>IF(IF(Table4424666572[[#This Row],[Pre or Post]]="Post",1,0)+IF(ISNUMBER(Table4424666572[[#This Row],[Response]])=TRUE,1,0)=2,Table4424666572[[#This Row],[Response]],"")</f>
        <v>3</v>
      </c>
      <c r="M84" s="5" t="str">
        <f>IF(IF(ISNUMBER(K84),1,0)+IF(ISNUMBER(L85),1,0)=2,IF(IF(C85=C84,1,0)+IF(B85=B84,1,0)+IF(D85="Post",1,0)+IF(D84="Pre",1,0)=4,Table4424666572[[#This Row],[Pre Total]],""),"")</f>
        <v/>
      </c>
      <c r="N84" s="5" t="str">
        <f>IF(IF(ISNUMBER(K83),1,0)+IF(ISNUMBER(Table4424666572[[#This Row],[Post Total]]),1,0)=2,IF(IF(Table4424666572[[#This Row],[Student Number]]=C83,1,0)+IF(Table4424666572[[#This Row],[Session]]=B83,1,0)+IF(Table4424666572[[#This Row],[Pre or Post]]="Post",1,0)+IF(D83="Pre",1,0)=4,Table4424666572[[#This Row],[Post Total]],""),"")</f>
        <v/>
      </c>
      <c r="O84" s="5" t="str">
        <f>IF(IF(ISNUMBER(K83),1,0)+IF(ISNUMBER(Table4424666572[[#This Row],[Post Total]]),1,0)=2,IF(IF(Table4424666572[[#This Row],[Student Number]]=C83,1,0)+IF(Table4424666572[[#This Row],[Session]]=B83,1,0)+IF(Table4424666572[[#This Row],[Pre or Post]]="Post",1,0)+IF(D83="Pre",1,0)=4,Table4424666572[[#This Row],[Post Total]]-K83,""),"")</f>
        <v/>
      </c>
      <c r="P84" s="5" t="b">
        <f>ISNUMBER(Table4424666572[[#This Row],[Change]])</f>
        <v>0</v>
      </c>
      <c r="Q84" s="5" t="str">
        <f>IF(E83="Yes",Table4424666572[[#This Row],[Change]],"")</f>
        <v/>
      </c>
      <c r="R84" s="5" t="str">
        <f>IF(E83="No",Table4424666572[[#This Row],[Change]],"")</f>
        <v/>
      </c>
      <c r="S84" s="5" t="b">
        <f>ISNUMBER(Table4424666572[[#This Row],[If Pre5 Yes]])</f>
        <v>0</v>
      </c>
      <c r="T84" s="5" t="b">
        <f>ISNUMBER(Table4424666572[[#This Row],[If Pre5 No]])</f>
        <v>0</v>
      </c>
    </row>
    <row r="85" spans="1:20">
      <c r="A85" s="1" t="s">
        <v>24</v>
      </c>
      <c r="B85" s="1" t="s">
        <v>25</v>
      </c>
      <c r="C85" s="1">
        <v>19</v>
      </c>
      <c r="D85" s="1" t="s">
        <v>16</v>
      </c>
      <c r="E85" s="5"/>
      <c r="F85" s="1">
        <v>2</v>
      </c>
      <c r="G85" s="1">
        <v>3</v>
      </c>
      <c r="H85" s="2" t="s">
        <v>9</v>
      </c>
      <c r="I85" s="6" t="str">
        <f>IF(IF(Table4424666572[[#This Row],[Pre or Post]]="Pre",1,0)+IF(ISNUMBER(Table4424666572[[#This Row],[Response]])=TRUE,1,0)=2,1,"")</f>
        <v/>
      </c>
      <c r="J85" s="6">
        <f>IF(IF(Table4424666572[[#This Row],[Pre or Post]]="Post",1,0)+IF(ISNUMBER(Table4424666572[[#This Row],[Response]])=TRUE,1,0)=2,1,"")</f>
        <v>1</v>
      </c>
      <c r="K85" s="6" t="str">
        <f>IF(IF(Table4424666572[[#This Row],[Pre or Post]]="Pre",1,0)+IF(ISNUMBER(Table4424666572[[#This Row],[Response]])=TRUE,1,0)=2,Table4424666572[[#This Row],[Response]],"")</f>
        <v/>
      </c>
      <c r="L85" s="6">
        <f>IF(IF(Table4424666572[[#This Row],[Pre or Post]]="Post",1,0)+IF(ISNUMBER(Table4424666572[[#This Row],[Response]])=TRUE,1,0)=2,Table4424666572[[#This Row],[Response]],"")</f>
        <v>3</v>
      </c>
      <c r="M85" s="6" t="str">
        <f>IF(IF(ISNUMBER(K85),1,0)+IF(ISNUMBER(L86),1,0)=2,IF(IF(C86=C85,1,0)+IF(B86=B85,1,0)+IF(D86="Post",1,0)+IF(D85="Pre",1,0)=4,Table4424666572[[#This Row],[Pre Total]],""),"")</f>
        <v/>
      </c>
      <c r="N85" s="6" t="str">
        <f>IF(IF(ISNUMBER(K84),1,0)+IF(ISNUMBER(Table4424666572[[#This Row],[Post Total]]),1,0)=2,IF(IF(Table4424666572[[#This Row],[Student Number]]=C84,1,0)+IF(Table4424666572[[#This Row],[Session]]=B84,1,0)+IF(Table4424666572[[#This Row],[Pre or Post]]="Post",1,0)+IF(D84="Pre",1,0)=4,Table4424666572[[#This Row],[Post Total]],""),"")</f>
        <v/>
      </c>
      <c r="O85" s="6" t="str">
        <f>IF(IF(ISNUMBER(K84),1,0)+IF(ISNUMBER(Table4424666572[[#This Row],[Post Total]]),1,0)=2,IF(IF(Table4424666572[[#This Row],[Student Number]]=C84,1,0)+IF(Table4424666572[[#This Row],[Session]]=B84,1,0)+IF(Table4424666572[[#This Row],[Pre or Post]]="Post",1,0)+IF(D84="Pre",1,0)=4,Table4424666572[[#This Row],[Post Total]]-K84,""),"")</f>
        <v/>
      </c>
      <c r="P85" s="6" t="b">
        <f>ISNUMBER(Table4424666572[[#This Row],[Change]])</f>
        <v>0</v>
      </c>
      <c r="Q85" s="5" t="str">
        <f>IF(E84="Yes",Table4424666572[[#This Row],[Change]],"")</f>
        <v/>
      </c>
      <c r="R85" s="5" t="str">
        <f>IF(E84="No",Table4424666572[[#This Row],[Change]],"")</f>
        <v/>
      </c>
      <c r="S85" s="5" t="b">
        <f>ISNUMBER(Table4424666572[[#This Row],[If Pre5 Yes]])</f>
        <v>0</v>
      </c>
      <c r="T85" s="5" t="b">
        <f>ISNUMBER(Table4424666572[[#This Row],[If Pre5 No]])</f>
        <v>0</v>
      </c>
    </row>
    <row r="86" spans="1:20">
      <c r="A86" s="1" t="s">
        <v>24</v>
      </c>
      <c r="B86" s="1" t="s">
        <v>25</v>
      </c>
      <c r="C86" s="1">
        <v>20</v>
      </c>
      <c r="D86" s="1" t="s">
        <v>16</v>
      </c>
      <c r="E86" s="5"/>
      <c r="F86" s="1">
        <v>2</v>
      </c>
      <c r="G86" s="1">
        <v>3</v>
      </c>
      <c r="H86" s="2" t="s">
        <v>9</v>
      </c>
      <c r="I86" s="5" t="str">
        <f>IF(IF(Table4424666572[[#This Row],[Pre or Post]]="Pre",1,0)+IF(ISNUMBER(Table4424666572[[#This Row],[Response]])=TRUE,1,0)=2,1,"")</f>
        <v/>
      </c>
      <c r="J86" s="5">
        <f>IF(IF(Table4424666572[[#This Row],[Pre or Post]]="Post",1,0)+IF(ISNUMBER(Table4424666572[[#This Row],[Response]])=TRUE,1,0)=2,1,"")</f>
        <v>1</v>
      </c>
      <c r="K86" s="6" t="str">
        <f>IF(IF(Table4424666572[[#This Row],[Pre or Post]]="Pre",1,0)+IF(ISNUMBER(Table4424666572[[#This Row],[Response]])=TRUE,1,0)=2,Table4424666572[[#This Row],[Response]],"")</f>
        <v/>
      </c>
      <c r="L86" s="6">
        <f>IF(IF(Table4424666572[[#This Row],[Pre or Post]]="Post",1,0)+IF(ISNUMBER(Table4424666572[[#This Row],[Response]])=TRUE,1,0)=2,Table4424666572[[#This Row],[Response]],"")</f>
        <v>3</v>
      </c>
      <c r="M86" s="5" t="str">
        <f>IF(IF(ISNUMBER(K86),1,0)+IF(ISNUMBER(L87),1,0)=2,IF(IF(C87=C86,1,0)+IF(B87=B86,1,0)+IF(D87="Post",1,0)+IF(D86="Pre",1,0)=4,Table4424666572[[#This Row],[Pre Total]],""),"")</f>
        <v/>
      </c>
      <c r="N86" s="5" t="str">
        <f>IF(IF(ISNUMBER(K85),1,0)+IF(ISNUMBER(Table4424666572[[#This Row],[Post Total]]),1,0)=2,IF(IF(Table4424666572[[#This Row],[Student Number]]=C85,1,0)+IF(Table4424666572[[#This Row],[Session]]=B85,1,0)+IF(Table4424666572[[#This Row],[Pre or Post]]="Post",1,0)+IF(D85="Pre",1,0)=4,Table4424666572[[#This Row],[Post Total]],""),"")</f>
        <v/>
      </c>
      <c r="O86" s="5" t="str">
        <f>IF(IF(ISNUMBER(K85),1,0)+IF(ISNUMBER(Table4424666572[[#This Row],[Post Total]]),1,0)=2,IF(IF(Table4424666572[[#This Row],[Student Number]]=C85,1,0)+IF(Table4424666572[[#This Row],[Session]]=B85,1,0)+IF(Table4424666572[[#This Row],[Pre or Post]]="Post",1,0)+IF(D85="Pre",1,0)=4,Table4424666572[[#This Row],[Post Total]]-K85,""),"")</f>
        <v/>
      </c>
      <c r="P86" s="5" t="b">
        <f>ISNUMBER(Table4424666572[[#This Row],[Change]])</f>
        <v>0</v>
      </c>
      <c r="Q86" s="5" t="str">
        <f>IF(E85="Yes",Table4424666572[[#This Row],[Change]],"")</f>
        <v/>
      </c>
      <c r="R86" s="5" t="str">
        <f>IF(E85="No",Table4424666572[[#This Row],[Change]],"")</f>
        <v/>
      </c>
      <c r="S86" s="5" t="b">
        <f>ISNUMBER(Table4424666572[[#This Row],[If Pre5 Yes]])</f>
        <v>0</v>
      </c>
      <c r="T86" s="5" t="b">
        <f>ISNUMBER(Table4424666572[[#This Row],[If Pre5 No]])</f>
        <v>0</v>
      </c>
    </row>
    <row r="87" spans="1:20">
      <c r="A87" s="1" t="s">
        <v>24</v>
      </c>
      <c r="B87" s="1" t="s">
        <v>25</v>
      </c>
      <c r="C87" s="1">
        <v>21</v>
      </c>
      <c r="D87" s="1" t="s">
        <v>16</v>
      </c>
      <c r="E87" s="5"/>
      <c r="F87" s="1">
        <v>2</v>
      </c>
      <c r="G87" s="1">
        <v>2</v>
      </c>
      <c r="H87" s="2" t="s">
        <v>9</v>
      </c>
      <c r="I87" s="5" t="str">
        <f>IF(IF(Table4424666572[[#This Row],[Pre or Post]]="Pre",1,0)+IF(ISNUMBER(Table4424666572[[#This Row],[Response]])=TRUE,1,0)=2,1,"")</f>
        <v/>
      </c>
      <c r="J87" s="5">
        <f>IF(IF(Table4424666572[[#This Row],[Pre or Post]]="Post",1,0)+IF(ISNUMBER(Table4424666572[[#This Row],[Response]])=TRUE,1,0)=2,1,"")</f>
        <v>1</v>
      </c>
      <c r="K87" s="6" t="str">
        <f>IF(IF(Table4424666572[[#This Row],[Pre or Post]]="Pre",1,0)+IF(ISNUMBER(Table4424666572[[#This Row],[Response]])=TRUE,1,0)=2,Table4424666572[[#This Row],[Response]],"")</f>
        <v/>
      </c>
      <c r="L87" s="6">
        <f>IF(IF(Table4424666572[[#This Row],[Pre or Post]]="Post",1,0)+IF(ISNUMBER(Table4424666572[[#This Row],[Response]])=TRUE,1,0)=2,Table4424666572[[#This Row],[Response]],"")</f>
        <v>2</v>
      </c>
      <c r="M87" s="5" t="str">
        <f>IF(IF(ISNUMBER(K87),1,0)+IF(ISNUMBER(L88),1,0)=2,IF(IF(C88=C87,1,0)+IF(B88=B87,1,0)+IF(D88="Post",1,0)+IF(D87="Pre",1,0)=4,Table4424666572[[#This Row],[Pre Total]],""),"")</f>
        <v/>
      </c>
      <c r="N87" s="5" t="str">
        <f>IF(IF(ISNUMBER(K86),1,0)+IF(ISNUMBER(Table4424666572[[#This Row],[Post Total]]),1,0)=2,IF(IF(Table4424666572[[#This Row],[Student Number]]=C86,1,0)+IF(Table4424666572[[#This Row],[Session]]=B86,1,0)+IF(Table4424666572[[#This Row],[Pre or Post]]="Post",1,0)+IF(D86="Pre",1,0)=4,Table4424666572[[#This Row],[Post Total]],""),"")</f>
        <v/>
      </c>
      <c r="O87" s="5" t="str">
        <f>IF(IF(ISNUMBER(K86),1,0)+IF(ISNUMBER(Table4424666572[[#This Row],[Post Total]]),1,0)=2,IF(IF(Table4424666572[[#This Row],[Student Number]]=C86,1,0)+IF(Table4424666572[[#This Row],[Session]]=B86,1,0)+IF(Table4424666572[[#This Row],[Pre or Post]]="Post",1,0)+IF(D86="Pre",1,0)=4,Table4424666572[[#This Row],[Post Total]]-K86,""),"")</f>
        <v/>
      </c>
      <c r="P87" s="5" t="b">
        <f>ISNUMBER(Table4424666572[[#This Row],[Change]])</f>
        <v>0</v>
      </c>
      <c r="Q87" s="5" t="str">
        <f>IF(E86="Yes",Table4424666572[[#This Row],[Change]],"")</f>
        <v/>
      </c>
      <c r="R87" s="5" t="str">
        <f>IF(E86="No",Table4424666572[[#This Row],[Change]],"")</f>
        <v/>
      </c>
      <c r="S87" s="5" t="b">
        <f>ISNUMBER(Table4424666572[[#This Row],[If Pre5 Yes]])</f>
        <v>0</v>
      </c>
      <c r="T87" s="5" t="b">
        <f>ISNUMBER(Table4424666572[[#This Row],[If Pre5 No]])</f>
        <v>0</v>
      </c>
    </row>
    <row r="88" spans="1:20">
      <c r="A88" s="2" t="s">
        <v>24</v>
      </c>
      <c r="B88" s="2" t="s">
        <v>28</v>
      </c>
      <c r="C88" s="1">
        <v>1</v>
      </c>
      <c r="D88" s="1" t="s">
        <v>6</v>
      </c>
      <c r="E88" s="5" t="s">
        <v>8</v>
      </c>
      <c r="F88" s="1">
        <v>9</v>
      </c>
      <c r="G88" s="1">
        <v>3</v>
      </c>
      <c r="H88" s="2" t="s">
        <v>8</v>
      </c>
      <c r="I88" s="5">
        <f>IF(IF(Table4424666572[[#This Row],[Pre or Post]]="Pre",1,0)+IF(ISNUMBER(Table4424666572[[#This Row],[Response]])=TRUE,1,0)=2,1,"")</f>
        <v>1</v>
      </c>
      <c r="J88" s="5" t="str">
        <f>IF(IF(Table4424666572[[#This Row],[Pre or Post]]="Post",1,0)+IF(ISNUMBER(Table4424666572[[#This Row],[Response]])=TRUE,1,0)=2,1,"")</f>
        <v/>
      </c>
      <c r="K88" s="6">
        <f>IF(IF(Table4424666572[[#This Row],[Pre or Post]]="Pre",1,0)+IF(ISNUMBER(Table4424666572[[#This Row],[Response]])=TRUE,1,0)=2,Table4424666572[[#This Row],[Response]],"")</f>
        <v>3</v>
      </c>
      <c r="L88" s="6" t="str">
        <f>IF(IF(Table4424666572[[#This Row],[Pre or Post]]="Post",1,0)+IF(ISNUMBER(Table4424666572[[#This Row],[Response]])=TRUE,1,0)=2,Table4424666572[[#This Row],[Response]],"")</f>
        <v/>
      </c>
      <c r="M88" s="5">
        <f>IF(IF(ISNUMBER(K88),1,0)+IF(ISNUMBER(L89),1,0)=2,IF(IF(C89=C88,1,0)+IF(B89=B88,1,0)+IF(D89="Post",1,0)+IF(D88="Pre",1,0)=4,Table4424666572[[#This Row],[Pre Total]],""),"")</f>
        <v>3</v>
      </c>
      <c r="N88" s="5" t="str">
        <f>IF(IF(ISNUMBER(K87),1,0)+IF(ISNUMBER(Table4424666572[[#This Row],[Post Total]]),1,0)=2,IF(IF(Table4424666572[[#This Row],[Student Number]]=C87,1,0)+IF(Table4424666572[[#This Row],[Session]]=B87,1,0)+IF(Table4424666572[[#This Row],[Pre or Post]]="Post",1,0)+IF(D87="Pre",1,0)=4,Table4424666572[[#This Row],[Post Total]],""),"")</f>
        <v/>
      </c>
      <c r="O88" s="5" t="str">
        <f>IF(IF(ISNUMBER(K87),1,0)+IF(ISNUMBER(Table4424666572[[#This Row],[Post Total]]),1,0)=2,IF(IF(Table4424666572[[#This Row],[Student Number]]=C87,1,0)+IF(Table4424666572[[#This Row],[Session]]=B87,1,0)+IF(Table4424666572[[#This Row],[Pre or Post]]="Post",1,0)+IF(D87="Pre",1,0)=4,Table4424666572[[#This Row],[Post Total]]-K87,""),"")</f>
        <v/>
      </c>
      <c r="P88" s="5" t="b">
        <f>ISNUMBER(Table4424666572[[#This Row],[Change]])</f>
        <v>0</v>
      </c>
      <c r="Q88" s="5" t="str">
        <f>IF(E87="Yes",Table4424666572[[#This Row],[Change]],"")</f>
        <v/>
      </c>
      <c r="R88" s="5" t="str">
        <f>IF(E87="No",Table4424666572[[#This Row],[Change]],"")</f>
        <v/>
      </c>
      <c r="S88" s="5" t="b">
        <f>ISNUMBER(Table4424666572[[#This Row],[If Pre5 Yes]])</f>
        <v>0</v>
      </c>
      <c r="T88" s="5" t="b">
        <f>ISNUMBER(Table4424666572[[#This Row],[If Pre5 No]])</f>
        <v>0</v>
      </c>
    </row>
    <row r="89" spans="1:20">
      <c r="A89" s="2" t="s">
        <v>24</v>
      </c>
      <c r="B89" s="2" t="s">
        <v>28</v>
      </c>
      <c r="C89" s="1">
        <v>1</v>
      </c>
      <c r="D89" s="1" t="s">
        <v>16</v>
      </c>
      <c r="E89" s="5"/>
      <c r="F89" s="1">
        <v>2</v>
      </c>
      <c r="G89" s="2">
        <v>4</v>
      </c>
      <c r="H89" s="2" t="s">
        <v>8</v>
      </c>
      <c r="I89" s="5" t="str">
        <f>IF(IF(Table4424666572[[#This Row],[Pre or Post]]="Pre",1,0)+IF(ISNUMBER(Table4424666572[[#This Row],[Response]])=TRUE,1,0)=2,1,"")</f>
        <v/>
      </c>
      <c r="J89" s="5">
        <f>IF(IF(Table4424666572[[#This Row],[Pre or Post]]="Post",1,0)+IF(ISNUMBER(Table4424666572[[#This Row],[Response]])=TRUE,1,0)=2,1,"")</f>
        <v>1</v>
      </c>
      <c r="K89" s="6" t="str">
        <f>IF(IF(Table4424666572[[#This Row],[Pre or Post]]="Pre",1,0)+IF(ISNUMBER(Table4424666572[[#This Row],[Response]])=TRUE,1,0)=2,Table4424666572[[#This Row],[Response]],"")</f>
        <v/>
      </c>
      <c r="L89" s="6">
        <f>IF(IF(Table4424666572[[#This Row],[Pre or Post]]="Post",1,0)+IF(ISNUMBER(Table4424666572[[#This Row],[Response]])=TRUE,1,0)=2,Table4424666572[[#This Row],[Response]],"")</f>
        <v>4</v>
      </c>
      <c r="M89" s="5" t="str">
        <f>IF(IF(ISNUMBER(K89),1,0)+IF(ISNUMBER(L90),1,0)=2,IF(IF(C90=C89,1,0)+IF(B90=B89,1,0)+IF(D90="Post",1,0)+IF(D89="Pre",1,0)=4,Table4424666572[[#This Row],[Pre Total]],""),"")</f>
        <v/>
      </c>
      <c r="N89" s="5">
        <f>IF(IF(ISNUMBER(K88),1,0)+IF(ISNUMBER(Table4424666572[[#This Row],[Post Total]]),1,0)=2,IF(IF(Table4424666572[[#This Row],[Student Number]]=C88,1,0)+IF(Table4424666572[[#This Row],[Session]]=B88,1,0)+IF(Table4424666572[[#This Row],[Pre or Post]]="Post",1,0)+IF(D88="Pre",1,0)=4,Table4424666572[[#This Row],[Post Total]],""),"")</f>
        <v>4</v>
      </c>
      <c r="O89" s="5">
        <f>IF(IF(ISNUMBER(K88),1,0)+IF(ISNUMBER(Table4424666572[[#This Row],[Post Total]]),1,0)=2,IF(IF(Table4424666572[[#This Row],[Student Number]]=C88,1,0)+IF(Table4424666572[[#This Row],[Session]]=B88,1,0)+IF(Table4424666572[[#This Row],[Pre or Post]]="Post",1,0)+IF(D88="Pre",1,0)=4,Table4424666572[[#This Row],[Post Total]]-K88,""),"")</f>
        <v>1</v>
      </c>
      <c r="P89" s="5" t="b">
        <f>ISNUMBER(Table4424666572[[#This Row],[Change]])</f>
        <v>1</v>
      </c>
      <c r="Q89" s="5">
        <f>IF(E88="Yes",Table4424666572[[#This Row],[Change]],"")</f>
        <v>1</v>
      </c>
      <c r="R89" s="5" t="str">
        <f>IF(E88="No",Table4424666572[[#This Row],[Change]],"")</f>
        <v/>
      </c>
      <c r="S89" s="5" t="b">
        <f>ISNUMBER(Table4424666572[[#This Row],[If Pre5 Yes]])</f>
        <v>1</v>
      </c>
      <c r="T89" s="5" t="b">
        <f>ISNUMBER(Table4424666572[[#This Row],[If Pre5 No]])</f>
        <v>0</v>
      </c>
    </row>
    <row r="90" spans="1:20">
      <c r="A90" s="2" t="s">
        <v>24</v>
      </c>
      <c r="B90" s="2" t="s">
        <v>28</v>
      </c>
      <c r="C90" s="1">
        <v>2</v>
      </c>
      <c r="D90" s="1" t="s">
        <v>6</v>
      </c>
      <c r="E90" s="5" t="s">
        <v>8</v>
      </c>
      <c r="F90" s="1">
        <v>9</v>
      </c>
      <c r="G90" s="1">
        <v>3</v>
      </c>
      <c r="H90" s="2" t="s">
        <v>8</v>
      </c>
      <c r="I90" s="5">
        <f>IF(IF(Table4424666572[[#This Row],[Pre or Post]]="Pre",1,0)+IF(ISNUMBER(Table4424666572[[#This Row],[Response]])=TRUE,1,0)=2,1,"")</f>
        <v>1</v>
      </c>
      <c r="J90" s="5" t="str">
        <f>IF(IF(Table4424666572[[#This Row],[Pre or Post]]="Post",1,0)+IF(ISNUMBER(Table4424666572[[#This Row],[Response]])=TRUE,1,0)=2,1,"")</f>
        <v/>
      </c>
      <c r="K90" s="6">
        <f>IF(IF(Table4424666572[[#This Row],[Pre or Post]]="Pre",1,0)+IF(ISNUMBER(Table4424666572[[#This Row],[Response]])=TRUE,1,0)=2,Table4424666572[[#This Row],[Response]],"")</f>
        <v>3</v>
      </c>
      <c r="L90" s="6" t="str">
        <f>IF(IF(Table4424666572[[#This Row],[Pre or Post]]="Post",1,0)+IF(ISNUMBER(Table4424666572[[#This Row],[Response]])=TRUE,1,0)=2,Table4424666572[[#This Row],[Response]],"")</f>
        <v/>
      </c>
      <c r="M90" s="5">
        <f>IF(IF(ISNUMBER(K90),1,0)+IF(ISNUMBER(L91),1,0)=2,IF(IF(C91=C90,1,0)+IF(B91=B90,1,0)+IF(D91="Post",1,0)+IF(D90="Pre",1,0)=4,Table4424666572[[#This Row],[Pre Total]],""),"")</f>
        <v>3</v>
      </c>
      <c r="N90" s="5" t="str">
        <f>IF(IF(ISNUMBER(K89),1,0)+IF(ISNUMBER(Table4424666572[[#This Row],[Post Total]]),1,0)=2,IF(IF(Table4424666572[[#This Row],[Student Number]]=C89,1,0)+IF(Table4424666572[[#This Row],[Session]]=B89,1,0)+IF(Table4424666572[[#This Row],[Pre or Post]]="Post",1,0)+IF(D89="Pre",1,0)=4,Table4424666572[[#This Row],[Post Total]],""),"")</f>
        <v/>
      </c>
      <c r="O90" s="5" t="str">
        <f>IF(IF(ISNUMBER(K89),1,0)+IF(ISNUMBER(Table4424666572[[#This Row],[Post Total]]),1,0)=2,IF(IF(Table4424666572[[#This Row],[Student Number]]=C89,1,0)+IF(Table4424666572[[#This Row],[Session]]=B89,1,0)+IF(Table4424666572[[#This Row],[Pre or Post]]="Post",1,0)+IF(D89="Pre",1,0)=4,Table4424666572[[#This Row],[Post Total]]-K89,""),"")</f>
        <v/>
      </c>
      <c r="P90" s="5" t="b">
        <f>ISNUMBER(Table4424666572[[#This Row],[Change]])</f>
        <v>0</v>
      </c>
      <c r="Q90" s="5" t="str">
        <f>IF(E89="Yes",Table4424666572[[#This Row],[Change]],"")</f>
        <v/>
      </c>
      <c r="R90" s="5" t="str">
        <f>IF(E89="No",Table4424666572[[#This Row],[Change]],"")</f>
        <v/>
      </c>
      <c r="S90" s="5" t="b">
        <f>ISNUMBER(Table4424666572[[#This Row],[If Pre5 Yes]])</f>
        <v>0</v>
      </c>
      <c r="T90" s="5" t="b">
        <f>ISNUMBER(Table4424666572[[#This Row],[If Pre5 No]])</f>
        <v>0</v>
      </c>
    </row>
    <row r="91" spans="1:20">
      <c r="A91" s="2" t="s">
        <v>24</v>
      </c>
      <c r="B91" s="2" t="s">
        <v>28</v>
      </c>
      <c r="C91" s="1">
        <v>2</v>
      </c>
      <c r="D91" s="1" t="s">
        <v>16</v>
      </c>
      <c r="E91" s="5"/>
      <c r="F91" s="1">
        <v>2</v>
      </c>
      <c r="G91" s="2">
        <v>4</v>
      </c>
      <c r="H91" s="2" t="s">
        <v>8</v>
      </c>
      <c r="I91" s="6" t="str">
        <f>IF(IF(Table4424666572[[#This Row],[Pre or Post]]="Pre",1,0)+IF(ISNUMBER(Table4424666572[[#This Row],[Response]])=TRUE,1,0)=2,1,"")</f>
        <v/>
      </c>
      <c r="J91" s="6">
        <f>IF(IF(Table4424666572[[#This Row],[Pre or Post]]="Post",1,0)+IF(ISNUMBER(Table4424666572[[#This Row],[Response]])=TRUE,1,0)=2,1,"")</f>
        <v>1</v>
      </c>
      <c r="K91" s="6" t="str">
        <f>IF(IF(Table4424666572[[#This Row],[Pre or Post]]="Pre",1,0)+IF(ISNUMBER(Table4424666572[[#This Row],[Response]])=TRUE,1,0)=2,Table4424666572[[#This Row],[Response]],"")</f>
        <v/>
      </c>
      <c r="L91" s="6">
        <f>IF(IF(Table4424666572[[#This Row],[Pre or Post]]="Post",1,0)+IF(ISNUMBER(Table4424666572[[#This Row],[Response]])=TRUE,1,0)=2,Table4424666572[[#This Row],[Response]],"")</f>
        <v>4</v>
      </c>
      <c r="M91" s="6" t="str">
        <f>IF(IF(ISNUMBER(K91),1,0)+IF(ISNUMBER(L92),1,0)=2,IF(IF(C92=C91,1,0)+IF(B92=B91,1,0)+IF(D92="Post",1,0)+IF(D91="Pre",1,0)=4,Table4424666572[[#This Row],[Pre Total]],""),"")</f>
        <v/>
      </c>
      <c r="N91" s="6">
        <f>IF(IF(ISNUMBER(K90),1,0)+IF(ISNUMBER(Table4424666572[[#This Row],[Post Total]]),1,0)=2,IF(IF(Table4424666572[[#This Row],[Student Number]]=C90,1,0)+IF(Table4424666572[[#This Row],[Session]]=B90,1,0)+IF(Table4424666572[[#This Row],[Pre or Post]]="Post",1,0)+IF(D90="Pre",1,0)=4,Table4424666572[[#This Row],[Post Total]],""),"")</f>
        <v>4</v>
      </c>
      <c r="O91" s="6">
        <f>IF(IF(ISNUMBER(K90),1,0)+IF(ISNUMBER(Table4424666572[[#This Row],[Post Total]]),1,0)=2,IF(IF(Table4424666572[[#This Row],[Student Number]]=C90,1,0)+IF(Table4424666572[[#This Row],[Session]]=B90,1,0)+IF(Table4424666572[[#This Row],[Pre or Post]]="Post",1,0)+IF(D90="Pre",1,0)=4,Table4424666572[[#This Row],[Post Total]]-K90,""),"")</f>
        <v>1</v>
      </c>
      <c r="P91" s="6" t="b">
        <f>ISNUMBER(Table4424666572[[#This Row],[Change]])</f>
        <v>1</v>
      </c>
      <c r="Q91" s="5">
        <f>IF(E90="Yes",Table4424666572[[#This Row],[Change]],"")</f>
        <v>1</v>
      </c>
      <c r="R91" s="5" t="str">
        <f>IF(E90="No",Table4424666572[[#This Row],[Change]],"")</f>
        <v/>
      </c>
      <c r="S91" s="5" t="b">
        <f>ISNUMBER(Table4424666572[[#This Row],[If Pre5 Yes]])</f>
        <v>1</v>
      </c>
      <c r="T91" s="5" t="b">
        <f>ISNUMBER(Table4424666572[[#This Row],[If Pre5 No]])</f>
        <v>0</v>
      </c>
    </row>
    <row r="92" spans="1:20">
      <c r="A92" s="2" t="s">
        <v>24</v>
      </c>
      <c r="B92" s="2" t="s">
        <v>28</v>
      </c>
      <c r="C92" s="1">
        <v>3</v>
      </c>
      <c r="D92" s="1" t="s">
        <v>6</v>
      </c>
      <c r="E92" s="5" t="s">
        <v>8</v>
      </c>
      <c r="F92" s="1">
        <v>9</v>
      </c>
      <c r="G92" s="1">
        <v>3</v>
      </c>
      <c r="H92" s="2" t="s">
        <v>8</v>
      </c>
      <c r="I92" s="6">
        <f>IF(IF(Table4424666572[[#This Row],[Pre or Post]]="Pre",1,0)+IF(ISNUMBER(Table4424666572[[#This Row],[Response]])=TRUE,1,0)=2,1,"")</f>
        <v>1</v>
      </c>
      <c r="J92" s="6" t="str">
        <f>IF(IF(Table4424666572[[#This Row],[Pre or Post]]="Post",1,0)+IF(ISNUMBER(Table4424666572[[#This Row],[Response]])=TRUE,1,0)=2,1,"")</f>
        <v/>
      </c>
      <c r="K92" s="6">
        <f>IF(IF(Table4424666572[[#This Row],[Pre or Post]]="Pre",1,0)+IF(ISNUMBER(Table4424666572[[#This Row],[Response]])=TRUE,1,0)=2,Table4424666572[[#This Row],[Response]],"")</f>
        <v>3</v>
      </c>
      <c r="L92" s="6" t="str">
        <f>IF(IF(Table4424666572[[#This Row],[Pre or Post]]="Post",1,0)+IF(ISNUMBER(Table4424666572[[#This Row],[Response]])=TRUE,1,0)=2,Table4424666572[[#This Row],[Response]],"")</f>
        <v/>
      </c>
      <c r="M92" s="6">
        <f>IF(IF(ISNUMBER(K92),1,0)+IF(ISNUMBER(L93),1,0)=2,IF(IF(C93=C92,1,0)+IF(B93=B92,1,0)+IF(D93="Post",1,0)+IF(D92="Pre",1,0)=4,Table4424666572[[#This Row],[Pre Total]],""),"")</f>
        <v>3</v>
      </c>
      <c r="N92" s="6" t="str">
        <f>IF(IF(ISNUMBER(K91),1,0)+IF(ISNUMBER(Table4424666572[[#This Row],[Post Total]]),1,0)=2,IF(IF(Table4424666572[[#This Row],[Student Number]]=C91,1,0)+IF(Table4424666572[[#This Row],[Session]]=B91,1,0)+IF(Table4424666572[[#This Row],[Pre or Post]]="Post",1,0)+IF(D91="Pre",1,0)=4,Table4424666572[[#This Row],[Post Total]],""),"")</f>
        <v/>
      </c>
      <c r="O92" s="6" t="str">
        <f>IF(IF(ISNUMBER(K91),1,0)+IF(ISNUMBER(Table4424666572[[#This Row],[Post Total]]),1,0)=2,IF(IF(Table4424666572[[#This Row],[Student Number]]=C91,1,0)+IF(Table4424666572[[#This Row],[Session]]=B91,1,0)+IF(Table4424666572[[#This Row],[Pre or Post]]="Post",1,0)+IF(D91="Pre",1,0)=4,Table4424666572[[#This Row],[Post Total]]-K91,""),"")</f>
        <v/>
      </c>
      <c r="P92" s="6" t="b">
        <f>ISNUMBER(Table4424666572[[#This Row],[Change]])</f>
        <v>0</v>
      </c>
      <c r="Q92" s="5" t="str">
        <f>IF(E91="Yes",Table4424666572[[#This Row],[Change]],"")</f>
        <v/>
      </c>
      <c r="R92" s="5" t="str">
        <f>IF(E91="No",Table4424666572[[#This Row],[Change]],"")</f>
        <v/>
      </c>
      <c r="S92" s="5" t="b">
        <f>ISNUMBER(Table4424666572[[#This Row],[If Pre5 Yes]])</f>
        <v>0</v>
      </c>
      <c r="T92" s="5" t="b">
        <f>ISNUMBER(Table4424666572[[#This Row],[If Pre5 No]])</f>
        <v>0</v>
      </c>
    </row>
    <row r="93" spans="1:20">
      <c r="A93" s="2" t="s">
        <v>24</v>
      </c>
      <c r="B93" s="2" t="s">
        <v>28</v>
      </c>
      <c r="C93" s="1">
        <v>3</v>
      </c>
      <c r="D93" s="1" t="s">
        <v>16</v>
      </c>
      <c r="E93" s="5"/>
      <c r="F93" s="1">
        <v>2</v>
      </c>
      <c r="G93" s="2">
        <v>3</v>
      </c>
      <c r="H93" s="2" t="s">
        <v>8</v>
      </c>
      <c r="I93" s="5" t="str">
        <f>IF(IF(Table4424666572[[#This Row],[Pre or Post]]="Pre",1,0)+IF(ISNUMBER(Table4424666572[[#This Row],[Response]])=TRUE,1,0)=2,1,"")</f>
        <v/>
      </c>
      <c r="J93" s="5">
        <f>IF(IF(Table4424666572[[#This Row],[Pre or Post]]="Post",1,0)+IF(ISNUMBER(Table4424666572[[#This Row],[Response]])=TRUE,1,0)=2,1,"")</f>
        <v>1</v>
      </c>
      <c r="K93" s="6" t="str">
        <f>IF(IF(Table4424666572[[#This Row],[Pre or Post]]="Pre",1,0)+IF(ISNUMBER(Table4424666572[[#This Row],[Response]])=TRUE,1,0)=2,Table4424666572[[#This Row],[Response]],"")</f>
        <v/>
      </c>
      <c r="L93" s="6">
        <f>IF(IF(Table4424666572[[#This Row],[Pre or Post]]="Post",1,0)+IF(ISNUMBER(Table4424666572[[#This Row],[Response]])=TRUE,1,0)=2,Table4424666572[[#This Row],[Response]],"")</f>
        <v>3</v>
      </c>
      <c r="M93" s="5" t="str">
        <f>IF(IF(ISNUMBER(K93),1,0)+IF(ISNUMBER(L94),1,0)=2,IF(IF(C94=C93,1,0)+IF(B94=B93,1,0)+IF(D94="Post",1,0)+IF(D93="Pre",1,0)=4,Table4424666572[[#This Row],[Pre Total]],""),"")</f>
        <v/>
      </c>
      <c r="N93" s="5">
        <f>IF(IF(ISNUMBER(K92),1,0)+IF(ISNUMBER(Table4424666572[[#This Row],[Post Total]]),1,0)=2,IF(IF(Table4424666572[[#This Row],[Student Number]]=C92,1,0)+IF(Table4424666572[[#This Row],[Session]]=B92,1,0)+IF(Table4424666572[[#This Row],[Pre or Post]]="Post",1,0)+IF(D92="Pre",1,0)=4,Table4424666572[[#This Row],[Post Total]],""),"")</f>
        <v>3</v>
      </c>
      <c r="O93" s="5">
        <f>IF(IF(ISNUMBER(K92),1,0)+IF(ISNUMBER(Table4424666572[[#This Row],[Post Total]]),1,0)=2,IF(IF(Table4424666572[[#This Row],[Student Number]]=C92,1,0)+IF(Table4424666572[[#This Row],[Session]]=B92,1,0)+IF(Table4424666572[[#This Row],[Pre or Post]]="Post",1,0)+IF(D92="Pre",1,0)=4,Table4424666572[[#This Row],[Post Total]]-K92,""),"")</f>
        <v>0</v>
      </c>
      <c r="P93" s="5" t="b">
        <f>ISNUMBER(Table4424666572[[#This Row],[Change]])</f>
        <v>1</v>
      </c>
      <c r="Q93" s="5">
        <f>IF(E92="Yes",Table4424666572[[#This Row],[Change]],"")</f>
        <v>0</v>
      </c>
      <c r="R93" s="5" t="str">
        <f>IF(E92="No",Table4424666572[[#This Row],[Change]],"")</f>
        <v/>
      </c>
      <c r="S93" s="5" t="b">
        <f>ISNUMBER(Table4424666572[[#This Row],[If Pre5 Yes]])</f>
        <v>1</v>
      </c>
      <c r="T93" s="5" t="b">
        <f>ISNUMBER(Table4424666572[[#This Row],[If Pre5 No]])</f>
        <v>0</v>
      </c>
    </row>
    <row r="94" spans="1:20">
      <c r="A94" s="2" t="s">
        <v>24</v>
      </c>
      <c r="B94" s="2" t="s">
        <v>28</v>
      </c>
      <c r="C94" s="1">
        <v>4</v>
      </c>
      <c r="D94" s="1" t="s">
        <v>6</v>
      </c>
      <c r="E94" s="5" t="s">
        <v>8</v>
      </c>
      <c r="F94" s="1">
        <v>9</v>
      </c>
      <c r="G94" s="1">
        <v>4</v>
      </c>
      <c r="H94" s="2" t="s">
        <v>8</v>
      </c>
      <c r="I94" s="5">
        <f>IF(IF(Table4424666572[[#This Row],[Pre or Post]]="Pre",1,0)+IF(ISNUMBER(Table4424666572[[#This Row],[Response]])=TRUE,1,0)=2,1,"")</f>
        <v>1</v>
      </c>
      <c r="J94" s="5" t="str">
        <f>IF(IF(Table4424666572[[#This Row],[Pre or Post]]="Post",1,0)+IF(ISNUMBER(Table4424666572[[#This Row],[Response]])=TRUE,1,0)=2,1,"")</f>
        <v/>
      </c>
      <c r="K94" s="6">
        <f>IF(IF(Table4424666572[[#This Row],[Pre or Post]]="Pre",1,0)+IF(ISNUMBER(Table4424666572[[#This Row],[Response]])=TRUE,1,0)=2,Table4424666572[[#This Row],[Response]],"")</f>
        <v>4</v>
      </c>
      <c r="L94" s="6" t="str">
        <f>IF(IF(Table4424666572[[#This Row],[Pre or Post]]="Post",1,0)+IF(ISNUMBER(Table4424666572[[#This Row],[Response]])=TRUE,1,0)=2,Table4424666572[[#This Row],[Response]],"")</f>
        <v/>
      </c>
      <c r="M94" s="5">
        <f>IF(IF(ISNUMBER(K94),1,0)+IF(ISNUMBER(L95),1,0)=2,IF(IF(C95=C94,1,0)+IF(B95=B94,1,0)+IF(D95="Post",1,0)+IF(D94="Pre",1,0)=4,Table4424666572[[#This Row],[Pre Total]],""),"")</f>
        <v>4</v>
      </c>
      <c r="N94" s="5" t="str">
        <f>IF(IF(ISNUMBER(K93),1,0)+IF(ISNUMBER(Table4424666572[[#This Row],[Post Total]]),1,0)=2,IF(IF(Table4424666572[[#This Row],[Student Number]]=C93,1,0)+IF(Table4424666572[[#This Row],[Session]]=B93,1,0)+IF(Table4424666572[[#This Row],[Pre or Post]]="Post",1,0)+IF(D93="Pre",1,0)=4,Table4424666572[[#This Row],[Post Total]],""),"")</f>
        <v/>
      </c>
      <c r="O94" s="5" t="str">
        <f>IF(IF(ISNUMBER(K93),1,0)+IF(ISNUMBER(Table4424666572[[#This Row],[Post Total]]),1,0)=2,IF(IF(Table4424666572[[#This Row],[Student Number]]=C93,1,0)+IF(Table4424666572[[#This Row],[Session]]=B93,1,0)+IF(Table4424666572[[#This Row],[Pre or Post]]="Post",1,0)+IF(D93="Pre",1,0)=4,Table4424666572[[#This Row],[Post Total]]-K93,""),"")</f>
        <v/>
      </c>
      <c r="P94" s="5" t="b">
        <f>ISNUMBER(Table4424666572[[#This Row],[Change]])</f>
        <v>0</v>
      </c>
      <c r="Q94" s="5" t="str">
        <f>IF(E93="Yes",Table4424666572[[#This Row],[Change]],"")</f>
        <v/>
      </c>
      <c r="R94" s="5" t="str">
        <f>IF(E93="No",Table4424666572[[#This Row],[Change]],"")</f>
        <v/>
      </c>
      <c r="S94" s="5" t="b">
        <f>ISNUMBER(Table4424666572[[#This Row],[If Pre5 Yes]])</f>
        <v>0</v>
      </c>
      <c r="T94" s="5" t="b">
        <f>ISNUMBER(Table4424666572[[#This Row],[If Pre5 No]])</f>
        <v>0</v>
      </c>
    </row>
    <row r="95" spans="1:20">
      <c r="A95" s="2" t="s">
        <v>24</v>
      </c>
      <c r="B95" s="2" t="s">
        <v>28</v>
      </c>
      <c r="C95" s="1">
        <v>4</v>
      </c>
      <c r="D95" s="1" t="s">
        <v>16</v>
      </c>
      <c r="E95" s="5"/>
      <c r="F95" s="1">
        <v>2</v>
      </c>
      <c r="G95" s="2">
        <v>4</v>
      </c>
      <c r="H95" s="2" t="s">
        <v>8</v>
      </c>
      <c r="I95" s="5" t="str">
        <f>IF(IF(Table4424666572[[#This Row],[Pre or Post]]="Pre",1,0)+IF(ISNUMBER(Table4424666572[[#This Row],[Response]])=TRUE,1,0)=2,1,"")</f>
        <v/>
      </c>
      <c r="J95" s="5">
        <f>IF(IF(Table4424666572[[#This Row],[Pre or Post]]="Post",1,0)+IF(ISNUMBER(Table4424666572[[#This Row],[Response]])=TRUE,1,0)=2,1,"")</f>
        <v>1</v>
      </c>
      <c r="K95" s="6" t="str">
        <f>IF(IF(Table4424666572[[#This Row],[Pre or Post]]="Pre",1,0)+IF(ISNUMBER(Table4424666572[[#This Row],[Response]])=TRUE,1,0)=2,Table4424666572[[#This Row],[Response]],"")</f>
        <v/>
      </c>
      <c r="L95" s="6">
        <f>IF(IF(Table4424666572[[#This Row],[Pre or Post]]="Post",1,0)+IF(ISNUMBER(Table4424666572[[#This Row],[Response]])=TRUE,1,0)=2,Table4424666572[[#This Row],[Response]],"")</f>
        <v>4</v>
      </c>
      <c r="M95" s="5" t="str">
        <f>IF(IF(ISNUMBER(K95),1,0)+IF(ISNUMBER(L96),1,0)=2,IF(IF(C96=C95,1,0)+IF(B96=B95,1,0)+IF(D96="Post",1,0)+IF(D95="Pre",1,0)=4,Table4424666572[[#This Row],[Pre Total]],""),"")</f>
        <v/>
      </c>
      <c r="N95" s="5">
        <f>IF(IF(ISNUMBER(K94),1,0)+IF(ISNUMBER(Table4424666572[[#This Row],[Post Total]]),1,0)=2,IF(IF(Table4424666572[[#This Row],[Student Number]]=C94,1,0)+IF(Table4424666572[[#This Row],[Session]]=B94,1,0)+IF(Table4424666572[[#This Row],[Pre or Post]]="Post",1,0)+IF(D94="Pre",1,0)=4,Table4424666572[[#This Row],[Post Total]],""),"")</f>
        <v>4</v>
      </c>
      <c r="O95" s="5">
        <f>IF(IF(ISNUMBER(K94),1,0)+IF(ISNUMBER(Table4424666572[[#This Row],[Post Total]]),1,0)=2,IF(IF(Table4424666572[[#This Row],[Student Number]]=C94,1,0)+IF(Table4424666572[[#This Row],[Session]]=B94,1,0)+IF(Table4424666572[[#This Row],[Pre or Post]]="Post",1,0)+IF(D94="Pre",1,0)=4,Table4424666572[[#This Row],[Post Total]]-K94,""),"")</f>
        <v>0</v>
      </c>
      <c r="P95" s="5" t="b">
        <f>ISNUMBER(Table4424666572[[#This Row],[Change]])</f>
        <v>1</v>
      </c>
      <c r="Q95" s="5">
        <f>IF(E94="Yes",Table4424666572[[#This Row],[Change]],"")</f>
        <v>0</v>
      </c>
      <c r="R95" s="5" t="str">
        <f>IF(E94="No",Table4424666572[[#This Row],[Change]],"")</f>
        <v/>
      </c>
      <c r="S95" s="5" t="b">
        <f>ISNUMBER(Table4424666572[[#This Row],[If Pre5 Yes]])</f>
        <v>1</v>
      </c>
      <c r="T95" s="5" t="b">
        <f>ISNUMBER(Table4424666572[[#This Row],[If Pre5 No]])</f>
        <v>0</v>
      </c>
    </row>
    <row r="96" spans="1:20">
      <c r="A96" s="2" t="s">
        <v>24</v>
      </c>
      <c r="B96" s="2" t="s">
        <v>28</v>
      </c>
      <c r="C96" s="1">
        <v>5</v>
      </c>
      <c r="D96" s="1" t="s">
        <v>6</v>
      </c>
      <c r="E96" s="5" t="s">
        <v>8</v>
      </c>
      <c r="F96" s="1">
        <v>9</v>
      </c>
      <c r="G96" s="1">
        <v>3</v>
      </c>
      <c r="H96" s="2" t="s">
        <v>8</v>
      </c>
      <c r="I96" s="5">
        <f>IF(IF(Table4424666572[[#This Row],[Pre or Post]]="Pre",1,0)+IF(ISNUMBER(Table4424666572[[#This Row],[Response]])=TRUE,1,0)=2,1,"")</f>
        <v>1</v>
      </c>
      <c r="J96" s="5" t="str">
        <f>IF(IF(Table4424666572[[#This Row],[Pre or Post]]="Post",1,0)+IF(ISNUMBER(Table4424666572[[#This Row],[Response]])=TRUE,1,0)=2,1,"")</f>
        <v/>
      </c>
      <c r="K96" s="6">
        <f>IF(IF(Table4424666572[[#This Row],[Pre or Post]]="Pre",1,0)+IF(ISNUMBER(Table4424666572[[#This Row],[Response]])=TRUE,1,0)=2,Table4424666572[[#This Row],[Response]],"")</f>
        <v>3</v>
      </c>
      <c r="L96" s="6" t="str">
        <f>IF(IF(Table4424666572[[#This Row],[Pre or Post]]="Post",1,0)+IF(ISNUMBER(Table4424666572[[#This Row],[Response]])=TRUE,1,0)=2,Table4424666572[[#This Row],[Response]],"")</f>
        <v/>
      </c>
      <c r="M96" s="5">
        <f>IF(IF(ISNUMBER(K96),1,0)+IF(ISNUMBER(L97),1,0)=2,IF(IF(C97=C96,1,0)+IF(B97=B96,1,0)+IF(D97="Post",1,0)+IF(D96="Pre",1,0)=4,Table4424666572[[#This Row],[Pre Total]],""),"")</f>
        <v>3</v>
      </c>
      <c r="N96" s="5" t="str">
        <f>IF(IF(ISNUMBER(K95),1,0)+IF(ISNUMBER(Table4424666572[[#This Row],[Post Total]]),1,0)=2,IF(IF(Table4424666572[[#This Row],[Student Number]]=C95,1,0)+IF(Table4424666572[[#This Row],[Session]]=B95,1,0)+IF(Table4424666572[[#This Row],[Pre or Post]]="Post",1,0)+IF(D95="Pre",1,0)=4,Table4424666572[[#This Row],[Post Total]],""),"")</f>
        <v/>
      </c>
      <c r="O96" s="5" t="str">
        <f>IF(IF(ISNUMBER(K95),1,0)+IF(ISNUMBER(Table4424666572[[#This Row],[Post Total]]),1,0)=2,IF(IF(Table4424666572[[#This Row],[Student Number]]=C95,1,0)+IF(Table4424666572[[#This Row],[Session]]=B95,1,0)+IF(Table4424666572[[#This Row],[Pre or Post]]="Post",1,0)+IF(D95="Pre",1,0)=4,Table4424666572[[#This Row],[Post Total]]-K95,""),"")</f>
        <v/>
      </c>
      <c r="P96" s="5" t="b">
        <f>ISNUMBER(Table4424666572[[#This Row],[Change]])</f>
        <v>0</v>
      </c>
      <c r="Q96" s="5" t="str">
        <f>IF(E95="Yes",Table4424666572[[#This Row],[Change]],"")</f>
        <v/>
      </c>
      <c r="R96" s="5" t="str">
        <f>IF(E95="No",Table4424666572[[#This Row],[Change]],"")</f>
        <v/>
      </c>
      <c r="S96" s="5" t="b">
        <f>ISNUMBER(Table4424666572[[#This Row],[If Pre5 Yes]])</f>
        <v>0</v>
      </c>
      <c r="T96" s="5" t="b">
        <f>ISNUMBER(Table4424666572[[#This Row],[If Pre5 No]])</f>
        <v>0</v>
      </c>
    </row>
    <row r="97" spans="1:20">
      <c r="A97" s="2" t="s">
        <v>24</v>
      </c>
      <c r="B97" s="2" t="s">
        <v>28</v>
      </c>
      <c r="C97" s="1">
        <v>5</v>
      </c>
      <c r="D97" s="1" t="s">
        <v>16</v>
      </c>
      <c r="E97" s="5"/>
      <c r="F97" s="1">
        <v>2</v>
      </c>
      <c r="G97" s="2">
        <v>3</v>
      </c>
      <c r="H97" s="2" t="s">
        <v>8</v>
      </c>
      <c r="I97" s="6" t="str">
        <f>IF(IF(Table4424666572[[#This Row],[Pre or Post]]="Pre",1,0)+IF(ISNUMBER(Table4424666572[[#This Row],[Response]])=TRUE,1,0)=2,1,"")</f>
        <v/>
      </c>
      <c r="J97" s="6">
        <f>IF(IF(Table4424666572[[#This Row],[Pre or Post]]="Post",1,0)+IF(ISNUMBER(Table4424666572[[#This Row],[Response]])=TRUE,1,0)=2,1,"")</f>
        <v>1</v>
      </c>
      <c r="K97" s="6" t="str">
        <f>IF(IF(Table4424666572[[#This Row],[Pre or Post]]="Pre",1,0)+IF(ISNUMBER(Table4424666572[[#This Row],[Response]])=TRUE,1,0)=2,Table4424666572[[#This Row],[Response]],"")</f>
        <v/>
      </c>
      <c r="L97" s="6">
        <f>IF(IF(Table4424666572[[#This Row],[Pre or Post]]="Post",1,0)+IF(ISNUMBER(Table4424666572[[#This Row],[Response]])=TRUE,1,0)=2,Table4424666572[[#This Row],[Response]],"")</f>
        <v>3</v>
      </c>
      <c r="M97" s="6" t="str">
        <f>IF(IF(ISNUMBER(K97),1,0)+IF(ISNUMBER(L98),1,0)=2,IF(IF(C98=C97,1,0)+IF(B98=B97,1,0)+IF(D98="Post",1,0)+IF(D97="Pre",1,0)=4,Table4424666572[[#This Row],[Pre Total]],""),"")</f>
        <v/>
      </c>
      <c r="N97" s="6">
        <f>IF(IF(ISNUMBER(K96),1,0)+IF(ISNUMBER(Table4424666572[[#This Row],[Post Total]]),1,0)=2,IF(IF(Table4424666572[[#This Row],[Student Number]]=C96,1,0)+IF(Table4424666572[[#This Row],[Session]]=B96,1,0)+IF(Table4424666572[[#This Row],[Pre or Post]]="Post",1,0)+IF(D96="Pre",1,0)=4,Table4424666572[[#This Row],[Post Total]],""),"")</f>
        <v>3</v>
      </c>
      <c r="O97" s="6">
        <f>IF(IF(ISNUMBER(K96),1,0)+IF(ISNUMBER(Table4424666572[[#This Row],[Post Total]]),1,0)=2,IF(IF(Table4424666572[[#This Row],[Student Number]]=C96,1,0)+IF(Table4424666572[[#This Row],[Session]]=B96,1,0)+IF(Table4424666572[[#This Row],[Pre or Post]]="Post",1,0)+IF(D96="Pre",1,0)=4,Table4424666572[[#This Row],[Post Total]]-K96,""),"")</f>
        <v>0</v>
      </c>
      <c r="P97" s="6" t="b">
        <f>ISNUMBER(Table4424666572[[#This Row],[Change]])</f>
        <v>1</v>
      </c>
      <c r="Q97" s="5">
        <f>IF(E96="Yes",Table4424666572[[#This Row],[Change]],"")</f>
        <v>0</v>
      </c>
      <c r="R97" s="5" t="str">
        <f>IF(E96="No",Table4424666572[[#This Row],[Change]],"")</f>
        <v/>
      </c>
      <c r="S97" s="5" t="b">
        <f>ISNUMBER(Table4424666572[[#This Row],[If Pre5 Yes]])</f>
        <v>1</v>
      </c>
      <c r="T97" s="5" t="b">
        <f>ISNUMBER(Table4424666572[[#This Row],[If Pre5 No]])</f>
        <v>0</v>
      </c>
    </row>
    <row r="98" spans="1:20">
      <c r="A98" s="2" t="s">
        <v>24</v>
      </c>
      <c r="B98" s="2" t="s">
        <v>28</v>
      </c>
      <c r="C98" s="1">
        <v>6</v>
      </c>
      <c r="D98" s="1" t="s">
        <v>6</v>
      </c>
      <c r="E98" s="5" t="s">
        <v>8</v>
      </c>
      <c r="F98" s="1">
        <v>9</v>
      </c>
      <c r="G98" s="1">
        <v>3</v>
      </c>
      <c r="H98" s="2" t="s">
        <v>8</v>
      </c>
      <c r="I98" s="5">
        <f>IF(IF(Table4424666572[[#This Row],[Pre or Post]]="Pre",1,0)+IF(ISNUMBER(Table4424666572[[#This Row],[Response]])=TRUE,1,0)=2,1,"")</f>
        <v>1</v>
      </c>
      <c r="J98" s="5" t="str">
        <f>IF(IF(Table4424666572[[#This Row],[Pre or Post]]="Post",1,0)+IF(ISNUMBER(Table4424666572[[#This Row],[Response]])=TRUE,1,0)=2,1,"")</f>
        <v/>
      </c>
      <c r="K98" s="6">
        <f>IF(IF(Table4424666572[[#This Row],[Pre or Post]]="Pre",1,0)+IF(ISNUMBER(Table4424666572[[#This Row],[Response]])=TRUE,1,0)=2,Table4424666572[[#This Row],[Response]],"")</f>
        <v>3</v>
      </c>
      <c r="L98" s="6" t="str">
        <f>IF(IF(Table4424666572[[#This Row],[Pre or Post]]="Post",1,0)+IF(ISNUMBER(Table4424666572[[#This Row],[Response]])=TRUE,1,0)=2,Table4424666572[[#This Row],[Response]],"")</f>
        <v/>
      </c>
      <c r="M98" s="5">
        <f>IF(IF(ISNUMBER(K98),1,0)+IF(ISNUMBER(L99),1,0)=2,IF(IF(C99=C98,1,0)+IF(B99=B98,1,0)+IF(D99="Post",1,0)+IF(D98="Pre",1,0)=4,Table4424666572[[#This Row],[Pre Total]],""),"")</f>
        <v>3</v>
      </c>
      <c r="N98" s="5" t="str">
        <f>IF(IF(ISNUMBER(K97),1,0)+IF(ISNUMBER(Table4424666572[[#This Row],[Post Total]]),1,0)=2,IF(IF(Table4424666572[[#This Row],[Student Number]]=C97,1,0)+IF(Table4424666572[[#This Row],[Session]]=B97,1,0)+IF(Table4424666572[[#This Row],[Pre or Post]]="Post",1,0)+IF(D97="Pre",1,0)=4,Table4424666572[[#This Row],[Post Total]],""),"")</f>
        <v/>
      </c>
      <c r="O98" s="5" t="str">
        <f>IF(IF(ISNUMBER(K97),1,0)+IF(ISNUMBER(Table4424666572[[#This Row],[Post Total]]),1,0)=2,IF(IF(Table4424666572[[#This Row],[Student Number]]=C97,1,0)+IF(Table4424666572[[#This Row],[Session]]=B97,1,0)+IF(Table4424666572[[#This Row],[Pre or Post]]="Post",1,0)+IF(D97="Pre",1,0)=4,Table4424666572[[#This Row],[Post Total]]-K97,""),"")</f>
        <v/>
      </c>
      <c r="P98" s="5" t="b">
        <f>ISNUMBER(Table4424666572[[#This Row],[Change]])</f>
        <v>0</v>
      </c>
      <c r="Q98" s="5" t="str">
        <f>IF(E97="Yes",Table4424666572[[#This Row],[Change]],"")</f>
        <v/>
      </c>
      <c r="R98" s="5" t="str">
        <f>IF(E97="No",Table4424666572[[#This Row],[Change]],"")</f>
        <v/>
      </c>
      <c r="S98" s="5" t="b">
        <f>ISNUMBER(Table4424666572[[#This Row],[If Pre5 Yes]])</f>
        <v>0</v>
      </c>
      <c r="T98" s="5" t="b">
        <f>ISNUMBER(Table4424666572[[#This Row],[If Pre5 No]])</f>
        <v>0</v>
      </c>
    </row>
    <row r="99" spans="1:20">
      <c r="A99" s="2" t="s">
        <v>24</v>
      </c>
      <c r="B99" s="2" t="s">
        <v>28</v>
      </c>
      <c r="C99" s="1">
        <v>6</v>
      </c>
      <c r="D99" s="1" t="s">
        <v>16</v>
      </c>
      <c r="E99" s="5"/>
      <c r="F99" s="1">
        <v>2</v>
      </c>
      <c r="G99" s="2">
        <v>4</v>
      </c>
      <c r="H99" s="2" t="s">
        <v>8</v>
      </c>
      <c r="I99" s="5" t="str">
        <f>IF(IF(Table4424666572[[#This Row],[Pre or Post]]="Pre",1,0)+IF(ISNUMBER(Table4424666572[[#This Row],[Response]])=TRUE,1,0)=2,1,"")</f>
        <v/>
      </c>
      <c r="J99" s="5">
        <f>IF(IF(Table4424666572[[#This Row],[Pre or Post]]="Post",1,0)+IF(ISNUMBER(Table4424666572[[#This Row],[Response]])=TRUE,1,0)=2,1,"")</f>
        <v>1</v>
      </c>
      <c r="K99" s="6" t="str">
        <f>IF(IF(Table4424666572[[#This Row],[Pre or Post]]="Pre",1,0)+IF(ISNUMBER(Table4424666572[[#This Row],[Response]])=TRUE,1,0)=2,Table4424666572[[#This Row],[Response]],"")</f>
        <v/>
      </c>
      <c r="L99" s="6">
        <f>IF(IF(Table4424666572[[#This Row],[Pre or Post]]="Post",1,0)+IF(ISNUMBER(Table4424666572[[#This Row],[Response]])=TRUE,1,0)=2,Table4424666572[[#This Row],[Response]],"")</f>
        <v>4</v>
      </c>
      <c r="M99" s="5" t="str">
        <f>IF(IF(ISNUMBER(K99),1,0)+IF(ISNUMBER(L100),1,0)=2,IF(IF(C100=C99,1,0)+IF(B100=B99,1,0)+IF(D100="Post",1,0)+IF(D99="Pre",1,0)=4,Table4424666572[[#This Row],[Pre Total]],""),"")</f>
        <v/>
      </c>
      <c r="N99" s="5">
        <f>IF(IF(ISNUMBER(K98),1,0)+IF(ISNUMBER(Table4424666572[[#This Row],[Post Total]]),1,0)=2,IF(IF(Table4424666572[[#This Row],[Student Number]]=C98,1,0)+IF(Table4424666572[[#This Row],[Session]]=B98,1,0)+IF(Table4424666572[[#This Row],[Pre or Post]]="Post",1,0)+IF(D98="Pre",1,0)=4,Table4424666572[[#This Row],[Post Total]],""),"")</f>
        <v>4</v>
      </c>
      <c r="O99" s="5">
        <f>IF(IF(ISNUMBER(K98),1,0)+IF(ISNUMBER(Table4424666572[[#This Row],[Post Total]]),1,0)=2,IF(IF(Table4424666572[[#This Row],[Student Number]]=C98,1,0)+IF(Table4424666572[[#This Row],[Session]]=B98,1,0)+IF(Table4424666572[[#This Row],[Pre or Post]]="Post",1,0)+IF(D98="Pre",1,0)=4,Table4424666572[[#This Row],[Post Total]]-K98,""),"")</f>
        <v>1</v>
      </c>
      <c r="P99" s="5" t="b">
        <f>ISNUMBER(Table4424666572[[#This Row],[Change]])</f>
        <v>1</v>
      </c>
      <c r="Q99" s="5">
        <f>IF(E98="Yes",Table4424666572[[#This Row],[Change]],"")</f>
        <v>1</v>
      </c>
      <c r="R99" s="5" t="str">
        <f>IF(E98="No",Table4424666572[[#This Row],[Change]],"")</f>
        <v/>
      </c>
      <c r="S99" s="5" t="b">
        <f>ISNUMBER(Table4424666572[[#This Row],[If Pre5 Yes]])</f>
        <v>1</v>
      </c>
      <c r="T99" s="5" t="b">
        <f>ISNUMBER(Table4424666572[[#This Row],[If Pre5 No]])</f>
        <v>0</v>
      </c>
    </row>
    <row r="100" spans="1:20">
      <c r="A100" s="2" t="s">
        <v>24</v>
      </c>
      <c r="B100" s="2" t="s">
        <v>28</v>
      </c>
      <c r="C100" s="1">
        <v>7</v>
      </c>
      <c r="D100" s="1" t="s">
        <v>6</v>
      </c>
      <c r="E100" s="5" t="s">
        <v>8</v>
      </c>
      <c r="F100" s="1">
        <v>9</v>
      </c>
      <c r="G100" s="1">
        <v>3</v>
      </c>
      <c r="H100" s="2" t="s">
        <v>8</v>
      </c>
      <c r="I100" s="5">
        <f>IF(IF(Table4424666572[[#This Row],[Pre or Post]]="Pre",1,0)+IF(ISNUMBER(Table4424666572[[#This Row],[Response]])=TRUE,1,0)=2,1,"")</f>
        <v>1</v>
      </c>
      <c r="J100" s="5" t="str">
        <f>IF(IF(Table4424666572[[#This Row],[Pre or Post]]="Post",1,0)+IF(ISNUMBER(Table4424666572[[#This Row],[Response]])=TRUE,1,0)=2,1,"")</f>
        <v/>
      </c>
      <c r="K100" s="6">
        <f>IF(IF(Table4424666572[[#This Row],[Pre or Post]]="Pre",1,0)+IF(ISNUMBER(Table4424666572[[#This Row],[Response]])=TRUE,1,0)=2,Table4424666572[[#This Row],[Response]],"")</f>
        <v>3</v>
      </c>
      <c r="L100" s="6" t="str">
        <f>IF(IF(Table4424666572[[#This Row],[Pre or Post]]="Post",1,0)+IF(ISNUMBER(Table4424666572[[#This Row],[Response]])=TRUE,1,0)=2,Table4424666572[[#This Row],[Response]],"")</f>
        <v/>
      </c>
      <c r="M100" s="5">
        <f>IF(IF(ISNUMBER(K100),1,0)+IF(ISNUMBER(L101),1,0)=2,IF(IF(C101=C100,1,0)+IF(B101=B100,1,0)+IF(D101="Post",1,0)+IF(D100="Pre",1,0)=4,Table4424666572[[#This Row],[Pre Total]],""),"")</f>
        <v>3</v>
      </c>
      <c r="N100" s="5" t="str">
        <f>IF(IF(ISNUMBER(K99),1,0)+IF(ISNUMBER(Table4424666572[[#This Row],[Post Total]]),1,0)=2,IF(IF(Table4424666572[[#This Row],[Student Number]]=C99,1,0)+IF(Table4424666572[[#This Row],[Session]]=B99,1,0)+IF(Table4424666572[[#This Row],[Pre or Post]]="Post",1,0)+IF(D99="Pre",1,0)=4,Table4424666572[[#This Row],[Post Total]],""),"")</f>
        <v/>
      </c>
      <c r="O100" s="5" t="str">
        <f>IF(IF(ISNUMBER(K99),1,0)+IF(ISNUMBER(Table4424666572[[#This Row],[Post Total]]),1,0)=2,IF(IF(Table4424666572[[#This Row],[Student Number]]=C99,1,0)+IF(Table4424666572[[#This Row],[Session]]=B99,1,0)+IF(Table4424666572[[#This Row],[Pre or Post]]="Post",1,0)+IF(D99="Pre",1,0)=4,Table4424666572[[#This Row],[Post Total]]-K99,""),"")</f>
        <v/>
      </c>
      <c r="P100" s="5" t="b">
        <f>ISNUMBER(Table4424666572[[#This Row],[Change]])</f>
        <v>0</v>
      </c>
      <c r="Q100" s="5" t="str">
        <f>IF(E99="Yes",Table4424666572[[#This Row],[Change]],"")</f>
        <v/>
      </c>
      <c r="R100" s="5" t="str">
        <f>IF(E99="No",Table4424666572[[#This Row],[Change]],"")</f>
        <v/>
      </c>
      <c r="S100" s="5" t="b">
        <f>ISNUMBER(Table4424666572[[#This Row],[If Pre5 Yes]])</f>
        <v>0</v>
      </c>
      <c r="T100" s="5" t="b">
        <f>ISNUMBER(Table4424666572[[#This Row],[If Pre5 No]])</f>
        <v>0</v>
      </c>
    </row>
    <row r="101" spans="1:20">
      <c r="A101" s="2" t="s">
        <v>24</v>
      </c>
      <c r="B101" s="2" t="s">
        <v>28</v>
      </c>
      <c r="C101" s="1">
        <v>7</v>
      </c>
      <c r="D101" s="1" t="s">
        <v>16</v>
      </c>
      <c r="E101" s="5"/>
      <c r="F101" s="1">
        <v>2</v>
      </c>
      <c r="G101" s="2">
        <v>2</v>
      </c>
      <c r="H101" s="2" t="s">
        <v>8</v>
      </c>
      <c r="I101" s="5" t="str">
        <f>IF(IF(Table4424666572[[#This Row],[Pre or Post]]="Pre",1,0)+IF(ISNUMBER(Table4424666572[[#This Row],[Response]])=TRUE,1,0)=2,1,"")</f>
        <v/>
      </c>
      <c r="J101" s="5">
        <f>IF(IF(Table4424666572[[#This Row],[Pre or Post]]="Post",1,0)+IF(ISNUMBER(Table4424666572[[#This Row],[Response]])=TRUE,1,0)=2,1,"")</f>
        <v>1</v>
      </c>
      <c r="K101" s="6" t="str">
        <f>IF(IF(Table4424666572[[#This Row],[Pre or Post]]="Pre",1,0)+IF(ISNUMBER(Table4424666572[[#This Row],[Response]])=TRUE,1,0)=2,Table4424666572[[#This Row],[Response]],"")</f>
        <v/>
      </c>
      <c r="L101" s="6">
        <f>IF(IF(Table4424666572[[#This Row],[Pre or Post]]="Post",1,0)+IF(ISNUMBER(Table4424666572[[#This Row],[Response]])=TRUE,1,0)=2,Table4424666572[[#This Row],[Response]],"")</f>
        <v>2</v>
      </c>
      <c r="M101" s="5" t="str">
        <f>IF(IF(ISNUMBER(K101),1,0)+IF(ISNUMBER(L102),1,0)=2,IF(IF(C102=C101,1,0)+IF(B102=B101,1,0)+IF(D102="Post",1,0)+IF(D101="Pre",1,0)=4,Table4424666572[[#This Row],[Pre Total]],""),"")</f>
        <v/>
      </c>
      <c r="N101" s="5">
        <f>IF(IF(ISNUMBER(K100),1,0)+IF(ISNUMBER(Table4424666572[[#This Row],[Post Total]]),1,0)=2,IF(IF(Table4424666572[[#This Row],[Student Number]]=C100,1,0)+IF(Table4424666572[[#This Row],[Session]]=B100,1,0)+IF(Table4424666572[[#This Row],[Pre or Post]]="Post",1,0)+IF(D100="Pre",1,0)=4,Table4424666572[[#This Row],[Post Total]],""),"")</f>
        <v>2</v>
      </c>
      <c r="O101" s="5">
        <f>IF(IF(ISNUMBER(K100),1,0)+IF(ISNUMBER(Table4424666572[[#This Row],[Post Total]]),1,0)=2,IF(IF(Table4424666572[[#This Row],[Student Number]]=C100,1,0)+IF(Table4424666572[[#This Row],[Session]]=B100,1,0)+IF(Table4424666572[[#This Row],[Pre or Post]]="Post",1,0)+IF(D100="Pre",1,0)=4,Table4424666572[[#This Row],[Post Total]]-K100,""),"")</f>
        <v>-1</v>
      </c>
      <c r="P101" s="5" t="b">
        <f>ISNUMBER(Table4424666572[[#This Row],[Change]])</f>
        <v>1</v>
      </c>
      <c r="Q101" s="5">
        <f>IF(E100="Yes",Table4424666572[[#This Row],[Change]],"")</f>
        <v>-1</v>
      </c>
      <c r="R101" s="5" t="str">
        <f>IF(E100="No",Table4424666572[[#This Row],[Change]],"")</f>
        <v/>
      </c>
      <c r="S101" s="5" t="b">
        <f>ISNUMBER(Table4424666572[[#This Row],[If Pre5 Yes]])</f>
        <v>1</v>
      </c>
      <c r="T101" s="5" t="b">
        <f>ISNUMBER(Table4424666572[[#This Row],[If Pre5 No]])</f>
        <v>0</v>
      </c>
    </row>
    <row r="102" spans="1:20">
      <c r="A102" s="2" t="s">
        <v>24</v>
      </c>
      <c r="B102" s="2" t="s">
        <v>28</v>
      </c>
      <c r="C102" s="1">
        <v>8</v>
      </c>
      <c r="D102" s="1" t="s">
        <v>6</v>
      </c>
      <c r="E102" s="5" t="s">
        <v>8</v>
      </c>
      <c r="F102" s="1">
        <v>9</v>
      </c>
      <c r="G102" s="1">
        <v>3</v>
      </c>
      <c r="H102" s="2" t="s">
        <v>8</v>
      </c>
      <c r="I102" s="5">
        <f>IF(IF(Table4424666572[[#This Row],[Pre or Post]]="Pre",1,0)+IF(ISNUMBER(Table4424666572[[#This Row],[Response]])=TRUE,1,0)=2,1,"")</f>
        <v>1</v>
      </c>
      <c r="J102" s="5" t="str">
        <f>IF(IF(Table4424666572[[#This Row],[Pre or Post]]="Post",1,0)+IF(ISNUMBER(Table4424666572[[#This Row],[Response]])=TRUE,1,0)=2,1,"")</f>
        <v/>
      </c>
      <c r="K102" s="6">
        <f>IF(IF(Table4424666572[[#This Row],[Pre or Post]]="Pre",1,0)+IF(ISNUMBER(Table4424666572[[#This Row],[Response]])=TRUE,1,0)=2,Table4424666572[[#This Row],[Response]],"")</f>
        <v>3</v>
      </c>
      <c r="L102" s="6" t="str">
        <f>IF(IF(Table4424666572[[#This Row],[Pre or Post]]="Post",1,0)+IF(ISNUMBER(Table4424666572[[#This Row],[Response]])=TRUE,1,0)=2,Table4424666572[[#This Row],[Response]],"")</f>
        <v/>
      </c>
      <c r="M102" s="5">
        <f>IF(IF(ISNUMBER(K102),1,0)+IF(ISNUMBER(L103),1,0)=2,IF(IF(C103=C102,1,0)+IF(B103=B102,1,0)+IF(D103="Post",1,0)+IF(D102="Pre",1,0)=4,Table4424666572[[#This Row],[Pre Total]],""),"")</f>
        <v>3</v>
      </c>
      <c r="N102" s="5" t="str">
        <f>IF(IF(ISNUMBER(K101),1,0)+IF(ISNUMBER(Table4424666572[[#This Row],[Post Total]]),1,0)=2,IF(IF(Table4424666572[[#This Row],[Student Number]]=C101,1,0)+IF(Table4424666572[[#This Row],[Session]]=B101,1,0)+IF(Table4424666572[[#This Row],[Pre or Post]]="Post",1,0)+IF(D101="Pre",1,0)=4,Table4424666572[[#This Row],[Post Total]],""),"")</f>
        <v/>
      </c>
      <c r="O102" s="5" t="str">
        <f>IF(IF(ISNUMBER(K101),1,0)+IF(ISNUMBER(Table4424666572[[#This Row],[Post Total]]),1,0)=2,IF(IF(Table4424666572[[#This Row],[Student Number]]=C101,1,0)+IF(Table4424666572[[#This Row],[Session]]=B101,1,0)+IF(Table4424666572[[#This Row],[Pre or Post]]="Post",1,0)+IF(D101="Pre",1,0)=4,Table4424666572[[#This Row],[Post Total]]-K101,""),"")</f>
        <v/>
      </c>
      <c r="P102" s="5" t="b">
        <f>ISNUMBER(Table4424666572[[#This Row],[Change]])</f>
        <v>0</v>
      </c>
      <c r="Q102" s="5" t="str">
        <f>IF(E101="Yes",Table4424666572[[#This Row],[Change]],"")</f>
        <v/>
      </c>
      <c r="R102" s="5" t="str">
        <f>IF(E101="No",Table4424666572[[#This Row],[Change]],"")</f>
        <v/>
      </c>
      <c r="S102" s="5" t="b">
        <f>ISNUMBER(Table4424666572[[#This Row],[If Pre5 Yes]])</f>
        <v>0</v>
      </c>
      <c r="T102" s="5" t="b">
        <f>ISNUMBER(Table4424666572[[#This Row],[If Pre5 No]])</f>
        <v>0</v>
      </c>
    </row>
    <row r="103" spans="1:20">
      <c r="A103" s="2" t="s">
        <v>24</v>
      </c>
      <c r="B103" s="2" t="s">
        <v>28</v>
      </c>
      <c r="C103" s="1">
        <v>8</v>
      </c>
      <c r="D103" s="1" t="s">
        <v>16</v>
      </c>
      <c r="E103" s="5"/>
      <c r="F103" s="1">
        <v>2</v>
      </c>
      <c r="G103" s="1">
        <v>3</v>
      </c>
      <c r="H103" s="2" t="s">
        <v>8</v>
      </c>
      <c r="I103" s="5" t="str">
        <f>IF(IF(Table4424666572[[#This Row],[Pre or Post]]="Pre",1,0)+IF(ISNUMBER(Table4424666572[[#This Row],[Response]])=TRUE,1,0)=2,1,"")</f>
        <v/>
      </c>
      <c r="J103" s="5">
        <f>IF(IF(Table4424666572[[#This Row],[Pre or Post]]="Post",1,0)+IF(ISNUMBER(Table4424666572[[#This Row],[Response]])=TRUE,1,0)=2,1,"")</f>
        <v>1</v>
      </c>
      <c r="K103" s="6" t="str">
        <f>IF(IF(Table4424666572[[#This Row],[Pre or Post]]="Pre",1,0)+IF(ISNUMBER(Table4424666572[[#This Row],[Response]])=TRUE,1,0)=2,Table4424666572[[#This Row],[Response]],"")</f>
        <v/>
      </c>
      <c r="L103" s="6">
        <f>IF(IF(Table4424666572[[#This Row],[Pre or Post]]="Post",1,0)+IF(ISNUMBER(Table4424666572[[#This Row],[Response]])=TRUE,1,0)=2,Table4424666572[[#This Row],[Response]],"")</f>
        <v>3</v>
      </c>
      <c r="M103" s="5" t="str">
        <f>IF(IF(ISNUMBER(K103),1,0)+IF(ISNUMBER(L104),1,0)=2,IF(IF(C104=C103,1,0)+IF(B104=B103,1,0)+IF(D104="Post",1,0)+IF(D103="Pre",1,0)=4,Table4424666572[[#This Row],[Pre Total]],""),"")</f>
        <v/>
      </c>
      <c r="N103" s="5">
        <f>IF(IF(ISNUMBER(K102),1,0)+IF(ISNUMBER(Table4424666572[[#This Row],[Post Total]]),1,0)=2,IF(IF(Table4424666572[[#This Row],[Student Number]]=C102,1,0)+IF(Table4424666572[[#This Row],[Session]]=B102,1,0)+IF(Table4424666572[[#This Row],[Pre or Post]]="Post",1,0)+IF(D102="Pre",1,0)=4,Table4424666572[[#This Row],[Post Total]],""),"")</f>
        <v>3</v>
      </c>
      <c r="O103" s="5">
        <f>IF(IF(ISNUMBER(K102),1,0)+IF(ISNUMBER(Table4424666572[[#This Row],[Post Total]]),1,0)=2,IF(IF(Table4424666572[[#This Row],[Student Number]]=C102,1,0)+IF(Table4424666572[[#This Row],[Session]]=B102,1,0)+IF(Table4424666572[[#This Row],[Pre or Post]]="Post",1,0)+IF(D102="Pre",1,0)=4,Table4424666572[[#This Row],[Post Total]]-K102,""),"")</f>
        <v>0</v>
      </c>
      <c r="P103" s="5" t="b">
        <f>ISNUMBER(Table4424666572[[#This Row],[Change]])</f>
        <v>1</v>
      </c>
      <c r="Q103" s="5">
        <f>IF(E102="Yes",Table4424666572[[#This Row],[Change]],"")</f>
        <v>0</v>
      </c>
      <c r="R103" s="5" t="str">
        <f>IF(E102="No",Table4424666572[[#This Row],[Change]],"")</f>
        <v/>
      </c>
      <c r="S103" s="5" t="b">
        <f>ISNUMBER(Table4424666572[[#This Row],[If Pre5 Yes]])</f>
        <v>1</v>
      </c>
      <c r="T103" s="5" t="b">
        <f>ISNUMBER(Table4424666572[[#This Row],[If Pre5 No]])</f>
        <v>0</v>
      </c>
    </row>
    <row r="104" spans="1:20">
      <c r="A104" s="2" t="s">
        <v>24</v>
      </c>
      <c r="B104" s="2" t="s">
        <v>28</v>
      </c>
      <c r="C104" s="1">
        <v>9</v>
      </c>
      <c r="D104" s="1" t="s">
        <v>6</v>
      </c>
      <c r="E104" s="5" t="s">
        <v>8</v>
      </c>
      <c r="F104" s="1">
        <v>9</v>
      </c>
      <c r="G104" s="1">
        <v>2</v>
      </c>
      <c r="H104" s="2" t="s">
        <v>8</v>
      </c>
      <c r="I104" s="5">
        <f>IF(IF(Table4424666572[[#This Row],[Pre or Post]]="Pre",1,0)+IF(ISNUMBER(Table4424666572[[#This Row],[Response]])=TRUE,1,0)=2,1,"")</f>
        <v>1</v>
      </c>
      <c r="J104" s="5" t="str">
        <f>IF(IF(Table4424666572[[#This Row],[Pre or Post]]="Post",1,0)+IF(ISNUMBER(Table4424666572[[#This Row],[Response]])=TRUE,1,0)=2,1,"")</f>
        <v/>
      </c>
      <c r="K104" s="6">
        <f>IF(IF(Table4424666572[[#This Row],[Pre or Post]]="Pre",1,0)+IF(ISNUMBER(Table4424666572[[#This Row],[Response]])=TRUE,1,0)=2,Table4424666572[[#This Row],[Response]],"")</f>
        <v>2</v>
      </c>
      <c r="L104" s="6" t="str">
        <f>IF(IF(Table4424666572[[#This Row],[Pre or Post]]="Post",1,0)+IF(ISNUMBER(Table4424666572[[#This Row],[Response]])=TRUE,1,0)=2,Table4424666572[[#This Row],[Response]],"")</f>
        <v/>
      </c>
      <c r="M104" s="5">
        <f>IF(IF(ISNUMBER(K104),1,0)+IF(ISNUMBER(L105),1,0)=2,IF(IF(C105=C104,1,0)+IF(B105=B104,1,0)+IF(D105="Post",1,0)+IF(D104="Pre",1,0)=4,Table4424666572[[#This Row],[Pre Total]],""),"")</f>
        <v>2</v>
      </c>
      <c r="N104" s="5" t="str">
        <f>IF(IF(ISNUMBER(K103),1,0)+IF(ISNUMBER(Table4424666572[[#This Row],[Post Total]]),1,0)=2,IF(IF(Table4424666572[[#This Row],[Student Number]]=C103,1,0)+IF(Table4424666572[[#This Row],[Session]]=B103,1,0)+IF(Table4424666572[[#This Row],[Pre or Post]]="Post",1,0)+IF(D103="Pre",1,0)=4,Table4424666572[[#This Row],[Post Total]],""),"")</f>
        <v/>
      </c>
      <c r="O104" s="5" t="str">
        <f>IF(IF(ISNUMBER(K103),1,0)+IF(ISNUMBER(Table4424666572[[#This Row],[Post Total]]),1,0)=2,IF(IF(Table4424666572[[#This Row],[Student Number]]=C103,1,0)+IF(Table4424666572[[#This Row],[Session]]=B103,1,0)+IF(Table4424666572[[#This Row],[Pre or Post]]="Post",1,0)+IF(D103="Pre",1,0)=4,Table4424666572[[#This Row],[Post Total]]-K103,""),"")</f>
        <v/>
      </c>
      <c r="P104" s="5" t="b">
        <f>ISNUMBER(Table4424666572[[#This Row],[Change]])</f>
        <v>0</v>
      </c>
      <c r="Q104" s="5" t="str">
        <f>IF(E103="Yes",Table4424666572[[#This Row],[Change]],"")</f>
        <v/>
      </c>
      <c r="R104" s="5" t="str">
        <f>IF(E103="No",Table4424666572[[#This Row],[Change]],"")</f>
        <v/>
      </c>
      <c r="S104" s="5" t="b">
        <f>ISNUMBER(Table4424666572[[#This Row],[If Pre5 Yes]])</f>
        <v>0</v>
      </c>
      <c r="T104" s="5" t="b">
        <f>ISNUMBER(Table4424666572[[#This Row],[If Pre5 No]])</f>
        <v>0</v>
      </c>
    </row>
    <row r="105" spans="1:20">
      <c r="A105" s="2" t="s">
        <v>24</v>
      </c>
      <c r="B105" s="2" t="s">
        <v>28</v>
      </c>
      <c r="C105" s="1">
        <v>9</v>
      </c>
      <c r="D105" s="1" t="s">
        <v>16</v>
      </c>
      <c r="E105" s="5"/>
      <c r="F105" s="1">
        <v>2</v>
      </c>
      <c r="G105" s="1">
        <v>2</v>
      </c>
      <c r="H105" s="2" t="s">
        <v>8</v>
      </c>
      <c r="I105" s="6" t="str">
        <f>IF(IF(Table4424666572[[#This Row],[Pre or Post]]="Pre",1,0)+IF(ISNUMBER(Table4424666572[[#This Row],[Response]])=TRUE,1,0)=2,1,"")</f>
        <v/>
      </c>
      <c r="J105" s="6">
        <f>IF(IF(Table4424666572[[#This Row],[Pre or Post]]="Post",1,0)+IF(ISNUMBER(Table4424666572[[#This Row],[Response]])=TRUE,1,0)=2,1,"")</f>
        <v>1</v>
      </c>
      <c r="K105" s="6" t="str">
        <f>IF(IF(Table4424666572[[#This Row],[Pre or Post]]="Pre",1,0)+IF(ISNUMBER(Table4424666572[[#This Row],[Response]])=TRUE,1,0)=2,Table4424666572[[#This Row],[Response]],"")</f>
        <v/>
      </c>
      <c r="L105" s="6">
        <f>IF(IF(Table4424666572[[#This Row],[Pre or Post]]="Post",1,0)+IF(ISNUMBER(Table4424666572[[#This Row],[Response]])=TRUE,1,0)=2,Table4424666572[[#This Row],[Response]],"")</f>
        <v>2</v>
      </c>
      <c r="M105" s="6" t="str">
        <f>IF(IF(ISNUMBER(K105),1,0)+IF(ISNUMBER(L106),1,0)=2,IF(IF(C106=C105,1,0)+IF(B106=B105,1,0)+IF(D106="Post",1,0)+IF(D105="Pre",1,0)=4,Table4424666572[[#This Row],[Pre Total]],""),"")</f>
        <v/>
      </c>
      <c r="N105" s="6">
        <f>IF(IF(ISNUMBER(K104),1,0)+IF(ISNUMBER(Table4424666572[[#This Row],[Post Total]]),1,0)=2,IF(IF(Table4424666572[[#This Row],[Student Number]]=C104,1,0)+IF(Table4424666572[[#This Row],[Session]]=B104,1,0)+IF(Table4424666572[[#This Row],[Pre or Post]]="Post",1,0)+IF(D104="Pre",1,0)=4,Table4424666572[[#This Row],[Post Total]],""),"")</f>
        <v>2</v>
      </c>
      <c r="O105" s="6">
        <f>IF(IF(ISNUMBER(K104),1,0)+IF(ISNUMBER(Table4424666572[[#This Row],[Post Total]]),1,0)=2,IF(IF(Table4424666572[[#This Row],[Student Number]]=C104,1,0)+IF(Table4424666572[[#This Row],[Session]]=B104,1,0)+IF(Table4424666572[[#This Row],[Pre or Post]]="Post",1,0)+IF(D104="Pre",1,0)=4,Table4424666572[[#This Row],[Post Total]]-K104,""),"")</f>
        <v>0</v>
      </c>
      <c r="P105" s="6" t="b">
        <f>ISNUMBER(Table4424666572[[#This Row],[Change]])</f>
        <v>1</v>
      </c>
      <c r="Q105" s="5">
        <f>IF(E104="Yes",Table4424666572[[#This Row],[Change]],"")</f>
        <v>0</v>
      </c>
      <c r="R105" s="5" t="str">
        <f>IF(E104="No",Table4424666572[[#This Row],[Change]],"")</f>
        <v/>
      </c>
      <c r="S105" s="5" t="b">
        <f>ISNUMBER(Table4424666572[[#This Row],[If Pre5 Yes]])</f>
        <v>1</v>
      </c>
      <c r="T105" s="5" t="b">
        <f>ISNUMBER(Table4424666572[[#This Row],[If Pre5 No]])</f>
        <v>0</v>
      </c>
    </row>
    <row r="106" spans="1:20">
      <c r="A106" s="2" t="s">
        <v>24</v>
      </c>
      <c r="B106" s="2" t="s">
        <v>28</v>
      </c>
      <c r="C106" s="1">
        <v>10</v>
      </c>
      <c r="D106" s="1" t="s">
        <v>6</v>
      </c>
      <c r="E106" s="5" t="s">
        <v>8</v>
      </c>
      <c r="F106" s="1">
        <v>9</v>
      </c>
      <c r="G106" s="1">
        <v>3</v>
      </c>
      <c r="H106" s="2" t="s">
        <v>8</v>
      </c>
      <c r="I106" s="6">
        <f>IF(IF(Table4424666572[[#This Row],[Pre or Post]]="Pre",1,0)+IF(ISNUMBER(Table4424666572[[#This Row],[Response]])=TRUE,1,0)=2,1,"")</f>
        <v>1</v>
      </c>
      <c r="J106" s="6" t="str">
        <f>IF(IF(Table4424666572[[#This Row],[Pre or Post]]="Post",1,0)+IF(ISNUMBER(Table4424666572[[#This Row],[Response]])=TRUE,1,0)=2,1,"")</f>
        <v/>
      </c>
      <c r="K106" s="6">
        <f>IF(IF(Table4424666572[[#This Row],[Pre or Post]]="Pre",1,0)+IF(ISNUMBER(Table4424666572[[#This Row],[Response]])=TRUE,1,0)=2,Table4424666572[[#This Row],[Response]],"")</f>
        <v>3</v>
      </c>
      <c r="L106" s="6" t="str">
        <f>IF(IF(Table4424666572[[#This Row],[Pre or Post]]="Post",1,0)+IF(ISNUMBER(Table4424666572[[#This Row],[Response]])=TRUE,1,0)=2,Table4424666572[[#This Row],[Response]],"")</f>
        <v/>
      </c>
      <c r="M106" s="5">
        <f>IF(IF(ISNUMBER(K106),1,0)+IF(ISNUMBER(L107),1,0)=2,IF(IF(C107=C106,1,0)+IF(B107=B106,1,0)+IF(D107="Post",1,0)+IF(D106="Pre",1,0)=4,Table4424666572[[#This Row],[Pre Total]],""),"")</f>
        <v>3</v>
      </c>
      <c r="N106" s="5" t="str">
        <f>IF(IF(ISNUMBER(K105),1,0)+IF(ISNUMBER(Table4424666572[[#This Row],[Post Total]]),1,0)=2,IF(IF(Table4424666572[[#This Row],[Student Number]]=C105,1,0)+IF(Table4424666572[[#This Row],[Session]]=B105,1,0)+IF(Table4424666572[[#This Row],[Pre or Post]]="Post",1,0)+IF(D105="Pre",1,0)=4,Table4424666572[[#This Row],[Post Total]],""),"")</f>
        <v/>
      </c>
      <c r="O106" s="6" t="str">
        <f>IF(IF(ISNUMBER(K105),1,0)+IF(ISNUMBER(Table4424666572[[#This Row],[Post Total]]),1,0)=2,IF(IF(Table4424666572[[#This Row],[Student Number]]=C105,1,0)+IF(Table4424666572[[#This Row],[Session]]=B105,1,0)+IF(Table4424666572[[#This Row],[Pre or Post]]="Post",1,0)+IF(D105="Pre",1,0)=4,Table4424666572[[#This Row],[Post Total]]-K105,""),"")</f>
        <v/>
      </c>
      <c r="P106" s="6" t="b">
        <f>ISNUMBER(Table4424666572[[#This Row],[Change]])</f>
        <v>0</v>
      </c>
      <c r="Q106" s="5" t="str">
        <f>IF(E105="Yes",Table4424666572[[#This Row],[Change]],"")</f>
        <v/>
      </c>
      <c r="R106" s="5" t="str">
        <f>IF(E105="No",Table4424666572[[#This Row],[Change]],"")</f>
        <v/>
      </c>
      <c r="S106" s="5" t="b">
        <f>ISNUMBER(Table4424666572[[#This Row],[If Pre5 Yes]])</f>
        <v>0</v>
      </c>
      <c r="T106" s="5" t="b">
        <f>ISNUMBER(Table4424666572[[#This Row],[If Pre5 No]])</f>
        <v>0</v>
      </c>
    </row>
    <row r="107" spans="1:20">
      <c r="A107" s="2" t="s">
        <v>24</v>
      </c>
      <c r="B107" s="2" t="s">
        <v>28</v>
      </c>
      <c r="C107" s="1">
        <v>10</v>
      </c>
      <c r="D107" s="1" t="s">
        <v>16</v>
      </c>
      <c r="E107" s="5"/>
      <c r="F107" s="1">
        <v>2</v>
      </c>
      <c r="G107" s="1">
        <v>3</v>
      </c>
      <c r="H107" s="2" t="s">
        <v>8</v>
      </c>
      <c r="I107" s="5" t="str">
        <f>IF(IF(Table4424666572[[#This Row],[Pre or Post]]="Pre",1,0)+IF(ISNUMBER(Table4424666572[[#This Row],[Response]])=TRUE,1,0)=2,1,"")</f>
        <v/>
      </c>
      <c r="J107" s="5">
        <f>IF(IF(Table4424666572[[#This Row],[Pre or Post]]="Post",1,0)+IF(ISNUMBER(Table4424666572[[#This Row],[Response]])=TRUE,1,0)=2,1,"")</f>
        <v>1</v>
      </c>
      <c r="K107" s="6" t="str">
        <f>IF(IF(Table4424666572[[#This Row],[Pre or Post]]="Pre",1,0)+IF(ISNUMBER(Table4424666572[[#This Row],[Response]])=TRUE,1,0)=2,Table4424666572[[#This Row],[Response]],"")</f>
        <v/>
      </c>
      <c r="L107" s="6">
        <f>IF(IF(Table4424666572[[#This Row],[Pre or Post]]="Post",1,0)+IF(ISNUMBER(Table4424666572[[#This Row],[Response]])=TRUE,1,0)=2,Table4424666572[[#This Row],[Response]],"")</f>
        <v>3</v>
      </c>
      <c r="M107" s="5" t="str">
        <f>IF(IF(ISNUMBER(K107),1,0)+IF(ISNUMBER(L108),1,0)=2,IF(IF(C108=C107,1,0)+IF(B108=B107,1,0)+IF(D108="Post",1,0)+IF(D107="Pre",1,0)=4,Table4424666572[[#This Row],[Pre Total]],""),"")</f>
        <v/>
      </c>
      <c r="N107" s="5">
        <f>IF(IF(ISNUMBER(K106),1,0)+IF(ISNUMBER(Table4424666572[[#This Row],[Post Total]]),1,0)=2,IF(IF(Table4424666572[[#This Row],[Student Number]]=C106,1,0)+IF(Table4424666572[[#This Row],[Session]]=B106,1,0)+IF(Table4424666572[[#This Row],[Pre or Post]]="Post",1,0)+IF(D106="Pre",1,0)=4,Table4424666572[[#This Row],[Post Total]],""),"")</f>
        <v>3</v>
      </c>
      <c r="O107" s="5">
        <f>IF(IF(ISNUMBER(K106),1,0)+IF(ISNUMBER(Table4424666572[[#This Row],[Post Total]]),1,0)=2,IF(IF(Table4424666572[[#This Row],[Student Number]]=C106,1,0)+IF(Table4424666572[[#This Row],[Session]]=B106,1,0)+IF(Table4424666572[[#This Row],[Pre or Post]]="Post",1,0)+IF(D106="Pre",1,0)=4,Table4424666572[[#This Row],[Post Total]]-K106,""),"")</f>
        <v>0</v>
      </c>
      <c r="P107" s="5" t="b">
        <f>ISNUMBER(Table4424666572[[#This Row],[Change]])</f>
        <v>1</v>
      </c>
      <c r="Q107" s="5">
        <f>IF(E106="Yes",Table4424666572[[#This Row],[Change]],"")</f>
        <v>0</v>
      </c>
      <c r="R107" s="5" t="str">
        <f>IF(E106="No",Table4424666572[[#This Row],[Change]],"")</f>
        <v/>
      </c>
      <c r="S107" s="5" t="b">
        <f>ISNUMBER(Table4424666572[[#This Row],[If Pre5 Yes]])</f>
        <v>1</v>
      </c>
      <c r="T107" s="5" t="b">
        <f>ISNUMBER(Table4424666572[[#This Row],[If Pre5 No]])</f>
        <v>0</v>
      </c>
    </row>
    <row r="108" spans="1:20">
      <c r="A108" s="2" t="s">
        <v>24</v>
      </c>
      <c r="B108" s="2" t="s">
        <v>28</v>
      </c>
      <c r="C108" s="1">
        <v>11</v>
      </c>
      <c r="D108" s="1" t="s">
        <v>6</v>
      </c>
      <c r="E108" s="5" t="s">
        <v>8</v>
      </c>
      <c r="F108" s="1">
        <v>9</v>
      </c>
      <c r="G108" s="1">
        <v>3</v>
      </c>
      <c r="H108" s="2" t="s">
        <v>8</v>
      </c>
      <c r="I108" s="5">
        <f>IF(IF(Table4424666572[[#This Row],[Pre or Post]]="Pre",1,0)+IF(ISNUMBER(Table4424666572[[#This Row],[Response]])=TRUE,1,0)=2,1,"")</f>
        <v>1</v>
      </c>
      <c r="J108" s="5" t="str">
        <f>IF(IF(Table4424666572[[#This Row],[Pre or Post]]="Post",1,0)+IF(ISNUMBER(Table4424666572[[#This Row],[Response]])=TRUE,1,0)=2,1,"")</f>
        <v/>
      </c>
      <c r="K108" s="6">
        <f>IF(IF(Table4424666572[[#This Row],[Pre or Post]]="Pre",1,0)+IF(ISNUMBER(Table4424666572[[#This Row],[Response]])=TRUE,1,0)=2,Table4424666572[[#This Row],[Response]],"")</f>
        <v>3</v>
      </c>
      <c r="L108" s="6" t="str">
        <f>IF(IF(Table4424666572[[#This Row],[Pre or Post]]="Post",1,0)+IF(ISNUMBER(Table4424666572[[#This Row],[Response]])=TRUE,1,0)=2,Table4424666572[[#This Row],[Response]],"")</f>
        <v/>
      </c>
      <c r="M108" s="5">
        <f>IF(IF(ISNUMBER(K108),1,0)+IF(ISNUMBER(L109),1,0)=2,IF(IF(C109=C108,1,0)+IF(B109=B108,1,0)+IF(D109="Post",1,0)+IF(D108="Pre",1,0)=4,Table4424666572[[#This Row],[Pre Total]],""),"")</f>
        <v>3</v>
      </c>
      <c r="N108" s="5" t="str">
        <f>IF(IF(ISNUMBER(K107),1,0)+IF(ISNUMBER(Table4424666572[[#This Row],[Post Total]]),1,0)=2,IF(IF(Table4424666572[[#This Row],[Student Number]]=C107,1,0)+IF(Table4424666572[[#This Row],[Session]]=B107,1,0)+IF(Table4424666572[[#This Row],[Pre or Post]]="Post",1,0)+IF(D107="Pre",1,0)=4,Table4424666572[[#This Row],[Post Total]],""),"")</f>
        <v/>
      </c>
      <c r="O108" s="5" t="str">
        <f>IF(IF(ISNUMBER(K107),1,0)+IF(ISNUMBER(Table4424666572[[#This Row],[Post Total]]),1,0)=2,IF(IF(Table4424666572[[#This Row],[Student Number]]=C107,1,0)+IF(Table4424666572[[#This Row],[Session]]=B107,1,0)+IF(Table4424666572[[#This Row],[Pre or Post]]="Post",1,0)+IF(D107="Pre",1,0)=4,Table4424666572[[#This Row],[Post Total]]-K107,""),"")</f>
        <v/>
      </c>
      <c r="P108" s="5" t="b">
        <f>ISNUMBER(Table4424666572[[#This Row],[Change]])</f>
        <v>0</v>
      </c>
      <c r="Q108" s="5" t="str">
        <f>IF(E107="Yes",Table4424666572[[#This Row],[Change]],"")</f>
        <v/>
      </c>
      <c r="R108" s="5" t="str">
        <f>IF(E107="No",Table4424666572[[#This Row],[Change]],"")</f>
        <v/>
      </c>
      <c r="S108" s="5" t="b">
        <f>ISNUMBER(Table4424666572[[#This Row],[If Pre5 Yes]])</f>
        <v>0</v>
      </c>
      <c r="T108" s="5" t="b">
        <f>ISNUMBER(Table4424666572[[#This Row],[If Pre5 No]])</f>
        <v>0</v>
      </c>
    </row>
    <row r="109" spans="1:20" s="16" customFormat="1">
      <c r="A109" s="2" t="s">
        <v>24</v>
      </c>
      <c r="B109" s="2" t="s">
        <v>28</v>
      </c>
      <c r="C109" s="1">
        <v>11</v>
      </c>
      <c r="D109" s="1" t="s">
        <v>16</v>
      </c>
      <c r="E109" s="5"/>
      <c r="F109" s="1">
        <v>2</v>
      </c>
      <c r="G109" s="1">
        <v>3</v>
      </c>
      <c r="H109" s="2" t="s">
        <v>8</v>
      </c>
      <c r="I109" s="5" t="str">
        <f>IF(IF(Table4424666572[[#This Row],[Pre or Post]]="Pre",1,0)+IF(ISNUMBER(Table4424666572[[#This Row],[Response]])=TRUE,1,0)=2,1,"")</f>
        <v/>
      </c>
      <c r="J109" s="5">
        <f>IF(IF(Table4424666572[[#This Row],[Pre or Post]]="Post",1,0)+IF(ISNUMBER(Table4424666572[[#This Row],[Response]])=TRUE,1,0)=2,1,"")</f>
        <v>1</v>
      </c>
      <c r="K109" s="6" t="str">
        <f>IF(IF(Table4424666572[[#This Row],[Pre or Post]]="Pre",1,0)+IF(ISNUMBER(Table4424666572[[#This Row],[Response]])=TRUE,1,0)=2,Table4424666572[[#This Row],[Response]],"")</f>
        <v/>
      </c>
      <c r="L109" s="6">
        <f>IF(IF(Table4424666572[[#This Row],[Pre or Post]]="Post",1,0)+IF(ISNUMBER(Table4424666572[[#This Row],[Response]])=TRUE,1,0)=2,Table4424666572[[#This Row],[Response]],"")</f>
        <v>3</v>
      </c>
      <c r="M109" s="5" t="str">
        <f>IF(IF(ISNUMBER(K109),1,0)+IF(ISNUMBER(L110),1,0)=2,IF(IF(C110=C109,1,0)+IF(B110=B109,1,0)+IF(D110="Post",1,0)+IF(D109="Pre",1,0)=4,Table4424666572[[#This Row],[Pre Total]],""),"")</f>
        <v/>
      </c>
      <c r="N109" s="5">
        <f>IF(IF(ISNUMBER(K108),1,0)+IF(ISNUMBER(Table4424666572[[#This Row],[Post Total]]),1,0)=2,IF(IF(Table4424666572[[#This Row],[Student Number]]=C108,1,0)+IF(Table4424666572[[#This Row],[Session]]=B108,1,0)+IF(Table4424666572[[#This Row],[Pre or Post]]="Post",1,0)+IF(D108="Pre",1,0)=4,Table4424666572[[#This Row],[Post Total]],""),"")</f>
        <v>3</v>
      </c>
      <c r="O109" s="5">
        <f>IF(IF(ISNUMBER(K108),1,0)+IF(ISNUMBER(Table4424666572[[#This Row],[Post Total]]),1,0)=2,IF(IF(Table4424666572[[#This Row],[Student Number]]=C108,1,0)+IF(Table4424666572[[#This Row],[Session]]=B108,1,0)+IF(Table4424666572[[#This Row],[Pre or Post]]="Post",1,0)+IF(D108="Pre",1,0)=4,Table4424666572[[#This Row],[Post Total]]-K108,""),"")</f>
        <v>0</v>
      </c>
      <c r="P109" s="5" t="b">
        <f>ISNUMBER(Table4424666572[[#This Row],[Change]])</f>
        <v>1</v>
      </c>
      <c r="Q109" s="5">
        <f>IF(E108="Yes",Table4424666572[[#This Row],[Change]],"")</f>
        <v>0</v>
      </c>
      <c r="R109" s="5" t="str">
        <f>IF(E108="No",Table4424666572[[#This Row],[Change]],"")</f>
        <v/>
      </c>
      <c r="S109" s="5" t="b">
        <f>ISNUMBER(Table4424666572[[#This Row],[If Pre5 Yes]])</f>
        <v>1</v>
      </c>
      <c r="T109" s="5" t="b">
        <f>ISNUMBER(Table4424666572[[#This Row],[If Pre5 No]])</f>
        <v>0</v>
      </c>
    </row>
    <row r="110" spans="1:20">
      <c r="A110" s="2" t="s">
        <v>24</v>
      </c>
      <c r="B110" s="2" t="s">
        <v>28</v>
      </c>
      <c r="C110" s="1">
        <v>12</v>
      </c>
      <c r="D110" s="1" t="s">
        <v>6</v>
      </c>
      <c r="E110" s="5" t="s">
        <v>8</v>
      </c>
      <c r="F110" s="1">
        <v>9</v>
      </c>
      <c r="G110" s="2">
        <v>3</v>
      </c>
      <c r="H110" s="2" t="s">
        <v>8</v>
      </c>
      <c r="I110" s="5">
        <f>IF(IF(Table4424666572[[#This Row],[Pre or Post]]="Pre",1,0)+IF(ISNUMBER(Table4424666572[[#This Row],[Response]])=TRUE,1,0)=2,1,"")</f>
        <v>1</v>
      </c>
      <c r="J110" s="5" t="str">
        <f>IF(IF(Table4424666572[[#This Row],[Pre or Post]]="Post",1,0)+IF(ISNUMBER(Table4424666572[[#This Row],[Response]])=TRUE,1,0)=2,1,"")</f>
        <v/>
      </c>
      <c r="K110" s="6">
        <f>IF(IF(Table4424666572[[#This Row],[Pre or Post]]="Pre",1,0)+IF(ISNUMBER(Table4424666572[[#This Row],[Response]])=TRUE,1,0)=2,Table4424666572[[#This Row],[Response]],"")</f>
        <v>3</v>
      </c>
      <c r="L110" s="6" t="str">
        <f>IF(IF(Table4424666572[[#This Row],[Pre or Post]]="Post",1,0)+IF(ISNUMBER(Table4424666572[[#This Row],[Response]])=TRUE,1,0)=2,Table4424666572[[#This Row],[Response]],"")</f>
        <v/>
      </c>
      <c r="M110" s="5">
        <f>IF(IF(ISNUMBER(K110),1,0)+IF(ISNUMBER(L111),1,0)=2,IF(IF(C111=C110,1,0)+IF(B111=B110,1,0)+IF(D111="Post",1,0)+IF(D110="Pre",1,0)=4,Table4424666572[[#This Row],[Pre Total]],""),"")</f>
        <v>3</v>
      </c>
      <c r="N110" s="5" t="str">
        <f>IF(IF(ISNUMBER(K109),1,0)+IF(ISNUMBER(Table4424666572[[#This Row],[Post Total]]),1,0)=2,IF(IF(Table4424666572[[#This Row],[Student Number]]=C109,1,0)+IF(Table4424666572[[#This Row],[Session]]=B109,1,0)+IF(Table4424666572[[#This Row],[Pre or Post]]="Post",1,0)+IF(D109="Pre",1,0)=4,Table4424666572[[#This Row],[Post Total]],""),"")</f>
        <v/>
      </c>
      <c r="O110" s="5" t="str">
        <f>IF(IF(ISNUMBER(K109),1,0)+IF(ISNUMBER(Table4424666572[[#This Row],[Post Total]]),1,0)=2,IF(IF(Table4424666572[[#This Row],[Student Number]]=C109,1,0)+IF(Table4424666572[[#This Row],[Session]]=B109,1,0)+IF(Table4424666572[[#This Row],[Pre or Post]]="Post",1,0)+IF(D109="Pre",1,0)=4,Table4424666572[[#This Row],[Post Total]]-K109,""),"")</f>
        <v/>
      </c>
      <c r="P110" s="5" t="b">
        <f>ISNUMBER(Table4424666572[[#This Row],[Change]])</f>
        <v>0</v>
      </c>
      <c r="Q110" s="5" t="str">
        <f>IF(E109="Yes",Table4424666572[[#This Row],[Change]],"")</f>
        <v/>
      </c>
      <c r="R110" s="5" t="str">
        <f>IF(E109="No",Table4424666572[[#This Row],[Change]],"")</f>
        <v/>
      </c>
      <c r="S110" s="5" t="b">
        <f>ISNUMBER(Table4424666572[[#This Row],[If Pre5 Yes]])</f>
        <v>0</v>
      </c>
      <c r="T110" s="5" t="b">
        <f>ISNUMBER(Table4424666572[[#This Row],[If Pre5 No]])</f>
        <v>0</v>
      </c>
    </row>
    <row r="111" spans="1:20">
      <c r="A111" s="2" t="s">
        <v>24</v>
      </c>
      <c r="B111" s="2" t="s">
        <v>28</v>
      </c>
      <c r="C111" s="1">
        <v>12</v>
      </c>
      <c r="D111" s="1" t="s">
        <v>16</v>
      </c>
      <c r="E111" s="5"/>
      <c r="F111" s="1">
        <v>2</v>
      </c>
      <c r="G111" s="1">
        <v>3</v>
      </c>
      <c r="H111" s="2" t="s">
        <v>8</v>
      </c>
      <c r="I111" s="5" t="str">
        <f>IF(IF(Table4424666572[[#This Row],[Pre or Post]]="Pre",1,0)+IF(ISNUMBER(Table4424666572[[#This Row],[Response]])=TRUE,1,0)=2,1,"")</f>
        <v/>
      </c>
      <c r="J111" s="5">
        <f>IF(IF(Table4424666572[[#This Row],[Pre or Post]]="Post",1,0)+IF(ISNUMBER(Table4424666572[[#This Row],[Response]])=TRUE,1,0)=2,1,"")</f>
        <v>1</v>
      </c>
      <c r="K111" s="6" t="str">
        <f>IF(IF(Table4424666572[[#This Row],[Pre or Post]]="Pre",1,0)+IF(ISNUMBER(Table4424666572[[#This Row],[Response]])=TRUE,1,0)=2,Table4424666572[[#This Row],[Response]],"")</f>
        <v/>
      </c>
      <c r="L111" s="6">
        <f>IF(IF(Table4424666572[[#This Row],[Pre or Post]]="Post",1,0)+IF(ISNUMBER(Table4424666572[[#This Row],[Response]])=TRUE,1,0)=2,Table4424666572[[#This Row],[Response]],"")</f>
        <v>3</v>
      </c>
      <c r="M111" s="5" t="str">
        <f>IF(IF(ISNUMBER(K111),1,0)+IF(ISNUMBER(L112),1,0)=2,IF(IF(C112=C111,1,0)+IF(B112=B111,1,0)+IF(D112="Post",1,0)+IF(D111="Pre",1,0)=4,Table4424666572[[#This Row],[Pre Total]],""),"")</f>
        <v/>
      </c>
      <c r="N111" s="5">
        <f>IF(IF(ISNUMBER(K110),1,0)+IF(ISNUMBER(Table4424666572[[#This Row],[Post Total]]),1,0)=2,IF(IF(Table4424666572[[#This Row],[Student Number]]=C110,1,0)+IF(Table4424666572[[#This Row],[Session]]=B110,1,0)+IF(Table4424666572[[#This Row],[Pre or Post]]="Post",1,0)+IF(D110="Pre",1,0)=4,Table4424666572[[#This Row],[Post Total]],""),"")</f>
        <v>3</v>
      </c>
      <c r="O111" s="5">
        <f>IF(IF(ISNUMBER(K110),1,0)+IF(ISNUMBER(Table4424666572[[#This Row],[Post Total]]),1,0)=2,IF(IF(Table4424666572[[#This Row],[Student Number]]=C110,1,0)+IF(Table4424666572[[#This Row],[Session]]=B110,1,0)+IF(Table4424666572[[#This Row],[Pre or Post]]="Post",1,0)+IF(D110="Pre",1,0)=4,Table4424666572[[#This Row],[Post Total]]-K110,""),"")</f>
        <v>0</v>
      </c>
      <c r="P111" s="5" t="b">
        <f>ISNUMBER(Table4424666572[[#This Row],[Change]])</f>
        <v>1</v>
      </c>
      <c r="Q111" s="5">
        <f>IF(E110="Yes",Table4424666572[[#This Row],[Change]],"")</f>
        <v>0</v>
      </c>
      <c r="R111" s="5" t="str">
        <f>IF(E110="No",Table4424666572[[#This Row],[Change]],"")</f>
        <v/>
      </c>
      <c r="S111" s="5" t="b">
        <f>ISNUMBER(Table4424666572[[#This Row],[If Pre5 Yes]])</f>
        <v>1</v>
      </c>
      <c r="T111" s="5" t="b">
        <f>ISNUMBER(Table4424666572[[#This Row],[If Pre5 No]])</f>
        <v>0</v>
      </c>
    </row>
    <row r="112" spans="1:20">
      <c r="A112" s="2" t="s">
        <v>24</v>
      </c>
      <c r="B112" s="2" t="s">
        <v>28</v>
      </c>
      <c r="C112" s="1">
        <v>13</v>
      </c>
      <c r="D112" s="1" t="s">
        <v>6</v>
      </c>
      <c r="E112" s="5" t="s">
        <v>8</v>
      </c>
      <c r="F112" s="1">
        <v>9</v>
      </c>
      <c r="G112" s="2">
        <v>3</v>
      </c>
      <c r="H112" s="2" t="s">
        <v>8</v>
      </c>
      <c r="I112" s="5">
        <f>IF(IF(Table4424666572[[#This Row],[Pre or Post]]="Pre",1,0)+IF(ISNUMBER(Table4424666572[[#This Row],[Response]])=TRUE,1,0)=2,1,"")</f>
        <v>1</v>
      </c>
      <c r="J112" s="5" t="str">
        <f>IF(IF(Table4424666572[[#This Row],[Pre or Post]]="Post",1,0)+IF(ISNUMBER(Table4424666572[[#This Row],[Response]])=TRUE,1,0)=2,1,"")</f>
        <v/>
      </c>
      <c r="K112" s="6">
        <f>IF(IF(Table4424666572[[#This Row],[Pre or Post]]="Pre",1,0)+IF(ISNUMBER(Table4424666572[[#This Row],[Response]])=TRUE,1,0)=2,Table4424666572[[#This Row],[Response]],"")</f>
        <v>3</v>
      </c>
      <c r="L112" s="6" t="str">
        <f>IF(IF(Table4424666572[[#This Row],[Pre or Post]]="Post",1,0)+IF(ISNUMBER(Table4424666572[[#This Row],[Response]])=TRUE,1,0)=2,Table4424666572[[#This Row],[Response]],"")</f>
        <v/>
      </c>
      <c r="M112" s="5">
        <f>IF(IF(ISNUMBER(K112),1,0)+IF(ISNUMBER(L113),1,0)=2,IF(IF(C113=C112,1,0)+IF(B113=B112,1,0)+IF(D113="Post",1,0)+IF(D112="Pre",1,0)=4,Table4424666572[[#This Row],[Pre Total]],""),"")</f>
        <v>3</v>
      </c>
      <c r="N112" s="5" t="str">
        <f>IF(IF(ISNUMBER(K111),1,0)+IF(ISNUMBER(Table4424666572[[#This Row],[Post Total]]),1,0)=2,IF(IF(Table4424666572[[#This Row],[Student Number]]=C111,1,0)+IF(Table4424666572[[#This Row],[Session]]=B111,1,0)+IF(Table4424666572[[#This Row],[Pre or Post]]="Post",1,0)+IF(D111="Pre",1,0)=4,Table4424666572[[#This Row],[Post Total]],""),"")</f>
        <v/>
      </c>
      <c r="O112" s="5" t="str">
        <f>IF(IF(ISNUMBER(K111),1,0)+IF(ISNUMBER(Table4424666572[[#This Row],[Post Total]]),1,0)=2,IF(IF(Table4424666572[[#This Row],[Student Number]]=C111,1,0)+IF(Table4424666572[[#This Row],[Session]]=B111,1,0)+IF(Table4424666572[[#This Row],[Pre or Post]]="Post",1,0)+IF(D111="Pre",1,0)=4,Table4424666572[[#This Row],[Post Total]]-K111,""),"")</f>
        <v/>
      </c>
      <c r="P112" s="5" t="b">
        <f>ISNUMBER(Table4424666572[[#This Row],[Change]])</f>
        <v>0</v>
      </c>
      <c r="Q112" s="5" t="str">
        <f>IF(E111="Yes",Table4424666572[[#This Row],[Change]],"")</f>
        <v/>
      </c>
      <c r="R112" s="5" t="str">
        <f>IF(E111="No",Table4424666572[[#This Row],[Change]],"")</f>
        <v/>
      </c>
      <c r="S112" s="5" t="b">
        <f>ISNUMBER(Table4424666572[[#This Row],[If Pre5 Yes]])</f>
        <v>0</v>
      </c>
      <c r="T112" s="5" t="b">
        <f>ISNUMBER(Table4424666572[[#This Row],[If Pre5 No]])</f>
        <v>0</v>
      </c>
    </row>
    <row r="113" spans="1:20">
      <c r="A113" s="2" t="s">
        <v>24</v>
      </c>
      <c r="B113" s="2" t="s">
        <v>28</v>
      </c>
      <c r="C113" s="1">
        <v>13</v>
      </c>
      <c r="D113" s="1" t="s">
        <v>16</v>
      </c>
      <c r="E113" s="5"/>
      <c r="F113" s="1">
        <v>2</v>
      </c>
      <c r="G113" s="1">
        <v>3.5</v>
      </c>
      <c r="H113" s="2" t="s">
        <v>8</v>
      </c>
      <c r="I113" s="6" t="str">
        <f>IF(IF(Table4424666572[[#This Row],[Pre or Post]]="Pre",1,0)+IF(ISNUMBER(Table4424666572[[#This Row],[Response]])=TRUE,1,0)=2,1,"")</f>
        <v/>
      </c>
      <c r="J113" s="6">
        <f>IF(IF(Table4424666572[[#This Row],[Pre or Post]]="Post",1,0)+IF(ISNUMBER(Table4424666572[[#This Row],[Response]])=TRUE,1,0)=2,1,"")</f>
        <v>1</v>
      </c>
      <c r="K113" s="6" t="str">
        <f>IF(IF(Table4424666572[[#This Row],[Pre or Post]]="Pre",1,0)+IF(ISNUMBER(Table4424666572[[#This Row],[Response]])=TRUE,1,0)=2,Table4424666572[[#This Row],[Response]],"")</f>
        <v/>
      </c>
      <c r="L113" s="6">
        <f>IF(IF(Table4424666572[[#This Row],[Pre or Post]]="Post",1,0)+IF(ISNUMBER(Table4424666572[[#This Row],[Response]])=TRUE,1,0)=2,Table4424666572[[#This Row],[Response]],"")</f>
        <v>3.5</v>
      </c>
      <c r="M113" s="6" t="str">
        <f>IF(IF(ISNUMBER(K113),1,0)+IF(ISNUMBER(L114),1,0)=2,IF(IF(C114=C113,1,0)+IF(B114=B113,1,0)+IF(D114="Post",1,0)+IF(D113="Pre",1,0)=4,Table4424666572[[#This Row],[Pre Total]],""),"")</f>
        <v/>
      </c>
      <c r="N113" s="6">
        <f>IF(IF(ISNUMBER(K112),1,0)+IF(ISNUMBER(Table4424666572[[#This Row],[Post Total]]),1,0)=2,IF(IF(Table4424666572[[#This Row],[Student Number]]=C112,1,0)+IF(Table4424666572[[#This Row],[Session]]=B112,1,0)+IF(Table4424666572[[#This Row],[Pre or Post]]="Post",1,0)+IF(D112="Pre",1,0)=4,Table4424666572[[#This Row],[Post Total]],""),"")</f>
        <v>3.5</v>
      </c>
      <c r="O113" s="6">
        <f>IF(IF(ISNUMBER(K112),1,0)+IF(ISNUMBER(Table4424666572[[#This Row],[Post Total]]),1,0)=2,IF(IF(Table4424666572[[#This Row],[Student Number]]=C112,1,0)+IF(Table4424666572[[#This Row],[Session]]=B112,1,0)+IF(Table4424666572[[#This Row],[Pre or Post]]="Post",1,0)+IF(D112="Pre",1,0)=4,Table4424666572[[#This Row],[Post Total]]-K112,""),"")</f>
        <v>0.5</v>
      </c>
      <c r="P113" s="6" t="b">
        <f>ISNUMBER(Table4424666572[[#This Row],[Change]])</f>
        <v>1</v>
      </c>
      <c r="Q113" s="5">
        <f>IF(E112="Yes",Table4424666572[[#This Row],[Change]],"")</f>
        <v>0.5</v>
      </c>
      <c r="R113" s="5" t="str">
        <f>IF(E112="No",Table4424666572[[#This Row],[Change]],"")</f>
        <v/>
      </c>
      <c r="S113" s="5" t="b">
        <f>ISNUMBER(Table4424666572[[#This Row],[If Pre5 Yes]])</f>
        <v>1</v>
      </c>
      <c r="T113" s="5" t="b">
        <f>ISNUMBER(Table4424666572[[#This Row],[If Pre5 No]])</f>
        <v>0</v>
      </c>
    </row>
    <row r="114" spans="1:20">
      <c r="A114" s="2" t="s">
        <v>24</v>
      </c>
      <c r="B114" s="2" t="s">
        <v>31</v>
      </c>
      <c r="C114" s="1">
        <v>1</v>
      </c>
      <c r="D114" s="2" t="s">
        <v>16</v>
      </c>
      <c r="E114" s="6"/>
      <c r="F114" s="1">
        <v>2</v>
      </c>
      <c r="G114" s="1">
        <v>3</v>
      </c>
      <c r="H114" s="2" t="s">
        <v>9</v>
      </c>
      <c r="I114" s="5" t="str">
        <f>IF(IF(Table4424666572[[#This Row],[Pre or Post]]="Pre",1,0)+IF(ISNUMBER(Table4424666572[[#This Row],[Response]])=TRUE,1,0)=2,1,"")</f>
        <v/>
      </c>
      <c r="J114" s="5">
        <f>IF(IF(Table4424666572[[#This Row],[Pre or Post]]="Post",1,0)+IF(ISNUMBER(Table4424666572[[#This Row],[Response]])=TRUE,1,0)=2,1,"")</f>
        <v>1</v>
      </c>
      <c r="K114" s="6" t="str">
        <f>IF(IF(Table4424666572[[#This Row],[Pre or Post]]="Pre",1,0)+IF(ISNUMBER(Table4424666572[[#This Row],[Response]])=TRUE,1,0)=2,Table4424666572[[#This Row],[Response]],"")</f>
        <v/>
      </c>
      <c r="L114" s="6">
        <f>IF(IF(Table4424666572[[#This Row],[Pre or Post]]="Post",1,0)+IF(ISNUMBER(Table4424666572[[#This Row],[Response]])=TRUE,1,0)=2,Table4424666572[[#This Row],[Response]],"")</f>
        <v>3</v>
      </c>
      <c r="M114" s="5" t="str">
        <f>IF(IF(ISNUMBER(K114),1,0)+IF(ISNUMBER(L115),1,0)=2,IF(IF(C115=C114,1,0)+IF(B115=B114,1,0)+IF(D115="Post",1,0)+IF(D114="Pre",1,0)=4,Table4424666572[[#This Row],[Pre Total]],""),"")</f>
        <v/>
      </c>
      <c r="N114" s="5" t="str">
        <f>IF(IF(ISNUMBER(K113),1,0)+IF(ISNUMBER(Table4424666572[[#This Row],[Post Total]]),1,0)=2,IF(IF(Table4424666572[[#This Row],[Student Number]]=C113,1,0)+IF(Table4424666572[[#This Row],[Session]]=B113,1,0)+IF(Table4424666572[[#This Row],[Pre or Post]]="Post",1,0)+IF(D113="Pre",1,0)=4,Table4424666572[[#This Row],[Post Total]],""),"")</f>
        <v/>
      </c>
      <c r="O114" s="5" t="str">
        <f>IF(IF(ISNUMBER(K113),1,0)+IF(ISNUMBER(Table4424666572[[#This Row],[Post Total]]),1,0)=2,IF(IF(Table4424666572[[#This Row],[Student Number]]=C113,1,0)+IF(Table4424666572[[#This Row],[Session]]=B113,1,0)+IF(Table4424666572[[#This Row],[Pre or Post]]="Post",1,0)+IF(D113="Pre",1,0)=4,Table4424666572[[#This Row],[Post Total]]-K113,""),"")</f>
        <v/>
      </c>
      <c r="P114" s="5" t="b">
        <f>ISNUMBER(Table4424666572[[#This Row],[Change]])</f>
        <v>0</v>
      </c>
      <c r="Q114" s="5" t="str">
        <f>IF(E113="Yes",Table4424666572[[#This Row],[Change]],"")</f>
        <v/>
      </c>
      <c r="R114" s="5" t="str">
        <f>IF(E113="No",Table4424666572[[#This Row],[Change]],"")</f>
        <v/>
      </c>
      <c r="S114" s="5" t="b">
        <f>ISNUMBER(Table4424666572[[#This Row],[If Pre5 Yes]])</f>
        <v>0</v>
      </c>
      <c r="T114" s="5" t="b">
        <f>ISNUMBER(Table4424666572[[#This Row],[If Pre5 No]])</f>
        <v>0</v>
      </c>
    </row>
    <row r="115" spans="1:20">
      <c r="A115" s="2" t="s">
        <v>24</v>
      </c>
      <c r="B115" s="2" t="s">
        <v>31</v>
      </c>
      <c r="C115" s="1">
        <v>2</v>
      </c>
      <c r="D115" s="2" t="s">
        <v>16</v>
      </c>
      <c r="E115" s="6"/>
      <c r="F115" s="1">
        <v>2</v>
      </c>
      <c r="G115" s="1">
        <v>3</v>
      </c>
      <c r="H115" s="2" t="s">
        <v>9</v>
      </c>
      <c r="I115" s="6" t="str">
        <f>IF(IF(Table4424666572[[#This Row],[Pre or Post]]="Pre",1,0)+IF(ISNUMBER(Table4424666572[[#This Row],[Response]])=TRUE,1,0)=2,1,"")</f>
        <v/>
      </c>
      <c r="J115" s="6">
        <f>IF(IF(Table4424666572[[#This Row],[Pre or Post]]="Post",1,0)+IF(ISNUMBER(Table4424666572[[#This Row],[Response]])=TRUE,1,0)=2,1,"")</f>
        <v>1</v>
      </c>
      <c r="K115" s="6" t="str">
        <f>IF(IF(Table4424666572[[#This Row],[Pre or Post]]="Pre",1,0)+IF(ISNUMBER(Table4424666572[[#This Row],[Response]])=TRUE,1,0)=2,Table4424666572[[#This Row],[Response]],"")</f>
        <v/>
      </c>
      <c r="L115" s="6">
        <f>IF(IF(Table4424666572[[#This Row],[Pre or Post]]="Post",1,0)+IF(ISNUMBER(Table4424666572[[#This Row],[Response]])=TRUE,1,0)=2,Table4424666572[[#This Row],[Response]],"")</f>
        <v>3</v>
      </c>
      <c r="M115" s="6" t="str">
        <f>IF(IF(ISNUMBER(K115),1,0)+IF(ISNUMBER(L116),1,0)=2,IF(IF(C116=C115,1,0)+IF(B116=B115,1,0)+IF(D116="Post",1,0)+IF(D115="Pre",1,0)=4,Table4424666572[[#This Row],[Pre Total]],""),"")</f>
        <v/>
      </c>
      <c r="N115" s="6" t="str">
        <f>IF(IF(ISNUMBER(K114),1,0)+IF(ISNUMBER(Table4424666572[[#This Row],[Post Total]]),1,0)=2,IF(IF(Table4424666572[[#This Row],[Student Number]]=C114,1,0)+IF(Table4424666572[[#This Row],[Session]]=B114,1,0)+IF(Table4424666572[[#This Row],[Pre or Post]]="Post",1,0)+IF(D114="Pre",1,0)=4,Table4424666572[[#This Row],[Post Total]],""),"")</f>
        <v/>
      </c>
      <c r="O115" s="6" t="str">
        <f>IF(IF(ISNUMBER(K114),1,0)+IF(ISNUMBER(Table4424666572[[#This Row],[Post Total]]),1,0)=2,IF(IF(Table4424666572[[#This Row],[Student Number]]=C114,1,0)+IF(Table4424666572[[#This Row],[Session]]=B114,1,0)+IF(Table4424666572[[#This Row],[Pre or Post]]="Post",1,0)+IF(D114="Pre",1,0)=4,Table4424666572[[#This Row],[Post Total]]-K114,""),"")</f>
        <v/>
      </c>
      <c r="P115" s="6" t="b">
        <f>ISNUMBER(Table4424666572[[#This Row],[Change]])</f>
        <v>0</v>
      </c>
      <c r="Q115" s="5" t="str">
        <f>IF(E114="Yes",Table4424666572[[#This Row],[Change]],"")</f>
        <v/>
      </c>
      <c r="R115" s="5" t="str">
        <f>IF(E114="No",Table4424666572[[#This Row],[Change]],"")</f>
        <v/>
      </c>
      <c r="S115" s="5" t="b">
        <f>ISNUMBER(Table4424666572[[#This Row],[If Pre5 Yes]])</f>
        <v>0</v>
      </c>
      <c r="T115" s="5" t="b">
        <f>ISNUMBER(Table4424666572[[#This Row],[If Pre5 No]])</f>
        <v>0</v>
      </c>
    </row>
    <row r="116" spans="1:20">
      <c r="A116" s="2" t="s">
        <v>24</v>
      </c>
      <c r="B116" s="2" t="s">
        <v>31</v>
      </c>
      <c r="C116" s="1">
        <v>3</v>
      </c>
      <c r="D116" s="2" t="s">
        <v>16</v>
      </c>
      <c r="E116" s="6"/>
      <c r="F116" s="1">
        <v>2</v>
      </c>
      <c r="G116" s="1">
        <v>4</v>
      </c>
      <c r="H116" s="2" t="s">
        <v>9</v>
      </c>
      <c r="I116" s="6" t="str">
        <f>IF(IF(Table4424666572[[#This Row],[Pre or Post]]="Pre",1,0)+IF(ISNUMBER(Table4424666572[[#This Row],[Response]])=TRUE,1,0)=2,1,"")</f>
        <v/>
      </c>
      <c r="J116" s="6">
        <f>IF(IF(Table4424666572[[#This Row],[Pre or Post]]="Post",1,0)+IF(ISNUMBER(Table4424666572[[#This Row],[Response]])=TRUE,1,0)=2,1,"")</f>
        <v>1</v>
      </c>
      <c r="K116" s="6" t="str">
        <f>IF(IF(Table4424666572[[#This Row],[Pre or Post]]="Pre",1,0)+IF(ISNUMBER(Table4424666572[[#This Row],[Response]])=TRUE,1,0)=2,Table4424666572[[#This Row],[Response]],"")</f>
        <v/>
      </c>
      <c r="L116" s="6">
        <f>IF(IF(Table4424666572[[#This Row],[Pre or Post]]="Post",1,0)+IF(ISNUMBER(Table4424666572[[#This Row],[Response]])=TRUE,1,0)=2,Table4424666572[[#This Row],[Response]],"")</f>
        <v>4</v>
      </c>
      <c r="M116" s="6" t="str">
        <f>IF(IF(ISNUMBER(K116),1,0)+IF(ISNUMBER(L117),1,0)=2,IF(IF(C117=C116,1,0)+IF(B117=B116,1,0)+IF(D117="Post",1,0)+IF(D116="Pre",1,0)=4,Table4424666572[[#This Row],[Pre Total]],""),"")</f>
        <v/>
      </c>
      <c r="N116" s="6" t="str">
        <f>IF(IF(ISNUMBER(K115),1,0)+IF(ISNUMBER(Table4424666572[[#This Row],[Post Total]]),1,0)=2,IF(IF(Table4424666572[[#This Row],[Student Number]]=C115,1,0)+IF(Table4424666572[[#This Row],[Session]]=B115,1,0)+IF(Table4424666572[[#This Row],[Pre or Post]]="Post",1,0)+IF(D115="Pre",1,0)=4,Table4424666572[[#This Row],[Post Total]],""),"")</f>
        <v/>
      </c>
      <c r="O116" s="6" t="str">
        <f>IF(IF(ISNUMBER(K115),1,0)+IF(ISNUMBER(Table4424666572[[#This Row],[Post Total]]),1,0)=2,IF(IF(Table4424666572[[#This Row],[Student Number]]=C115,1,0)+IF(Table4424666572[[#This Row],[Session]]=B115,1,0)+IF(Table4424666572[[#This Row],[Pre or Post]]="Post",1,0)+IF(D115="Pre",1,0)=4,Table4424666572[[#This Row],[Post Total]]-K115,""),"")</f>
        <v/>
      </c>
      <c r="P116" s="6" t="b">
        <f>ISNUMBER(Table4424666572[[#This Row],[Change]])</f>
        <v>0</v>
      </c>
      <c r="Q116" s="5" t="str">
        <f>IF(E115="Yes",Table4424666572[[#This Row],[Change]],"")</f>
        <v/>
      </c>
      <c r="R116" s="5" t="str">
        <f>IF(E115="No",Table4424666572[[#This Row],[Change]],"")</f>
        <v/>
      </c>
      <c r="S116" s="5" t="b">
        <f>ISNUMBER(Table4424666572[[#This Row],[If Pre5 Yes]])</f>
        <v>0</v>
      </c>
      <c r="T116" s="5" t="b">
        <f>ISNUMBER(Table4424666572[[#This Row],[If Pre5 No]])</f>
        <v>0</v>
      </c>
    </row>
    <row r="117" spans="1:20">
      <c r="A117" s="2" t="s">
        <v>24</v>
      </c>
      <c r="B117" s="2" t="s">
        <v>31</v>
      </c>
      <c r="C117" s="1">
        <v>4</v>
      </c>
      <c r="D117" s="2" t="s">
        <v>16</v>
      </c>
      <c r="E117" s="6"/>
      <c r="F117" s="1">
        <v>2</v>
      </c>
      <c r="G117" s="1">
        <v>4</v>
      </c>
      <c r="H117" s="2" t="s">
        <v>9</v>
      </c>
      <c r="I117" s="5" t="str">
        <f>IF(IF(Table4424666572[[#This Row],[Pre or Post]]="Pre",1,0)+IF(ISNUMBER(Table4424666572[[#This Row],[Response]])=TRUE,1,0)=2,1,"")</f>
        <v/>
      </c>
      <c r="J117" s="5">
        <f>IF(IF(Table4424666572[[#This Row],[Pre or Post]]="Post",1,0)+IF(ISNUMBER(Table4424666572[[#This Row],[Response]])=TRUE,1,0)=2,1,"")</f>
        <v>1</v>
      </c>
      <c r="K117" s="6" t="str">
        <f>IF(IF(Table4424666572[[#This Row],[Pre or Post]]="Pre",1,0)+IF(ISNUMBER(Table4424666572[[#This Row],[Response]])=TRUE,1,0)=2,Table4424666572[[#This Row],[Response]],"")</f>
        <v/>
      </c>
      <c r="L117" s="6">
        <f>IF(IF(Table4424666572[[#This Row],[Pre or Post]]="Post",1,0)+IF(ISNUMBER(Table4424666572[[#This Row],[Response]])=TRUE,1,0)=2,Table4424666572[[#This Row],[Response]],"")</f>
        <v>4</v>
      </c>
      <c r="M117" s="5" t="str">
        <f>IF(IF(ISNUMBER(K117),1,0)+IF(ISNUMBER(L118),1,0)=2,IF(IF(C118=C117,1,0)+IF(B118=B117,1,0)+IF(D118="Post",1,0)+IF(D117="Pre",1,0)=4,Table4424666572[[#This Row],[Pre Total]],""),"")</f>
        <v/>
      </c>
      <c r="N117" s="5" t="str">
        <f>IF(IF(ISNUMBER(K116),1,0)+IF(ISNUMBER(Table4424666572[[#This Row],[Post Total]]),1,0)=2,IF(IF(Table4424666572[[#This Row],[Student Number]]=C116,1,0)+IF(Table4424666572[[#This Row],[Session]]=B116,1,0)+IF(Table4424666572[[#This Row],[Pre or Post]]="Post",1,0)+IF(D116="Pre",1,0)=4,Table4424666572[[#This Row],[Post Total]],""),"")</f>
        <v/>
      </c>
      <c r="O117" s="5" t="str">
        <f>IF(IF(ISNUMBER(K116),1,0)+IF(ISNUMBER(Table4424666572[[#This Row],[Post Total]]),1,0)=2,IF(IF(Table4424666572[[#This Row],[Student Number]]=C116,1,0)+IF(Table4424666572[[#This Row],[Session]]=B116,1,0)+IF(Table4424666572[[#This Row],[Pre or Post]]="Post",1,0)+IF(D116="Pre",1,0)=4,Table4424666572[[#This Row],[Post Total]]-K116,""),"")</f>
        <v/>
      </c>
      <c r="P117" s="5" t="b">
        <f>ISNUMBER(Table4424666572[[#This Row],[Change]])</f>
        <v>0</v>
      </c>
      <c r="Q117" s="5" t="str">
        <f>IF(E116="Yes",Table4424666572[[#This Row],[Change]],"")</f>
        <v/>
      </c>
      <c r="R117" s="5" t="str">
        <f>IF(E116="No",Table4424666572[[#This Row],[Change]],"")</f>
        <v/>
      </c>
      <c r="S117" s="5" t="b">
        <f>ISNUMBER(Table4424666572[[#This Row],[If Pre5 Yes]])</f>
        <v>0</v>
      </c>
      <c r="T117" s="5" t="b">
        <f>ISNUMBER(Table4424666572[[#This Row],[If Pre5 No]])</f>
        <v>0</v>
      </c>
    </row>
    <row r="118" spans="1:20">
      <c r="A118" s="2" t="s">
        <v>24</v>
      </c>
      <c r="B118" s="2" t="s">
        <v>31</v>
      </c>
      <c r="C118" s="1">
        <v>5</v>
      </c>
      <c r="D118" s="2" t="s">
        <v>16</v>
      </c>
      <c r="E118" s="6"/>
      <c r="F118" s="1">
        <v>2</v>
      </c>
      <c r="G118" s="1">
        <v>3</v>
      </c>
      <c r="H118" s="2" t="s">
        <v>9</v>
      </c>
      <c r="I118" s="5" t="str">
        <f>IF(IF(Table4424666572[[#This Row],[Pre or Post]]="Pre",1,0)+IF(ISNUMBER(Table4424666572[[#This Row],[Response]])=TRUE,1,0)=2,1,"")</f>
        <v/>
      </c>
      <c r="J118" s="5">
        <f>IF(IF(Table4424666572[[#This Row],[Pre or Post]]="Post",1,0)+IF(ISNUMBER(Table4424666572[[#This Row],[Response]])=TRUE,1,0)=2,1,"")</f>
        <v>1</v>
      </c>
      <c r="K118" s="6" t="str">
        <f>IF(IF(Table4424666572[[#This Row],[Pre or Post]]="Pre",1,0)+IF(ISNUMBER(Table4424666572[[#This Row],[Response]])=TRUE,1,0)=2,Table4424666572[[#This Row],[Response]],"")</f>
        <v/>
      </c>
      <c r="L118" s="6">
        <f>IF(IF(Table4424666572[[#This Row],[Pre or Post]]="Post",1,0)+IF(ISNUMBER(Table4424666572[[#This Row],[Response]])=TRUE,1,0)=2,Table4424666572[[#This Row],[Response]],"")</f>
        <v>3</v>
      </c>
      <c r="M118" s="5" t="str">
        <f>IF(IF(ISNUMBER(K118),1,0)+IF(ISNUMBER(L119),1,0)=2,IF(IF(C119=C118,1,0)+IF(B119=B118,1,0)+IF(D119="Post",1,0)+IF(D118="Pre",1,0)=4,Table4424666572[[#This Row],[Pre Total]],""),"")</f>
        <v/>
      </c>
      <c r="N118" s="5" t="str">
        <f>IF(IF(ISNUMBER(K117),1,0)+IF(ISNUMBER(Table4424666572[[#This Row],[Post Total]]),1,0)=2,IF(IF(Table4424666572[[#This Row],[Student Number]]=C117,1,0)+IF(Table4424666572[[#This Row],[Session]]=B117,1,0)+IF(Table4424666572[[#This Row],[Pre or Post]]="Post",1,0)+IF(D117="Pre",1,0)=4,Table4424666572[[#This Row],[Post Total]],""),"")</f>
        <v/>
      </c>
      <c r="O118" s="5" t="str">
        <f>IF(IF(ISNUMBER(K117),1,0)+IF(ISNUMBER(Table4424666572[[#This Row],[Post Total]]),1,0)=2,IF(IF(Table4424666572[[#This Row],[Student Number]]=C117,1,0)+IF(Table4424666572[[#This Row],[Session]]=B117,1,0)+IF(Table4424666572[[#This Row],[Pre or Post]]="Post",1,0)+IF(D117="Pre",1,0)=4,Table4424666572[[#This Row],[Post Total]]-K117,""),"")</f>
        <v/>
      </c>
      <c r="P118" s="5" t="b">
        <f>ISNUMBER(Table4424666572[[#This Row],[Change]])</f>
        <v>0</v>
      </c>
      <c r="Q118" s="5" t="str">
        <f>IF(E117="Yes",Table4424666572[[#This Row],[Change]],"")</f>
        <v/>
      </c>
      <c r="R118" s="5" t="str">
        <f>IF(E117="No",Table4424666572[[#This Row],[Change]],"")</f>
        <v/>
      </c>
      <c r="S118" s="5" t="b">
        <f>ISNUMBER(Table4424666572[[#This Row],[If Pre5 Yes]])</f>
        <v>0</v>
      </c>
      <c r="T118" s="5" t="b">
        <f>ISNUMBER(Table4424666572[[#This Row],[If Pre5 No]])</f>
        <v>0</v>
      </c>
    </row>
    <row r="119" spans="1:20">
      <c r="A119" s="2" t="s">
        <v>24</v>
      </c>
      <c r="B119" s="2" t="s">
        <v>31</v>
      </c>
      <c r="C119" s="1">
        <v>6</v>
      </c>
      <c r="D119" s="2" t="s">
        <v>16</v>
      </c>
      <c r="E119" s="6"/>
      <c r="F119" s="1">
        <v>2</v>
      </c>
      <c r="G119" s="1">
        <v>4</v>
      </c>
      <c r="H119" s="2" t="s">
        <v>9</v>
      </c>
      <c r="I119" s="6" t="str">
        <f>IF(IF(Table4424666572[[#This Row],[Pre or Post]]="Pre",1,0)+IF(ISNUMBER(Table4424666572[[#This Row],[Response]])=TRUE,1,0)=2,1,"")</f>
        <v/>
      </c>
      <c r="J119" s="6">
        <f>IF(IF(Table4424666572[[#This Row],[Pre or Post]]="Post",1,0)+IF(ISNUMBER(Table4424666572[[#This Row],[Response]])=TRUE,1,0)=2,1,"")</f>
        <v>1</v>
      </c>
      <c r="K119" s="6" t="str">
        <f>IF(IF(Table4424666572[[#This Row],[Pre or Post]]="Pre",1,0)+IF(ISNUMBER(Table4424666572[[#This Row],[Response]])=TRUE,1,0)=2,Table4424666572[[#This Row],[Response]],"")</f>
        <v/>
      </c>
      <c r="L119" s="6">
        <f>IF(IF(Table4424666572[[#This Row],[Pre or Post]]="Post",1,0)+IF(ISNUMBER(Table4424666572[[#This Row],[Response]])=TRUE,1,0)=2,Table4424666572[[#This Row],[Response]],"")</f>
        <v>4</v>
      </c>
      <c r="M119" s="6" t="str">
        <f>IF(IF(ISNUMBER(K119),1,0)+IF(ISNUMBER(L120),1,0)=2,IF(IF(C120=C119,1,0)+IF(B120=B119,1,0)+IF(D120="Post",1,0)+IF(D119="Pre",1,0)=4,Table4424666572[[#This Row],[Pre Total]],""),"")</f>
        <v/>
      </c>
      <c r="N119" s="6" t="str">
        <f>IF(IF(ISNUMBER(K118),1,0)+IF(ISNUMBER(Table4424666572[[#This Row],[Post Total]]),1,0)=2,IF(IF(Table4424666572[[#This Row],[Student Number]]=C118,1,0)+IF(Table4424666572[[#This Row],[Session]]=B118,1,0)+IF(Table4424666572[[#This Row],[Pre or Post]]="Post",1,0)+IF(D118="Pre",1,0)=4,Table4424666572[[#This Row],[Post Total]],""),"")</f>
        <v/>
      </c>
      <c r="O119" s="6" t="str">
        <f>IF(IF(ISNUMBER(K118),1,0)+IF(ISNUMBER(Table4424666572[[#This Row],[Post Total]]),1,0)=2,IF(IF(Table4424666572[[#This Row],[Student Number]]=C118,1,0)+IF(Table4424666572[[#This Row],[Session]]=B118,1,0)+IF(Table4424666572[[#This Row],[Pre or Post]]="Post",1,0)+IF(D118="Pre",1,0)=4,Table4424666572[[#This Row],[Post Total]]-K118,""),"")</f>
        <v/>
      </c>
      <c r="P119" s="6" t="b">
        <f>ISNUMBER(Table4424666572[[#This Row],[Change]])</f>
        <v>0</v>
      </c>
      <c r="Q119" s="5" t="str">
        <f>IF(E118="Yes",Table4424666572[[#This Row],[Change]],"")</f>
        <v/>
      </c>
      <c r="R119" s="5" t="str">
        <f>IF(E118="No",Table4424666572[[#This Row],[Change]],"")</f>
        <v/>
      </c>
      <c r="S119" s="5" t="b">
        <f>ISNUMBER(Table4424666572[[#This Row],[If Pre5 Yes]])</f>
        <v>0</v>
      </c>
      <c r="T119" s="5" t="b">
        <f>ISNUMBER(Table4424666572[[#This Row],[If Pre5 No]])</f>
        <v>0</v>
      </c>
    </row>
    <row r="120" spans="1:20">
      <c r="A120" s="2" t="s">
        <v>24</v>
      </c>
      <c r="B120" s="2" t="s">
        <v>31</v>
      </c>
      <c r="C120" s="1">
        <v>7</v>
      </c>
      <c r="D120" s="2" t="s">
        <v>16</v>
      </c>
      <c r="E120" s="6"/>
      <c r="F120" s="1">
        <v>2</v>
      </c>
      <c r="G120" s="1">
        <v>3</v>
      </c>
      <c r="H120" s="2" t="s">
        <v>9</v>
      </c>
      <c r="I120" s="6" t="str">
        <f>IF(IF(Table4424666572[[#This Row],[Pre or Post]]="Pre",1,0)+IF(ISNUMBER(Table4424666572[[#This Row],[Response]])=TRUE,1,0)=2,1,"")</f>
        <v/>
      </c>
      <c r="J120" s="6">
        <f>IF(IF(Table4424666572[[#This Row],[Pre or Post]]="Post",1,0)+IF(ISNUMBER(Table4424666572[[#This Row],[Response]])=TRUE,1,0)=2,1,"")</f>
        <v>1</v>
      </c>
      <c r="K120" s="6" t="str">
        <f>IF(IF(Table4424666572[[#This Row],[Pre or Post]]="Pre",1,0)+IF(ISNUMBER(Table4424666572[[#This Row],[Response]])=TRUE,1,0)=2,Table4424666572[[#This Row],[Response]],"")</f>
        <v/>
      </c>
      <c r="L120" s="6">
        <f>IF(IF(Table4424666572[[#This Row],[Pre or Post]]="Post",1,0)+IF(ISNUMBER(Table4424666572[[#This Row],[Response]])=TRUE,1,0)=2,Table4424666572[[#This Row],[Response]],"")</f>
        <v>3</v>
      </c>
      <c r="M120" s="6" t="str">
        <f>IF(IF(ISNUMBER(K120),1,0)+IF(ISNUMBER(L121),1,0)=2,IF(IF(C121=C120,1,0)+IF(B121=B120,1,0)+IF(D121="Post",1,0)+IF(D120="Pre",1,0)=4,Table4424666572[[#This Row],[Pre Total]],""),"")</f>
        <v/>
      </c>
      <c r="N120" s="6" t="str">
        <f>IF(IF(ISNUMBER(K119),1,0)+IF(ISNUMBER(Table4424666572[[#This Row],[Post Total]]),1,0)=2,IF(IF(Table4424666572[[#This Row],[Student Number]]=C119,1,0)+IF(Table4424666572[[#This Row],[Session]]=B119,1,0)+IF(Table4424666572[[#This Row],[Pre or Post]]="Post",1,0)+IF(D119="Pre",1,0)=4,Table4424666572[[#This Row],[Post Total]],""),"")</f>
        <v/>
      </c>
      <c r="O120" s="6" t="str">
        <f>IF(IF(ISNUMBER(K119),1,0)+IF(ISNUMBER(Table4424666572[[#This Row],[Post Total]]),1,0)=2,IF(IF(Table4424666572[[#This Row],[Student Number]]=C119,1,0)+IF(Table4424666572[[#This Row],[Session]]=B119,1,0)+IF(Table4424666572[[#This Row],[Pre or Post]]="Post",1,0)+IF(D119="Pre",1,0)=4,Table4424666572[[#This Row],[Post Total]]-K119,""),"")</f>
        <v/>
      </c>
      <c r="P120" s="6" t="b">
        <f>ISNUMBER(Table4424666572[[#This Row],[Change]])</f>
        <v>0</v>
      </c>
      <c r="Q120" s="5" t="str">
        <f>IF(E119="Yes",Table4424666572[[#This Row],[Change]],"")</f>
        <v/>
      </c>
      <c r="R120" s="5" t="str">
        <f>IF(E119="No",Table4424666572[[#This Row],[Change]],"")</f>
        <v/>
      </c>
      <c r="S120" s="5" t="b">
        <f>ISNUMBER(Table4424666572[[#This Row],[If Pre5 Yes]])</f>
        <v>0</v>
      </c>
      <c r="T120" s="5" t="b">
        <f>ISNUMBER(Table4424666572[[#This Row],[If Pre5 No]])</f>
        <v>0</v>
      </c>
    </row>
    <row r="121" spans="1:20">
      <c r="A121" s="2" t="s">
        <v>24</v>
      </c>
      <c r="B121" s="2" t="s">
        <v>31</v>
      </c>
      <c r="C121" s="1">
        <v>8</v>
      </c>
      <c r="D121" s="2" t="s">
        <v>16</v>
      </c>
      <c r="E121" s="6"/>
      <c r="F121" s="1">
        <v>2</v>
      </c>
      <c r="G121" s="1">
        <v>4</v>
      </c>
      <c r="H121" s="2" t="s">
        <v>9</v>
      </c>
      <c r="I121" s="5" t="str">
        <f>IF(IF(Table4424666572[[#This Row],[Pre or Post]]="Pre",1,0)+IF(ISNUMBER(Table4424666572[[#This Row],[Response]])=TRUE,1,0)=2,1,"")</f>
        <v/>
      </c>
      <c r="J121" s="5">
        <f>IF(IF(Table4424666572[[#This Row],[Pre or Post]]="Post",1,0)+IF(ISNUMBER(Table4424666572[[#This Row],[Response]])=TRUE,1,0)=2,1,"")</f>
        <v>1</v>
      </c>
      <c r="K121" s="6" t="str">
        <f>IF(IF(Table4424666572[[#This Row],[Pre or Post]]="Pre",1,0)+IF(ISNUMBER(Table4424666572[[#This Row],[Response]])=TRUE,1,0)=2,Table4424666572[[#This Row],[Response]],"")</f>
        <v/>
      </c>
      <c r="L121" s="6">
        <f>IF(IF(Table4424666572[[#This Row],[Pre or Post]]="Post",1,0)+IF(ISNUMBER(Table4424666572[[#This Row],[Response]])=TRUE,1,0)=2,Table4424666572[[#This Row],[Response]],"")</f>
        <v>4</v>
      </c>
      <c r="M121" s="5" t="str">
        <f>IF(IF(ISNUMBER(K121),1,0)+IF(ISNUMBER(L122),1,0)=2,IF(IF(C122=C121,1,0)+IF(B122=B121,1,0)+IF(D122="Post",1,0)+IF(D121="Pre",1,0)=4,Table4424666572[[#This Row],[Pre Total]],""),"")</f>
        <v/>
      </c>
      <c r="N121" s="5" t="str">
        <f>IF(IF(ISNUMBER(K120),1,0)+IF(ISNUMBER(Table4424666572[[#This Row],[Post Total]]),1,0)=2,IF(IF(Table4424666572[[#This Row],[Student Number]]=C120,1,0)+IF(Table4424666572[[#This Row],[Session]]=B120,1,0)+IF(Table4424666572[[#This Row],[Pre or Post]]="Post",1,0)+IF(D120="Pre",1,0)=4,Table4424666572[[#This Row],[Post Total]],""),"")</f>
        <v/>
      </c>
      <c r="O121" s="5" t="str">
        <f>IF(IF(ISNUMBER(K120),1,0)+IF(ISNUMBER(Table4424666572[[#This Row],[Post Total]]),1,0)=2,IF(IF(Table4424666572[[#This Row],[Student Number]]=C120,1,0)+IF(Table4424666572[[#This Row],[Session]]=B120,1,0)+IF(Table4424666572[[#This Row],[Pre or Post]]="Post",1,0)+IF(D120="Pre",1,0)=4,Table4424666572[[#This Row],[Post Total]]-K120,""),"")</f>
        <v/>
      </c>
      <c r="P121" s="5" t="b">
        <f>ISNUMBER(Table4424666572[[#This Row],[Change]])</f>
        <v>0</v>
      </c>
      <c r="Q121" s="5" t="str">
        <f>IF(E120="Yes",Table4424666572[[#This Row],[Change]],"")</f>
        <v/>
      </c>
      <c r="R121" s="5" t="str">
        <f>IF(E120="No",Table4424666572[[#This Row],[Change]],"")</f>
        <v/>
      </c>
      <c r="S121" s="5" t="b">
        <f>ISNUMBER(Table4424666572[[#This Row],[If Pre5 Yes]])</f>
        <v>0</v>
      </c>
      <c r="T121" s="5" t="b">
        <f>ISNUMBER(Table4424666572[[#This Row],[If Pre5 No]])</f>
        <v>0</v>
      </c>
    </row>
    <row r="122" spans="1:20">
      <c r="A122" s="2" t="s">
        <v>24</v>
      </c>
      <c r="B122" s="2" t="s">
        <v>31</v>
      </c>
      <c r="C122" s="1">
        <v>9</v>
      </c>
      <c r="D122" s="2" t="s">
        <v>16</v>
      </c>
      <c r="E122" s="6"/>
      <c r="F122" s="1">
        <v>2</v>
      </c>
      <c r="G122" s="1">
        <v>4</v>
      </c>
      <c r="H122" s="2" t="s">
        <v>9</v>
      </c>
      <c r="I122" s="5" t="str">
        <f>IF(IF(Table4424666572[[#This Row],[Pre or Post]]="Pre",1,0)+IF(ISNUMBER(Table4424666572[[#This Row],[Response]])=TRUE,1,0)=2,1,"")</f>
        <v/>
      </c>
      <c r="J122" s="5">
        <f>IF(IF(Table4424666572[[#This Row],[Pre or Post]]="Post",1,0)+IF(ISNUMBER(Table4424666572[[#This Row],[Response]])=TRUE,1,0)=2,1,"")</f>
        <v>1</v>
      </c>
      <c r="K122" s="6" t="str">
        <f>IF(IF(Table4424666572[[#This Row],[Pre or Post]]="Pre",1,0)+IF(ISNUMBER(Table4424666572[[#This Row],[Response]])=TRUE,1,0)=2,Table4424666572[[#This Row],[Response]],"")</f>
        <v/>
      </c>
      <c r="L122" s="6">
        <f>IF(IF(Table4424666572[[#This Row],[Pre or Post]]="Post",1,0)+IF(ISNUMBER(Table4424666572[[#This Row],[Response]])=TRUE,1,0)=2,Table4424666572[[#This Row],[Response]],"")</f>
        <v>4</v>
      </c>
      <c r="M122" s="5" t="str">
        <f>IF(IF(ISNUMBER(K122),1,0)+IF(ISNUMBER(L123),1,0)=2,IF(IF(C123=C122,1,0)+IF(B123=B122,1,0)+IF(D123="Post",1,0)+IF(D122="Pre",1,0)=4,Table4424666572[[#This Row],[Pre Total]],""),"")</f>
        <v/>
      </c>
      <c r="N122" s="5" t="str">
        <f>IF(IF(ISNUMBER(K121),1,0)+IF(ISNUMBER(Table4424666572[[#This Row],[Post Total]]),1,0)=2,IF(IF(Table4424666572[[#This Row],[Student Number]]=C121,1,0)+IF(Table4424666572[[#This Row],[Session]]=B121,1,0)+IF(Table4424666572[[#This Row],[Pre or Post]]="Post",1,0)+IF(D121="Pre",1,0)=4,Table4424666572[[#This Row],[Post Total]],""),"")</f>
        <v/>
      </c>
      <c r="O122" s="5" t="str">
        <f>IF(IF(ISNUMBER(K121),1,0)+IF(ISNUMBER(Table4424666572[[#This Row],[Post Total]]),1,0)=2,IF(IF(Table4424666572[[#This Row],[Student Number]]=C121,1,0)+IF(Table4424666572[[#This Row],[Session]]=B121,1,0)+IF(Table4424666572[[#This Row],[Pre or Post]]="Post",1,0)+IF(D121="Pre",1,0)=4,Table4424666572[[#This Row],[Post Total]]-K121,""),"")</f>
        <v/>
      </c>
      <c r="P122" s="5" t="b">
        <f>ISNUMBER(Table4424666572[[#This Row],[Change]])</f>
        <v>0</v>
      </c>
      <c r="Q122" s="5" t="str">
        <f>IF(E121="Yes",Table4424666572[[#This Row],[Change]],"")</f>
        <v/>
      </c>
      <c r="R122" s="5" t="str">
        <f>IF(E121="No",Table4424666572[[#This Row],[Change]],"")</f>
        <v/>
      </c>
      <c r="S122" s="5" t="b">
        <f>ISNUMBER(Table4424666572[[#This Row],[If Pre5 Yes]])</f>
        <v>0</v>
      </c>
      <c r="T122" s="5" t="b">
        <f>ISNUMBER(Table4424666572[[#This Row],[If Pre5 No]])</f>
        <v>0</v>
      </c>
    </row>
    <row r="123" spans="1:20">
      <c r="A123" s="2" t="s">
        <v>24</v>
      </c>
      <c r="B123" s="2" t="s">
        <v>31</v>
      </c>
      <c r="C123" s="1">
        <v>10</v>
      </c>
      <c r="D123" s="2" t="s">
        <v>16</v>
      </c>
      <c r="E123" s="6"/>
      <c r="F123" s="1">
        <v>2</v>
      </c>
      <c r="G123" s="1">
        <v>5</v>
      </c>
      <c r="H123" s="2" t="s">
        <v>9</v>
      </c>
      <c r="I123" s="6" t="str">
        <f>IF(IF(Table4424666572[[#This Row],[Pre or Post]]="Pre",1,0)+IF(ISNUMBER(Table4424666572[[#This Row],[Response]])=TRUE,1,0)=2,1,"")</f>
        <v/>
      </c>
      <c r="J123" s="6">
        <f>IF(IF(Table4424666572[[#This Row],[Pre or Post]]="Post",1,0)+IF(ISNUMBER(Table4424666572[[#This Row],[Response]])=TRUE,1,0)=2,1,"")</f>
        <v>1</v>
      </c>
      <c r="K123" s="6" t="str">
        <f>IF(IF(Table4424666572[[#This Row],[Pre or Post]]="Pre",1,0)+IF(ISNUMBER(Table4424666572[[#This Row],[Response]])=TRUE,1,0)=2,Table4424666572[[#This Row],[Response]],"")</f>
        <v/>
      </c>
      <c r="L123" s="6">
        <f>IF(IF(Table4424666572[[#This Row],[Pre or Post]]="Post",1,0)+IF(ISNUMBER(Table4424666572[[#This Row],[Response]])=TRUE,1,0)=2,Table4424666572[[#This Row],[Response]],"")</f>
        <v>5</v>
      </c>
      <c r="M123" s="6" t="str">
        <f>IF(IF(ISNUMBER(K123),1,0)+IF(ISNUMBER(L124),1,0)=2,IF(IF(C124=C123,1,0)+IF(B124=B123,1,0)+IF(D124="Post",1,0)+IF(D123="Pre",1,0)=4,Table4424666572[[#This Row],[Pre Total]],""),"")</f>
        <v/>
      </c>
      <c r="N123" s="6" t="str">
        <f>IF(IF(ISNUMBER(K122),1,0)+IF(ISNUMBER(Table4424666572[[#This Row],[Post Total]]),1,0)=2,IF(IF(Table4424666572[[#This Row],[Student Number]]=C122,1,0)+IF(Table4424666572[[#This Row],[Session]]=B122,1,0)+IF(Table4424666572[[#This Row],[Pre or Post]]="Post",1,0)+IF(D122="Pre",1,0)=4,Table4424666572[[#This Row],[Post Total]],""),"")</f>
        <v/>
      </c>
      <c r="O123" s="6" t="str">
        <f>IF(IF(ISNUMBER(K122),1,0)+IF(ISNUMBER(Table4424666572[[#This Row],[Post Total]]),1,0)=2,IF(IF(Table4424666572[[#This Row],[Student Number]]=C122,1,0)+IF(Table4424666572[[#This Row],[Session]]=B122,1,0)+IF(Table4424666572[[#This Row],[Pre or Post]]="Post",1,0)+IF(D122="Pre",1,0)=4,Table4424666572[[#This Row],[Post Total]]-K122,""),"")</f>
        <v/>
      </c>
      <c r="P123" s="6" t="b">
        <f>ISNUMBER(Table4424666572[[#This Row],[Change]])</f>
        <v>0</v>
      </c>
      <c r="Q123" s="5" t="str">
        <f>IF(E122="Yes",Table4424666572[[#This Row],[Change]],"")</f>
        <v/>
      </c>
      <c r="R123" s="5" t="str">
        <f>IF(E122="No",Table4424666572[[#This Row],[Change]],"")</f>
        <v/>
      </c>
      <c r="S123" s="5" t="b">
        <f>ISNUMBER(Table4424666572[[#This Row],[If Pre5 Yes]])</f>
        <v>0</v>
      </c>
      <c r="T123" s="5" t="b">
        <f>ISNUMBER(Table4424666572[[#This Row],[If Pre5 No]])</f>
        <v>0</v>
      </c>
    </row>
    <row r="124" spans="1:20">
      <c r="A124" s="2" t="s">
        <v>24</v>
      </c>
      <c r="B124" s="2" t="s">
        <v>31</v>
      </c>
      <c r="C124" s="1">
        <v>11</v>
      </c>
      <c r="D124" s="2" t="s">
        <v>16</v>
      </c>
      <c r="E124" s="6"/>
      <c r="F124" s="1">
        <v>2</v>
      </c>
      <c r="G124" s="1">
        <v>4</v>
      </c>
      <c r="H124" s="2" t="s">
        <v>9</v>
      </c>
      <c r="I124" s="6" t="str">
        <f>IF(IF(Table4424666572[[#This Row],[Pre or Post]]="Pre",1,0)+IF(ISNUMBER(Table4424666572[[#This Row],[Response]])=TRUE,1,0)=2,1,"")</f>
        <v/>
      </c>
      <c r="J124" s="6">
        <f>IF(IF(Table4424666572[[#This Row],[Pre or Post]]="Post",1,0)+IF(ISNUMBER(Table4424666572[[#This Row],[Response]])=TRUE,1,0)=2,1,"")</f>
        <v>1</v>
      </c>
      <c r="K124" s="6" t="str">
        <f>IF(IF(Table4424666572[[#This Row],[Pre or Post]]="Pre",1,0)+IF(ISNUMBER(Table4424666572[[#This Row],[Response]])=TRUE,1,0)=2,Table4424666572[[#This Row],[Response]],"")</f>
        <v/>
      </c>
      <c r="L124" s="6">
        <f>IF(IF(Table4424666572[[#This Row],[Pre or Post]]="Post",1,0)+IF(ISNUMBER(Table4424666572[[#This Row],[Response]])=TRUE,1,0)=2,Table4424666572[[#This Row],[Response]],"")</f>
        <v>4</v>
      </c>
      <c r="M124" s="6" t="str">
        <f>IF(IF(ISNUMBER(K124),1,0)+IF(ISNUMBER(L125),1,0)=2,IF(IF(C125=C124,1,0)+IF(B125=B124,1,0)+IF(D125="Post",1,0)+IF(D124="Pre",1,0)=4,Table4424666572[[#This Row],[Pre Total]],""),"")</f>
        <v/>
      </c>
      <c r="N124" s="6" t="str">
        <f>IF(IF(ISNUMBER(K123),1,0)+IF(ISNUMBER(Table4424666572[[#This Row],[Post Total]]),1,0)=2,IF(IF(Table4424666572[[#This Row],[Student Number]]=C123,1,0)+IF(Table4424666572[[#This Row],[Session]]=B123,1,0)+IF(Table4424666572[[#This Row],[Pre or Post]]="Post",1,0)+IF(D123="Pre",1,0)=4,Table4424666572[[#This Row],[Post Total]],""),"")</f>
        <v/>
      </c>
      <c r="O124" s="6" t="str">
        <f>IF(IF(ISNUMBER(K123),1,0)+IF(ISNUMBER(Table4424666572[[#This Row],[Post Total]]),1,0)=2,IF(IF(Table4424666572[[#This Row],[Student Number]]=C123,1,0)+IF(Table4424666572[[#This Row],[Session]]=B123,1,0)+IF(Table4424666572[[#This Row],[Pre or Post]]="Post",1,0)+IF(D123="Pre",1,0)=4,Table4424666572[[#This Row],[Post Total]]-K123,""),"")</f>
        <v/>
      </c>
      <c r="P124" s="6" t="b">
        <f>ISNUMBER(Table4424666572[[#This Row],[Change]])</f>
        <v>0</v>
      </c>
      <c r="Q124" s="5" t="str">
        <f>IF(E123="Yes",Table4424666572[[#This Row],[Change]],"")</f>
        <v/>
      </c>
      <c r="R124" s="5" t="str">
        <f>IF(E123="No",Table4424666572[[#This Row],[Change]],"")</f>
        <v/>
      </c>
      <c r="S124" s="5" t="b">
        <f>ISNUMBER(Table4424666572[[#This Row],[If Pre5 Yes]])</f>
        <v>0</v>
      </c>
      <c r="T124" s="5" t="b">
        <f>ISNUMBER(Table4424666572[[#This Row],[If Pre5 No]])</f>
        <v>0</v>
      </c>
    </row>
    <row r="125" spans="1:20">
      <c r="A125" s="2" t="s">
        <v>24</v>
      </c>
      <c r="B125" s="2" t="s">
        <v>31</v>
      </c>
      <c r="C125" s="1">
        <v>12</v>
      </c>
      <c r="D125" s="2" t="s">
        <v>16</v>
      </c>
      <c r="E125" s="6"/>
      <c r="F125" s="1">
        <v>2</v>
      </c>
      <c r="G125" s="1">
        <v>4</v>
      </c>
      <c r="H125" s="2" t="s">
        <v>9</v>
      </c>
      <c r="I125" s="5" t="str">
        <f>IF(IF(Table4424666572[[#This Row],[Pre or Post]]="Pre",1,0)+IF(ISNUMBER(Table4424666572[[#This Row],[Response]])=TRUE,1,0)=2,1,"")</f>
        <v/>
      </c>
      <c r="J125" s="5">
        <f>IF(IF(Table4424666572[[#This Row],[Pre or Post]]="Post",1,0)+IF(ISNUMBER(Table4424666572[[#This Row],[Response]])=TRUE,1,0)=2,1,"")</f>
        <v>1</v>
      </c>
      <c r="K125" s="6" t="str">
        <f>IF(IF(Table4424666572[[#This Row],[Pre or Post]]="Pre",1,0)+IF(ISNUMBER(Table4424666572[[#This Row],[Response]])=TRUE,1,0)=2,Table4424666572[[#This Row],[Response]],"")</f>
        <v/>
      </c>
      <c r="L125" s="6">
        <f>IF(IF(Table4424666572[[#This Row],[Pre or Post]]="Post",1,0)+IF(ISNUMBER(Table4424666572[[#This Row],[Response]])=TRUE,1,0)=2,Table4424666572[[#This Row],[Response]],"")</f>
        <v>4</v>
      </c>
      <c r="M125" s="5" t="str">
        <f>IF(IF(ISNUMBER(K125),1,0)+IF(ISNUMBER(L126),1,0)=2,IF(IF(C126=C125,1,0)+IF(B126=B125,1,0)+IF(D126="Post",1,0)+IF(D125="Pre",1,0)=4,Table4424666572[[#This Row],[Pre Total]],""),"")</f>
        <v/>
      </c>
      <c r="N125" s="5" t="str">
        <f>IF(IF(ISNUMBER(K124),1,0)+IF(ISNUMBER(Table4424666572[[#This Row],[Post Total]]),1,0)=2,IF(IF(Table4424666572[[#This Row],[Student Number]]=C124,1,0)+IF(Table4424666572[[#This Row],[Session]]=B124,1,0)+IF(Table4424666572[[#This Row],[Pre or Post]]="Post",1,0)+IF(D124="Pre",1,0)=4,Table4424666572[[#This Row],[Post Total]],""),"")</f>
        <v/>
      </c>
      <c r="O125" s="5" t="str">
        <f>IF(IF(ISNUMBER(K124),1,0)+IF(ISNUMBER(Table4424666572[[#This Row],[Post Total]]),1,0)=2,IF(IF(Table4424666572[[#This Row],[Student Number]]=C124,1,0)+IF(Table4424666572[[#This Row],[Session]]=B124,1,0)+IF(Table4424666572[[#This Row],[Pre or Post]]="Post",1,0)+IF(D124="Pre",1,0)=4,Table4424666572[[#This Row],[Post Total]]-K124,""),"")</f>
        <v/>
      </c>
      <c r="P125" s="5" t="b">
        <f>ISNUMBER(Table4424666572[[#This Row],[Change]])</f>
        <v>0</v>
      </c>
      <c r="Q125" s="5" t="str">
        <f>IF(E124="Yes",Table4424666572[[#This Row],[Change]],"")</f>
        <v/>
      </c>
      <c r="R125" s="5" t="str">
        <f>IF(E124="No",Table4424666572[[#This Row],[Change]],"")</f>
        <v/>
      </c>
      <c r="S125" s="5" t="b">
        <f>ISNUMBER(Table4424666572[[#This Row],[If Pre5 Yes]])</f>
        <v>0</v>
      </c>
      <c r="T125" s="5" t="b">
        <f>ISNUMBER(Table4424666572[[#This Row],[If Pre5 No]])</f>
        <v>0</v>
      </c>
    </row>
    <row r="126" spans="1:20">
      <c r="A126" s="2" t="s">
        <v>24</v>
      </c>
      <c r="B126" s="2" t="s">
        <v>31</v>
      </c>
      <c r="C126" s="1">
        <v>13</v>
      </c>
      <c r="D126" s="2" t="s">
        <v>16</v>
      </c>
      <c r="E126" s="6"/>
      <c r="F126" s="1">
        <v>2</v>
      </c>
      <c r="G126" s="1">
        <v>3</v>
      </c>
      <c r="H126" s="2" t="s">
        <v>9</v>
      </c>
      <c r="I126" s="5" t="str">
        <f>IF(IF(Table4424666572[[#This Row],[Pre or Post]]="Pre",1,0)+IF(ISNUMBER(Table4424666572[[#This Row],[Response]])=TRUE,1,0)=2,1,"")</f>
        <v/>
      </c>
      <c r="J126" s="5">
        <f>IF(IF(Table4424666572[[#This Row],[Pre or Post]]="Post",1,0)+IF(ISNUMBER(Table4424666572[[#This Row],[Response]])=TRUE,1,0)=2,1,"")</f>
        <v>1</v>
      </c>
      <c r="K126" s="6" t="str">
        <f>IF(IF(Table4424666572[[#This Row],[Pre or Post]]="Pre",1,0)+IF(ISNUMBER(Table4424666572[[#This Row],[Response]])=TRUE,1,0)=2,Table4424666572[[#This Row],[Response]],"")</f>
        <v/>
      </c>
      <c r="L126" s="6">
        <f>IF(IF(Table4424666572[[#This Row],[Pre or Post]]="Post",1,0)+IF(ISNUMBER(Table4424666572[[#This Row],[Response]])=TRUE,1,0)=2,Table4424666572[[#This Row],[Response]],"")</f>
        <v>3</v>
      </c>
      <c r="M126" s="5" t="str">
        <f>IF(IF(ISNUMBER(K126),1,0)+IF(ISNUMBER(L127),1,0)=2,IF(IF(C127=C126,1,0)+IF(B127=B126,1,0)+IF(D127="Post",1,0)+IF(D126="Pre",1,0)=4,Table4424666572[[#This Row],[Pre Total]],""),"")</f>
        <v/>
      </c>
      <c r="N126" s="5" t="str">
        <f>IF(IF(ISNUMBER(K125),1,0)+IF(ISNUMBER(Table4424666572[[#This Row],[Post Total]]),1,0)=2,IF(IF(Table4424666572[[#This Row],[Student Number]]=C125,1,0)+IF(Table4424666572[[#This Row],[Session]]=B125,1,0)+IF(Table4424666572[[#This Row],[Pre or Post]]="Post",1,0)+IF(D125="Pre",1,0)=4,Table4424666572[[#This Row],[Post Total]],""),"")</f>
        <v/>
      </c>
      <c r="O126" s="5" t="str">
        <f>IF(IF(ISNUMBER(K125),1,0)+IF(ISNUMBER(Table4424666572[[#This Row],[Post Total]]),1,0)=2,IF(IF(Table4424666572[[#This Row],[Student Number]]=C125,1,0)+IF(Table4424666572[[#This Row],[Session]]=B125,1,0)+IF(Table4424666572[[#This Row],[Pre or Post]]="Post",1,0)+IF(D125="Pre",1,0)=4,Table4424666572[[#This Row],[Post Total]]-K125,""),"")</f>
        <v/>
      </c>
      <c r="P126" s="5" t="b">
        <f>ISNUMBER(Table4424666572[[#This Row],[Change]])</f>
        <v>0</v>
      </c>
      <c r="Q126" s="5" t="str">
        <f>IF(E125="Yes",Table4424666572[[#This Row],[Change]],"")</f>
        <v/>
      </c>
      <c r="R126" s="5" t="str">
        <f>IF(E125="No",Table4424666572[[#This Row],[Change]],"")</f>
        <v/>
      </c>
      <c r="S126" s="5" t="b">
        <f>ISNUMBER(Table4424666572[[#This Row],[If Pre5 Yes]])</f>
        <v>0</v>
      </c>
      <c r="T126" s="5" t="b">
        <f>ISNUMBER(Table4424666572[[#This Row],[If Pre5 No]])</f>
        <v>0</v>
      </c>
    </row>
    <row r="127" spans="1:20">
      <c r="A127" s="2" t="s">
        <v>24</v>
      </c>
      <c r="B127" s="2" t="s">
        <v>31</v>
      </c>
      <c r="C127" s="1">
        <v>14</v>
      </c>
      <c r="D127" s="2" t="s">
        <v>16</v>
      </c>
      <c r="E127" s="6"/>
      <c r="F127" s="1">
        <v>2</v>
      </c>
      <c r="G127" s="1">
        <v>5</v>
      </c>
      <c r="H127" s="2" t="s">
        <v>9</v>
      </c>
      <c r="I127" s="6" t="str">
        <f>IF(IF(Table4424666572[[#This Row],[Pre or Post]]="Pre",1,0)+IF(ISNUMBER(Table4424666572[[#This Row],[Response]])=TRUE,1,0)=2,1,"")</f>
        <v/>
      </c>
      <c r="J127" s="6">
        <f>IF(IF(Table4424666572[[#This Row],[Pre or Post]]="Post",1,0)+IF(ISNUMBER(Table4424666572[[#This Row],[Response]])=TRUE,1,0)=2,1,"")</f>
        <v>1</v>
      </c>
      <c r="K127" s="6" t="str">
        <f>IF(IF(Table4424666572[[#This Row],[Pre or Post]]="Pre",1,0)+IF(ISNUMBER(Table4424666572[[#This Row],[Response]])=TRUE,1,0)=2,Table4424666572[[#This Row],[Response]],"")</f>
        <v/>
      </c>
      <c r="L127" s="6">
        <f>IF(IF(Table4424666572[[#This Row],[Pre or Post]]="Post",1,0)+IF(ISNUMBER(Table4424666572[[#This Row],[Response]])=TRUE,1,0)=2,Table4424666572[[#This Row],[Response]],"")</f>
        <v>5</v>
      </c>
      <c r="M127" s="6" t="str">
        <f>IF(IF(ISNUMBER(K127),1,0)+IF(ISNUMBER(L128),1,0)=2,IF(IF(C128=C127,1,0)+IF(B128=B127,1,0)+IF(D128="Post",1,0)+IF(D127="Pre",1,0)=4,Table4424666572[[#This Row],[Pre Total]],""),"")</f>
        <v/>
      </c>
      <c r="N127" s="6" t="str">
        <f>IF(IF(ISNUMBER(K126),1,0)+IF(ISNUMBER(Table4424666572[[#This Row],[Post Total]]),1,0)=2,IF(IF(Table4424666572[[#This Row],[Student Number]]=C126,1,0)+IF(Table4424666572[[#This Row],[Session]]=B126,1,0)+IF(Table4424666572[[#This Row],[Pre or Post]]="Post",1,0)+IF(D126="Pre",1,0)=4,Table4424666572[[#This Row],[Post Total]],""),"")</f>
        <v/>
      </c>
      <c r="O127" s="6" t="str">
        <f>IF(IF(ISNUMBER(K126),1,0)+IF(ISNUMBER(Table4424666572[[#This Row],[Post Total]]),1,0)=2,IF(IF(Table4424666572[[#This Row],[Student Number]]=C126,1,0)+IF(Table4424666572[[#This Row],[Session]]=B126,1,0)+IF(Table4424666572[[#This Row],[Pre or Post]]="Post",1,0)+IF(D126="Pre",1,0)=4,Table4424666572[[#This Row],[Post Total]]-K126,""),"")</f>
        <v/>
      </c>
      <c r="P127" s="6" t="b">
        <f>ISNUMBER(Table4424666572[[#This Row],[Change]])</f>
        <v>0</v>
      </c>
      <c r="Q127" s="5" t="str">
        <f>IF(E126="Yes",Table4424666572[[#This Row],[Change]],"")</f>
        <v/>
      </c>
      <c r="R127" s="5" t="str">
        <f>IF(E126="No",Table4424666572[[#This Row],[Change]],"")</f>
        <v/>
      </c>
      <c r="S127" s="5" t="b">
        <f>ISNUMBER(Table4424666572[[#This Row],[If Pre5 Yes]])</f>
        <v>0</v>
      </c>
      <c r="T127" s="5" t="b">
        <f>ISNUMBER(Table4424666572[[#This Row],[If Pre5 No]])</f>
        <v>0</v>
      </c>
    </row>
    <row r="128" spans="1:20">
      <c r="A128" s="2" t="s">
        <v>24</v>
      </c>
      <c r="B128" s="2" t="s">
        <v>31</v>
      </c>
      <c r="C128" s="1">
        <v>15</v>
      </c>
      <c r="D128" s="2" t="s">
        <v>16</v>
      </c>
      <c r="E128" s="6"/>
      <c r="F128" s="1">
        <v>2</v>
      </c>
      <c r="G128" s="1">
        <v>4</v>
      </c>
      <c r="H128" s="2" t="s">
        <v>9</v>
      </c>
      <c r="I128" s="6" t="str">
        <f>IF(IF(Table4424666572[[#This Row],[Pre or Post]]="Pre",1,0)+IF(ISNUMBER(Table4424666572[[#This Row],[Response]])=TRUE,1,0)=2,1,"")</f>
        <v/>
      </c>
      <c r="J128" s="6">
        <f>IF(IF(Table4424666572[[#This Row],[Pre or Post]]="Post",1,0)+IF(ISNUMBER(Table4424666572[[#This Row],[Response]])=TRUE,1,0)=2,1,"")</f>
        <v>1</v>
      </c>
      <c r="K128" s="6" t="str">
        <f>IF(IF(Table4424666572[[#This Row],[Pre or Post]]="Pre",1,0)+IF(ISNUMBER(Table4424666572[[#This Row],[Response]])=TRUE,1,0)=2,Table4424666572[[#This Row],[Response]],"")</f>
        <v/>
      </c>
      <c r="L128" s="6">
        <f>IF(IF(Table4424666572[[#This Row],[Pre or Post]]="Post",1,0)+IF(ISNUMBER(Table4424666572[[#This Row],[Response]])=TRUE,1,0)=2,Table4424666572[[#This Row],[Response]],"")</f>
        <v>4</v>
      </c>
      <c r="M128" s="6" t="str">
        <f>IF(IF(ISNUMBER(K128),1,0)+IF(ISNUMBER(L129),1,0)=2,IF(IF(C129=C128,1,0)+IF(B129=B128,1,0)+IF(D129="Post",1,0)+IF(D128="Pre",1,0)=4,Table4424666572[[#This Row],[Pre Total]],""),"")</f>
        <v/>
      </c>
      <c r="N128" s="6" t="str">
        <f>IF(IF(ISNUMBER(K127),1,0)+IF(ISNUMBER(Table4424666572[[#This Row],[Post Total]]),1,0)=2,IF(IF(Table4424666572[[#This Row],[Student Number]]=C127,1,0)+IF(Table4424666572[[#This Row],[Session]]=B127,1,0)+IF(Table4424666572[[#This Row],[Pre or Post]]="Post",1,0)+IF(D127="Pre",1,0)=4,Table4424666572[[#This Row],[Post Total]],""),"")</f>
        <v/>
      </c>
      <c r="O128" s="6" t="str">
        <f>IF(IF(ISNUMBER(K127),1,0)+IF(ISNUMBER(Table4424666572[[#This Row],[Post Total]]),1,0)=2,IF(IF(Table4424666572[[#This Row],[Student Number]]=C127,1,0)+IF(Table4424666572[[#This Row],[Session]]=B127,1,0)+IF(Table4424666572[[#This Row],[Pre or Post]]="Post",1,0)+IF(D127="Pre",1,0)=4,Table4424666572[[#This Row],[Post Total]]-K127,""),"")</f>
        <v/>
      </c>
      <c r="P128" s="6" t="b">
        <f>ISNUMBER(Table4424666572[[#This Row],[Change]])</f>
        <v>0</v>
      </c>
      <c r="Q128" s="5" t="str">
        <f>IF(E127="Yes",Table4424666572[[#This Row],[Change]],"")</f>
        <v/>
      </c>
      <c r="R128" s="5" t="str">
        <f>IF(E127="No",Table4424666572[[#This Row],[Change]],"")</f>
        <v/>
      </c>
      <c r="S128" s="5" t="b">
        <f>ISNUMBER(Table4424666572[[#This Row],[If Pre5 Yes]])</f>
        <v>0</v>
      </c>
      <c r="T128" s="5" t="b">
        <f>ISNUMBER(Table4424666572[[#This Row],[If Pre5 No]])</f>
        <v>0</v>
      </c>
    </row>
    <row r="129" spans="1:20">
      <c r="A129" s="2" t="s">
        <v>24</v>
      </c>
      <c r="B129" s="2" t="s">
        <v>26</v>
      </c>
      <c r="C129" s="1">
        <v>1</v>
      </c>
      <c r="D129" s="1" t="s">
        <v>6</v>
      </c>
      <c r="E129" s="5" t="s">
        <v>8</v>
      </c>
      <c r="F129" s="1">
        <v>9</v>
      </c>
      <c r="G129" s="1">
        <v>3</v>
      </c>
      <c r="H129" s="2" t="s">
        <v>8</v>
      </c>
      <c r="I129" s="5">
        <f>IF(IF(Table4424666572[[#This Row],[Pre or Post]]="Pre",1,0)+IF(ISNUMBER(Table4424666572[[#This Row],[Response]])=TRUE,1,0)=2,1,"")</f>
        <v>1</v>
      </c>
      <c r="J129" s="5" t="str">
        <f>IF(IF(Table4424666572[[#This Row],[Pre or Post]]="Post",1,0)+IF(ISNUMBER(Table4424666572[[#This Row],[Response]])=TRUE,1,0)=2,1,"")</f>
        <v/>
      </c>
      <c r="K129" s="6">
        <f>IF(IF(Table4424666572[[#This Row],[Pre or Post]]="Pre",1,0)+IF(ISNUMBER(Table4424666572[[#This Row],[Response]])=TRUE,1,0)=2,Table4424666572[[#This Row],[Response]],"")</f>
        <v>3</v>
      </c>
      <c r="L129" s="6" t="str">
        <f>IF(IF(Table4424666572[[#This Row],[Pre or Post]]="Post",1,0)+IF(ISNUMBER(Table4424666572[[#This Row],[Response]])=TRUE,1,0)=2,Table4424666572[[#This Row],[Response]],"")</f>
        <v/>
      </c>
      <c r="M129" s="5">
        <f>IF(IF(ISNUMBER(K129),1,0)+IF(ISNUMBER(L130),1,0)=2,IF(IF(C130=C129,1,0)+IF(B130=B129,1,0)+IF(D130="Post",1,0)+IF(D129="Pre",1,0)=4,Table4424666572[[#This Row],[Pre Total]],""),"")</f>
        <v>3</v>
      </c>
      <c r="N129" s="5" t="str">
        <f>IF(IF(ISNUMBER(K128),1,0)+IF(ISNUMBER(Table4424666572[[#This Row],[Post Total]]),1,0)=2,IF(IF(Table4424666572[[#This Row],[Student Number]]=C128,1,0)+IF(Table4424666572[[#This Row],[Session]]=B128,1,0)+IF(Table4424666572[[#This Row],[Pre or Post]]="Post",1,0)+IF(D128="Pre",1,0)=4,Table4424666572[[#This Row],[Post Total]],""),"")</f>
        <v/>
      </c>
      <c r="O129" s="5" t="str">
        <f>IF(IF(ISNUMBER(K128),1,0)+IF(ISNUMBER(Table4424666572[[#This Row],[Post Total]]),1,0)=2,IF(IF(Table4424666572[[#This Row],[Student Number]]=C128,1,0)+IF(Table4424666572[[#This Row],[Session]]=B128,1,0)+IF(Table4424666572[[#This Row],[Pre or Post]]="Post",1,0)+IF(D128="Pre",1,0)=4,Table4424666572[[#This Row],[Post Total]]-K128,""),"")</f>
        <v/>
      </c>
      <c r="P129" s="5" t="b">
        <f>ISNUMBER(Table4424666572[[#This Row],[Change]])</f>
        <v>0</v>
      </c>
      <c r="Q129" s="5" t="str">
        <f>IF(E128="Yes",Table4424666572[[#This Row],[Change]],"")</f>
        <v/>
      </c>
      <c r="R129" s="5" t="str">
        <f>IF(E128="No",Table4424666572[[#This Row],[Change]],"")</f>
        <v/>
      </c>
      <c r="S129" s="5" t="b">
        <f>ISNUMBER(Table4424666572[[#This Row],[If Pre5 Yes]])</f>
        <v>0</v>
      </c>
      <c r="T129" s="5" t="b">
        <f>ISNUMBER(Table4424666572[[#This Row],[If Pre5 No]])</f>
        <v>0</v>
      </c>
    </row>
    <row r="130" spans="1:20">
      <c r="A130" s="2" t="s">
        <v>24</v>
      </c>
      <c r="B130" s="2" t="s">
        <v>26</v>
      </c>
      <c r="C130" s="1">
        <v>1</v>
      </c>
      <c r="D130" s="1" t="s">
        <v>16</v>
      </c>
      <c r="E130" s="5"/>
      <c r="F130" s="1">
        <v>2</v>
      </c>
      <c r="G130" s="1">
        <v>3</v>
      </c>
      <c r="H130" s="2" t="s">
        <v>8</v>
      </c>
      <c r="I130" s="5" t="str">
        <f>IF(IF(Table4424666572[[#This Row],[Pre or Post]]="Pre",1,0)+IF(ISNUMBER(Table4424666572[[#This Row],[Response]])=TRUE,1,0)=2,1,"")</f>
        <v/>
      </c>
      <c r="J130" s="5">
        <f>IF(IF(Table4424666572[[#This Row],[Pre or Post]]="Post",1,0)+IF(ISNUMBER(Table4424666572[[#This Row],[Response]])=TRUE,1,0)=2,1,"")</f>
        <v>1</v>
      </c>
      <c r="K130" s="6" t="str">
        <f>IF(IF(Table4424666572[[#This Row],[Pre or Post]]="Pre",1,0)+IF(ISNUMBER(Table4424666572[[#This Row],[Response]])=TRUE,1,0)=2,Table4424666572[[#This Row],[Response]],"")</f>
        <v/>
      </c>
      <c r="L130" s="6">
        <f>IF(IF(Table4424666572[[#This Row],[Pre or Post]]="Post",1,0)+IF(ISNUMBER(Table4424666572[[#This Row],[Response]])=TRUE,1,0)=2,Table4424666572[[#This Row],[Response]],"")</f>
        <v>3</v>
      </c>
      <c r="M130" s="5" t="str">
        <f>IF(IF(ISNUMBER(K130),1,0)+IF(ISNUMBER(L131),1,0)=2,IF(IF(C131=C130,1,0)+IF(B131=B130,1,0)+IF(D131="Post",1,0)+IF(D130="Pre",1,0)=4,Table4424666572[[#This Row],[Pre Total]],""),"")</f>
        <v/>
      </c>
      <c r="N130" s="5">
        <f>IF(IF(ISNUMBER(K129),1,0)+IF(ISNUMBER(Table4424666572[[#This Row],[Post Total]]),1,0)=2,IF(IF(Table4424666572[[#This Row],[Student Number]]=C129,1,0)+IF(Table4424666572[[#This Row],[Session]]=B129,1,0)+IF(Table4424666572[[#This Row],[Pre or Post]]="Post",1,0)+IF(D129="Pre",1,0)=4,Table4424666572[[#This Row],[Post Total]],""),"")</f>
        <v>3</v>
      </c>
      <c r="O130" s="5">
        <f>IF(IF(ISNUMBER(K129),1,0)+IF(ISNUMBER(Table4424666572[[#This Row],[Post Total]]),1,0)=2,IF(IF(Table4424666572[[#This Row],[Student Number]]=C129,1,0)+IF(Table4424666572[[#This Row],[Session]]=B129,1,0)+IF(Table4424666572[[#This Row],[Pre or Post]]="Post",1,0)+IF(D129="Pre",1,0)=4,Table4424666572[[#This Row],[Post Total]]-K129,""),"")</f>
        <v>0</v>
      </c>
      <c r="P130" s="5" t="b">
        <f>ISNUMBER(Table4424666572[[#This Row],[Change]])</f>
        <v>1</v>
      </c>
      <c r="Q130" s="5">
        <f>IF(E129="Yes",Table4424666572[[#This Row],[Change]],"")</f>
        <v>0</v>
      </c>
      <c r="R130" s="5" t="str">
        <f>IF(E129="No",Table4424666572[[#This Row],[Change]],"")</f>
        <v/>
      </c>
      <c r="S130" s="5" t="b">
        <f>ISNUMBER(Table4424666572[[#This Row],[If Pre5 Yes]])</f>
        <v>1</v>
      </c>
      <c r="T130" s="5" t="b">
        <f>ISNUMBER(Table4424666572[[#This Row],[If Pre5 No]])</f>
        <v>0</v>
      </c>
    </row>
    <row r="131" spans="1:20">
      <c r="A131" s="2" t="s">
        <v>24</v>
      </c>
      <c r="B131" s="2" t="s">
        <v>26</v>
      </c>
      <c r="C131" s="1">
        <v>2</v>
      </c>
      <c r="D131" s="1" t="s">
        <v>6</v>
      </c>
      <c r="E131" s="5" t="s">
        <v>8</v>
      </c>
      <c r="F131" s="1">
        <v>9</v>
      </c>
      <c r="G131" s="1">
        <v>3</v>
      </c>
      <c r="H131" s="2" t="s">
        <v>8</v>
      </c>
      <c r="I131" s="5">
        <f>IF(IF(Table4424666572[[#This Row],[Pre or Post]]="Pre",1,0)+IF(ISNUMBER(Table4424666572[[#This Row],[Response]])=TRUE,1,0)=2,1,"")</f>
        <v>1</v>
      </c>
      <c r="J131" s="5" t="str">
        <f>IF(IF(Table4424666572[[#This Row],[Pre or Post]]="Post",1,0)+IF(ISNUMBER(Table4424666572[[#This Row],[Response]])=TRUE,1,0)=2,1,"")</f>
        <v/>
      </c>
      <c r="K131" s="6">
        <f>IF(IF(Table4424666572[[#This Row],[Pre or Post]]="Pre",1,0)+IF(ISNUMBER(Table4424666572[[#This Row],[Response]])=TRUE,1,0)=2,Table4424666572[[#This Row],[Response]],"")</f>
        <v>3</v>
      </c>
      <c r="L131" s="6" t="str">
        <f>IF(IF(Table4424666572[[#This Row],[Pre or Post]]="Post",1,0)+IF(ISNUMBER(Table4424666572[[#This Row],[Response]])=TRUE,1,0)=2,Table4424666572[[#This Row],[Response]],"")</f>
        <v/>
      </c>
      <c r="M131" s="5">
        <f>IF(IF(ISNUMBER(K131),1,0)+IF(ISNUMBER(L132),1,0)=2,IF(IF(C132=C131,1,0)+IF(B132=B131,1,0)+IF(D132="Post",1,0)+IF(D131="Pre",1,0)=4,Table4424666572[[#This Row],[Pre Total]],""),"")</f>
        <v>3</v>
      </c>
      <c r="N131" s="5" t="str">
        <f>IF(IF(ISNUMBER(K130),1,0)+IF(ISNUMBER(Table4424666572[[#This Row],[Post Total]]),1,0)=2,IF(IF(Table4424666572[[#This Row],[Student Number]]=C130,1,0)+IF(Table4424666572[[#This Row],[Session]]=B130,1,0)+IF(Table4424666572[[#This Row],[Pre or Post]]="Post",1,0)+IF(D130="Pre",1,0)=4,Table4424666572[[#This Row],[Post Total]],""),"")</f>
        <v/>
      </c>
      <c r="O131" s="5" t="str">
        <f>IF(IF(ISNUMBER(K130),1,0)+IF(ISNUMBER(Table4424666572[[#This Row],[Post Total]]),1,0)=2,IF(IF(Table4424666572[[#This Row],[Student Number]]=C130,1,0)+IF(Table4424666572[[#This Row],[Session]]=B130,1,0)+IF(Table4424666572[[#This Row],[Pre or Post]]="Post",1,0)+IF(D130="Pre",1,0)=4,Table4424666572[[#This Row],[Post Total]]-K130,""),"")</f>
        <v/>
      </c>
      <c r="P131" s="5" t="b">
        <f>ISNUMBER(Table4424666572[[#This Row],[Change]])</f>
        <v>0</v>
      </c>
      <c r="Q131" s="5" t="str">
        <f>IF(E130="Yes",Table4424666572[[#This Row],[Change]],"")</f>
        <v/>
      </c>
      <c r="R131" s="5" t="str">
        <f>IF(E130="No",Table4424666572[[#This Row],[Change]],"")</f>
        <v/>
      </c>
      <c r="S131" s="5" t="b">
        <f>ISNUMBER(Table4424666572[[#This Row],[If Pre5 Yes]])</f>
        <v>0</v>
      </c>
      <c r="T131" s="5" t="b">
        <f>ISNUMBER(Table4424666572[[#This Row],[If Pre5 No]])</f>
        <v>0</v>
      </c>
    </row>
    <row r="132" spans="1:20">
      <c r="A132" s="2" t="s">
        <v>24</v>
      </c>
      <c r="B132" s="2" t="s">
        <v>26</v>
      </c>
      <c r="C132" s="1">
        <v>2</v>
      </c>
      <c r="D132" s="1" t="s">
        <v>16</v>
      </c>
      <c r="E132" s="5"/>
      <c r="F132" s="1">
        <v>2</v>
      </c>
      <c r="G132" s="1">
        <v>2</v>
      </c>
      <c r="H132" s="2" t="s">
        <v>8</v>
      </c>
      <c r="I132" s="6" t="str">
        <f>IF(IF(Table4424666572[[#This Row],[Pre or Post]]="Pre",1,0)+IF(ISNUMBER(Table4424666572[[#This Row],[Response]])=TRUE,1,0)=2,1,"")</f>
        <v/>
      </c>
      <c r="J132" s="6">
        <f>IF(IF(Table4424666572[[#This Row],[Pre or Post]]="Post",1,0)+IF(ISNUMBER(Table4424666572[[#This Row],[Response]])=TRUE,1,0)=2,1,"")</f>
        <v>1</v>
      </c>
      <c r="K132" s="6" t="str">
        <f>IF(IF(Table4424666572[[#This Row],[Pre or Post]]="Pre",1,0)+IF(ISNUMBER(Table4424666572[[#This Row],[Response]])=TRUE,1,0)=2,Table4424666572[[#This Row],[Response]],"")</f>
        <v/>
      </c>
      <c r="L132" s="6">
        <f>IF(IF(Table4424666572[[#This Row],[Pre or Post]]="Post",1,0)+IF(ISNUMBER(Table4424666572[[#This Row],[Response]])=TRUE,1,0)=2,Table4424666572[[#This Row],[Response]],"")</f>
        <v>2</v>
      </c>
      <c r="M132" s="6" t="str">
        <f>IF(IF(ISNUMBER(K132),1,0)+IF(ISNUMBER(L133),1,0)=2,IF(IF(C133=C132,1,0)+IF(B133=B132,1,0)+IF(D133="Post",1,0)+IF(D132="Pre",1,0)=4,Table4424666572[[#This Row],[Pre Total]],""),"")</f>
        <v/>
      </c>
      <c r="N132" s="6">
        <f>IF(IF(ISNUMBER(K131),1,0)+IF(ISNUMBER(Table4424666572[[#This Row],[Post Total]]),1,0)=2,IF(IF(Table4424666572[[#This Row],[Student Number]]=C131,1,0)+IF(Table4424666572[[#This Row],[Session]]=B131,1,0)+IF(Table4424666572[[#This Row],[Pre or Post]]="Post",1,0)+IF(D131="Pre",1,0)=4,Table4424666572[[#This Row],[Post Total]],""),"")</f>
        <v>2</v>
      </c>
      <c r="O132" s="6">
        <f>IF(IF(ISNUMBER(K131),1,0)+IF(ISNUMBER(Table4424666572[[#This Row],[Post Total]]),1,0)=2,IF(IF(Table4424666572[[#This Row],[Student Number]]=C131,1,0)+IF(Table4424666572[[#This Row],[Session]]=B131,1,0)+IF(Table4424666572[[#This Row],[Pre or Post]]="Post",1,0)+IF(D131="Pre",1,0)=4,Table4424666572[[#This Row],[Post Total]]-K131,""),"")</f>
        <v>-1</v>
      </c>
      <c r="P132" s="6" t="b">
        <f>ISNUMBER(Table4424666572[[#This Row],[Change]])</f>
        <v>1</v>
      </c>
      <c r="Q132" s="5">
        <f>IF(E131="Yes",Table4424666572[[#This Row],[Change]],"")</f>
        <v>-1</v>
      </c>
      <c r="R132" s="5" t="str">
        <f>IF(E131="No",Table4424666572[[#This Row],[Change]],"")</f>
        <v/>
      </c>
      <c r="S132" s="5" t="b">
        <f>ISNUMBER(Table4424666572[[#This Row],[If Pre5 Yes]])</f>
        <v>1</v>
      </c>
      <c r="T132" s="5" t="b">
        <f>ISNUMBER(Table4424666572[[#This Row],[If Pre5 No]])</f>
        <v>0</v>
      </c>
    </row>
    <row r="133" spans="1:20">
      <c r="A133" s="2" t="s">
        <v>24</v>
      </c>
      <c r="B133" s="2" t="s">
        <v>26</v>
      </c>
      <c r="C133" s="1">
        <v>3</v>
      </c>
      <c r="D133" s="1" t="s">
        <v>6</v>
      </c>
      <c r="E133" s="5" t="s">
        <v>8</v>
      </c>
      <c r="F133" s="1">
        <v>9</v>
      </c>
      <c r="G133" s="1">
        <v>3</v>
      </c>
      <c r="H133" s="2" t="s">
        <v>8</v>
      </c>
      <c r="I133" s="5">
        <f>IF(IF(Table4424666572[[#This Row],[Pre or Post]]="Pre",1,0)+IF(ISNUMBER(Table4424666572[[#This Row],[Response]])=TRUE,1,0)=2,1,"")</f>
        <v>1</v>
      </c>
      <c r="J133" s="5" t="str">
        <f>IF(IF(Table4424666572[[#This Row],[Pre or Post]]="Post",1,0)+IF(ISNUMBER(Table4424666572[[#This Row],[Response]])=TRUE,1,0)=2,1,"")</f>
        <v/>
      </c>
      <c r="K133" s="6">
        <f>IF(IF(Table4424666572[[#This Row],[Pre or Post]]="Pre",1,0)+IF(ISNUMBER(Table4424666572[[#This Row],[Response]])=TRUE,1,0)=2,Table4424666572[[#This Row],[Response]],"")</f>
        <v>3</v>
      </c>
      <c r="L133" s="6" t="str">
        <f>IF(IF(Table4424666572[[#This Row],[Pre or Post]]="Post",1,0)+IF(ISNUMBER(Table4424666572[[#This Row],[Response]])=TRUE,1,0)=2,Table4424666572[[#This Row],[Response]],"")</f>
        <v/>
      </c>
      <c r="M133" s="5">
        <f>IF(IF(ISNUMBER(K133),1,0)+IF(ISNUMBER(L134),1,0)=2,IF(IF(C134=C133,1,0)+IF(B134=B133,1,0)+IF(D134="Post",1,0)+IF(D133="Pre",1,0)=4,Table4424666572[[#This Row],[Pre Total]],""),"")</f>
        <v>3</v>
      </c>
      <c r="N133" s="5" t="str">
        <f>IF(IF(ISNUMBER(K132),1,0)+IF(ISNUMBER(Table4424666572[[#This Row],[Post Total]]),1,0)=2,IF(IF(Table4424666572[[#This Row],[Student Number]]=C132,1,0)+IF(Table4424666572[[#This Row],[Session]]=B132,1,0)+IF(Table4424666572[[#This Row],[Pre or Post]]="Post",1,0)+IF(D132="Pre",1,0)=4,Table4424666572[[#This Row],[Post Total]],""),"")</f>
        <v/>
      </c>
      <c r="O133" s="5" t="str">
        <f>IF(IF(ISNUMBER(K132),1,0)+IF(ISNUMBER(Table4424666572[[#This Row],[Post Total]]),1,0)=2,IF(IF(Table4424666572[[#This Row],[Student Number]]=C132,1,0)+IF(Table4424666572[[#This Row],[Session]]=B132,1,0)+IF(Table4424666572[[#This Row],[Pre or Post]]="Post",1,0)+IF(D132="Pre",1,0)=4,Table4424666572[[#This Row],[Post Total]]-K132,""),"")</f>
        <v/>
      </c>
      <c r="P133" s="5" t="b">
        <f>ISNUMBER(Table4424666572[[#This Row],[Change]])</f>
        <v>0</v>
      </c>
      <c r="Q133" s="5" t="str">
        <f>IF(E132="Yes",Table4424666572[[#This Row],[Change]],"")</f>
        <v/>
      </c>
      <c r="R133" s="5" t="str">
        <f>IF(E132="No",Table4424666572[[#This Row],[Change]],"")</f>
        <v/>
      </c>
      <c r="S133" s="5" t="b">
        <f>ISNUMBER(Table4424666572[[#This Row],[If Pre5 Yes]])</f>
        <v>0</v>
      </c>
      <c r="T133" s="5" t="b">
        <f>ISNUMBER(Table4424666572[[#This Row],[If Pre5 No]])</f>
        <v>0</v>
      </c>
    </row>
    <row r="134" spans="1:20">
      <c r="A134" s="2" t="s">
        <v>24</v>
      </c>
      <c r="B134" s="2" t="s">
        <v>26</v>
      </c>
      <c r="C134" s="1">
        <v>3</v>
      </c>
      <c r="D134" s="1" t="s">
        <v>16</v>
      </c>
      <c r="E134" s="5"/>
      <c r="F134" s="1">
        <v>2</v>
      </c>
      <c r="G134" s="1">
        <v>3</v>
      </c>
      <c r="H134" s="2" t="s">
        <v>8</v>
      </c>
      <c r="I134" s="5" t="str">
        <f>IF(IF(Table4424666572[[#This Row],[Pre or Post]]="Pre",1,0)+IF(ISNUMBER(Table4424666572[[#This Row],[Response]])=TRUE,1,0)=2,1,"")</f>
        <v/>
      </c>
      <c r="J134" s="5">
        <f>IF(IF(Table4424666572[[#This Row],[Pre or Post]]="Post",1,0)+IF(ISNUMBER(Table4424666572[[#This Row],[Response]])=TRUE,1,0)=2,1,"")</f>
        <v>1</v>
      </c>
      <c r="K134" s="6" t="str">
        <f>IF(IF(Table4424666572[[#This Row],[Pre or Post]]="Pre",1,0)+IF(ISNUMBER(Table4424666572[[#This Row],[Response]])=TRUE,1,0)=2,Table4424666572[[#This Row],[Response]],"")</f>
        <v/>
      </c>
      <c r="L134" s="6">
        <f>IF(IF(Table4424666572[[#This Row],[Pre or Post]]="Post",1,0)+IF(ISNUMBER(Table4424666572[[#This Row],[Response]])=TRUE,1,0)=2,Table4424666572[[#This Row],[Response]],"")</f>
        <v>3</v>
      </c>
      <c r="M134" s="5" t="str">
        <f>IF(IF(ISNUMBER(K134),1,0)+IF(ISNUMBER(L135),1,0)=2,IF(IF(C135=C134,1,0)+IF(B135=B134,1,0)+IF(D135="Post",1,0)+IF(D134="Pre",1,0)=4,Table4424666572[[#This Row],[Pre Total]],""),"")</f>
        <v/>
      </c>
      <c r="N134" s="5">
        <f>IF(IF(ISNUMBER(K133),1,0)+IF(ISNUMBER(Table4424666572[[#This Row],[Post Total]]),1,0)=2,IF(IF(Table4424666572[[#This Row],[Student Number]]=C133,1,0)+IF(Table4424666572[[#This Row],[Session]]=B133,1,0)+IF(Table4424666572[[#This Row],[Pre or Post]]="Post",1,0)+IF(D133="Pre",1,0)=4,Table4424666572[[#This Row],[Post Total]],""),"")</f>
        <v>3</v>
      </c>
      <c r="O134" s="5">
        <f>IF(IF(ISNUMBER(K133),1,0)+IF(ISNUMBER(Table4424666572[[#This Row],[Post Total]]),1,0)=2,IF(IF(Table4424666572[[#This Row],[Student Number]]=C133,1,0)+IF(Table4424666572[[#This Row],[Session]]=B133,1,0)+IF(Table4424666572[[#This Row],[Pre or Post]]="Post",1,0)+IF(D133="Pre",1,0)=4,Table4424666572[[#This Row],[Post Total]]-K133,""),"")</f>
        <v>0</v>
      </c>
      <c r="P134" s="5" t="b">
        <f>ISNUMBER(Table4424666572[[#This Row],[Change]])</f>
        <v>1</v>
      </c>
      <c r="Q134" s="5">
        <f>IF(E133="Yes",Table4424666572[[#This Row],[Change]],"")</f>
        <v>0</v>
      </c>
      <c r="R134" s="5" t="str">
        <f>IF(E133="No",Table4424666572[[#This Row],[Change]],"")</f>
        <v/>
      </c>
      <c r="S134" s="5" t="b">
        <f>ISNUMBER(Table4424666572[[#This Row],[If Pre5 Yes]])</f>
        <v>1</v>
      </c>
      <c r="T134" s="5" t="b">
        <f>ISNUMBER(Table4424666572[[#This Row],[If Pre5 No]])</f>
        <v>0</v>
      </c>
    </row>
    <row r="135" spans="1:20">
      <c r="A135" s="2" t="s">
        <v>24</v>
      </c>
      <c r="B135" s="2" t="s">
        <v>26</v>
      </c>
      <c r="C135" s="1">
        <v>4</v>
      </c>
      <c r="D135" s="1" t="s">
        <v>6</v>
      </c>
      <c r="E135" s="5" t="s">
        <v>8</v>
      </c>
      <c r="F135" s="1">
        <v>9</v>
      </c>
      <c r="G135" s="1">
        <v>3</v>
      </c>
      <c r="H135" s="2" t="s">
        <v>8</v>
      </c>
      <c r="I135" s="5">
        <f>IF(IF(Table4424666572[[#This Row],[Pre or Post]]="Pre",1,0)+IF(ISNUMBER(Table4424666572[[#This Row],[Response]])=TRUE,1,0)=2,1,"")</f>
        <v>1</v>
      </c>
      <c r="J135" s="5" t="str">
        <f>IF(IF(Table4424666572[[#This Row],[Pre or Post]]="Post",1,0)+IF(ISNUMBER(Table4424666572[[#This Row],[Response]])=TRUE,1,0)=2,1,"")</f>
        <v/>
      </c>
      <c r="K135" s="6">
        <f>IF(IF(Table4424666572[[#This Row],[Pre or Post]]="Pre",1,0)+IF(ISNUMBER(Table4424666572[[#This Row],[Response]])=TRUE,1,0)=2,Table4424666572[[#This Row],[Response]],"")</f>
        <v>3</v>
      </c>
      <c r="L135" s="6" t="str">
        <f>IF(IF(Table4424666572[[#This Row],[Pre or Post]]="Post",1,0)+IF(ISNUMBER(Table4424666572[[#This Row],[Response]])=TRUE,1,0)=2,Table4424666572[[#This Row],[Response]],"")</f>
        <v/>
      </c>
      <c r="M135" s="5">
        <f>IF(IF(ISNUMBER(K135),1,0)+IF(ISNUMBER(L136),1,0)=2,IF(IF(C136=C135,1,0)+IF(B136=B135,1,0)+IF(D136="Post",1,0)+IF(D135="Pre",1,0)=4,Table4424666572[[#This Row],[Pre Total]],""),"")</f>
        <v>3</v>
      </c>
      <c r="N135" s="5" t="str">
        <f>IF(IF(ISNUMBER(K134),1,0)+IF(ISNUMBER(Table4424666572[[#This Row],[Post Total]]),1,0)=2,IF(IF(Table4424666572[[#This Row],[Student Number]]=C134,1,0)+IF(Table4424666572[[#This Row],[Session]]=B134,1,0)+IF(Table4424666572[[#This Row],[Pre or Post]]="Post",1,0)+IF(D134="Pre",1,0)=4,Table4424666572[[#This Row],[Post Total]],""),"")</f>
        <v/>
      </c>
      <c r="O135" s="5" t="str">
        <f>IF(IF(ISNUMBER(K134),1,0)+IF(ISNUMBER(Table4424666572[[#This Row],[Post Total]]),1,0)=2,IF(IF(Table4424666572[[#This Row],[Student Number]]=C134,1,0)+IF(Table4424666572[[#This Row],[Session]]=B134,1,0)+IF(Table4424666572[[#This Row],[Pre or Post]]="Post",1,0)+IF(D134="Pre",1,0)=4,Table4424666572[[#This Row],[Post Total]]-K134,""),"")</f>
        <v/>
      </c>
      <c r="P135" s="5" t="b">
        <f>ISNUMBER(Table4424666572[[#This Row],[Change]])</f>
        <v>0</v>
      </c>
      <c r="Q135" s="5" t="str">
        <f>IF(E134="Yes",Table4424666572[[#This Row],[Change]],"")</f>
        <v/>
      </c>
      <c r="R135" s="5" t="str">
        <f>IF(E134="No",Table4424666572[[#This Row],[Change]],"")</f>
        <v/>
      </c>
      <c r="S135" s="5" t="b">
        <f>ISNUMBER(Table4424666572[[#This Row],[If Pre5 Yes]])</f>
        <v>0</v>
      </c>
      <c r="T135" s="5" t="b">
        <f>ISNUMBER(Table4424666572[[#This Row],[If Pre5 No]])</f>
        <v>0</v>
      </c>
    </row>
    <row r="136" spans="1:20">
      <c r="A136" s="2" t="s">
        <v>24</v>
      </c>
      <c r="B136" s="2" t="s">
        <v>26</v>
      </c>
      <c r="C136" s="1">
        <v>4</v>
      </c>
      <c r="D136" s="1" t="s">
        <v>16</v>
      </c>
      <c r="E136" s="5"/>
      <c r="F136" s="1">
        <v>2</v>
      </c>
      <c r="G136" s="1">
        <v>3</v>
      </c>
      <c r="H136" s="2" t="s">
        <v>8</v>
      </c>
      <c r="I136" s="5" t="str">
        <f>IF(IF(Table4424666572[[#This Row],[Pre or Post]]="Pre",1,0)+IF(ISNUMBER(Table4424666572[[#This Row],[Response]])=TRUE,1,0)=2,1,"")</f>
        <v/>
      </c>
      <c r="J136" s="5">
        <f>IF(IF(Table4424666572[[#This Row],[Pre or Post]]="Post",1,0)+IF(ISNUMBER(Table4424666572[[#This Row],[Response]])=TRUE,1,0)=2,1,"")</f>
        <v>1</v>
      </c>
      <c r="K136" s="6" t="str">
        <f>IF(IF(Table4424666572[[#This Row],[Pre or Post]]="Pre",1,0)+IF(ISNUMBER(Table4424666572[[#This Row],[Response]])=TRUE,1,0)=2,Table4424666572[[#This Row],[Response]],"")</f>
        <v/>
      </c>
      <c r="L136" s="6">
        <f>IF(IF(Table4424666572[[#This Row],[Pre or Post]]="Post",1,0)+IF(ISNUMBER(Table4424666572[[#This Row],[Response]])=TRUE,1,0)=2,Table4424666572[[#This Row],[Response]],"")</f>
        <v>3</v>
      </c>
      <c r="M136" s="5" t="str">
        <f>IF(IF(ISNUMBER(K136),1,0)+IF(ISNUMBER(L137),1,0)=2,IF(IF(C137=C136,1,0)+IF(B137=B136,1,0)+IF(D137="Post",1,0)+IF(D136="Pre",1,0)=4,Table4424666572[[#This Row],[Pre Total]],""),"")</f>
        <v/>
      </c>
      <c r="N136" s="5">
        <f>IF(IF(ISNUMBER(K135),1,0)+IF(ISNUMBER(Table4424666572[[#This Row],[Post Total]]),1,0)=2,IF(IF(Table4424666572[[#This Row],[Student Number]]=C135,1,0)+IF(Table4424666572[[#This Row],[Session]]=B135,1,0)+IF(Table4424666572[[#This Row],[Pre or Post]]="Post",1,0)+IF(D135="Pre",1,0)=4,Table4424666572[[#This Row],[Post Total]],""),"")</f>
        <v>3</v>
      </c>
      <c r="O136" s="5">
        <f>IF(IF(ISNUMBER(K135),1,0)+IF(ISNUMBER(Table4424666572[[#This Row],[Post Total]]),1,0)=2,IF(IF(Table4424666572[[#This Row],[Student Number]]=C135,1,0)+IF(Table4424666572[[#This Row],[Session]]=B135,1,0)+IF(Table4424666572[[#This Row],[Pre or Post]]="Post",1,0)+IF(D135="Pre",1,0)=4,Table4424666572[[#This Row],[Post Total]]-K135,""),"")</f>
        <v>0</v>
      </c>
      <c r="P136" s="5" t="b">
        <f>ISNUMBER(Table4424666572[[#This Row],[Change]])</f>
        <v>1</v>
      </c>
      <c r="Q136" s="5">
        <f>IF(E135="Yes",Table4424666572[[#This Row],[Change]],"")</f>
        <v>0</v>
      </c>
      <c r="R136" s="5" t="str">
        <f>IF(E135="No",Table4424666572[[#This Row],[Change]],"")</f>
        <v/>
      </c>
      <c r="S136" s="5" t="b">
        <f>ISNUMBER(Table4424666572[[#This Row],[If Pre5 Yes]])</f>
        <v>1</v>
      </c>
      <c r="T136" s="5" t="b">
        <f>ISNUMBER(Table4424666572[[#This Row],[If Pre5 No]])</f>
        <v>0</v>
      </c>
    </row>
    <row r="137" spans="1:20">
      <c r="A137" s="2" t="s">
        <v>24</v>
      </c>
      <c r="B137" s="2" t="s">
        <v>26</v>
      </c>
      <c r="C137" s="1">
        <v>5</v>
      </c>
      <c r="D137" s="1" t="s">
        <v>6</v>
      </c>
      <c r="E137" s="5" t="s">
        <v>8</v>
      </c>
      <c r="F137" s="1">
        <v>9</v>
      </c>
      <c r="G137" s="1">
        <v>3</v>
      </c>
      <c r="H137" s="2" t="s">
        <v>8</v>
      </c>
      <c r="I137" s="5">
        <f>IF(IF(Table4424666572[[#This Row],[Pre or Post]]="Pre",1,0)+IF(ISNUMBER(Table4424666572[[#This Row],[Response]])=TRUE,1,0)=2,1,"")</f>
        <v>1</v>
      </c>
      <c r="J137" s="5" t="str">
        <f>IF(IF(Table4424666572[[#This Row],[Pre or Post]]="Post",1,0)+IF(ISNUMBER(Table4424666572[[#This Row],[Response]])=TRUE,1,0)=2,1,"")</f>
        <v/>
      </c>
      <c r="K137" s="6">
        <f>IF(IF(Table4424666572[[#This Row],[Pre or Post]]="Pre",1,0)+IF(ISNUMBER(Table4424666572[[#This Row],[Response]])=TRUE,1,0)=2,Table4424666572[[#This Row],[Response]],"")</f>
        <v>3</v>
      </c>
      <c r="L137" s="6" t="str">
        <f>IF(IF(Table4424666572[[#This Row],[Pre or Post]]="Post",1,0)+IF(ISNUMBER(Table4424666572[[#This Row],[Response]])=TRUE,1,0)=2,Table4424666572[[#This Row],[Response]],"")</f>
        <v/>
      </c>
      <c r="M137" s="5">
        <f>IF(IF(ISNUMBER(K137),1,0)+IF(ISNUMBER(L138),1,0)=2,IF(IF(C138=C137,1,0)+IF(B138=B137,1,0)+IF(D138="Post",1,0)+IF(D137="Pre",1,0)=4,Table4424666572[[#This Row],[Pre Total]],""),"")</f>
        <v>3</v>
      </c>
      <c r="N137" s="5" t="str">
        <f>IF(IF(ISNUMBER(K136),1,0)+IF(ISNUMBER(Table4424666572[[#This Row],[Post Total]]),1,0)=2,IF(IF(Table4424666572[[#This Row],[Student Number]]=C136,1,0)+IF(Table4424666572[[#This Row],[Session]]=B136,1,0)+IF(Table4424666572[[#This Row],[Pre or Post]]="Post",1,0)+IF(D136="Pre",1,0)=4,Table4424666572[[#This Row],[Post Total]],""),"")</f>
        <v/>
      </c>
      <c r="O137" s="5" t="str">
        <f>IF(IF(ISNUMBER(K136),1,0)+IF(ISNUMBER(Table4424666572[[#This Row],[Post Total]]),1,0)=2,IF(IF(Table4424666572[[#This Row],[Student Number]]=C136,1,0)+IF(Table4424666572[[#This Row],[Session]]=B136,1,0)+IF(Table4424666572[[#This Row],[Pre or Post]]="Post",1,0)+IF(D136="Pre",1,0)=4,Table4424666572[[#This Row],[Post Total]]-K136,""),"")</f>
        <v/>
      </c>
      <c r="P137" s="5" t="b">
        <f>ISNUMBER(Table4424666572[[#This Row],[Change]])</f>
        <v>0</v>
      </c>
      <c r="Q137" s="5" t="str">
        <f>IF(E136="Yes",Table4424666572[[#This Row],[Change]],"")</f>
        <v/>
      </c>
      <c r="R137" s="5" t="str">
        <f>IF(E136="No",Table4424666572[[#This Row],[Change]],"")</f>
        <v/>
      </c>
      <c r="S137" s="5" t="b">
        <f>ISNUMBER(Table4424666572[[#This Row],[If Pre5 Yes]])</f>
        <v>0</v>
      </c>
      <c r="T137" s="5" t="b">
        <f>ISNUMBER(Table4424666572[[#This Row],[If Pre5 No]])</f>
        <v>0</v>
      </c>
    </row>
    <row r="138" spans="1:20">
      <c r="A138" s="2" t="s">
        <v>24</v>
      </c>
      <c r="B138" s="2" t="s">
        <v>26</v>
      </c>
      <c r="C138" s="1">
        <v>5</v>
      </c>
      <c r="D138" s="1" t="s">
        <v>16</v>
      </c>
      <c r="E138" s="5"/>
      <c r="F138" s="1">
        <v>2</v>
      </c>
      <c r="G138" s="1">
        <v>3</v>
      </c>
      <c r="H138" s="2" t="s">
        <v>8</v>
      </c>
      <c r="I138" s="5" t="str">
        <f>IF(IF(Table4424666572[[#This Row],[Pre or Post]]="Pre",1,0)+IF(ISNUMBER(Table4424666572[[#This Row],[Response]])=TRUE,1,0)=2,1,"")</f>
        <v/>
      </c>
      <c r="J138" s="5">
        <f>IF(IF(Table4424666572[[#This Row],[Pre or Post]]="Post",1,0)+IF(ISNUMBER(Table4424666572[[#This Row],[Response]])=TRUE,1,0)=2,1,"")</f>
        <v>1</v>
      </c>
      <c r="K138" s="6" t="str">
        <f>IF(IF(Table4424666572[[#This Row],[Pre or Post]]="Pre",1,0)+IF(ISNUMBER(Table4424666572[[#This Row],[Response]])=TRUE,1,0)=2,Table4424666572[[#This Row],[Response]],"")</f>
        <v/>
      </c>
      <c r="L138" s="6">
        <f>IF(IF(Table4424666572[[#This Row],[Pre or Post]]="Post",1,0)+IF(ISNUMBER(Table4424666572[[#This Row],[Response]])=TRUE,1,0)=2,Table4424666572[[#This Row],[Response]],"")</f>
        <v>3</v>
      </c>
      <c r="M138" s="5" t="str">
        <f>IF(IF(ISNUMBER(K138),1,0)+IF(ISNUMBER(L139),1,0)=2,IF(IF(C139=C138,1,0)+IF(B139=B138,1,0)+IF(D139="Post",1,0)+IF(D138="Pre",1,0)=4,Table4424666572[[#This Row],[Pre Total]],""),"")</f>
        <v/>
      </c>
      <c r="N138" s="5">
        <f>IF(IF(ISNUMBER(K137),1,0)+IF(ISNUMBER(Table4424666572[[#This Row],[Post Total]]),1,0)=2,IF(IF(Table4424666572[[#This Row],[Student Number]]=C137,1,0)+IF(Table4424666572[[#This Row],[Session]]=B137,1,0)+IF(Table4424666572[[#This Row],[Pre or Post]]="Post",1,0)+IF(D137="Pre",1,0)=4,Table4424666572[[#This Row],[Post Total]],""),"")</f>
        <v>3</v>
      </c>
      <c r="O138" s="5">
        <f>IF(IF(ISNUMBER(K137),1,0)+IF(ISNUMBER(Table4424666572[[#This Row],[Post Total]]),1,0)=2,IF(IF(Table4424666572[[#This Row],[Student Number]]=C137,1,0)+IF(Table4424666572[[#This Row],[Session]]=B137,1,0)+IF(Table4424666572[[#This Row],[Pre or Post]]="Post",1,0)+IF(D137="Pre",1,0)=4,Table4424666572[[#This Row],[Post Total]]-K137,""),"")</f>
        <v>0</v>
      </c>
      <c r="P138" s="5" t="b">
        <f>ISNUMBER(Table4424666572[[#This Row],[Change]])</f>
        <v>1</v>
      </c>
      <c r="Q138" s="5">
        <f>IF(E137="Yes",Table4424666572[[#This Row],[Change]],"")</f>
        <v>0</v>
      </c>
      <c r="R138" s="5" t="str">
        <f>IF(E137="No",Table4424666572[[#This Row],[Change]],"")</f>
        <v/>
      </c>
      <c r="S138" s="5" t="b">
        <f>ISNUMBER(Table4424666572[[#This Row],[If Pre5 Yes]])</f>
        <v>1</v>
      </c>
      <c r="T138" s="5" t="b">
        <f>ISNUMBER(Table4424666572[[#This Row],[If Pre5 No]])</f>
        <v>0</v>
      </c>
    </row>
    <row r="139" spans="1:20">
      <c r="A139" s="2" t="s">
        <v>24</v>
      </c>
      <c r="B139" s="2" t="s">
        <v>26</v>
      </c>
      <c r="C139" s="1">
        <v>6</v>
      </c>
      <c r="D139" s="1" t="s">
        <v>6</v>
      </c>
      <c r="E139" s="5" t="s">
        <v>8</v>
      </c>
      <c r="F139" s="1">
        <v>9</v>
      </c>
      <c r="G139" s="1">
        <v>3</v>
      </c>
      <c r="H139" s="2" t="s">
        <v>8</v>
      </c>
      <c r="I139" s="5">
        <f>IF(IF(Table4424666572[[#This Row],[Pre or Post]]="Pre",1,0)+IF(ISNUMBER(Table4424666572[[#This Row],[Response]])=TRUE,1,0)=2,1,"")</f>
        <v>1</v>
      </c>
      <c r="J139" s="5" t="str">
        <f>IF(IF(Table4424666572[[#This Row],[Pre or Post]]="Post",1,0)+IF(ISNUMBER(Table4424666572[[#This Row],[Response]])=TRUE,1,0)=2,1,"")</f>
        <v/>
      </c>
      <c r="K139" s="6">
        <f>IF(IF(Table4424666572[[#This Row],[Pre or Post]]="Pre",1,0)+IF(ISNUMBER(Table4424666572[[#This Row],[Response]])=TRUE,1,0)=2,Table4424666572[[#This Row],[Response]],"")</f>
        <v>3</v>
      </c>
      <c r="L139" s="6" t="str">
        <f>IF(IF(Table4424666572[[#This Row],[Pre or Post]]="Post",1,0)+IF(ISNUMBER(Table4424666572[[#This Row],[Response]])=TRUE,1,0)=2,Table4424666572[[#This Row],[Response]],"")</f>
        <v/>
      </c>
      <c r="M139" s="5">
        <f>IF(IF(ISNUMBER(K139),1,0)+IF(ISNUMBER(L140),1,0)=2,IF(IF(C140=C139,1,0)+IF(B140=B139,1,0)+IF(D140="Post",1,0)+IF(D139="Pre",1,0)=4,Table4424666572[[#This Row],[Pre Total]],""),"")</f>
        <v>3</v>
      </c>
      <c r="N139" s="5" t="str">
        <f>IF(IF(ISNUMBER(K138),1,0)+IF(ISNUMBER(Table4424666572[[#This Row],[Post Total]]),1,0)=2,IF(IF(Table4424666572[[#This Row],[Student Number]]=C138,1,0)+IF(Table4424666572[[#This Row],[Session]]=B138,1,0)+IF(Table4424666572[[#This Row],[Pre or Post]]="Post",1,0)+IF(D138="Pre",1,0)=4,Table4424666572[[#This Row],[Post Total]],""),"")</f>
        <v/>
      </c>
      <c r="O139" s="5" t="str">
        <f>IF(IF(ISNUMBER(K138),1,0)+IF(ISNUMBER(Table4424666572[[#This Row],[Post Total]]),1,0)=2,IF(IF(Table4424666572[[#This Row],[Student Number]]=C138,1,0)+IF(Table4424666572[[#This Row],[Session]]=B138,1,0)+IF(Table4424666572[[#This Row],[Pre or Post]]="Post",1,0)+IF(D138="Pre",1,0)=4,Table4424666572[[#This Row],[Post Total]]-K138,""),"")</f>
        <v/>
      </c>
      <c r="P139" s="5" t="b">
        <f>ISNUMBER(Table4424666572[[#This Row],[Change]])</f>
        <v>0</v>
      </c>
      <c r="Q139" s="5" t="str">
        <f>IF(E138="Yes",Table4424666572[[#This Row],[Change]],"")</f>
        <v/>
      </c>
      <c r="R139" s="5" t="str">
        <f>IF(E138="No",Table4424666572[[#This Row],[Change]],"")</f>
        <v/>
      </c>
      <c r="S139" s="5" t="b">
        <f>ISNUMBER(Table4424666572[[#This Row],[If Pre5 Yes]])</f>
        <v>0</v>
      </c>
      <c r="T139" s="5" t="b">
        <f>ISNUMBER(Table4424666572[[#This Row],[If Pre5 No]])</f>
        <v>0</v>
      </c>
    </row>
    <row r="140" spans="1:20">
      <c r="A140" s="2" t="s">
        <v>24</v>
      </c>
      <c r="B140" s="2" t="s">
        <v>26</v>
      </c>
      <c r="C140" s="1">
        <v>6</v>
      </c>
      <c r="D140" s="1" t="s">
        <v>16</v>
      </c>
      <c r="E140" s="5"/>
      <c r="F140" s="1">
        <v>2</v>
      </c>
      <c r="G140" s="1">
        <v>3</v>
      </c>
      <c r="H140" s="2" t="s">
        <v>8</v>
      </c>
      <c r="I140" s="6" t="str">
        <f>IF(IF(Table4424666572[[#This Row],[Pre or Post]]="Pre",1,0)+IF(ISNUMBER(Table4424666572[[#This Row],[Response]])=TRUE,1,0)=2,1,"")</f>
        <v/>
      </c>
      <c r="J140" s="6">
        <f>IF(IF(Table4424666572[[#This Row],[Pre or Post]]="Post",1,0)+IF(ISNUMBER(Table4424666572[[#This Row],[Response]])=TRUE,1,0)=2,1,"")</f>
        <v>1</v>
      </c>
      <c r="K140" s="6" t="str">
        <f>IF(IF(Table4424666572[[#This Row],[Pre or Post]]="Pre",1,0)+IF(ISNUMBER(Table4424666572[[#This Row],[Response]])=TRUE,1,0)=2,Table4424666572[[#This Row],[Response]],"")</f>
        <v/>
      </c>
      <c r="L140" s="6">
        <f>IF(IF(Table4424666572[[#This Row],[Pre or Post]]="Post",1,0)+IF(ISNUMBER(Table4424666572[[#This Row],[Response]])=TRUE,1,0)=2,Table4424666572[[#This Row],[Response]],"")</f>
        <v>3</v>
      </c>
      <c r="M140" s="6" t="str">
        <f>IF(IF(ISNUMBER(K140),1,0)+IF(ISNUMBER(L141),1,0)=2,IF(IF(C141=C140,1,0)+IF(B141=B140,1,0)+IF(D141="Post",1,0)+IF(D140="Pre",1,0)=4,Table4424666572[[#This Row],[Pre Total]],""),"")</f>
        <v/>
      </c>
      <c r="N140" s="6">
        <f>IF(IF(ISNUMBER(K139),1,0)+IF(ISNUMBER(Table4424666572[[#This Row],[Post Total]]),1,0)=2,IF(IF(Table4424666572[[#This Row],[Student Number]]=C139,1,0)+IF(Table4424666572[[#This Row],[Session]]=B139,1,0)+IF(Table4424666572[[#This Row],[Pre or Post]]="Post",1,0)+IF(D139="Pre",1,0)=4,Table4424666572[[#This Row],[Post Total]],""),"")</f>
        <v>3</v>
      </c>
      <c r="O140" s="6">
        <f>IF(IF(ISNUMBER(K139),1,0)+IF(ISNUMBER(Table4424666572[[#This Row],[Post Total]]),1,0)=2,IF(IF(Table4424666572[[#This Row],[Student Number]]=C139,1,0)+IF(Table4424666572[[#This Row],[Session]]=B139,1,0)+IF(Table4424666572[[#This Row],[Pre or Post]]="Post",1,0)+IF(D139="Pre",1,0)=4,Table4424666572[[#This Row],[Post Total]]-K139,""),"")</f>
        <v>0</v>
      </c>
      <c r="P140" s="6" t="b">
        <f>ISNUMBER(Table4424666572[[#This Row],[Change]])</f>
        <v>1</v>
      </c>
      <c r="Q140" s="5">
        <f>IF(E139="Yes",Table4424666572[[#This Row],[Change]],"")</f>
        <v>0</v>
      </c>
      <c r="R140" s="5" t="str">
        <f>IF(E139="No",Table4424666572[[#This Row],[Change]],"")</f>
        <v/>
      </c>
      <c r="S140" s="5" t="b">
        <f>ISNUMBER(Table4424666572[[#This Row],[If Pre5 Yes]])</f>
        <v>1</v>
      </c>
      <c r="T140" s="5" t="b">
        <f>ISNUMBER(Table4424666572[[#This Row],[If Pre5 No]])</f>
        <v>0</v>
      </c>
    </row>
    <row r="141" spans="1:20">
      <c r="A141" s="2" t="s">
        <v>24</v>
      </c>
      <c r="B141" s="2" t="s">
        <v>26</v>
      </c>
      <c r="C141" s="1">
        <v>7</v>
      </c>
      <c r="D141" s="1" t="s">
        <v>6</v>
      </c>
      <c r="E141" s="5" t="s">
        <v>8</v>
      </c>
      <c r="F141" s="1">
        <v>9</v>
      </c>
      <c r="G141" s="1">
        <v>3</v>
      </c>
      <c r="H141" s="2" t="s">
        <v>8</v>
      </c>
      <c r="I141" s="5">
        <f>IF(IF(Table4424666572[[#This Row],[Pre or Post]]="Pre",1,0)+IF(ISNUMBER(Table4424666572[[#This Row],[Response]])=TRUE,1,0)=2,1,"")</f>
        <v>1</v>
      </c>
      <c r="J141" s="5" t="str">
        <f>IF(IF(Table4424666572[[#This Row],[Pre or Post]]="Post",1,0)+IF(ISNUMBER(Table4424666572[[#This Row],[Response]])=TRUE,1,0)=2,1,"")</f>
        <v/>
      </c>
      <c r="K141" s="6">
        <f>IF(IF(Table4424666572[[#This Row],[Pre or Post]]="Pre",1,0)+IF(ISNUMBER(Table4424666572[[#This Row],[Response]])=TRUE,1,0)=2,Table4424666572[[#This Row],[Response]],"")</f>
        <v>3</v>
      </c>
      <c r="L141" s="6" t="str">
        <f>IF(IF(Table4424666572[[#This Row],[Pre or Post]]="Post",1,0)+IF(ISNUMBER(Table4424666572[[#This Row],[Response]])=TRUE,1,0)=2,Table4424666572[[#This Row],[Response]],"")</f>
        <v/>
      </c>
      <c r="M141" s="5">
        <f>IF(IF(ISNUMBER(K141),1,0)+IF(ISNUMBER(L142),1,0)=2,IF(IF(C142=C141,1,0)+IF(B142=B141,1,0)+IF(D142="Post",1,0)+IF(D141="Pre",1,0)=4,Table4424666572[[#This Row],[Pre Total]],""),"")</f>
        <v>3</v>
      </c>
      <c r="N141" s="5" t="str">
        <f>IF(IF(ISNUMBER(K140),1,0)+IF(ISNUMBER(Table4424666572[[#This Row],[Post Total]]),1,0)=2,IF(IF(Table4424666572[[#This Row],[Student Number]]=C140,1,0)+IF(Table4424666572[[#This Row],[Session]]=B140,1,0)+IF(Table4424666572[[#This Row],[Pre or Post]]="Post",1,0)+IF(D140="Pre",1,0)=4,Table4424666572[[#This Row],[Post Total]],""),"")</f>
        <v/>
      </c>
      <c r="O141" s="5" t="str">
        <f>IF(IF(ISNUMBER(K140),1,0)+IF(ISNUMBER(Table4424666572[[#This Row],[Post Total]]),1,0)=2,IF(IF(Table4424666572[[#This Row],[Student Number]]=C140,1,0)+IF(Table4424666572[[#This Row],[Session]]=B140,1,0)+IF(Table4424666572[[#This Row],[Pre or Post]]="Post",1,0)+IF(D140="Pre",1,0)=4,Table4424666572[[#This Row],[Post Total]]-K140,""),"")</f>
        <v/>
      </c>
      <c r="P141" s="5" t="b">
        <f>ISNUMBER(Table4424666572[[#This Row],[Change]])</f>
        <v>0</v>
      </c>
      <c r="Q141" s="5" t="str">
        <f>IF(E140="Yes",Table4424666572[[#This Row],[Change]],"")</f>
        <v/>
      </c>
      <c r="R141" s="5" t="str">
        <f>IF(E140="No",Table4424666572[[#This Row],[Change]],"")</f>
        <v/>
      </c>
      <c r="S141" s="5" t="b">
        <f>ISNUMBER(Table4424666572[[#This Row],[If Pre5 Yes]])</f>
        <v>0</v>
      </c>
      <c r="T141" s="5" t="b">
        <f>ISNUMBER(Table4424666572[[#This Row],[If Pre5 No]])</f>
        <v>0</v>
      </c>
    </row>
    <row r="142" spans="1:20">
      <c r="A142" s="2" t="s">
        <v>24</v>
      </c>
      <c r="B142" s="2" t="s">
        <v>26</v>
      </c>
      <c r="C142" s="1">
        <v>7</v>
      </c>
      <c r="D142" s="1" t="s">
        <v>16</v>
      </c>
      <c r="E142" s="5"/>
      <c r="F142" s="1">
        <v>2</v>
      </c>
      <c r="G142" s="1">
        <v>3</v>
      </c>
      <c r="H142" s="2" t="s">
        <v>8</v>
      </c>
      <c r="I142" s="5" t="str">
        <f>IF(IF(Table4424666572[[#This Row],[Pre or Post]]="Pre",1,0)+IF(ISNUMBER(Table4424666572[[#This Row],[Response]])=TRUE,1,0)=2,1,"")</f>
        <v/>
      </c>
      <c r="J142" s="5">
        <f>IF(IF(Table4424666572[[#This Row],[Pre or Post]]="Post",1,0)+IF(ISNUMBER(Table4424666572[[#This Row],[Response]])=TRUE,1,0)=2,1,"")</f>
        <v>1</v>
      </c>
      <c r="K142" s="6" t="str">
        <f>IF(IF(Table4424666572[[#This Row],[Pre or Post]]="Pre",1,0)+IF(ISNUMBER(Table4424666572[[#This Row],[Response]])=TRUE,1,0)=2,Table4424666572[[#This Row],[Response]],"")</f>
        <v/>
      </c>
      <c r="L142" s="6">
        <f>IF(IF(Table4424666572[[#This Row],[Pre or Post]]="Post",1,0)+IF(ISNUMBER(Table4424666572[[#This Row],[Response]])=TRUE,1,0)=2,Table4424666572[[#This Row],[Response]],"")</f>
        <v>3</v>
      </c>
      <c r="M142" s="5" t="str">
        <f>IF(IF(ISNUMBER(K142),1,0)+IF(ISNUMBER(L143),1,0)=2,IF(IF(C143=C142,1,0)+IF(B143=B142,1,0)+IF(D143="Post",1,0)+IF(D142="Pre",1,0)=4,Table4424666572[[#This Row],[Pre Total]],""),"")</f>
        <v/>
      </c>
      <c r="N142" s="5">
        <f>IF(IF(ISNUMBER(K141),1,0)+IF(ISNUMBER(Table4424666572[[#This Row],[Post Total]]),1,0)=2,IF(IF(Table4424666572[[#This Row],[Student Number]]=C141,1,0)+IF(Table4424666572[[#This Row],[Session]]=B141,1,0)+IF(Table4424666572[[#This Row],[Pre or Post]]="Post",1,0)+IF(D141="Pre",1,0)=4,Table4424666572[[#This Row],[Post Total]],""),"")</f>
        <v>3</v>
      </c>
      <c r="O142" s="5">
        <f>IF(IF(ISNUMBER(K141),1,0)+IF(ISNUMBER(Table4424666572[[#This Row],[Post Total]]),1,0)=2,IF(IF(Table4424666572[[#This Row],[Student Number]]=C141,1,0)+IF(Table4424666572[[#This Row],[Session]]=B141,1,0)+IF(Table4424666572[[#This Row],[Pre or Post]]="Post",1,0)+IF(D141="Pre",1,0)=4,Table4424666572[[#This Row],[Post Total]]-K141,""),"")</f>
        <v>0</v>
      </c>
      <c r="P142" s="5" t="b">
        <f>ISNUMBER(Table4424666572[[#This Row],[Change]])</f>
        <v>1</v>
      </c>
      <c r="Q142" s="5">
        <f>IF(E141="Yes",Table4424666572[[#This Row],[Change]],"")</f>
        <v>0</v>
      </c>
      <c r="R142" s="5" t="str">
        <f>IF(E141="No",Table4424666572[[#This Row],[Change]],"")</f>
        <v/>
      </c>
      <c r="S142" s="5" t="b">
        <f>ISNUMBER(Table4424666572[[#This Row],[If Pre5 Yes]])</f>
        <v>1</v>
      </c>
      <c r="T142" s="5" t="b">
        <f>ISNUMBER(Table4424666572[[#This Row],[If Pre5 No]])</f>
        <v>0</v>
      </c>
    </row>
    <row r="143" spans="1:20">
      <c r="A143" s="2" t="s">
        <v>24</v>
      </c>
      <c r="B143" s="2" t="s">
        <v>26</v>
      </c>
      <c r="C143" s="1">
        <v>8</v>
      </c>
      <c r="D143" s="1" t="s">
        <v>6</v>
      </c>
      <c r="E143" s="5" t="s">
        <v>8</v>
      </c>
      <c r="F143" s="1">
        <v>9</v>
      </c>
      <c r="G143" s="1">
        <v>4</v>
      </c>
      <c r="H143" s="2" t="s">
        <v>8</v>
      </c>
      <c r="I143" s="5">
        <f>IF(IF(Table4424666572[[#This Row],[Pre or Post]]="Pre",1,0)+IF(ISNUMBER(Table4424666572[[#This Row],[Response]])=TRUE,1,0)=2,1,"")</f>
        <v>1</v>
      </c>
      <c r="J143" s="5" t="str">
        <f>IF(IF(Table4424666572[[#This Row],[Pre or Post]]="Post",1,0)+IF(ISNUMBER(Table4424666572[[#This Row],[Response]])=TRUE,1,0)=2,1,"")</f>
        <v/>
      </c>
      <c r="K143" s="6">
        <f>IF(IF(Table4424666572[[#This Row],[Pre or Post]]="Pre",1,0)+IF(ISNUMBER(Table4424666572[[#This Row],[Response]])=TRUE,1,0)=2,Table4424666572[[#This Row],[Response]],"")</f>
        <v>4</v>
      </c>
      <c r="L143" s="6" t="str">
        <f>IF(IF(Table4424666572[[#This Row],[Pre or Post]]="Post",1,0)+IF(ISNUMBER(Table4424666572[[#This Row],[Response]])=TRUE,1,0)=2,Table4424666572[[#This Row],[Response]],"")</f>
        <v/>
      </c>
      <c r="M143" s="5">
        <f>IF(IF(ISNUMBER(K143),1,0)+IF(ISNUMBER(L144),1,0)=2,IF(IF(C144=C143,1,0)+IF(B144=B143,1,0)+IF(D144="Post",1,0)+IF(D143="Pre",1,0)=4,Table4424666572[[#This Row],[Pre Total]],""),"")</f>
        <v>4</v>
      </c>
      <c r="N143" s="5" t="str">
        <f>IF(IF(ISNUMBER(K142),1,0)+IF(ISNUMBER(Table4424666572[[#This Row],[Post Total]]),1,0)=2,IF(IF(Table4424666572[[#This Row],[Student Number]]=C142,1,0)+IF(Table4424666572[[#This Row],[Session]]=B142,1,0)+IF(Table4424666572[[#This Row],[Pre or Post]]="Post",1,0)+IF(D142="Pre",1,0)=4,Table4424666572[[#This Row],[Post Total]],""),"")</f>
        <v/>
      </c>
      <c r="O143" s="5" t="str">
        <f>IF(IF(ISNUMBER(K142),1,0)+IF(ISNUMBER(Table4424666572[[#This Row],[Post Total]]),1,0)=2,IF(IF(Table4424666572[[#This Row],[Student Number]]=C142,1,0)+IF(Table4424666572[[#This Row],[Session]]=B142,1,0)+IF(Table4424666572[[#This Row],[Pre or Post]]="Post",1,0)+IF(D142="Pre",1,0)=4,Table4424666572[[#This Row],[Post Total]]-K142,""),"")</f>
        <v/>
      </c>
      <c r="P143" s="5" t="b">
        <f>ISNUMBER(Table4424666572[[#This Row],[Change]])</f>
        <v>0</v>
      </c>
      <c r="Q143" s="5" t="str">
        <f>IF(E142="Yes",Table4424666572[[#This Row],[Change]],"")</f>
        <v/>
      </c>
      <c r="R143" s="5" t="str">
        <f>IF(E142="No",Table4424666572[[#This Row],[Change]],"")</f>
        <v/>
      </c>
      <c r="S143" s="5" t="b">
        <f>ISNUMBER(Table4424666572[[#This Row],[If Pre5 Yes]])</f>
        <v>0</v>
      </c>
      <c r="T143" s="5" t="b">
        <f>ISNUMBER(Table4424666572[[#This Row],[If Pre5 No]])</f>
        <v>0</v>
      </c>
    </row>
    <row r="144" spans="1:20">
      <c r="A144" s="2" t="s">
        <v>24</v>
      </c>
      <c r="B144" s="2" t="s">
        <v>26</v>
      </c>
      <c r="C144" s="1">
        <v>8</v>
      </c>
      <c r="D144" s="1" t="s">
        <v>16</v>
      </c>
      <c r="E144" s="5"/>
      <c r="F144" s="1">
        <v>2</v>
      </c>
      <c r="G144" s="1">
        <v>5</v>
      </c>
      <c r="H144" s="2" t="s">
        <v>8</v>
      </c>
      <c r="I144" s="5" t="str">
        <f>IF(IF(Table4424666572[[#This Row],[Pre or Post]]="Pre",1,0)+IF(ISNUMBER(Table4424666572[[#This Row],[Response]])=TRUE,1,0)=2,1,"")</f>
        <v/>
      </c>
      <c r="J144" s="5">
        <f>IF(IF(Table4424666572[[#This Row],[Pre or Post]]="Post",1,0)+IF(ISNUMBER(Table4424666572[[#This Row],[Response]])=TRUE,1,0)=2,1,"")</f>
        <v>1</v>
      </c>
      <c r="K144" s="6" t="str">
        <f>IF(IF(Table4424666572[[#This Row],[Pre or Post]]="Pre",1,0)+IF(ISNUMBER(Table4424666572[[#This Row],[Response]])=TRUE,1,0)=2,Table4424666572[[#This Row],[Response]],"")</f>
        <v/>
      </c>
      <c r="L144" s="6">
        <f>IF(IF(Table4424666572[[#This Row],[Pre or Post]]="Post",1,0)+IF(ISNUMBER(Table4424666572[[#This Row],[Response]])=TRUE,1,0)=2,Table4424666572[[#This Row],[Response]],"")</f>
        <v>5</v>
      </c>
      <c r="M144" s="5" t="str">
        <f>IF(IF(ISNUMBER(K144),1,0)+IF(ISNUMBER(L145),1,0)=2,IF(IF(C145=C144,1,0)+IF(B145=B144,1,0)+IF(D145="Post",1,0)+IF(D144="Pre",1,0)=4,Table4424666572[[#This Row],[Pre Total]],""),"")</f>
        <v/>
      </c>
      <c r="N144" s="5">
        <f>IF(IF(ISNUMBER(K143),1,0)+IF(ISNUMBER(Table4424666572[[#This Row],[Post Total]]),1,0)=2,IF(IF(Table4424666572[[#This Row],[Student Number]]=C143,1,0)+IF(Table4424666572[[#This Row],[Session]]=B143,1,0)+IF(Table4424666572[[#This Row],[Pre or Post]]="Post",1,0)+IF(D143="Pre",1,0)=4,Table4424666572[[#This Row],[Post Total]],""),"")</f>
        <v>5</v>
      </c>
      <c r="O144" s="5">
        <f>IF(IF(ISNUMBER(K143),1,0)+IF(ISNUMBER(Table4424666572[[#This Row],[Post Total]]),1,0)=2,IF(IF(Table4424666572[[#This Row],[Student Number]]=C143,1,0)+IF(Table4424666572[[#This Row],[Session]]=B143,1,0)+IF(Table4424666572[[#This Row],[Pre or Post]]="Post",1,0)+IF(D143="Pre",1,0)=4,Table4424666572[[#This Row],[Post Total]]-K143,""),"")</f>
        <v>1</v>
      </c>
      <c r="P144" s="5" t="b">
        <f>ISNUMBER(Table4424666572[[#This Row],[Change]])</f>
        <v>1</v>
      </c>
      <c r="Q144" s="5">
        <f>IF(E143="Yes",Table4424666572[[#This Row],[Change]],"")</f>
        <v>1</v>
      </c>
      <c r="R144" s="5" t="str">
        <f>IF(E143="No",Table4424666572[[#This Row],[Change]],"")</f>
        <v/>
      </c>
      <c r="S144" s="5" t="b">
        <f>ISNUMBER(Table4424666572[[#This Row],[If Pre5 Yes]])</f>
        <v>1</v>
      </c>
      <c r="T144" s="5" t="b">
        <f>ISNUMBER(Table4424666572[[#This Row],[If Pre5 No]])</f>
        <v>0</v>
      </c>
    </row>
    <row r="145" spans="1:20">
      <c r="A145" s="2" t="s">
        <v>24</v>
      </c>
      <c r="B145" s="2" t="s">
        <v>26</v>
      </c>
      <c r="C145" s="1">
        <v>9</v>
      </c>
      <c r="D145" s="1" t="s">
        <v>6</v>
      </c>
      <c r="E145" s="5" t="s">
        <v>8</v>
      </c>
      <c r="F145" s="1">
        <v>9</v>
      </c>
      <c r="G145" s="1">
        <v>4</v>
      </c>
      <c r="H145" s="2" t="s">
        <v>8</v>
      </c>
      <c r="I145" s="5">
        <f>IF(IF(Table4424666572[[#This Row],[Pre or Post]]="Pre",1,0)+IF(ISNUMBER(Table4424666572[[#This Row],[Response]])=TRUE,1,0)=2,1,"")</f>
        <v>1</v>
      </c>
      <c r="J145" s="5" t="str">
        <f>IF(IF(Table4424666572[[#This Row],[Pre or Post]]="Post",1,0)+IF(ISNUMBER(Table4424666572[[#This Row],[Response]])=TRUE,1,0)=2,1,"")</f>
        <v/>
      </c>
      <c r="K145" s="6">
        <f>IF(IF(Table4424666572[[#This Row],[Pre or Post]]="Pre",1,0)+IF(ISNUMBER(Table4424666572[[#This Row],[Response]])=TRUE,1,0)=2,Table4424666572[[#This Row],[Response]],"")</f>
        <v>4</v>
      </c>
      <c r="L145" s="6" t="str">
        <f>IF(IF(Table4424666572[[#This Row],[Pre or Post]]="Post",1,0)+IF(ISNUMBER(Table4424666572[[#This Row],[Response]])=TRUE,1,0)=2,Table4424666572[[#This Row],[Response]],"")</f>
        <v/>
      </c>
      <c r="M145" s="5">
        <f>IF(IF(ISNUMBER(K145),1,0)+IF(ISNUMBER(L146),1,0)=2,IF(IF(C146=C145,1,0)+IF(B146=B145,1,0)+IF(D146="Post",1,0)+IF(D145="Pre",1,0)=4,Table4424666572[[#This Row],[Pre Total]],""),"")</f>
        <v>4</v>
      </c>
      <c r="N145" s="5" t="str">
        <f>IF(IF(ISNUMBER(K144),1,0)+IF(ISNUMBER(Table4424666572[[#This Row],[Post Total]]),1,0)=2,IF(IF(Table4424666572[[#This Row],[Student Number]]=C144,1,0)+IF(Table4424666572[[#This Row],[Session]]=B144,1,0)+IF(Table4424666572[[#This Row],[Pre or Post]]="Post",1,0)+IF(D144="Pre",1,0)=4,Table4424666572[[#This Row],[Post Total]],""),"")</f>
        <v/>
      </c>
      <c r="O145" s="5" t="str">
        <f>IF(IF(ISNUMBER(K144),1,0)+IF(ISNUMBER(Table4424666572[[#This Row],[Post Total]]),1,0)=2,IF(IF(Table4424666572[[#This Row],[Student Number]]=C144,1,0)+IF(Table4424666572[[#This Row],[Session]]=B144,1,0)+IF(Table4424666572[[#This Row],[Pre or Post]]="Post",1,0)+IF(D144="Pre",1,0)=4,Table4424666572[[#This Row],[Post Total]]-K144,""),"")</f>
        <v/>
      </c>
      <c r="P145" s="5" t="b">
        <f>ISNUMBER(Table4424666572[[#This Row],[Change]])</f>
        <v>0</v>
      </c>
      <c r="Q145" s="5" t="str">
        <f>IF(E144="Yes",Table4424666572[[#This Row],[Change]],"")</f>
        <v/>
      </c>
      <c r="R145" s="5" t="str">
        <f>IF(E144="No",Table4424666572[[#This Row],[Change]],"")</f>
        <v/>
      </c>
      <c r="S145" s="5" t="b">
        <f>ISNUMBER(Table4424666572[[#This Row],[If Pre5 Yes]])</f>
        <v>0</v>
      </c>
      <c r="T145" s="5" t="b">
        <f>ISNUMBER(Table4424666572[[#This Row],[If Pre5 No]])</f>
        <v>0</v>
      </c>
    </row>
    <row r="146" spans="1:20">
      <c r="A146" s="2" t="s">
        <v>24</v>
      </c>
      <c r="B146" s="2" t="s">
        <v>26</v>
      </c>
      <c r="C146" s="1">
        <v>9</v>
      </c>
      <c r="D146" s="1" t="s">
        <v>16</v>
      </c>
      <c r="E146" s="5"/>
      <c r="F146" s="1">
        <v>2</v>
      </c>
      <c r="G146" s="1">
        <v>4</v>
      </c>
      <c r="H146" s="2" t="s">
        <v>8</v>
      </c>
      <c r="I146" s="5" t="str">
        <f>IF(IF(Table4424666572[[#This Row],[Pre or Post]]="Pre",1,0)+IF(ISNUMBER(Table4424666572[[#This Row],[Response]])=TRUE,1,0)=2,1,"")</f>
        <v/>
      </c>
      <c r="J146" s="5">
        <f>IF(IF(Table4424666572[[#This Row],[Pre or Post]]="Post",1,0)+IF(ISNUMBER(Table4424666572[[#This Row],[Response]])=TRUE,1,0)=2,1,"")</f>
        <v>1</v>
      </c>
      <c r="K146" s="6" t="str">
        <f>IF(IF(Table4424666572[[#This Row],[Pre or Post]]="Pre",1,0)+IF(ISNUMBER(Table4424666572[[#This Row],[Response]])=TRUE,1,0)=2,Table4424666572[[#This Row],[Response]],"")</f>
        <v/>
      </c>
      <c r="L146" s="6">
        <f>IF(IF(Table4424666572[[#This Row],[Pre or Post]]="Post",1,0)+IF(ISNUMBER(Table4424666572[[#This Row],[Response]])=TRUE,1,0)=2,Table4424666572[[#This Row],[Response]],"")</f>
        <v>4</v>
      </c>
      <c r="M146" s="5" t="str">
        <f>IF(IF(ISNUMBER(K146),1,0)+IF(ISNUMBER(L147),1,0)=2,IF(IF(C147=C146,1,0)+IF(B147=B146,1,0)+IF(D147="Post",1,0)+IF(D146="Pre",1,0)=4,Table4424666572[[#This Row],[Pre Total]],""),"")</f>
        <v/>
      </c>
      <c r="N146" s="5">
        <f>IF(IF(ISNUMBER(K145),1,0)+IF(ISNUMBER(Table4424666572[[#This Row],[Post Total]]),1,0)=2,IF(IF(Table4424666572[[#This Row],[Student Number]]=C145,1,0)+IF(Table4424666572[[#This Row],[Session]]=B145,1,0)+IF(Table4424666572[[#This Row],[Pre or Post]]="Post",1,0)+IF(D145="Pre",1,0)=4,Table4424666572[[#This Row],[Post Total]],""),"")</f>
        <v>4</v>
      </c>
      <c r="O146" s="5">
        <f>IF(IF(ISNUMBER(K145),1,0)+IF(ISNUMBER(Table4424666572[[#This Row],[Post Total]]),1,0)=2,IF(IF(Table4424666572[[#This Row],[Student Number]]=C145,1,0)+IF(Table4424666572[[#This Row],[Session]]=B145,1,0)+IF(Table4424666572[[#This Row],[Pre or Post]]="Post",1,0)+IF(D145="Pre",1,0)=4,Table4424666572[[#This Row],[Post Total]]-K145,""),"")</f>
        <v>0</v>
      </c>
      <c r="P146" s="5" t="b">
        <f>ISNUMBER(Table4424666572[[#This Row],[Change]])</f>
        <v>1</v>
      </c>
      <c r="Q146" s="5">
        <f>IF(E145="Yes",Table4424666572[[#This Row],[Change]],"")</f>
        <v>0</v>
      </c>
      <c r="R146" s="5" t="str">
        <f>IF(E145="No",Table4424666572[[#This Row],[Change]],"")</f>
        <v/>
      </c>
      <c r="S146" s="5" t="b">
        <f>ISNUMBER(Table4424666572[[#This Row],[If Pre5 Yes]])</f>
        <v>1</v>
      </c>
      <c r="T146" s="5" t="b">
        <f>ISNUMBER(Table4424666572[[#This Row],[If Pre5 No]])</f>
        <v>0</v>
      </c>
    </row>
    <row r="147" spans="1:20">
      <c r="A147" s="2" t="s">
        <v>24</v>
      </c>
      <c r="B147" s="2" t="s">
        <v>26</v>
      </c>
      <c r="C147" s="1">
        <v>10</v>
      </c>
      <c r="D147" s="1" t="s">
        <v>6</v>
      </c>
      <c r="E147" s="5" t="s">
        <v>8</v>
      </c>
      <c r="F147" s="1">
        <v>9</v>
      </c>
      <c r="G147" s="1">
        <v>4</v>
      </c>
      <c r="H147" s="2" t="s">
        <v>8</v>
      </c>
      <c r="I147" s="6">
        <f>IF(IF(Table4424666572[[#This Row],[Pre or Post]]="Pre",1,0)+IF(ISNUMBER(Table4424666572[[#This Row],[Response]])=TRUE,1,0)=2,1,"")</f>
        <v>1</v>
      </c>
      <c r="J147" s="6" t="str">
        <f>IF(IF(Table4424666572[[#This Row],[Pre or Post]]="Post",1,0)+IF(ISNUMBER(Table4424666572[[#This Row],[Response]])=TRUE,1,0)=2,1,"")</f>
        <v/>
      </c>
      <c r="K147" s="6">
        <f>IF(IF(Table4424666572[[#This Row],[Pre or Post]]="Pre",1,0)+IF(ISNUMBER(Table4424666572[[#This Row],[Response]])=TRUE,1,0)=2,Table4424666572[[#This Row],[Response]],"")</f>
        <v>4</v>
      </c>
      <c r="L147" s="6" t="str">
        <f>IF(IF(Table4424666572[[#This Row],[Pre or Post]]="Post",1,0)+IF(ISNUMBER(Table4424666572[[#This Row],[Response]])=TRUE,1,0)=2,Table4424666572[[#This Row],[Response]],"")</f>
        <v/>
      </c>
      <c r="M147" s="6">
        <f>IF(IF(ISNUMBER(K147),1,0)+IF(ISNUMBER(L148),1,0)=2,IF(IF(C148=C147,1,0)+IF(B148=B147,1,0)+IF(D148="Post",1,0)+IF(D147="Pre",1,0)=4,Table4424666572[[#This Row],[Pre Total]],""),"")</f>
        <v>4</v>
      </c>
      <c r="N147" s="6" t="str">
        <f>IF(IF(ISNUMBER(K146),1,0)+IF(ISNUMBER(Table4424666572[[#This Row],[Post Total]]),1,0)=2,IF(IF(Table4424666572[[#This Row],[Student Number]]=C146,1,0)+IF(Table4424666572[[#This Row],[Session]]=B146,1,0)+IF(Table4424666572[[#This Row],[Pre or Post]]="Post",1,0)+IF(D146="Pre",1,0)=4,Table4424666572[[#This Row],[Post Total]],""),"")</f>
        <v/>
      </c>
      <c r="O147" s="6" t="str">
        <f>IF(IF(ISNUMBER(K146),1,0)+IF(ISNUMBER(Table4424666572[[#This Row],[Post Total]]),1,0)=2,IF(IF(Table4424666572[[#This Row],[Student Number]]=C146,1,0)+IF(Table4424666572[[#This Row],[Session]]=B146,1,0)+IF(Table4424666572[[#This Row],[Pre or Post]]="Post",1,0)+IF(D146="Pre",1,0)=4,Table4424666572[[#This Row],[Post Total]]-K146,""),"")</f>
        <v/>
      </c>
      <c r="P147" s="6" t="b">
        <f>ISNUMBER(Table4424666572[[#This Row],[Change]])</f>
        <v>0</v>
      </c>
      <c r="Q147" s="5" t="str">
        <f>IF(E146="Yes",Table4424666572[[#This Row],[Change]],"")</f>
        <v/>
      </c>
      <c r="R147" s="5" t="str">
        <f>IF(E146="No",Table4424666572[[#This Row],[Change]],"")</f>
        <v/>
      </c>
      <c r="S147" s="5" t="b">
        <f>ISNUMBER(Table4424666572[[#This Row],[If Pre5 Yes]])</f>
        <v>0</v>
      </c>
      <c r="T147" s="5" t="b">
        <f>ISNUMBER(Table4424666572[[#This Row],[If Pre5 No]])</f>
        <v>0</v>
      </c>
    </row>
    <row r="148" spans="1:20">
      <c r="A148" s="2" t="s">
        <v>24</v>
      </c>
      <c r="B148" s="2" t="s">
        <v>26</v>
      </c>
      <c r="C148" s="1">
        <v>10</v>
      </c>
      <c r="D148" s="1" t="s">
        <v>16</v>
      </c>
      <c r="E148" s="5"/>
      <c r="F148" s="1">
        <v>2</v>
      </c>
      <c r="G148" s="1">
        <v>5</v>
      </c>
      <c r="H148" s="2" t="s">
        <v>8</v>
      </c>
      <c r="I148" s="5" t="str">
        <f>IF(IF(Table4424666572[[#This Row],[Pre or Post]]="Pre",1,0)+IF(ISNUMBER(Table4424666572[[#This Row],[Response]])=TRUE,1,0)=2,1,"")</f>
        <v/>
      </c>
      <c r="J148" s="5">
        <f>IF(IF(Table4424666572[[#This Row],[Pre or Post]]="Post",1,0)+IF(ISNUMBER(Table4424666572[[#This Row],[Response]])=TRUE,1,0)=2,1,"")</f>
        <v>1</v>
      </c>
      <c r="K148" s="6" t="str">
        <f>IF(IF(Table4424666572[[#This Row],[Pre or Post]]="Pre",1,0)+IF(ISNUMBER(Table4424666572[[#This Row],[Response]])=TRUE,1,0)=2,Table4424666572[[#This Row],[Response]],"")</f>
        <v/>
      </c>
      <c r="L148" s="6">
        <f>IF(IF(Table4424666572[[#This Row],[Pre or Post]]="Post",1,0)+IF(ISNUMBER(Table4424666572[[#This Row],[Response]])=TRUE,1,0)=2,Table4424666572[[#This Row],[Response]],"")</f>
        <v>5</v>
      </c>
      <c r="M148" s="5" t="str">
        <f>IF(IF(ISNUMBER(K148),1,0)+IF(ISNUMBER(L149),1,0)=2,IF(IF(C149=C148,1,0)+IF(B149=B148,1,0)+IF(D149="Post",1,0)+IF(D148="Pre",1,0)=4,Table4424666572[[#This Row],[Pre Total]],""),"")</f>
        <v/>
      </c>
      <c r="N148" s="5">
        <f>IF(IF(ISNUMBER(K147),1,0)+IF(ISNUMBER(Table4424666572[[#This Row],[Post Total]]),1,0)=2,IF(IF(Table4424666572[[#This Row],[Student Number]]=C147,1,0)+IF(Table4424666572[[#This Row],[Session]]=B147,1,0)+IF(Table4424666572[[#This Row],[Pre or Post]]="Post",1,0)+IF(D147="Pre",1,0)=4,Table4424666572[[#This Row],[Post Total]],""),"")</f>
        <v>5</v>
      </c>
      <c r="O148" s="5">
        <f>IF(IF(ISNUMBER(K147),1,0)+IF(ISNUMBER(Table4424666572[[#This Row],[Post Total]]),1,0)=2,IF(IF(Table4424666572[[#This Row],[Student Number]]=C147,1,0)+IF(Table4424666572[[#This Row],[Session]]=B147,1,0)+IF(Table4424666572[[#This Row],[Pre or Post]]="Post",1,0)+IF(D147="Pre",1,0)=4,Table4424666572[[#This Row],[Post Total]]-K147,""),"")</f>
        <v>1</v>
      </c>
      <c r="P148" s="5" t="b">
        <f>ISNUMBER(Table4424666572[[#This Row],[Change]])</f>
        <v>1</v>
      </c>
      <c r="Q148" s="5">
        <f>IF(E147="Yes",Table4424666572[[#This Row],[Change]],"")</f>
        <v>1</v>
      </c>
      <c r="R148" s="5" t="str">
        <f>IF(E147="No",Table4424666572[[#This Row],[Change]],"")</f>
        <v/>
      </c>
      <c r="S148" s="5" t="b">
        <f>ISNUMBER(Table4424666572[[#This Row],[If Pre5 Yes]])</f>
        <v>1</v>
      </c>
      <c r="T148" s="5" t="b">
        <f>ISNUMBER(Table4424666572[[#This Row],[If Pre5 No]])</f>
        <v>0</v>
      </c>
    </row>
    <row r="149" spans="1:20">
      <c r="A149" s="2" t="s">
        <v>24</v>
      </c>
      <c r="B149" s="2" t="s">
        <v>26</v>
      </c>
      <c r="C149" s="1">
        <v>11</v>
      </c>
      <c r="D149" s="1" t="s">
        <v>6</v>
      </c>
      <c r="E149" s="5" t="s">
        <v>8</v>
      </c>
      <c r="F149" s="1">
        <v>9</v>
      </c>
      <c r="G149" s="1">
        <v>3</v>
      </c>
      <c r="H149" s="2" t="s">
        <v>8</v>
      </c>
      <c r="I149" s="5">
        <f>IF(IF(Table4424666572[[#This Row],[Pre or Post]]="Pre",1,0)+IF(ISNUMBER(Table4424666572[[#This Row],[Response]])=TRUE,1,0)=2,1,"")</f>
        <v>1</v>
      </c>
      <c r="J149" s="5" t="str">
        <f>IF(IF(Table4424666572[[#This Row],[Pre or Post]]="Post",1,0)+IF(ISNUMBER(Table4424666572[[#This Row],[Response]])=TRUE,1,0)=2,1,"")</f>
        <v/>
      </c>
      <c r="K149" s="6">
        <f>IF(IF(Table4424666572[[#This Row],[Pre or Post]]="Pre",1,0)+IF(ISNUMBER(Table4424666572[[#This Row],[Response]])=TRUE,1,0)=2,Table4424666572[[#This Row],[Response]],"")</f>
        <v>3</v>
      </c>
      <c r="L149" s="6" t="str">
        <f>IF(IF(Table4424666572[[#This Row],[Pre or Post]]="Post",1,0)+IF(ISNUMBER(Table4424666572[[#This Row],[Response]])=TRUE,1,0)=2,Table4424666572[[#This Row],[Response]],"")</f>
        <v/>
      </c>
      <c r="M149" s="5">
        <f>IF(IF(ISNUMBER(K149),1,0)+IF(ISNUMBER(L150),1,0)=2,IF(IF(C150=C149,1,0)+IF(B150=B149,1,0)+IF(D150="Post",1,0)+IF(D149="Pre",1,0)=4,Table4424666572[[#This Row],[Pre Total]],""),"")</f>
        <v>3</v>
      </c>
      <c r="N149" s="5" t="str">
        <f>IF(IF(ISNUMBER(K148),1,0)+IF(ISNUMBER(Table4424666572[[#This Row],[Post Total]]),1,0)=2,IF(IF(Table4424666572[[#This Row],[Student Number]]=C148,1,0)+IF(Table4424666572[[#This Row],[Session]]=B148,1,0)+IF(Table4424666572[[#This Row],[Pre or Post]]="Post",1,0)+IF(D148="Pre",1,0)=4,Table4424666572[[#This Row],[Post Total]],""),"")</f>
        <v/>
      </c>
      <c r="O149" s="5" t="str">
        <f>IF(IF(ISNUMBER(K148),1,0)+IF(ISNUMBER(Table4424666572[[#This Row],[Post Total]]),1,0)=2,IF(IF(Table4424666572[[#This Row],[Student Number]]=C148,1,0)+IF(Table4424666572[[#This Row],[Session]]=B148,1,0)+IF(Table4424666572[[#This Row],[Pre or Post]]="Post",1,0)+IF(D148="Pre",1,0)=4,Table4424666572[[#This Row],[Post Total]]-K148,""),"")</f>
        <v/>
      </c>
      <c r="P149" s="5" t="b">
        <f>ISNUMBER(Table4424666572[[#This Row],[Change]])</f>
        <v>0</v>
      </c>
      <c r="Q149" s="5" t="str">
        <f>IF(E148="Yes",Table4424666572[[#This Row],[Change]],"")</f>
        <v/>
      </c>
      <c r="R149" s="5" t="str">
        <f>IF(E148="No",Table4424666572[[#This Row],[Change]],"")</f>
        <v/>
      </c>
      <c r="S149" s="5" t="b">
        <f>ISNUMBER(Table4424666572[[#This Row],[If Pre5 Yes]])</f>
        <v>0</v>
      </c>
      <c r="T149" s="5" t="b">
        <f>ISNUMBER(Table4424666572[[#This Row],[If Pre5 No]])</f>
        <v>0</v>
      </c>
    </row>
    <row r="150" spans="1:20">
      <c r="A150" s="2" t="s">
        <v>24</v>
      </c>
      <c r="B150" s="2" t="s">
        <v>26</v>
      </c>
      <c r="C150" s="1">
        <v>11</v>
      </c>
      <c r="D150" s="1" t="s">
        <v>16</v>
      </c>
      <c r="E150" s="5"/>
      <c r="F150" s="1">
        <v>2</v>
      </c>
      <c r="G150" s="1">
        <v>3</v>
      </c>
      <c r="H150" s="2" t="s">
        <v>8</v>
      </c>
      <c r="I150" s="5" t="str">
        <f>IF(IF(Table4424666572[[#This Row],[Pre or Post]]="Pre",1,0)+IF(ISNUMBER(Table4424666572[[#This Row],[Response]])=TRUE,1,0)=2,1,"")</f>
        <v/>
      </c>
      <c r="J150" s="5">
        <f>IF(IF(Table4424666572[[#This Row],[Pre or Post]]="Post",1,0)+IF(ISNUMBER(Table4424666572[[#This Row],[Response]])=TRUE,1,0)=2,1,"")</f>
        <v>1</v>
      </c>
      <c r="K150" s="6" t="str">
        <f>IF(IF(Table4424666572[[#This Row],[Pre or Post]]="Pre",1,0)+IF(ISNUMBER(Table4424666572[[#This Row],[Response]])=TRUE,1,0)=2,Table4424666572[[#This Row],[Response]],"")</f>
        <v/>
      </c>
      <c r="L150" s="6">
        <f>IF(IF(Table4424666572[[#This Row],[Pre or Post]]="Post",1,0)+IF(ISNUMBER(Table4424666572[[#This Row],[Response]])=TRUE,1,0)=2,Table4424666572[[#This Row],[Response]],"")</f>
        <v>3</v>
      </c>
      <c r="M150" s="5" t="str">
        <f>IF(IF(ISNUMBER(K150),1,0)+IF(ISNUMBER(L151),1,0)=2,IF(IF(C151=C150,1,0)+IF(B151=B150,1,0)+IF(D151="Post",1,0)+IF(D150="Pre",1,0)=4,Table4424666572[[#This Row],[Pre Total]],""),"")</f>
        <v/>
      </c>
      <c r="N150" s="5">
        <f>IF(IF(ISNUMBER(K149),1,0)+IF(ISNUMBER(Table4424666572[[#This Row],[Post Total]]),1,0)=2,IF(IF(Table4424666572[[#This Row],[Student Number]]=C149,1,0)+IF(Table4424666572[[#This Row],[Session]]=B149,1,0)+IF(Table4424666572[[#This Row],[Pre or Post]]="Post",1,0)+IF(D149="Pre",1,0)=4,Table4424666572[[#This Row],[Post Total]],""),"")</f>
        <v>3</v>
      </c>
      <c r="O150" s="5">
        <f>IF(IF(ISNUMBER(K149),1,0)+IF(ISNUMBER(Table4424666572[[#This Row],[Post Total]]),1,0)=2,IF(IF(Table4424666572[[#This Row],[Student Number]]=C149,1,0)+IF(Table4424666572[[#This Row],[Session]]=B149,1,0)+IF(Table4424666572[[#This Row],[Pre or Post]]="Post",1,0)+IF(D149="Pre",1,0)=4,Table4424666572[[#This Row],[Post Total]]-K149,""),"")</f>
        <v>0</v>
      </c>
      <c r="P150" s="5" t="b">
        <f>ISNUMBER(Table4424666572[[#This Row],[Change]])</f>
        <v>1</v>
      </c>
      <c r="Q150" s="5">
        <f>IF(E149="Yes",Table4424666572[[#This Row],[Change]],"")</f>
        <v>0</v>
      </c>
      <c r="R150" s="5" t="str">
        <f>IF(E149="No",Table4424666572[[#This Row],[Change]],"")</f>
        <v/>
      </c>
      <c r="S150" s="5" t="b">
        <f>ISNUMBER(Table4424666572[[#This Row],[If Pre5 Yes]])</f>
        <v>1</v>
      </c>
      <c r="T150" s="5" t="b">
        <f>ISNUMBER(Table4424666572[[#This Row],[If Pre5 No]])</f>
        <v>0</v>
      </c>
    </row>
    <row r="151" spans="1:20">
      <c r="A151" s="2" t="s">
        <v>24</v>
      </c>
      <c r="B151" s="2" t="s">
        <v>26</v>
      </c>
      <c r="C151" s="1">
        <v>12</v>
      </c>
      <c r="D151" s="1" t="s">
        <v>6</v>
      </c>
      <c r="E151" s="5" t="s">
        <v>8</v>
      </c>
      <c r="F151" s="1">
        <v>9</v>
      </c>
      <c r="G151" s="1">
        <v>3</v>
      </c>
      <c r="H151" s="2" t="s">
        <v>8</v>
      </c>
      <c r="I151" s="5">
        <f>IF(IF(Table4424666572[[#This Row],[Pre or Post]]="Pre",1,0)+IF(ISNUMBER(Table4424666572[[#This Row],[Response]])=TRUE,1,0)=2,1,"")</f>
        <v>1</v>
      </c>
      <c r="J151" s="5" t="str">
        <f>IF(IF(Table4424666572[[#This Row],[Pre or Post]]="Post",1,0)+IF(ISNUMBER(Table4424666572[[#This Row],[Response]])=TRUE,1,0)=2,1,"")</f>
        <v/>
      </c>
      <c r="K151" s="6">
        <f>IF(IF(Table4424666572[[#This Row],[Pre or Post]]="Pre",1,0)+IF(ISNUMBER(Table4424666572[[#This Row],[Response]])=TRUE,1,0)=2,Table4424666572[[#This Row],[Response]],"")</f>
        <v>3</v>
      </c>
      <c r="L151" s="6" t="str">
        <f>IF(IF(Table4424666572[[#This Row],[Pre or Post]]="Post",1,0)+IF(ISNUMBER(Table4424666572[[#This Row],[Response]])=TRUE,1,0)=2,Table4424666572[[#This Row],[Response]],"")</f>
        <v/>
      </c>
      <c r="M151" s="5">
        <f>IF(IF(ISNUMBER(K151),1,0)+IF(ISNUMBER(L152),1,0)=2,IF(IF(C152=C151,1,0)+IF(B152=B151,1,0)+IF(D152="Post",1,0)+IF(D151="Pre",1,0)=4,Table4424666572[[#This Row],[Pre Total]],""),"")</f>
        <v>3</v>
      </c>
      <c r="N151" s="5" t="str">
        <f>IF(IF(ISNUMBER(K150),1,0)+IF(ISNUMBER(Table4424666572[[#This Row],[Post Total]]),1,0)=2,IF(IF(Table4424666572[[#This Row],[Student Number]]=C150,1,0)+IF(Table4424666572[[#This Row],[Session]]=B150,1,0)+IF(Table4424666572[[#This Row],[Pre or Post]]="Post",1,0)+IF(D150="Pre",1,0)=4,Table4424666572[[#This Row],[Post Total]],""),"")</f>
        <v/>
      </c>
      <c r="O151" s="5" t="str">
        <f>IF(IF(ISNUMBER(K150),1,0)+IF(ISNUMBER(Table4424666572[[#This Row],[Post Total]]),1,0)=2,IF(IF(Table4424666572[[#This Row],[Student Number]]=C150,1,0)+IF(Table4424666572[[#This Row],[Session]]=B150,1,0)+IF(Table4424666572[[#This Row],[Pre or Post]]="Post",1,0)+IF(D150="Pre",1,0)=4,Table4424666572[[#This Row],[Post Total]]-K150,""),"")</f>
        <v/>
      </c>
      <c r="P151" s="5" t="b">
        <f>ISNUMBER(Table4424666572[[#This Row],[Change]])</f>
        <v>0</v>
      </c>
      <c r="Q151" s="5" t="str">
        <f>IF(E150="Yes",Table4424666572[[#This Row],[Change]],"")</f>
        <v/>
      </c>
      <c r="R151" s="5" t="str">
        <f>IF(E150="No",Table4424666572[[#This Row],[Change]],"")</f>
        <v/>
      </c>
      <c r="S151" s="5" t="b">
        <f>ISNUMBER(Table4424666572[[#This Row],[If Pre5 Yes]])</f>
        <v>0</v>
      </c>
      <c r="T151" s="5" t="b">
        <f>ISNUMBER(Table4424666572[[#This Row],[If Pre5 No]])</f>
        <v>0</v>
      </c>
    </row>
    <row r="152" spans="1:20">
      <c r="A152" s="2" t="s">
        <v>24</v>
      </c>
      <c r="B152" s="2" t="s">
        <v>26</v>
      </c>
      <c r="C152" s="1">
        <v>12</v>
      </c>
      <c r="D152" s="1" t="s">
        <v>16</v>
      </c>
      <c r="E152" s="5"/>
      <c r="F152" s="1">
        <v>2</v>
      </c>
      <c r="G152" s="1">
        <v>2</v>
      </c>
      <c r="H152" s="2" t="s">
        <v>8</v>
      </c>
      <c r="I152" s="5" t="str">
        <f>IF(IF(Table4424666572[[#This Row],[Pre or Post]]="Pre",1,0)+IF(ISNUMBER(Table4424666572[[#This Row],[Response]])=TRUE,1,0)=2,1,"")</f>
        <v/>
      </c>
      <c r="J152" s="5">
        <f>IF(IF(Table4424666572[[#This Row],[Pre or Post]]="Post",1,0)+IF(ISNUMBER(Table4424666572[[#This Row],[Response]])=TRUE,1,0)=2,1,"")</f>
        <v>1</v>
      </c>
      <c r="K152" s="6" t="str">
        <f>IF(IF(Table4424666572[[#This Row],[Pre or Post]]="Pre",1,0)+IF(ISNUMBER(Table4424666572[[#This Row],[Response]])=TRUE,1,0)=2,Table4424666572[[#This Row],[Response]],"")</f>
        <v/>
      </c>
      <c r="L152" s="6">
        <f>IF(IF(Table4424666572[[#This Row],[Pre or Post]]="Post",1,0)+IF(ISNUMBER(Table4424666572[[#This Row],[Response]])=TRUE,1,0)=2,Table4424666572[[#This Row],[Response]],"")</f>
        <v>2</v>
      </c>
      <c r="M152" s="5" t="str">
        <f>IF(IF(ISNUMBER(K152),1,0)+IF(ISNUMBER(L153),1,0)=2,IF(IF(C153=C152,1,0)+IF(B153=B152,1,0)+IF(D153="Post",1,0)+IF(D152="Pre",1,0)=4,Table4424666572[[#This Row],[Pre Total]],""),"")</f>
        <v/>
      </c>
      <c r="N152" s="5">
        <f>IF(IF(ISNUMBER(K151),1,0)+IF(ISNUMBER(Table4424666572[[#This Row],[Post Total]]),1,0)=2,IF(IF(Table4424666572[[#This Row],[Student Number]]=C151,1,0)+IF(Table4424666572[[#This Row],[Session]]=B151,1,0)+IF(Table4424666572[[#This Row],[Pre or Post]]="Post",1,0)+IF(D151="Pre",1,0)=4,Table4424666572[[#This Row],[Post Total]],""),"")</f>
        <v>2</v>
      </c>
      <c r="O152" s="5">
        <f>IF(IF(ISNUMBER(K151),1,0)+IF(ISNUMBER(Table4424666572[[#This Row],[Post Total]]),1,0)=2,IF(IF(Table4424666572[[#This Row],[Student Number]]=C151,1,0)+IF(Table4424666572[[#This Row],[Session]]=B151,1,0)+IF(Table4424666572[[#This Row],[Pre or Post]]="Post",1,0)+IF(D151="Pre",1,0)=4,Table4424666572[[#This Row],[Post Total]]-K151,""),"")</f>
        <v>-1</v>
      </c>
      <c r="P152" s="5" t="b">
        <f>ISNUMBER(Table4424666572[[#This Row],[Change]])</f>
        <v>1</v>
      </c>
      <c r="Q152" s="5">
        <f>IF(E151="Yes",Table4424666572[[#This Row],[Change]],"")</f>
        <v>-1</v>
      </c>
      <c r="R152" s="5" t="str">
        <f>IF(E151="No",Table4424666572[[#This Row],[Change]],"")</f>
        <v/>
      </c>
      <c r="S152" s="5" t="b">
        <f>ISNUMBER(Table4424666572[[#This Row],[If Pre5 Yes]])</f>
        <v>1</v>
      </c>
      <c r="T152" s="5" t="b">
        <f>ISNUMBER(Table4424666572[[#This Row],[If Pre5 No]])</f>
        <v>0</v>
      </c>
    </row>
    <row r="153" spans="1:20">
      <c r="A153" s="2" t="s">
        <v>24</v>
      </c>
      <c r="B153" s="2" t="s">
        <v>26</v>
      </c>
      <c r="C153" s="1">
        <v>13</v>
      </c>
      <c r="D153" s="1" t="s">
        <v>6</v>
      </c>
      <c r="E153" s="5" t="s">
        <v>8</v>
      </c>
      <c r="F153" s="1">
        <v>9</v>
      </c>
      <c r="G153" s="1">
        <v>3</v>
      </c>
      <c r="H153" s="2" t="s">
        <v>8</v>
      </c>
      <c r="I153" s="5">
        <f>IF(IF(Table4424666572[[#This Row],[Pre or Post]]="Pre",1,0)+IF(ISNUMBER(Table4424666572[[#This Row],[Response]])=TRUE,1,0)=2,1,"")</f>
        <v>1</v>
      </c>
      <c r="J153" s="5" t="str">
        <f>IF(IF(Table4424666572[[#This Row],[Pre or Post]]="Post",1,0)+IF(ISNUMBER(Table4424666572[[#This Row],[Response]])=TRUE,1,0)=2,1,"")</f>
        <v/>
      </c>
      <c r="K153" s="6">
        <f>IF(IF(Table4424666572[[#This Row],[Pre or Post]]="Pre",1,0)+IF(ISNUMBER(Table4424666572[[#This Row],[Response]])=TRUE,1,0)=2,Table4424666572[[#This Row],[Response]],"")</f>
        <v>3</v>
      </c>
      <c r="L153" s="6" t="str">
        <f>IF(IF(Table4424666572[[#This Row],[Pre or Post]]="Post",1,0)+IF(ISNUMBER(Table4424666572[[#This Row],[Response]])=TRUE,1,0)=2,Table4424666572[[#This Row],[Response]],"")</f>
        <v/>
      </c>
      <c r="M153" s="5">
        <f>IF(IF(ISNUMBER(K153),1,0)+IF(ISNUMBER(L154),1,0)=2,IF(IF(C154=C153,1,0)+IF(B154=B153,1,0)+IF(D154="Post",1,0)+IF(D153="Pre",1,0)=4,Table4424666572[[#This Row],[Pre Total]],""),"")</f>
        <v>3</v>
      </c>
      <c r="N153" s="5" t="str">
        <f>IF(IF(ISNUMBER(K152),1,0)+IF(ISNUMBER(Table4424666572[[#This Row],[Post Total]]),1,0)=2,IF(IF(Table4424666572[[#This Row],[Student Number]]=C152,1,0)+IF(Table4424666572[[#This Row],[Session]]=B152,1,0)+IF(Table4424666572[[#This Row],[Pre or Post]]="Post",1,0)+IF(D152="Pre",1,0)=4,Table4424666572[[#This Row],[Post Total]],""),"")</f>
        <v/>
      </c>
      <c r="O153" s="5" t="str">
        <f>IF(IF(ISNUMBER(K152),1,0)+IF(ISNUMBER(Table4424666572[[#This Row],[Post Total]]),1,0)=2,IF(IF(Table4424666572[[#This Row],[Student Number]]=C152,1,0)+IF(Table4424666572[[#This Row],[Session]]=B152,1,0)+IF(Table4424666572[[#This Row],[Pre or Post]]="Post",1,0)+IF(D152="Pre",1,0)=4,Table4424666572[[#This Row],[Post Total]]-K152,""),"")</f>
        <v/>
      </c>
      <c r="P153" s="5" t="b">
        <f>ISNUMBER(Table4424666572[[#This Row],[Change]])</f>
        <v>0</v>
      </c>
      <c r="Q153" s="5" t="str">
        <f>IF(E152="Yes",Table4424666572[[#This Row],[Change]],"")</f>
        <v/>
      </c>
      <c r="R153" s="5" t="str">
        <f>IF(E152="No",Table4424666572[[#This Row],[Change]],"")</f>
        <v/>
      </c>
      <c r="S153" s="5" t="b">
        <f>ISNUMBER(Table4424666572[[#This Row],[If Pre5 Yes]])</f>
        <v>0</v>
      </c>
      <c r="T153" s="5" t="b">
        <f>ISNUMBER(Table4424666572[[#This Row],[If Pre5 No]])</f>
        <v>0</v>
      </c>
    </row>
    <row r="154" spans="1:20">
      <c r="A154" s="2" t="s">
        <v>24</v>
      </c>
      <c r="B154" s="2" t="s">
        <v>26</v>
      </c>
      <c r="C154" s="1">
        <v>13</v>
      </c>
      <c r="D154" s="1" t="s">
        <v>16</v>
      </c>
      <c r="E154" s="5"/>
      <c r="F154" s="1">
        <v>2</v>
      </c>
      <c r="G154" s="1">
        <v>5</v>
      </c>
      <c r="H154" s="2" t="s">
        <v>8</v>
      </c>
      <c r="I154" s="6" t="str">
        <f>IF(IF(Table4424666572[[#This Row],[Pre or Post]]="Pre",1,0)+IF(ISNUMBER(Table4424666572[[#This Row],[Response]])=TRUE,1,0)=2,1,"")</f>
        <v/>
      </c>
      <c r="J154" s="6">
        <f>IF(IF(Table4424666572[[#This Row],[Pre or Post]]="Post",1,0)+IF(ISNUMBER(Table4424666572[[#This Row],[Response]])=TRUE,1,0)=2,1,"")</f>
        <v>1</v>
      </c>
      <c r="K154" s="6" t="str">
        <f>IF(IF(Table4424666572[[#This Row],[Pre or Post]]="Pre",1,0)+IF(ISNUMBER(Table4424666572[[#This Row],[Response]])=TRUE,1,0)=2,Table4424666572[[#This Row],[Response]],"")</f>
        <v/>
      </c>
      <c r="L154" s="6">
        <f>IF(IF(Table4424666572[[#This Row],[Pre or Post]]="Post",1,0)+IF(ISNUMBER(Table4424666572[[#This Row],[Response]])=TRUE,1,0)=2,Table4424666572[[#This Row],[Response]],"")</f>
        <v>5</v>
      </c>
      <c r="M154" s="6" t="str">
        <f>IF(IF(ISNUMBER(K154),1,0)+IF(ISNUMBER(L155),1,0)=2,IF(IF(C155=C154,1,0)+IF(B155=B154,1,0)+IF(D155="Post",1,0)+IF(D154="Pre",1,0)=4,Table4424666572[[#This Row],[Pre Total]],""),"")</f>
        <v/>
      </c>
      <c r="N154" s="6">
        <f>IF(IF(ISNUMBER(K153),1,0)+IF(ISNUMBER(Table4424666572[[#This Row],[Post Total]]),1,0)=2,IF(IF(Table4424666572[[#This Row],[Student Number]]=C153,1,0)+IF(Table4424666572[[#This Row],[Session]]=B153,1,0)+IF(Table4424666572[[#This Row],[Pre or Post]]="Post",1,0)+IF(D153="Pre",1,0)=4,Table4424666572[[#This Row],[Post Total]],""),"")</f>
        <v>5</v>
      </c>
      <c r="O154" s="6">
        <f>IF(IF(ISNUMBER(K153),1,0)+IF(ISNUMBER(Table4424666572[[#This Row],[Post Total]]),1,0)=2,IF(IF(Table4424666572[[#This Row],[Student Number]]=C153,1,0)+IF(Table4424666572[[#This Row],[Session]]=B153,1,0)+IF(Table4424666572[[#This Row],[Pre or Post]]="Post",1,0)+IF(D153="Pre",1,0)=4,Table4424666572[[#This Row],[Post Total]]-K153,""),"")</f>
        <v>2</v>
      </c>
      <c r="P154" s="6" t="b">
        <f>ISNUMBER(Table4424666572[[#This Row],[Change]])</f>
        <v>1</v>
      </c>
      <c r="Q154" s="5">
        <f>IF(E153="Yes",Table4424666572[[#This Row],[Change]],"")</f>
        <v>2</v>
      </c>
      <c r="R154" s="5" t="str">
        <f>IF(E153="No",Table4424666572[[#This Row],[Change]],"")</f>
        <v/>
      </c>
      <c r="S154" s="5" t="b">
        <f>ISNUMBER(Table4424666572[[#This Row],[If Pre5 Yes]])</f>
        <v>1</v>
      </c>
      <c r="T154" s="5" t="b">
        <f>ISNUMBER(Table4424666572[[#This Row],[If Pre5 No]])</f>
        <v>0</v>
      </c>
    </row>
    <row r="155" spans="1:20">
      <c r="A155" s="2" t="s">
        <v>24</v>
      </c>
      <c r="B155" s="2" t="s">
        <v>26</v>
      </c>
      <c r="C155" s="1">
        <v>14</v>
      </c>
      <c r="D155" s="1" t="s">
        <v>6</v>
      </c>
      <c r="E155" s="5" t="s">
        <v>9</v>
      </c>
      <c r="F155" s="1">
        <v>9</v>
      </c>
      <c r="G155" s="1">
        <v>4</v>
      </c>
      <c r="H155" s="2" t="s">
        <v>8</v>
      </c>
      <c r="I155" s="5">
        <f>IF(IF(Table4424666572[[#This Row],[Pre or Post]]="Pre",1,0)+IF(ISNUMBER(Table4424666572[[#This Row],[Response]])=TRUE,1,0)=2,1,"")</f>
        <v>1</v>
      </c>
      <c r="J155" s="5" t="str">
        <f>IF(IF(Table4424666572[[#This Row],[Pre or Post]]="Post",1,0)+IF(ISNUMBER(Table4424666572[[#This Row],[Response]])=TRUE,1,0)=2,1,"")</f>
        <v/>
      </c>
      <c r="K155" s="6">
        <f>IF(IF(Table4424666572[[#This Row],[Pre or Post]]="Pre",1,0)+IF(ISNUMBER(Table4424666572[[#This Row],[Response]])=TRUE,1,0)=2,Table4424666572[[#This Row],[Response]],"")</f>
        <v>4</v>
      </c>
      <c r="L155" s="6" t="str">
        <f>IF(IF(Table4424666572[[#This Row],[Pre or Post]]="Post",1,0)+IF(ISNUMBER(Table4424666572[[#This Row],[Response]])=TRUE,1,0)=2,Table4424666572[[#This Row],[Response]],"")</f>
        <v/>
      </c>
      <c r="M155" s="5">
        <f>IF(IF(ISNUMBER(K155),1,0)+IF(ISNUMBER(L156),1,0)=2,IF(IF(C156=C155,1,0)+IF(B156=B155,1,0)+IF(D156="Post",1,0)+IF(D155="Pre",1,0)=4,Table4424666572[[#This Row],[Pre Total]],""),"")</f>
        <v>4</v>
      </c>
      <c r="N155" s="5" t="str">
        <f>IF(IF(ISNUMBER(K154),1,0)+IF(ISNUMBER(Table4424666572[[#This Row],[Post Total]]),1,0)=2,IF(IF(Table4424666572[[#This Row],[Student Number]]=C154,1,0)+IF(Table4424666572[[#This Row],[Session]]=B154,1,0)+IF(Table4424666572[[#This Row],[Pre or Post]]="Post",1,0)+IF(D154="Pre",1,0)=4,Table4424666572[[#This Row],[Post Total]],""),"")</f>
        <v/>
      </c>
      <c r="O155" s="5" t="str">
        <f>IF(IF(ISNUMBER(K154),1,0)+IF(ISNUMBER(Table4424666572[[#This Row],[Post Total]]),1,0)=2,IF(IF(Table4424666572[[#This Row],[Student Number]]=C154,1,0)+IF(Table4424666572[[#This Row],[Session]]=B154,1,0)+IF(Table4424666572[[#This Row],[Pre or Post]]="Post",1,0)+IF(D154="Pre",1,0)=4,Table4424666572[[#This Row],[Post Total]]-K154,""),"")</f>
        <v/>
      </c>
      <c r="P155" s="5" t="b">
        <f>ISNUMBER(Table4424666572[[#This Row],[Change]])</f>
        <v>0</v>
      </c>
      <c r="Q155" s="5" t="str">
        <f>IF(E154="Yes",Table4424666572[[#This Row],[Change]],"")</f>
        <v/>
      </c>
      <c r="R155" s="5" t="str">
        <f>IF(E154="No",Table4424666572[[#This Row],[Change]],"")</f>
        <v/>
      </c>
      <c r="S155" s="5" t="b">
        <f>ISNUMBER(Table4424666572[[#This Row],[If Pre5 Yes]])</f>
        <v>0</v>
      </c>
      <c r="T155" s="5" t="b">
        <f>ISNUMBER(Table4424666572[[#This Row],[If Pre5 No]])</f>
        <v>0</v>
      </c>
    </row>
    <row r="156" spans="1:20">
      <c r="A156" s="2" t="s">
        <v>24</v>
      </c>
      <c r="B156" s="2" t="s">
        <v>26</v>
      </c>
      <c r="C156" s="1">
        <v>14</v>
      </c>
      <c r="D156" s="1" t="s">
        <v>16</v>
      </c>
      <c r="E156" s="5"/>
      <c r="F156" s="1">
        <v>2</v>
      </c>
      <c r="G156" s="1">
        <v>4</v>
      </c>
      <c r="H156" s="2" t="s">
        <v>8</v>
      </c>
      <c r="I156" s="5" t="str">
        <f>IF(IF(Table4424666572[[#This Row],[Pre or Post]]="Pre",1,0)+IF(ISNUMBER(Table4424666572[[#This Row],[Response]])=TRUE,1,0)=2,1,"")</f>
        <v/>
      </c>
      <c r="J156" s="5">
        <f>IF(IF(Table4424666572[[#This Row],[Pre or Post]]="Post",1,0)+IF(ISNUMBER(Table4424666572[[#This Row],[Response]])=TRUE,1,0)=2,1,"")</f>
        <v>1</v>
      </c>
      <c r="K156" s="6" t="str">
        <f>IF(IF(Table4424666572[[#This Row],[Pre or Post]]="Pre",1,0)+IF(ISNUMBER(Table4424666572[[#This Row],[Response]])=TRUE,1,0)=2,Table4424666572[[#This Row],[Response]],"")</f>
        <v/>
      </c>
      <c r="L156" s="6">
        <f>IF(IF(Table4424666572[[#This Row],[Pre or Post]]="Post",1,0)+IF(ISNUMBER(Table4424666572[[#This Row],[Response]])=TRUE,1,0)=2,Table4424666572[[#This Row],[Response]],"")</f>
        <v>4</v>
      </c>
      <c r="M156" s="5" t="str">
        <f>IF(IF(ISNUMBER(K156),1,0)+IF(ISNUMBER(L157),1,0)=2,IF(IF(C157=C156,1,0)+IF(B157=B156,1,0)+IF(D157="Post",1,0)+IF(D156="Pre",1,0)=4,Table4424666572[[#This Row],[Pre Total]],""),"")</f>
        <v/>
      </c>
      <c r="N156" s="5">
        <f>IF(IF(ISNUMBER(K155),1,0)+IF(ISNUMBER(Table4424666572[[#This Row],[Post Total]]),1,0)=2,IF(IF(Table4424666572[[#This Row],[Student Number]]=C155,1,0)+IF(Table4424666572[[#This Row],[Session]]=B155,1,0)+IF(Table4424666572[[#This Row],[Pre or Post]]="Post",1,0)+IF(D155="Pre",1,0)=4,Table4424666572[[#This Row],[Post Total]],""),"")</f>
        <v>4</v>
      </c>
      <c r="O156" s="5">
        <f>IF(IF(ISNUMBER(K155),1,0)+IF(ISNUMBER(Table4424666572[[#This Row],[Post Total]]),1,0)=2,IF(IF(Table4424666572[[#This Row],[Student Number]]=C155,1,0)+IF(Table4424666572[[#This Row],[Session]]=B155,1,0)+IF(Table4424666572[[#This Row],[Pre or Post]]="Post",1,0)+IF(D155="Pre",1,0)=4,Table4424666572[[#This Row],[Post Total]]-K155,""),"")</f>
        <v>0</v>
      </c>
      <c r="P156" s="5" t="b">
        <f>ISNUMBER(Table4424666572[[#This Row],[Change]])</f>
        <v>1</v>
      </c>
      <c r="Q156" s="5" t="str">
        <f>IF(E155="Yes",Table4424666572[[#This Row],[Change]],"")</f>
        <v/>
      </c>
      <c r="R156" s="5">
        <f>IF(E155="No",Table4424666572[[#This Row],[Change]],"")</f>
        <v>0</v>
      </c>
      <c r="S156" s="5" t="b">
        <f>ISNUMBER(Table4424666572[[#This Row],[If Pre5 Yes]])</f>
        <v>0</v>
      </c>
      <c r="T156" s="5" t="b">
        <f>ISNUMBER(Table4424666572[[#This Row],[If Pre5 No]])</f>
        <v>1</v>
      </c>
    </row>
    <row r="157" spans="1:20">
      <c r="A157" s="2" t="s">
        <v>24</v>
      </c>
      <c r="B157" s="2" t="s">
        <v>26</v>
      </c>
      <c r="C157" s="1">
        <v>15</v>
      </c>
      <c r="D157" s="1" t="s">
        <v>6</v>
      </c>
      <c r="E157" s="5" t="s">
        <v>8</v>
      </c>
      <c r="F157" s="1">
        <v>9</v>
      </c>
      <c r="G157" s="1">
        <v>3</v>
      </c>
      <c r="H157" s="2" t="s">
        <v>8</v>
      </c>
      <c r="I157" s="5">
        <f>IF(IF(Table4424666572[[#This Row],[Pre or Post]]="Pre",1,0)+IF(ISNUMBER(Table4424666572[[#This Row],[Response]])=TRUE,1,0)=2,1,"")</f>
        <v>1</v>
      </c>
      <c r="J157" s="5" t="str">
        <f>IF(IF(Table4424666572[[#This Row],[Pre or Post]]="Post",1,0)+IF(ISNUMBER(Table4424666572[[#This Row],[Response]])=TRUE,1,0)=2,1,"")</f>
        <v/>
      </c>
      <c r="K157" s="6">
        <f>IF(IF(Table4424666572[[#This Row],[Pre or Post]]="Pre",1,0)+IF(ISNUMBER(Table4424666572[[#This Row],[Response]])=TRUE,1,0)=2,Table4424666572[[#This Row],[Response]],"")</f>
        <v>3</v>
      </c>
      <c r="L157" s="6" t="str">
        <f>IF(IF(Table4424666572[[#This Row],[Pre or Post]]="Post",1,0)+IF(ISNUMBER(Table4424666572[[#This Row],[Response]])=TRUE,1,0)=2,Table4424666572[[#This Row],[Response]],"")</f>
        <v/>
      </c>
      <c r="M157" s="5">
        <f>IF(IF(ISNUMBER(K157),1,0)+IF(ISNUMBER(L158),1,0)=2,IF(IF(C158=C157,1,0)+IF(B158=B157,1,0)+IF(D158="Post",1,0)+IF(D157="Pre",1,0)=4,Table4424666572[[#This Row],[Pre Total]],""),"")</f>
        <v>3</v>
      </c>
      <c r="N157" s="5" t="str">
        <f>IF(IF(ISNUMBER(K156),1,0)+IF(ISNUMBER(Table4424666572[[#This Row],[Post Total]]),1,0)=2,IF(IF(Table4424666572[[#This Row],[Student Number]]=C156,1,0)+IF(Table4424666572[[#This Row],[Session]]=B156,1,0)+IF(Table4424666572[[#This Row],[Pre or Post]]="Post",1,0)+IF(D156="Pre",1,0)=4,Table4424666572[[#This Row],[Post Total]],""),"")</f>
        <v/>
      </c>
      <c r="O157" s="5" t="str">
        <f>IF(IF(ISNUMBER(K156),1,0)+IF(ISNUMBER(Table4424666572[[#This Row],[Post Total]]),1,0)=2,IF(IF(Table4424666572[[#This Row],[Student Number]]=C156,1,0)+IF(Table4424666572[[#This Row],[Session]]=B156,1,0)+IF(Table4424666572[[#This Row],[Pre or Post]]="Post",1,0)+IF(D156="Pre",1,0)=4,Table4424666572[[#This Row],[Post Total]]-K156,""),"")</f>
        <v/>
      </c>
      <c r="P157" s="5" t="b">
        <f>ISNUMBER(Table4424666572[[#This Row],[Change]])</f>
        <v>0</v>
      </c>
      <c r="Q157" s="5" t="str">
        <f>IF(E156="Yes",Table4424666572[[#This Row],[Change]],"")</f>
        <v/>
      </c>
      <c r="R157" s="5" t="str">
        <f>IF(E156="No",Table4424666572[[#This Row],[Change]],"")</f>
        <v/>
      </c>
      <c r="S157" s="5" t="b">
        <f>ISNUMBER(Table4424666572[[#This Row],[If Pre5 Yes]])</f>
        <v>0</v>
      </c>
      <c r="T157" s="5" t="b">
        <f>ISNUMBER(Table4424666572[[#This Row],[If Pre5 No]])</f>
        <v>0</v>
      </c>
    </row>
    <row r="158" spans="1:20">
      <c r="A158" s="2" t="s">
        <v>24</v>
      </c>
      <c r="B158" s="2" t="s">
        <v>26</v>
      </c>
      <c r="C158" s="1">
        <v>15</v>
      </c>
      <c r="D158" s="1" t="s">
        <v>16</v>
      </c>
      <c r="E158" s="5"/>
      <c r="F158" s="1">
        <v>2</v>
      </c>
      <c r="G158" s="1">
        <v>3</v>
      </c>
      <c r="H158" s="2" t="s">
        <v>8</v>
      </c>
      <c r="I158" s="5" t="str">
        <f>IF(IF(Table4424666572[[#This Row],[Pre or Post]]="Pre",1,0)+IF(ISNUMBER(Table4424666572[[#This Row],[Response]])=TRUE,1,0)=2,1,"")</f>
        <v/>
      </c>
      <c r="J158" s="5">
        <f>IF(IF(Table4424666572[[#This Row],[Pre or Post]]="Post",1,0)+IF(ISNUMBER(Table4424666572[[#This Row],[Response]])=TRUE,1,0)=2,1,"")</f>
        <v>1</v>
      </c>
      <c r="K158" s="6" t="str">
        <f>IF(IF(Table4424666572[[#This Row],[Pre or Post]]="Pre",1,0)+IF(ISNUMBER(Table4424666572[[#This Row],[Response]])=TRUE,1,0)=2,Table4424666572[[#This Row],[Response]],"")</f>
        <v/>
      </c>
      <c r="L158" s="6">
        <f>IF(IF(Table4424666572[[#This Row],[Pre or Post]]="Post",1,0)+IF(ISNUMBER(Table4424666572[[#This Row],[Response]])=TRUE,1,0)=2,Table4424666572[[#This Row],[Response]],"")</f>
        <v>3</v>
      </c>
      <c r="M158" s="5" t="str">
        <f>IF(IF(ISNUMBER(K158),1,0)+IF(ISNUMBER(L159),1,0)=2,IF(IF(C159=C158,1,0)+IF(B159=B158,1,0)+IF(D159="Post",1,0)+IF(D158="Pre",1,0)=4,Table4424666572[[#This Row],[Pre Total]],""),"")</f>
        <v/>
      </c>
      <c r="N158" s="5">
        <f>IF(IF(ISNUMBER(K157),1,0)+IF(ISNUMBER(Table4424666572[[#This Row],[Post Total]]),1,0)=2,IF(IF(Table4424666572[[#This Row],[Student Number]]=C157,1,0)+IF(Table4424666572[[#This Row],[Session]]=B157,1,0)+IF(Table4424666572[[#This Row],[Pre or Post]]="Post",1,0)+IF(D157="Pre",1,0)=4,Table4424666572[[#This Row],[Post Total]],""),"")</f>
        <v>3</v>
      </c>
      <c r="O158" s="5">
        <f>IF(IF(ISNUMBER(K157),1,0)+IF(ISNUMBER(Table4424666572[[#This Row],[Post Total]]),1,0)=2,IF(IF(Table4424666572[[#This Row],[Student Number]]=C157,1,0)+IF(Table4424666572[[#This Row],[Session]]=B157,1,0)+IF(Table4424666572[[#This Row],[Pre or Post]]="Post",1,0)+IF(D157="Pre",1,0)=4,Table4424666572[[#This Row],[Post Total]]-K157,""),"")</f>
        <v>0</v>
      </c>
      <c r="P158" s="5" t="b">
        <f>ISNUMBER(Table4424666572[[#This Row],[Change]])</f>
        <v>1</v>
      </c>
      <c r="Q158" s="5">
        <f>IF(E157="Yes",Table4424666572[[#This Row],[Change]],"")</f>
        <v>0</v>
      </c>
      <c r="R158" s="5" t="str">
        <f>IF(E157="No",Table4424666572[[#This Row],[Change]],"")</f>
        <v/>
      </c>
      <c r="S158" s="5" t="b">
        <f>ISNUMBER(Table4424666572[[#This Row],[If Pre5 Yes]])</f>
        <v>1</v>
      </c>
      <c r="T158" s="5" t="b">
        <f>ISNUMBER(Table4424666572[[#This Row],[If Pre5 No]])</f>
        <v>0</v>
      </c>
    </row>
    <row r="159" spans="1:20">
      <c r="A159" s="2"/>
      <c r="B159" s="2"/>
      <c r="C159" s="2"/>
      <c r="D159" s="2"/>
      <c r="E159" s="2"/>
      <c r="F159" s="2"/>
      <c r="G159" s="2"/>
      <c r="H159" s="2"/>
      <c r="I159" s="6">
        <f>SUM([Pre Answers])</f>
        <v>61</v>
      </c>
      <c r="J159" s="6">
        <f>SUM([Post Answers])</f>
        <v>96</v>
      </c>
      <c r="K159" s="2">
        <f>SUM([Pre Total])</f>
        <v>177</v>
      </c>
      <c r="L159" s="2">
        <f>SUM([Post Total])</f>
        <v>321.5</v>
      </c>
      <c r="M159" s="2">
        <f>SUM([Pre Total (Pooled)])</f>
        <v>167</v>
      </c>
      <c r="N159" s="2">
        <f>SUM([Post Total (Pooled)])</f>
        <v>185.5</v>
      </c>
      <c r="O159" s="2">
        <f>SUM([Change])</f>
        <v>18.5</v>
      </c>
      <c r="P159" s="2">
        <f>COUNTIF([Number 2 Resp],TRUE)</f>
        <v>58</v>
      </c>
      <c r="Q159" s="2">
        <f>SUM([If Pre5 Yes])</f>
        <v>17.5</v>
      </c>
      <c r="R159" s="2">
        <f>SUM([If Pre5 No])</f>
        <v>1</v>
      </c>
      <c r="S159" s="2">
        <f>COUNTIF([Pre5 Yes Answers],"TRUE")</f>
        <v>54</v>
      </c>
      <c r="T159" s="2">
        <f>COUNTIF([Pre5 No Answers],"TRUE")</f>
        <v>4</v>
      </c>
    </row>
    <row r="160" spans="1:20">
      <c r="A160" s="2"/>
      <c r="B160" s="2"/>
      <c r="C160" s="2"/>
      <c r="D160" s="2"/>
      <c r="E160" s="2"/>
      <c r="F160" s="2"/>
      <c r="G160" s="2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11">
      <c r="A161" s="1" t="s">
        <v>175</v>
      </c>
    </row>
    <row r="162" spans="1:11" ht="30">
      <c r="A162" s="16" t="s">
        <v>201</v>
      </c>
      <c r="B162" s="16" t="s">
        <v>36</v>
      </c>
      <c r="C162" s="16" t="s">
        <v>37</v>
      </c>
      <c r="D162" s="16" t="s">
        <v>68</v>
      </c>
      <c r="E162" s="16" t="s">
        <v>69</v>
      </c>
      <c r="F162" s="16"/>
      <c r="G162" s="16"/>
      <c r="H162" s="16"/>
      <c r="I162" s="16"/>
      <c r="J162" s="16"/>
      <c r="K162" s="16"/>
    </row>
    <row r="163" spans="1:11">
      <c r="A163" s="1" t="s">
        <v>8</v>
      </c>
      <c r="B163" s="1">
        <f>COUNTIF(Table4424666572[Pre5 Yes or No],"Yes")</f>
        <v>56</v>
      </c>
      <c r="C163" s="1">
        <f>Table4424666572[[#Totals],[Pre5 Yes Answers]]</f>
        <v>54</v>
      </c>
      <c r="D163" s="1">
        <f>Table4424666572[[#Totals],[If Pre5 Yes]]/Table51225676873[[#This Row],[Total Answers]]</f>
        <v>0.32407407407407407</v>
      </c>
      <c r="E163" s="1">
        <f>STDEV(Table4424666572[If Pre5 Yes])</f>
        <v>0.72135490576406369</v>
      </c>
    </row>
    <row r="164" spans="1:11">
      <c r="A164" s="1" t="s">
        <v>9</v>
      </c>
      <c r="B164" s="1">
        <f>COUNTIF(Table4424666572[Pre5 Yes or No],"No")</f>
        <v>4</v>
      </c>
      <c r="C164" s="1">
        <f>Table4424666572[[#Totals],[Pre5 No Answers]]</f>
        <v>4</v>
      </c>
      <c r="D164" s="1">
        <f>Table4424666572[[#Totals],[If Pre5 No]]/Table51225676873[[#This Row],[Total Answers]]</f>
        <v>0.25</v>
      </c>
      <c r="E164" s="1">
        <f>STDEV(Table4424666572[If Pre5 No])</f>
        <v>0.5</v>
      </c>
    </row>
    <row r="168" spans="1:11">
      <c r="A168"/>
      <c r="B168" s="16"/>
      <c r="C168" s="16"/>
      <c r="D168" s="16"/>
      <c r="E168" s="16"/>
    </row>
    <row r="169" spans="1:11">
      <c r="A169"/>
      <c r="D169" s="5"/>
    </row>
    <row r="170" spans="1:11">
      <c r="A170"/>
      <c r="D170" s="5"/>
    </row>
  </sheetData>
  <conditionalFormatting sqref="C168 G2:H158 F161 F165:F205 G159:G160">
    <cfRule type="cellIs" dxfId="231" priority="3" operator="equal">
      <formula>"No"</formula>
    </cfRule>
    <cfRule type="cellIs" dxfId="230" priority="4" operator="equal">
      <formula>"Yes"</formula>
    </cfRule>
  </conditionalFormatting>
  <conditionalFormatting sqref="G161 G165:G205 F162:F164 H2:H160">
    <cfRule type="cellIs" dxfId="229" priority="1" operator="equal">
      <formula>"Yes"</formula>
    </cfRule>
    <cfRule type="cellIs" dxfId="228" priority="2" operator="equal">
      <formula>"No"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114"/>
  <sheetViews>
    <sheetView workbookViewId="0">
      <pane ySplit="1" topLeftCell="A71" activePane="bottomLeft" state="frozen"/>
      <selection activeCell="E37" sqref="E37"/>
      <selection pane="bottomLeft" activeCell="E37" sqref="E37"/>
    </sheetView>
  </sheetViews>
  <sheetFormatPr defaultColWidth="16.7109375" defaultRowHeight="15"/>
  <cols>
    <col min="1" max="16384" width="16.7109375" style="1"/>
  </cols>
  <sheetData>
    <row r="1" spans="1:14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20</v>
      </c>
      <c r="H1" s="1" t="s">
        <v>33</v>
      </c>
      <c r="I1" s="1" t="s">
        <v>34</v>
      </c>
      <c r="J1" s="1" t="s">
        <v>35</v>
      </c>
      <c r="K1" s="1" t="s">
        <v>38</v>
      </c>
      <c r="L1" s="1" t="s">
        <v>40</v>
      </c>
      <c r="M1" s="1" t="s">
        <v>39</v>
      </c>
      <c r="N1" s="1" t="s">
        <v>41</v>
      </c>
    </row>
    <row r="2" spans="1:14">
      <c r="A2" s="1" t="s">
        <v>12</v>
      </c>
      <c r="B2" s="1" t="s">
        <v>5</v>
      </c>
      <c r="C2" s="1">
        <v>1</v>
      </c>
      <c r="D2" s="1" t="s">
        <v>16</v>
      </c>
      <c r="E2" s="1">
        <v>8</v>
      </c>
      <c r="G2" s="1" t="s">
        <v>9</v>
      </c>
      <c r="H2" s="5" t="str">
        <f>IF(Table4[[#This Row],[Response]]="Yes",1,"")</f>
        <v/>
      </c>
      <c r="I2" s="5" t="str">
        <f>IF(Table4[[#This Row],[Response]]="No",1,"")</f>
        <v/>
      </c>
      <c r="J2" s="5" t="str">
        <f>IF(SUM(Table4[[#This Row],[If Yes]:[If No]])=1,1,"")</f>
        <v/>
      </c>
      <c r="K2" s="5" t="str">
        <f>IF(IF(Table4[[#This Row],[Pre or Post]]="Pre",1,0)+IF(Table4[[#This Row],[If Yes]]=1,1,0)=2,1,"")</f>
        <v/>
      </c>
      <c r="L2" s="5" t="str">
        <f>IF(IF(Table4[[#This Row],[Pre or Post]]="Pre",1,0)+IF(Table4[[#This Row],[If No]]=1,1,0)=2,1,"")</f>
        <v/>
      </c>
      <c r="M2" s="5" t="str">
        <f>IF(IF(Table4[[#This Row],[Pre or Post]]="Post",1,0)+IF(Table4[[#This Row],[If Yes]]=1,1,0)=2,1,"")</f>
        <v/>
      </c>
      <c r="N2" s="5" t="str">
        <f>IF(IF(Table4[[#This Row],[Pre or Post]]="Post",1,0)+IF(Table4[[#This Row],[If No]]=1,1,0)=2,1,"")</f>
        <v/>
      </c>
    </row>
    <row r="3" spans="1:14">
      <c r="A3" s="1" t="s">
        <v>12</v>
      </c>
      <c r="B3" s="1" t="s">
        <v>5</v>
      </c>
      <c r="C3" s="1">
        <v>2</v>
      </c>
      <c r="D3" s="1" t="s">
        <v>16</v>
      </c>
      <c r="E3" s="1">
        <v>8</v>
      </c>
      <c r="F3" s="1" t="s">
        <v>8</v>
      </c>
      <c r="G3" s="1" t="s">
        <v>9</v>
      </c>
      <c r="H3" s="5">
        <f>IF(Table4[[#This Row],[Response]]="Yes",1,"")</f>
        <v>1</v>
      </c>
      <c r="I3" s="5" t="str">
        <f>IF(Table4[[#This Row],[Response]]="No",1,"")</f>
        <v/>
      </c>
      <c r="J3" s="5">
        <f>IF(SUM(Table4[[#This Row],[If Yes]:[If No]])=1,1,"")</f>
        <v>1</v>
      </c>
      <c r="K3" s="5" t="str">
        <f>IF(IF(Table4[[#This Row],[Pre or Post]]="Pre",1,0)+IF(Table4[[#This Row],[If Yes]]=1,1,0)=2,1,"")</f>
        <v/>
      </c>
      <c r="L3" s="5" t="str">
        <f>IF(IF(Table4[[#This Row],[Pre or Post]]="Pre",1,0)+IF(Table4[[#This Row],[If No]]=1,1,0)=2,1,"")</f>
        <v/>
      </c>
      <c r="M3" s="5">
        <f>IF(IF(Table4[[#This Row],[Pre or Post]]="Post",1,0)+IF(Table4[[#This Row],[If Yes]]=1,1,0)=2,1,"")</f>
        <v>1</v>
      </c>
      <c r="N3" s="5" t="str">
        <f>IF(IF(Table4[[#This Row],[Pre or Post]]="Post",1,0)+IF(Table4[[#This Row],[If No]]=1,1,0)=2,1,"")</f>
        <v/>
      </c>
    </row>
    <row r="4" spans="1:14">
      <c r="A4" s="1" t="s">
        <v>12</v>
      </c>
      <c r="B4" s="1" t="s">
        <v>5</v>
      </c>
      <c r="C4" s="1">
        <v>3</v>
      </c>
      <c r="D4" s="1" t="s">
        <v>16</v>
      </c>
      <c r="E4" s="1">
        <v>8</v>
      </c>
      <c r="F4" s="1" t="s">
        <v>8</v>
      </c>
      <c r="G4" s="1" t="s">
        <v>9</v>
      </c>
      <c r="H4" s="5">
        <f>IF(Table4[[#This Row],[Response]]="Yes",1,"")</f>
        <v>1</v>
      </c>
      <c r="I4" s="5" t="str">
        <f>IF(Table4[[#This Row],[Response]]="No",1,"")</f>
        <v/>
      </c>
      <c r="J4" s="5">
        <f>IF(SUM(Table4[[#This Row],[If Yes]:[If No]])=1,1,"")</f>
        <v>1</v>
      </c>
      <c r="K4" s="5" t="str">
        <f>IF(IF(Table4[[#This Row],[Pre or Post]]="Pre",1,0)+IF(Table4[[#This Row],[If Yes]]=1,1,0)=2,1,"")</f>
        <v/>
      </c>
      <c r="L4" s="5" t="str">
        <f>IF(IF(Table4[[#This Row],[Pre or Post]]="Pre",1,0)+IF(Table4[[#This Row],[If No]]=1,1,0)=2,1,"")</f>
        <v/>
      </c>
      <c r="M4" s="5">
        <f>IF(IF(Table4[[#This Row],[Pre or Post]]="Post",1,0)+IF(Table4[[#This Row],[If Yes]]=1,1,0)=2,1,"")</f>
        <v>1</v>
      </c>
      <c r="N4" s="5" t="str">
        <f>IF(IF(Table4[[#This Row],[Pre or Post]]="Post",1,0)+IF(Table4[[#This Row],[If No]]=1,1,0)=2,1,"")</f>
        <v/>
      </c>
    </row>
    <row r="5" spans="1:14">
      <c r="A5" s="1" t="s">
        <v>12</v>
      </c>
      <c r="B5" s="1" t="s">
        <v>5</v>
      </c>
      <c r="C5" s="1">
        <v>4</v>
      </c>
      <c r="D5" s="1" t="s">
        <v>16</v>
      </c>
      <c r="E5" s="1">
        <v>8</v>
      </c>
      <c r="G5" s="1" t="s">
        <v>9</v>
      </c>
      <c r="H5" s="5" t="str">
        <f>IF(Table4[[#This Row],[Response]]="Yes",1,"")</f>
        <v/>
      </c>
      <c r="I5" s="5" t="str">
        <f>IF(Table4[[#This Row],[Response]]="No",1,"")</f>
        <v/>
      </c>
      <c r="J5" s="5" t="str">
        <f>IF(SUM(Table4[[#This Row],[If Yes]:[If No]])=1,1,"")</f>
        <v/>
      </c>
      <c r="K5" s="5" t="str">
        <f>IF(IF(Table4[[#This Row],[Pre or Post]]="Pre",1,0)+IF(Table4[[#This Row],[If Yes]]=1,1,0)=2,1,"")</f>
        <v/>
      </c>
      <c r="L5" s="5" t="str">
        <f>IF(IF(Table4[[#This Row],[Pre or Post]]="Pre",1,0)+IF(Table4[[#This Row],[If No]]=1,1,0)=2,1,"")</f>
        <v/>
      </c>
      <c r="M5" s="5" t="str">
        <f>IF(IF(Table4[[#This Row],[Pre or Post]]="Post",1,0)+IF(Table4[[#This Row],[If Yes]]=1,1,0)=2,1,"")</f>
        <v/>
      </c>
      <c r="N5" s="5" t="str">
        <f>IF(IF(Table4[[#This Row],[Pre or Post]]="Post",1,0)+IF(Table4[[#This Row],[If No]]=1,1,0)=2,1,"")</f>
        <v/>
      </c>
    </row>
    <row r="6" spans="1:14">
      <c r="A6" s="1" t="s">
        <v>12</v>
      </c>
      <c r="B6" s="1" t="s">
        <v>5</v>
      </c>
      <c r="C6" s="1">
        <v>5</v>
      </c>
      <c r="D6" s="1" t="s">
        <v>16</v>
      </c>
      <c r="E6" s="1">
        <v>8</v>
      </c>
      <c r="F6" s="1" t="s">
        <v>8</v>
      </c>
      <c r="G6" s="1" t="s">
        <v>9</v>
      </c>
      <c r="H6" s="5">
        <f>IF(Table4[[#This Row],[Response]]="Yes",1,"")</f>
        <v>1</v>
      </c>
      <c r="I6" s="5" t="str">
        <f>IF(Table4[[#This Row],[Response]]="No",1,"")</f>
        <v/>
      </c>
      <c r="J6" s="5">
        <f>IF(SUM(Table4[[#This Row],[If Yes]:[If No]])=1,1,"")</f>
        <v>1</v>
      </c>
      <c r="K6" s="5" t="str">
        <f>IF(IF(Table4[[#This Row],[Pre or Post]]="Pre",1,0)+IF(Table4[[#This Row],[If Yes]]=1,1,0)=2,1,"")</f>
        <v/>
      </c>
      <c r="L6" s="5" t="str">
        <f>IF(IF(Table4[[#This Row],[Pre or Post]]="Pre",1,0)+IF(Table4[[#This Row],[If No]]=1,1,0)=2,1,"")</f>
        <v/>
      </c>
      <c r="M6" s="5">
        <f>IF(IF(Table4[[#This Row],[Pre or Post]]="Post",1,0)+IF(Table4[[#This Row],[If Yes]]=1,1,0)=2,1,"")</f>
        <v>1</v>
      </c>
      <c r="N6" s="5" t="str">
        <f>IF(IF(Table4[[#This Row],[Pre or Post]]="Post",1,0)+IF(Table4[[#This Row],[If No]]=1,1,0)=2,1,"")</f>
        <v/>
      </c>
    </row>
    <row r="7" spans="1:14">
      <c r="A7" s="1" t="s">
        <v>12</v>
      </c>
      <c r="B7" s="1" t="s">
        <v>5</v>
      </c>
      <c r="C7" s="1">
        <v>6</v>
      </c>
      <c r="D7" s="1" t="s">
        <v>16</v>
      </c>
      <c r="E7" s="1">
        <v>8</v>
      </c>
      <c r="F7" s="1" t="s">
        <v>8</v>
      </c>
      <c r="G7" s="1" t="s">
        <v>9</v>
      </c>
      <c r="H7" s="5">
        <f>IF(Table4[[#This Row],[Response]]="Yes",1,"")</f>
        <v>1</v>
      </c>
      <c r="I7" s="5" t="str">
        <f>IF(Table4[[#This Row],[Response]]="No",1,"")</f>
        <v/>
      </c>
      <c r="J7" s="5">
        <f>IF(SUM(Table4[[#This Row],[If Yes]:[If No]])=1,1,"")</f>
        <v>1</v>
      </c>
      <c r="K7" s="5" t="str">
        <f>IF(IF(Table4[[#This Row],[Pre or Post]]="Pre",1,0)+IF(Table4[[#This Row],[If Yes]]=1,1,0)=2,1,"")</f>
        <v/>
      </c>
      <c r="L7" s="5" t="str">
        <f>IF(IF(Table4[[#This Row],[Pre or Post]]="Pre",1,0)+IF(Table4[[#This Row],[If No]]=1,1,0)=2,1,"")</f>
        <v/>
      </c>
      <c r="M7" s="5">
        <f>IF(IF(Table4[[#This Row],[Pre or Post]]="Post",1,0)+IF(Table4[[#This Row],[If Yes]]=1,1,0)=2,1,"")</f>
        <v>1</v>
      </c>
      <c r="N7" s="5" t="str">
        <f>IF(IF(Table4[[#This Row],[Pre or Post]]="Post",1,0)+IF(Table4[[#This Row],[If No]]=1,1,0)=2,1,"")</f>
        <v/>
      </c>
    </row>
    <row r="8" spans="1:14">
      <c r="A8" s="1" t="s">
        <v>12</v>
      </c>
      <c r="B8" s="1" t="s">
        <v>5</v>
      </c>
      <c r="C8" s="1">
        <v>7</v>
      </c>
      <c r="D8" s="1" t="s">
        <v>16</v>
      </c>
      <c r="E8" s="1">
        <v>8</v>
      </c>
      <c r="G8" s="1" t="s">
        <v>9</v>
      </c>
      <c r="H8" s="5" t="str">
        <f>IF(Table4[[#This Row],[Response]]="Yes",1,"")</f>
        <v/>
      </c>
      <c r="I8" s="5" t="str">
        <f>IF(Table4[[#This Row],[Response]]="No",1,"")</f>
        <v/>
      </c>
      <c r="J8" s="5" t="str">
        <f>IF(SUM(Table4[[#This Row],[If Yes]:[If No]])=1,1,"")</f>
        <v/>
      </c>
      <c r="K8" s="5" t="str">
        <f>IF(IF(Table4[[#This Row],[Pre or Post]]="Pre",1,0)+IF(Table4[[#This Row],[If Yes]]=1,1,0)=2,1,"")</f>
        <v/>
      </c>
      <c r="L8" s="5" t="str">
        <f>IF(IF(Table4[[#This Row],[Pre or Post]]="Pre",1,0)+IF(Table4[[#This Row],[If No]]=1,1,0)=2,1,"")</f>
        <v/>
      </c>
      <c r="M8" s="5" t="str">
        <f>IF(IF(Table4[[#This Row],[Pre or Post]]="Post",1,0)+IF(Table4[[#This Row],[If Yes]]=1,1,0)=2,1,"")</f>
        <v/>
      </c>
      <c r="N8" s="5" t="str">
        <f>IF(IF(Table4[[#This Row],[Pre or Post]]="Post",1,0)+IF(Table4[[#This Row],[If No]]=1,1,0)=2,1,"")</f>
        <v/>
      </c>
    </row>
    <row r="9" spans="1:14">
      <c r="A9" s="1" t="s">
        <v>12</v>
      </c>
      <c r="B9" s="1" t="s">
        <v>5</v>
      </c>
      <c r="C9" s="1">
        <v>8</v>
      </c>
      <c r="D9" s="1" t="s">
        <v>16</v>
      </c>
      <c r="E9" s="1">
        <v>8</v>
      </c>
      <c r="G9" s="1" t="s">
        <v>9</v>
      </c>
      <c r="H9" s="5" t="str">
        <f>IF(Table4[[#This Row],[Response]]="Yes",1,"")</f>
        <v/>
      </c>
      <c r="I9" s="5" t="str">
        <f>IF(Table4[[#This Row],[Response]]="No",1,"")</f>
        <v/>
      </c>
      <c r="J9" s="5" t="str">
        <f>IF(SUM(Table4[[#This Row],[If Yes]:[If No]])=1,1,"")</f>
        <v/>
      </c>
      <c r="K9" s="5" t="str">
        <f>IF(IF(Table4[[#This Row],[Pre or Post]]="Pre",1,0)+IF(Table4[[#This Row],[If Yes]]=1,1,0)=2,1,"")</f>
        <v/>
      </c>
      <c r="L9" s="5" t="str">
        <f>IF(IF(Table4[[#This Row],[Pre or Post]]="Pre",1,0)+IF(Table4[[#This Row],[If No]]=1,1,0)=2,1,"")</f>
        <v/>
      </c>
      <c r="M9" s="5" t="str">
        <f>IF(IF(Table4[[#This Row],[Pre or Post]]="Post",1,0)+IF(Table4[[#This Row],[If Yes]]=1,1,0)=2,1,"")</f>
        <v/>
      </c>
      <c r="N9" s="5" t="str">
        <f>IF(IF(Table4[[#This Row],[Pre or Post]]="Post",1,0)+IF(Table4[[#This Row],[If No]]=1,1,0)=2,1,"")</f>
        <v/>
      </c>
    </row>
    <row r="10" spans="1:14">
      <c r="A10" s="1" t="s">
        <v>12</v>
      </c>
      <c r="B10" s="1" t="s">
        <v>5</v>
      </c>
      <c r="C10" s="1">
        <v>9</v>
      </c>
      <c r="D10" s="1" t="s">
        <v>16</v>
      </c>
      <c r="E10" s="1">
        <v>8</v>
      </c>
      <c r="G10" s="1" t="s">
        <v>9</v>
      </c>
      <c r="H10" s="5" t="str">
        <f>IF(Table4[[#This Row],[Response]]="Yes",1,"")</f>
        <v/>
      </c>
      <c r="I10" s="5" t="str">
        <f>IF(Table4[[#This Row],[Response]]="No",1,"")</f>
        <v/>
      </c>
      <c r="J10" s="5" t="str">
        <f>IF(SUM(Table4[[#This Row],[If Yes]:[If No]])=1,1,"")</f>
        <v/>
      </c>
      <c r="K10" s="5" t="str">
        <f>IF(IF(Table4[[#This Row],[Pre or Post]]="Pre",1,0)+IF(Table4[[#This Row],[If Yes]]=1,1,0)=2,1,"")</f>
        <v/>
      </c>
      <c r="L10" s="5" t="str">
        <f>IF(IF(Table4[[#This Row],[Pre or Post]]="Pre",1,0)+IF(Table4[[#This Row],[If No]]=1,1,0)=2,1,"")</f>
        <v/>
      </c>
      <c r="M10" s="5" t="str">
        <f>IF(IF(Table4[[#This Row],[Pre or Post]]="Post",1,0)+IF(Table4[[#This Row],[If Yes]]=1,1,0)=2,1,"")</f>
        <v/>
      </c>
      <c r="N10" s="5" t="str">
        <f>IF(IF(Table4[[#This Row],[Pre or Post]]="Post",1,0)+IF(Table4[[#This Row],[If No]]=1,1,0)=2,1,"")</f>
        <v/>
      </c>
    </row>
    <row r="11" spans="1:14">
      <c r="A11" s="1" t="s">
        <v>12</v>
      </c>
      <c r="B11" s="1" t="s">
        <v>5</v>
      </c>
      <c r="C11" s="1">
        <v>10</v>
      </c>
      <c r="D11" s="1" t="s">
        <v>16</v>
      </c>
      <c r="E11" s="1">
        <v>8</v>
      </c>
      <c r="G11" s="1" t="s">
        <v>9</v>
      </c>
      <c r="H11" s="5" t="str">
        <f>IF(Table4[[#This Row],[Response]]="Yes",1,"")</f>
        <v/>
      </c>
      <c r="I11" s="5" t="str">
        <f>IF(Table4[[#This Row],[Response]]="No",1,"")</f>
        <v/>
      </c>
      <c r="J11" s="5" t="str">
        <f>IF(SUM(Table4[[#This Row],[If Yes]:[If No]])=1,1,"")</f>
        <v/>
      </c>
      <c r="K11" s="5" t="str">
        <f>IF(IF(Table4[[#This Row],[Pre or Post]]="Pre",1,0)+IF(Table4[[#This Row],[If Yes]]=1,1,0)=2,1,"")</f>
        <v/>
      </c>
      <c r="L11" s="5" t="str">
        <f>IF(IF(Table4[[#This Row],[Pre or Post]]="Pre",1,0)+IF(Table4[[#This Row],[If No]]=1,1,0)=2,1,"")</f>
        <v/>
      </c>
      <c r="M11" s="5" t="str">
        <f>IF(IF(Table4[[#This Row],[Pre or Post]]="Post",1,0)+IF(Table4[[#This Row],[If Yes]]=1,1,0)=2,1,"")</f>
        <v/>
      </c>
      <c r="N11" s="5" t="str">
        <f>IF(IF(Table4[[#This Row],[Pre or Post]]="Post",1,0)+IF(Table4[[#This Row],[If No]]=1,1,0)=2,1,"")</f>
        <v/>
      </c>
    </row>
    <row r="12" spans="1:14">
      <c r="A12" s="1" t="s">
        <v>12</v>
      </c>
      <c r="B12" s="1" t="s">
        <v>5</v>
      </c>
      <c r="C12" s="1">
        <v>11</v>
      </c>
      <c r="D12" s="1" t="s">
        <v>16</v>
      </c>
      <c r="E12" s="1">
        <v>8</v>
      </c>
      <c r="G12" s="1" t="s">
        <v>9</v>
      </c>
      <c r="H12" s="5" t="str">
        <f>IF(Table4[[#This Row],[Response]]="Yes",1,"")</f>
        <v/>
      </c>
      <c r="I12" s="5" t="str">
        <f>IF(Table4[[#This Row],[Response]]="No",1,"")</f>
        <v/>
      </c>
      <c r="J12" s="5" t="str">
        <f>IF(SUM(Table4[[#This Row],[If Yes]:[If No]])=1,1,"")</f>
        <v/>
      </c>
      <c r="K12" s="5" t="str">
        <f>IF(IF(Table4[[#This Row],[Pre or Post]]="Pre",1,0)+IF(Table4[[#This Row],[If Yes]]=1,1,0)=2,1,"")</f>
        <v/>
      </c>
      <c r="L12" s="5" t="str">
        <f>IF(IF(Table4[[#This Row],[Pre or Post]]="Pre",1,0)+IF(Table4[[#This Row],[If No]]=1,1,0)=2,1,"")</f>
        <v/>
      </c>
      <c r="M12" s="5" t="str">
        <f>IF(IF(Table4[[#This Row],[Pre or Post]]="Post",1,0)+IF(Table4[[#This Row],[If Yes]]=1,1,0)=2,1,"")</f>
        <v/>
      </c>
      <c r="N12" s="5" t="str">
        <f>IF(IF(Table4[[#This Row],[Pre or Post]]="Post",1,0)+IF(Table4[[#This Row],[If No]]=1,1,0)=2,1,"")</f>
        <v/>
      </c>
    </row>
    <row r="13" spans="1:14">
      <c r="A13" s="1" t="s">
        <v>12</v>
      </c>
      <c r="B13" s="1" t="s">
        <v>5</v>
      </c>
      <c r="C13" s="1">
        <v>12</v>
      </c>
      <c r="D13" s="1" t="s">
        <v>16</v>
      </c>
      <c r="E13" s="1">
        <v>8</v>
      </c>
      <c r="G13" s="1" t="s">
        <v>9</v>
      </c>
      <c r="H13" s="5" t="str">
        <f>IF(Table4[[#This Row],[Response]]="Yes",1,"")</f>
        <v/>
      </c>
      <c r="I13" s="5" t="str">
        <f>IF(Table4[[#This Row],[Response]]="No",1,"")</f>
        <v/>
      </c>
      <c r="J13" s="5" t="str">
        <f>IF(SUM(Table4[[#This Row],[If Yes]:[If No]])=1,1,"")</f>
        <v/>
      </c>
      <c r="K13" s="5" t="str">
        <f>IF(IF(Table4[[#This Row],[Pre or Post]]="Pre",1,0)+IF(Table4[[#This Row],[If Yes]]=1,1,0)=2,1,"")</f>
        <v/>
      </c>
      <c r="L13" s="5" t="str">
        <f>IF(IF(Table4[[#This Row],[Pre or Post]]="Pre",1,0)+IF(Table4[[#This Row],[If No]]=1,1,0)=2,1,"")</f>
        <v/>
      </c>
      <c r="M13" s="5" t="str">
        <f>IF(IF(Table4[[#This Row],[Pre or Post]]="Post",1,0)+IF(Table4[[#This Row],[If Yes]]=1,1,0)=2,1,"")</f>
        <v/>
      </c>
      <c r="N13" s="5" t="str">
        <f>IF(IF(Table4[[#This Row],[Pre or Post]]="Post",1,0)+IF(Table4[[#This Row],[If No]]=1,1,0)=2,1,"")</f>
        <v/>
      </c>
    </row>
    <row r="14" spans="1:14">
      <c r="A14" s="1" t="s">
        <v>12</v>
      </c>
      <c r="B14" s="1" t="s">
        <v>5</v>
      </c>
      <c r="C14" s="1">
        <v>13</v>
      </c>
      <c r="D14" s="1" t="s">
        <v>16</v>
      </c>
      <c r="E14" s="1">
        <v>8</v>
      </c>
      <c r="G14" s="1" t="s">
        <v>9</v>
      </c>
      <c r="H14" s="5" t="str">
        <f>IF(Table4[[#This Row],[Response]]="Yes",1,"")</f>
        <v/>
      </c>
      <c r="I14" s="5" t="str">
        <f>IF(Table4[[#This Row],[Response]]="No",1,"")</f>
        <v/>
      </c>
      <c r="J14" s="5" t="str">
        <f>IF(SUM(Table4[[#This Row],[If Yes]:[If No]])=1,1,"")</f>
        <v/>
      </c>
      <c r="K14" s="5" t="str">
        <f>IF(IF(Table4[[#This Row],[Pre or Post]]="Pre",1,0)+IF(Table4[[#This Row],[If Yes]]=1,1,0)=2,1,"")</f>
        <v/>
      </c>
      <c r="L14" s="5" t="str">
        <f>IF(IF(Table4[[#This Row],[Pre or Post]]="Pre",1,0)+IF(Table4[[#This Row],[If No]]=1,1,0)=2,1,"")</f>
        <v/>
      </c>
      <c r="M14" s="5" t="str">
        <f>IF(IF(Table4[[#This Row],[Pre or Post]]="Post",1,0)+IF(Table4[[#This Row],[If Yes]]=1,1,0)=2,1,"")</f>
        <v/>
      </c>
      <c r="N14" s="5" t="str">
        <f>IF(IF(Table4[[#This Row],[Pre or Post]]="Post",1,0)+IF(Table4[[#This Row],[If No]]=1,1,0)=2,1,"")</f>
        <v/>
      </c>
    </row>
    <row r="15" spans="1:14">
      <c r="A15" s="1" t="s">
        <v>12</v>
      </c>
      <c r="B15" s="1" t="s">
        <v>5</v>
      </c>
      <c r="C15" s="1">
        <v>14</v>
      </c>
      <c r="D15" s="1" t="s">
        <v>16</v>
      </c>
      <c r="E15" s="1">
        <v>8</v>
      </c>
      <c r="F15" s="1" t="s">
        <v>8</v>
      </c>
      <c r="G15" s="1" t="s">
        <v>9</v>
      </c>
      <c r="H15" s="5">
        <f>IF(Table4[[#This Row],[Response]]="Yes",1,"")</f>
        <v>1</v>
      </c>
      <c r="I15" s="5" t="str">
        <f>IF(Table4[[#This Row],[Response]]="No",1,"")</f>
        <v/>
      </c>
      <c r="J15" s="5">
        <f>IF(SUM(Table4[[#This Row],[If Yes]:[If No]])=1,1,"")</f>
        <v>1</v>
      </c>
      <c r="K15" s="5" t="str">
        <f>IF(IF(Table4[[#This Row],[Pre or Post]]="Pre",1,0)+IF(Table4[[#This Row],[If Yes]]=1,1,0)=2,1,"")</f>
        <v/>
      </c>
      <c r="L15" s="5" t="str">
        <f>IF(IF(Table4[[#This Row],[Pre or Post]]="Pre",1,0)+IF(Table4[[#This Row],[If No]]=1,1,0)=2,1,"")</f>
        <v/>
      </c>
      <c r="M15" s="5">
        <f>IF(IF(Table4[[#This Row],[Pre or Post]]="Post",1,0)+IF(Table4[[#This Row],[If Yes]]=1,1,0)=2,1,"")</f>
        <v>1</v>
      </c>
      <c r="N15" s="5" t="str">
        <f>IF(IF(Table4[[#This Row],[Pre or Post]]="Post",1,0)+IF(Table4[[#This Row],[If No]]=1,1,0)=2,1,"")</f>
        <v/>
      </c>
    </row>
    <row r="16" spans="1:14">
      <c r="A16" s="1" t="s">
        <v>12</v>
      </c>
      <c r="B16" s="1" t="s">
        <v>5</v>
      </c>
      <c r="C16" s="1">
        <v>15</v>
      </c>
      <c r="D16" s="1" t="s">
        <v>16</v>
      </c>
      <c r="E16" s="1">
        <v>8</v>
      </c>
      <c r="F16" s="1" t="s">
        <v>8</v>
      </c>
      <c r="G16" s="1" t="s">
        <v>9</v>
      </c>
      <c r="H16" s="5">
        <f>IF(Table4[[#This Row],[Response]]="Yes",1,"")</f>
        <v>1</v>
      </c>
      <c r="I16" s="5" t="str">
        <f>IF(Table4[[#This Row],[Response]]="No",1,"")</f>
        <v/>
      </c>
      <c r="J16" s="5">
        <f>IF(SUM(Table4[[#This Row],[If Yes]:[If No]])=1,1,"")</f>
        <v>1</v>
      </c>
      <c r="K16" s="5" t="str">
        <f>IF(IF(Table4[[#This Row],[Pre or Post]]="Pre",1,0)+IF(Table4[[#This Row],[If Yes]]=1,1,0)=2,1,"")</f>
        <v/>
      </c>
      <c r="L16" s="5" t="str">
        <f>IF(IF(Table4[[#This Row],[Pre or Post]]="Pre",1,0)+IF(Table4[[#This Row],[If No]]=1,1,0)=2,1,"")</f>
        <v/>
      </c>
      <c r="M16" s="5">
        <f>IF(IF(Table4[[#This Row],[Pre or Post]]="Post",1,0)+IF(Table4[[#This Row],[If Yes]]=1,1,0)=2,1,"")</f>
        <v>1</v>
      </c>
      <c r="N16" s="5" t="str">
        <f>IF(IF(Table4[[#This Row],[Pre or Post]]="Post",1,0)+IF(Table4[[#This Row],[If No]]=1,1,0)=2,1,"")</f>
        <v/>
      </c>
    </row>
    <row r="17" spans="1:14">
      <c r="A17" s="1" t="s">
        <v>12</v>
      </c>
      <c r="B17" s="1" t="s">
        <v>5</v>
      </c>
      <c r="C17" s="1">
        <v>16</v>
      </c>
      <c r="D17" s="1" t="s">
        <v>16</v>
      </c>
      <c r="E17" s="1">
        <v>8</v>
      </c>
      <c r="F17" s="1" t="s">
        <v>8</v>
      </c>
      <c r="G17" s="1" t="s">
        <v>9</v>
      </c>
      <c r="H17" s="5">
        <f>IF(Table4[[#This Row],[Response]]="Yes",1,"")</f>
        <v>1</v>
      </c>
      <c r="I17" s="5" t="str">
        <f>IF(Table4[[#This Row],[Response]]="No",1,"")</f>
        <v/>
      </c>
      <c r="J17" s="5">
        <f>IF(SUM(Table4[[#This Row],[If Yes]:[If No]])=1,1,"")</f>
        <v>1</v>
      </c>
      <c r="K17" s="5" t="str">
        <f>IF(IF(Table4[[#This Row],[Pre or Post]]="Pre",1,0)+IF(Table4[[#This Row],[If Yes]]=1,1,0)=2,1,"")</f>
        <v/>
      </c>
      <c r="L17" s="5" t="str">
        <f>IF(IF(Table4[[#This Row],[Pre or Post]]="Pre",1,0)+IF(Table4[[#This Row],[If No]]=1,1,0)=2,1,"")</f>
        <v/>
      </c>
      <c r="M17" s="5">
        <f>IF(IF(Table4[[#This Row],[Pre or Post]]="Post",1,0)+IF(Table4[[#This Row],[If Yes]]=1,1,0)=2,1,"")</f>
        <v>1</v>
      </c>
      <c r="N17" s="5" t="str">
        <f>IF(IF(Table4[[#This Row],[Pre or Post]]="Post",1,0)+IF(Table4[[#This Row],[If No]]=1,1,0)=2,1,"")</f>
        <v/>
      </c>
    </row>
    <row r="18" spans="1:14">
      <c r="A18" s="1" t="s">
        <v>12</v>
      </c>
      <c r="B18" s="1" t="s">
        <v>5</v>
      </c>
      <c r="C18" s="1">
        <v>17</v>
      </c>
      <c r="D18" s="1" t="s">
        <v>16</v>
      </c>
      <c r="E18" s="1">
        <v>8</v>
      </c>
      <c r="G18" s="1" t="s">
        <v>9</v>
      </c>
      <c r="H18" s="5" t="str">
        <f>IF(Table4[[#This Row],[Response]]="Yes",1,"")</f>
        <v/>
      </c>
      <c r="I18" s="5" t="str">
        <f>IF(Table4[[#This Row],[Response]]="No",1,"")</f>
        <v/>
      </c>
      <c r="J18" s="5" t="str">
        <f>IF(SUM(Table4[[#This Row],[If Yes]:[If No]])=1,1,"")</f>
        <v/>
      </c>
      <c r="K18" s="5" t="str">
        <f>IF(IF(Table4[[#This Row],[Pre or Post]]="Pre",1,0)+IF(Table4[[#This Row],[If Yes]]=1,1,0)=2,1,"")</f>
        <v/>
      </c>
      <c r="L18" s="5" t="str">
        <f>IF(IF(Table4[[#This Row],[Pre or Post]]="Pre",1,0)+IF(Table4[[#This Row],[If No]]=1,1,0)=2,1,"")</f>
        <v/>
      </c>
      <c r="M18" s="5" t="str">
        <f>IF(IF(Table4[[#This Row],[Pre or Post]]="Post",1,0)+IF(Table4[[#This Row],[If Yes]]=1,1,0)=2,1,"")</f>
        <v/>
      </c>
      <c r="N18" s="5" t="str">
        <f>IF(IF(Table4[[#This Row],[Pre or Post]]="Post",1,0)+IF(Table4[[#This Row],[If No]]=1,1,0)=2,1,"")</f>
        <v/>
      </c>
    </row>
    <row r="19" spans="1:14">
      <c r="A19" s="1" t="s">
        <v>12</v>
      </c>
      <c r="B19" s="1" t="s">
        <v>5</v>
      </c>
      <c r="C19" s="1">
        <v>18</v>
      </c>
      <c r="D19" s="1" t="s">
        <v>16</v>
      </c>
      <c r="E19" s="1">
        <v>8</v>
      </c>
      <c r="G19" s="1" t="s">
        <v>9</v>
      </c>
      <c r="H19" s="5" t="str">
        <f>IF(Table4[[#This Row],[Response]]="Yes",1,"")</f>
        <v/>
      </c>
      <c r="I19" s="5" t="str">
        <f>IF(Table4[[#This Row],[Response]]="No",1,"")</f>
        <v/>
      </c>
      <c r="J19" s="5" t="str">
        <f>IF(SUM(Table4[[#This Row],[If Yes]:[If No]])=1,1,"")</f>
        <v/>
      </c>
      <c r="K19" s="5" t="str">
        <f>IF(IF(Table4[[#This Row],[Pre or Post]]="Pre",1,0)+IF(Table4[[#This Row],[If Yes]]=1,1,0)=2,1,"")</f>
        <v/>
      </c>
      <c r="L19" s="5" t="str">
        <f>IF(IF(Table4[[#This Row],[Pre or Post]]="Pre",1,0)+IF(Table4[[#This Row],[If No]]=1,1,0)=2,1,"")</f>
        <v/>
      </c>
      <c r="M19" s="5" t="str">
        <f>IF(IF(Table4[[#This Row],[Pre or Post]]="Post",1,0)+IF(Table4[[#This Row],[If Yes]]=1,1,0)=2,1,"")</f>
        <v/>
      </c>
      <c r="N19" s="5" t="str">
        <f>IF(IF(Table4[[#This Row],[Pre or Post]]="Post",1,0)+IF(Table4[[#This Row],[If No]]=1,1,0)=2,1,"")</f>
        <v/>
      </c>
    </row>
    <row r="20" spans="1:14">
      <c r="A20" s="1" t="s">
        <v>12</v>
      </c>
      <c r="B20" s="1" t="s">
        <v>5</v>
      </c>
      <c r="C20" s="1">
        <v>19</v>
      </c>
      <c r="D20" s="1" t="s">
        <v>16</v>
      </c>
      <c r="E20" s="1">
        <v>8</v>
      </c>
      <c r="F20" s="1" t="s">
        <v>8</v>
      </c>
      <c r="G20" s="1" t="s">
        <v>9</v>
      </c>
      <c r="H20" s="5">
        <f>IF(Table4[[#This Row],[Response]]="Yes",1,"")</f>
        <v>1</v>
      </c>
      <c r="I20" s="5" t="str">
        <f>IF(Table4[[#This Row],[Response]]="No",1,"")</f>
        <v/>
      </c>
      <c r="J20" s="5">
        <f>IF(SUM(Table4[[#This Row],[If Yes]:[If No]])=1,1,"")</f>
        <v>1</v>
      </c>
      <c r="K20" s="5" t="str">
        <f>IF(IF(Table4[[#This Row],[Pre or Post]]="Pre",1,0)+IF(Table4[[#This Row],[If Yes]]=1,1,0)=2,1,"")</f>
        <v/>
      </c>
      <c r="L20" s="5" t="str">
        <f>IF(IF(Table4[[#This Row],[Pre or Post]]="Pre",1,0)+IF(Table4[[#This Row],[If No]]=1,1,0)=2,1,"")</f>
        <v/>
      </c>
      <c r="M20" s="5">
        <f>IF(IF(Table4[[#This Row],[Pre or Post]]="Post",1,0)+IF(Table4[[#This Row],[If Yes]]=1,1,0)=2,1,"")</f>
        <v>1</v>
      </c>
      <c r="N20" s="5" t="str">
        <f>IF(IF(Table4[[#This Row],[Pre or Post]]="Post",1,0)+IF(Table4[[#This Row],[If No]]=1,1,0)=2,1,"")</f>
        <v/>
      </c>
    </row>
    <row r="21" spans="1:14">
      <c r="A21" s="1" t="s">
        <v>12</v>
      </c>
      <c r="B21" s="1" t="s">
        <v>5</v>
      </c>
      <c r="C21" s="1">
        <v>20</v>
      </c>
      <c r="D21" s="1" t="s">
        <v>16</v>
      </c>
      <c r="E21" s="1">
        <v>8</v>
      </c>
      <c r="G21" s="1" t="s">
        <v>9</v>
      </c>
      <c r="H21" s="5" t="str">
        <f>IF(Table4[[#This Row],[Response]]="Yes",1,"")</f>
        <v/>
      </c>
      <c r="I21" s="5" t="str">
        <f>IF(Table4[[#This Row],[Response]]="No",1,"")</f>
        <v/>
      </c>
      <c r="J21" s="5" t="str">
        <f>IF(SUM(Table4[[#This Row],[If Yes]:[If No]])=1,1,"")</f>
        <v/>
      </c>
      <c r="K21" s="5" t="str">
        <f>IF(IF(Table4[[#This Row],[Pre or Post]]="Pre",1,0)+IF(Table4[[#This Row],[If Yes]]=1,1,0)=2,1,"")</f>
        <v/>
      </c>
      <c r="L21" s="5" t="str">
        <f>IF(IF(Table4[[#This Row],[Pre or Post]]="Pre",1,0)+IF(Table4[[#This Row],[If No]]=1,1,0)=2,1,"")</f>
        <v/>
      </c>
      <c r="M21" s="5" t="str">
        <f>IF(IF(Table4[[#This Row],[Pre or Post]]="Post",1,0)+IF(Table4[[#This Row],[If Yes]]=1,1,0)=2,1,"")</f>
        <v/>
      </c>
      <c r="N21" s="5" t="str">
        <f>IF(IF(Table4[[#This Row],[Pre or Post]]="Post",1,0)+IF(Table4[[#This Row],[If No]]=1,1,0)=2,1,"")</f>
        <v/>
      </c>
    </row>
    <row r="22" spans="1:14">
      <c r="A22" s="1" t="s">
        <v>12</v>
      </c>
      <c r="B22" s="1" t="s">
        <v>5</v>
      </c>
      <c r="C22" s="1">
        <v>21</v>
      </c>
      <c r="D22" s="1" t="s">
        <v>16</v>
      </c>
      <c r="E22" s="1">
        <v>8</v>
      </c>
      <c r="G22" s="1" t="s">
        <v>9</v>
      </c>
      <c r="H22" s="5" t="str">
        <f>IF(Table4[[#This Row],[Response]]="Yes",1,"")</f>
        <v/>
      </c>
      <c r="I22" s="5" t="str">
        <f>IF(Table4[[#This Row],[Response]]="No",1,"")</f>
        <v/>
      </c>
      <c r="J22" s="5" t="str">
        <f>IF(SUM(Table4[[#This Row],[If Yes]:[If No]])=1,1,"")</f>
        <v/>
      </c>
      <c r="K22" s="5" t="str">
        <f>IF(IF(Table4[[#This Row],[Pre or Post]]="Pre",1,0)+IF(Table4[[#This Row],[If Yes]]=1,1,0)=2,1,"")</f>
        <v/>
      </c>
      <c r="L22" s="5" t="str">
        <f>IF(IF(Table4[[#This Row],[Pre or Post]]="Pre",1,0)+IF(Table4[[#This Row],[If No]]=1,1,0)=2,1,"")</f>
        <v/>
      </c>
      <c r="M22" s="5" t="str">
        <f>IF(IF(Table4[[#This Row],[Pre or Post]]="Post",1,0)+IF(Table4[[#This Row],[If Yes]]=1,1,0)=2,1,"")</f>
        <v/>
      </c>
      <c r="N22" s="5" t="str">
        <f>IF(IF(Table4[[#This Row],[Pre or Post]]="Post",1,0)+IF(Table4[[#This Row],[If No]]=1,1,0)=2,1,"")</f>
        <v/>
      </c>
    </row>
    <row r="23" spans="1:14">
      <c r="A23" s="1" t="s">
        <v>12</v>
      </c>
      <c r="B23" s="1" t="s">
        <v>5</v>
      </c>
      <c r="C23" s="1">
        <v>22</v>
      </c>
      <c r="D23" s="1" t="s">
        <v>16</v>
      </c>
      <c r="E23" s="1">
        <v>8</v>
      </c>
      <c r="F23" s="1" t="s">
        <v>8</v>
      </c>
      <c r="G23" s="1" t="s">
        <v>9</v>
      </c>
      <c r="H23" s="5">
        <f>IF(Table4[[#This Row],[Response]]="Yes",1,"")</f>
        <v>1</v>
      </c>
      <c r="I23" s="5" t="str">
        <f>IF(Table4[[#This Row],[Response]]="No",1,"")</f>
        <v/>
      </c>
      <c r="J23" s="5">
        <f>IF(SUM(Table4[[#This Row],[If Yes]:[If No]])=1,1,"")</f>
        <v>1</v>
      </c>
      <c r="K23" s="5" t="str">
        <f>IF(IF(Table4[[#This Row],[Pre or Post]]="Pre",1,0)+IF(Table4[[#This Row],[If Yes]]=1,1,0)=2,1,"")</f>
        <v/>
      </c>
      <c r="L23" s="5" t="str">
        <f>IF(IF(Table4[[#This Row],[Pre or Post]]="Pre",1,0)+IF(Table4[[#This Row],[If No]]=1,1,0)=2,1,"")</f>
        <v/>
      </c>
      <c r="M23" s="5">
        <f>IF(IF(Table4[[#This Row],[Pre or Post]]="Post",1,0)+IF(Table4[[#This Row],[If Yes]]=1,1,0)=2,1,"")</f>
        <v>1</v>
      </c>
      <c r="N23" s="5" t="str">
        <f>IF(IF(Table4[[#This Row],[Pre or Post]]="Post",1,0)+IF(Table4[[#This Row],[If No]]=1,1,0)=2,1,"")</f>
        <v/>
      </c>
    </row>
    <row r="24" spans="1:14">
      <c r="A24" s="1" t="s">
        <v>12</v>
      </c>
      <c r="B24" s="1" t="s">
        <v>5</v>
      </c>
      <c r="C24" s="1">
        <v>23</v>
      </c>
      <c r="D24" s="1" t="s">
        <v>16</v>
      </c>
      <c r="E24" s="1">
        <v>8</v>
      </c>
      <c r="G24" s="1" t="s">
        <v>9</v>
      </c>
      <c r="H24" s="5" t="str">
        <f>IF(Table4[[#This Row],[Response]]="Yes",1,"")</f>
        <v/>
      </c>
      <c r="I24" s="5" t="str">
        <f>IF(Table4[[#This Row],[Response]]="No",1,"")</f>
        <v/>
      </c>
      <c r="J24" s="5" t="str">
        <f>IF(SUM(Table4[[#This Row],[If Yes]:[If No]])=1,1,"")</f>
        <v/>
      </c>
      <c r="K24" s="5" t="str">
        <f>IF(IF(Table4[[#This Row],[Pre or Post]]="Pre",1,0)+IF(Table4[[#This Row],[If Yes]]=1,1,0)=2,1,"")</f>
        <v/>
      </c>
      <c r="L24" s="5" t="str">
        <f>IF(IF(Table4[[#This Row],[Pre or Post]]="Pre",1,0)+IF(Table4[[#This Row],[If No]]=1,1,0)=2,1,"")</f>
        <v/>
      </c>
      <c r="M24" s="5" t="str">
        <f>IF(IF(Table4[[#This Row],[Pre or Post]]="Post",1,0)+IF(Table4[[#This Row],[If Yes]]=1,1,0)=2,1,"")</f>
        <v/>
      </c>
      <c r="N24" s="5" t="str">
        <f>IF(IF(Table4[[#This Row],[Pre or Post]]="Post",1,0)+IF(Table4[[#This Row],[If No]]=1,1,0)=2,1,"")</f>
        <v/>
      </c>
    </row>
    <row r="25" spans="1:14">
      <c r="A25" s="1" t="s">
        <v>12</v>
      </c>
      <c r="B25" s="1" t="s">
        <v>5</v>
      </c>
      <c r="C25" s="1">
        <v>24</v>
      </c>
      <c r="D25" s="1" t="s">
        <v>16</v>
      </c>
      <c r="E25" s="1">
        <v>8</v>
      </c>
      <c r="G25" s="1" t="s">
        <v>9</v>
      </c>
      <c r="H25" s="5" t="str">
        <f>IF(Table4[[#This Row],[Response]]="Yes",1,"")</f>
        <v/>
      </c>
      <c r="I25" s="5" t="str">
        <f>IF(Table4[[#This Row],[Response]]="No",1,"")</f>
        <v/>
      </c>
      <c r="J25" s="5" t="str">
        <f>IF(SUM(Table4[[#This Row],[If Yes]:[If No]])=1,1,"")</f>
        <v/>
      </c>
      <c r="K25" s="5" t="str">
        <f>IF(IF(Table4[[#This Row],[Pre or Post]]="Pre",1,0)+IF(Table4[[#This Row],[If Yes]]=1,1,0)=2,1,"")</f>
        <v/>
      </c>
      <c r="L25" s="5" t="str">
        <f>IF(IF(Table4[[#This Row],[Pre or Post]]="Pre",1,0)+IF(Table4[[#This Row],[If No]]=1,1,0)=2,1,"")</f>
        <v/>
      </c>
      <c r="M25" s="5" t="str">
        <f>IF(IF(Table4[[#This Row],[Pre or Post]]="Post",1,0)+IF(Table4[[#This Row],[If Yes]]=1,1,0)=2,1,"")</f>
        <v/>
      </c>
      <c r="N25" s="5" t="str">
        <f>IF(IF(Table4[[#This Row],[Pre or Post]]="Post",1,0)+IF(Table4[[#This Row],[If No]]=1,1,0)=2,1,"")</f>
        <v/>
      </c>
    </row>
    <row r="26" spans="1:14">
      <c r="A26" s="1" t="s">
        <v>12</v>
      </c>
      <c r="B26" s="1" t="s">
        <v>21</v>
      </c>
      <c r="C26" s="1">
        <v>1</v>
      </c>
      <c r="D26" s="1" t="s">
        <v>6</v>
      </c>
      <c r="E26" s="1">
        <v>4</v>
      </c>
      <c r="F26" s="1" t="s">
        <v>8</v>
      </c>
      <c r="G26" s="1" t="s">
        <v>8</v>
      </c>
      <c r="H26" s="5">
        <f>IF(Table4[[#This Row],[Response]]="Yes",1,"")</f>
        <v>1</v>
      </c>
      <c r="I26" s="5" t="str">
        <f>IF(Table4[[#This Row],[Response]]="No",1,"")</f>
        <v/>
      </c>
      <c r="J26" s="5">
        <f>IF(SUM(Table4[[#This Row],[If Yes]:[If No]])=1,1,"")</f>
        <v>1</v>
      </c>
      <c r="K26" s="5">
        <f>IF(IF(Table4[[#This Row],[Pre or Post]]="Pre",1,0)+IF(Table4[[#This Row],[If Yes]]=1,1,0)=2,1,"")</f>
        <v>1</v>
      </c>
      <c r="L26" s="5" t="str">
        <f>IF(IF(Table4[[#This Row],[Pre or Post]]="Pre",1,0)+IF(Table4[[#This Row],[If No]]=1,1,0)=2,1,"")</f>
        <v/>
      </c>
      <c r="M26" s="5" t="str">
        <f>IF(IF(Table4[[#This Row],[Pre or Post]]="Post",1,0)+IF(Table4[[#This Row],[If Yes]]=1,1,0)=2,1,"")</f>
        <v/>
      </c>
      <c r="N26" s="5" t="str">
        <f>IF(IF(Table4[[#This Row],[Pre or Post]]="Post",1,0)+IF(Table4[[#This Row],[If No]]=1,1,0)=2,1,"")</f>
        <v/>
      </c>
    </row>
    <row r="27" spans="1:14">
      <c r="A27" s="1" t="s">
        <v>12</v>
      </c>
      <c r="B27" s="1" t="s">
        <v>21</v>
      </c>
      <c r="C27" s="1">
        <v>1</v>
      </c>
      <c r="D27" s="1" t="s">
        <v>16</v>
      </c>
      <c r="E27" s="1">
        <v>8</v>
      </c>
      <c r="F27" s="1" t="s">
        <v>8</v>
      </c>
      <c r="G27" s="1" t="s">
        <v>8</v>
      </c>
      <c r="H27" s="5">
        <f>IF(Table4[[#This Row],[Response]]="Yes",1,"")</f>
        <v>1</v>
      </c>
      <c r="I27" s="5" t="str">
        <f>IF(Table4[[#This Row],[Response]]="No",1,"")</f>
        <v/>
      </c>
      <c r="J27" s="5">
        <f>IF(SUM(Table4[[#This Row],[If Yes]:[If No]])=1,1,"")</f>
        <v>1</v>
      </c>
      <c r="K27" s="5" t="str">
        <f>IF(IF(Table4[[#This Row],[Pre or Post]]="Pre",1,0)+IF(Table4[[#This Row],[If Yes]]=1,1,0)=2,1,"")</f>
        <v/>
      </c>
      <c r="L27" s="5" t="str">
        <f>IF(IF(Table4[[#This Row],[Pre or Post]]="Pre",1,0)+IF(Table4[[#This Row],[If No]]=1,1,0)=2,1,"")</f>
        <v/>
      </c>
      <c r="M27" s="5">
        <f>IF(IF(Table4[[#This Row],[Pre or Post]]="Post",1,0)+IF(Table4[[#This Row],[If Yes]]=1,1,0)=2,1,"")</f>
        <v>1</v>
      </c>
      <c r="N27" s="5" t="str">
        <f>IF(IF(Table4[[#This Row],[Pre or Post]]="Post",1,0)+IF(Table4[[#This Row],[If No]]=1,1,0)=2,1,"")</f>
        <v/>
      </c>
    </row>
    <row r="28" spans="1:14">
      <c r="A28" s="1" t="s">
        <v>12</v>
      </c>
      <c r="B28" s="1" t="s">
        <v>21</v>
      </c>
      <c r="C28" s="1">
        <v>2</v>
      </c>
      <c r="D28" s="1" t="s">
        <v>6</v>
      </c>
      <c r="E28" s="1">
        <v>4</v>
      </c>
      <c r="F28" s="1" t="s">
        <v>9</v>
      </c>
      <c r="G28" s="1" t="s">
        <v>8</v>
      </c>
      <c r="H28" s="5" t="str">
        <f>IF(Table4[[#This Row],[Response]]="Yes",1,"")</f>
        <v/>
      </c>
      <c r="I28" s="5">
        <f>IF(Table4[[#This Row],[Response]]="No",1,"")</f>
        <v>1</v>
      </c>
      <c r="J28" s="5">
        <f>IF(SUM(Table4[[#This Row],[If Yes]:[If No]])=1,1,"")</f>
        <v>1</v>
      </c>
      <c r="K28" s="5" t="str">
        <f>IF(IF(Table4[[#This Row],[Pre or Post]]="Pre",1,0)+IF(Table4[[#This Row],[If Yes]]=1,1,0)=2,1,"")</f>
        <v/>
      </c>
      <c r="L28" s="5">
        <f>IF(IF(Table4[[#This Row],[Pre or Post]]="Pre",1,0)+IF(Table4[[#This Row],[If No]]=1,1,0)=2,1,"")</f>
        <v>1</v>
      </c>
      <c r="M28" s="5" t="str">
        <f>IF(IF(Table4[[#This Row],[Pre or Post]]="Post",1,0)+IF(Table4[[#This Row],[If Yes]]=1,1,0)=2,1,"")</f>
        <v/>
      </c>
      <c r="N28" s="5" t="str">
        <f>IF(IF(Table4[[#This Row],[Pre or Post]]="Post",1,0)+IF(Table4[[#This Row],[If No]]=1,1,0)=2,1,"")</f>
        <v/>
      </c>
    </row>
    <row r="29" spans="1:14">
      <c r="A29" s="1" t="s">
        <v>12</v>
      </c>
      <c r="B29" s="1" t="s">
        <v>21</v>
      </c>
      <c r="C29" s="1">
        <v>2</v>
      </c>
      <c r="D29" s="1" t="s">
        <v>16</v>
      </c>
      <c r="E29" s="1">
        <v>8</v>
      </c>
      <c r="F29" s="1" t="s">
        <v>8</v>
      </c>
      <c r="G29" s="1" t="s">
        <v>8</v>
      </c>
      <c r="H29" s="5">
        <f>IF(Table4[[#This Row],[Response]]="Yes",1,"")</f>
        <v>1</v>
      </c>
      <c r="I29" s="5" t="str">
        <f>IF(Table4[[#This Row],[Response]]="No",1,"")</f>
        <v/>
      </c>
      <c r="J29" s="5">
        <f>IF(SUM(Table4[[#This Row],[If Yes]:[If No]])=1,1,"")</f>
        <v>1</v>
      </c>
      <c r="K29" s="5" t="str">
        <f>IF(IF(Table4[[#This Row],[Pre or Post]]="Pre",1,0)+IF(Table4[[#This Row],[If Yes]]=1,1,0)=2,1,"")</f>
        <v/>
      </c>
      <c r="L29" s="5" t="str">
        <f>IF(IF(Table4[[#This Row],[Pre or Post]]="Pre",1,0)+IF(Table4[[#This Row],[If No]]=1,1,0)=2,1,"")</f>
        <v/>
      </c>
      <c r="M29" s="5">
        <f>IF(IF(Table4[[#This Row],[Pre or Post]]="Post",1,0)+IF(Table4[[#This Row],[If Yes]]=1,1,0)=2,1,"")</f>
        <v>1</v>
      </c>
      <c r="N29" s="5" t="str">
        <f>IF(IF(Table4[[#This Row],[Pre or Post]]="Post",1,0)+IF(Table4[[#This Row],[If No]]=1,1,0)=2,1,"")</f>
        <v/>
      </c>
    </row>
    <row r="30" spans="1:14">
      <c r="A30" s="1" t="s">
        <v>12</v>
      </c>
      <c r="B30" s="1" t="s">
        <v>21</v>
      </c>
      <c r="C30" s="1">
        <v>3</v>
      </c>
      <c r="D30" s="1" t="s">
        <v>6</v>
      </c>
      <c r="E30" s="1">
        <v>4</v>
      </c>
      <c r="F30" s="1" t="s">
        <v>9</v>
      </c>
      <c r="G30" s="1" t="s">
        <v>8</v>
      </c>
      <c r="H30" s="5" t="str">
        <f>IF(Table4[[#This Row],[Response]]="Yes",1,"")</f>
        <v/>
      </c>
      <c r="I30" s="5">
        <f>IF(Table4[[#This Row],[Response]]="No",1,"")</f>
        <v>1</v>
      </c>
      <c r="J30" s="5">
        <f>IF(SUM(Table4[[#This Row],[If Yes]:[If No]])=1,1,"")</f>
        <v>1</v>
      </c>
      <c r="K30" s="5" t="str">
        <f>IF(IF(Table4[[#This Row],[Pre or Post]]="Pre",1,0)+IF(Table4[[#This Row],[If Yes]]=1,1,0)=2,1,"")</f>
        <v/>
      </c>
      <c r="L30" s="5">
        <f>IF(IF(Table4[[#This Row],[Pre or Post]]="Pre",1,0)+IF(Table4[[#This Row],[If No]]=1,1,0)=2,1,"")</f>
        <v>1</v>
      </c>
      <c r="M30" s="5" t="str">
        <f>IF(IF(Table4[[#This Row],[Pre or Post]]="Post",1,0)+IF(Table4[[#This Row],[If Yes]]=1,1,0)=2,1,"")</f>
        <v/>
      </c>
      <c r="N30" s="5" t="str">
        <f>IF(IF(Table4[[#This Row],[Pre or Post]]="Post",1,0)+IF(Table4[[#This Row],[If No]]=1,1,0)=2,1,"")</f>
        <v/>
      </c>
    </row>
    <row r="31" spans="1:14">
      <c r="A31" s="1" t="s">
        <v>12</v>
      </c>
      <c r="B31" s="1" t="s">
        <v>21</v>
      </c>
      <c r="C31" s="1">
        <v>3</v>
      </c>
      <c r="D31" s="1" t="s">
        <v>16</v>
      </c>
      <c r="E31" s="1">
        <v>8</v>
      </c>
      <c r="F31" s="1" t="s">
        <v>8</v>
      </c>
      <c r="G31" s="1" t="s">
        <v>8</v>
      </c>
      <c r="H31" s="5">
        <f>IF(Table4[[#This Row],[Response]]="Yes",1,"")</f>
        <v>1</v>
      </c>
      <c r="I31" s="5" t="str">
        <f>IF(Table4[[#This Row],[Response]]="No",1,"")</f>
        <v/>
      </c>
      <c r="J31" s="5">
        <f>IF(SUM(Table4[[#This Row],[If Yes]:[If No]])=1,1,"")</f>
        <v>1</v>
      </c>
      <c r="K31" s="5" t="str">
        <f>IF(IF(Table4[[#This Row],[Pre or Post]]="Pre",1,0)+IF(Table4[[#This Row],[If Yes]]=1,1,0)=2,1,"")</f>
        <v/>
      </c>
      <c r="L31" s="5" t="str">
        <f>IF(IF(Table4[[#This Row],[Pre or Post]]="Pre",1,0)+IF(Table4[[#This Row],[If No]]=1,1,0)=2,1,"")</f>
        <v/>
      </c>
      <c r="M31" s="5">
        <f>IF(IF(Table4[[#This Row],[Pre or Post]]="Post",1,0)+IF(Table4[[#This Row],[If Yes]]=1,1,0)=2,1,"")</f>
        <v>1</v>
      </c>
      <c r="N31" s="5" t="str">
        <f>IF(IF(Table4[[#This Row],[Pre or Post]]="Post",1,0)+IF(Table4[[#This Row],[If No]]=1,1,0)=2,1,"")</f>
        <v/>
      </c>
    </row>
    <row r="32" spans="1:14">
      <c r="A32" s="1" t="s">
        <v>12</v>
      </c>
      <c r="B32" s="1" t="s">
        <v>21</v>
      </c>
      <c r="C32" s="1">
        <v>4</v>
      </c>
      <c r="D32" s="1" t="s">
        <v>6</v>
      </c>
      <c r="E32" s="1">
        <v>4</v>
      </c>
      <c r="F32" s="1" t="s">
        <v>8</v>
      </c>
      <c r="G32" s="1" t="s">
        <v>8</v>
      </c>
      <c r="H32" s="5">
        <f>IF(Table4[[#This Row],[Response]]="Yes",1,"")</f>
        <v>1</v>
      </c>
      <c r="I32" s="5" t="str">
        <f>IF(Table4[[#This Row],[Response]]="No",1,"")</f>
        <v/>
      </c>
      <c r="J32" s="5">
        <f>IF(SUM(Table4[[#This Row],[If Yes]:[If No]])=1,1,"")</f>
        <v>1</v>
      </c>
      <c r="K32" s="5">
        <f>IF(IF(Table4[[#This Row],[Pre or Post]]="Pre",1,0)+IF(Table4[[#This Row],[If Yes]]=1,1,0)=2,1,"")</f>
        <v>1</v>
      </c>
      <c r="L32" s="5" t="str">
        <f>IF(IF(Table4[[#This Row],[Pre or Post]]="Pre",1,0)+IF(Table4[[#This Row],[If No]]=1,1,0)=2,1,"")</f>
        <v/>
      </c>
      <c r="M32" s="5" t="str">
        <f>IF(IF(Table4[[#This Row],[Pre or Post]]="Post",1,0)+IF(Table4[[#This Row],[If Yes]]=1,1,0)=2,1,"")</f>
        <v/>
      </c>
      <c r="N32" s="5" t="str">
        <f>IF(IF(Table4[[#This Row],[Pre or Post]]="Post",1,0)+IF(Table4[[#This Row],[If No]]=1,1,0)=2,1,"")</f>
        <v/>
      </c>
    </row>
    <row r="33" spans="1:14">
      <c r="A33" s="1" t="s">
        <v>12</v>
      </c>
      <c r="B33" s="1" t="s">
        <v>21</v>
      </c>
      <c r="C33" s="1">
        <v>4</v>
      </c>
      <c r="D33" s="1" t="s">
        <v>16</v>
      </c>
      <c r="E33" s="1">
        <v>8</v>
      </c>
      <c r="F33" s="1" t="s">
        <v>8</v>
      </c>
      <c r="G33" s="1" t="s">
        <v>8</v>
      </c>
      <c r="H33" s="5">
        <f>IF(Table4[[#This Row],[Response]]="Yes",1,"")</f>
        <v>1</v>
      </c>
      <c r="I33" s="5" t="str">
        <f>IF(Table4[[#This Row],[Response]]="No",1,"")</f>
        <v/>
      </c>
      <c r="J33" s="5">
        <f>IF(SUM(Table4[[#This Row],[If Yes]:[If No]])=1,1,"")</f>
        <v>1</v>
      </c>
      <c r="K33" s="5" t="str">
        <f>IF(IF(Table4[[#This Row],[Pre or Post]]="Pre",1,0)+IF(Table4[[#This Row],[If Yes]]=1,1,0)=2,1,"")</f>
        <v/>
      </c>
      <c r="L33" s="5" t="str">
        <f>IF(IF(Table4[[#This Row],[Pre or Post]]="Pre",1,0)+IF(Table4[[#This Row],[If No]]=1,1,0)=2,1,"")</f>
        <v/>
      </c>
      <c r="M33" s="5">
        <f>IF(IF(Table4[[#This Row],[Pre or Post]]="Post",1,0)+IF(Table4[[#This Row],[If Yes]]=1,1,0)=2,1,"")</f>
        <v>1</v>
      </c>
      <c r="N33" s="5" t="str">
        <f>IF(IF(Table4[[#This Row],[Pre or Post]]="Post",1,0)+IF(Table4[[#This Row],[If No]]=1,1,0)=2,1,"")</f>
        <v/>
      </c>
    </row>
    <row r="34" spans="1:14">
      <c r="A34" s="1" t="s">
        <v>12</v>
      </c>
      <c r="B34" s="1" t="s">
        <v>21</v>
      </c>
      <c r="C34" s="1">
        <v>5</v>
      </c>
      <c r="D34" s="1" t="s">
        <v>6</v>
      </c>
      <c r="E34" s="1">
        <v>4</v>
      </c>
      <c r="F34" s="1" t="s">
        <v>9</v>
      </c>
      <c r="G34" s="1" t="s">
        <v>8</v>
      </c>
      <c r="H34" s="5" t="str">
        <f>IF(Table4[[#This Row],[Response]]="Yes",1,"")</f>
        <v/>
      </c>
      <c r="I34" s="5">
        <f>IF(Table4[[#This Row],[Response]]="No",1,"")</f>
        <v>1</v>
      </c>
      <c r="J34" s="5">
        <f>IF(SUM(Table4[[#This Row],[If Yes]:[If No]])=1,1,"")</f>
        <v>1</v>
      </c>
      <c r="K34" s="5" t="str">
        <f>IF(IF(Table4[[#This Row],[Pre or Post]]="Pre",1,0)+IF(Table4[[#This Row],[If Yes]]=1,1,0)=2,1,"")</f>
        <v/>
      </c>
      <c r="L34" s="5">
        <f>IF(IF(Table4[[#This Row],[Pre or Post]]="Pre",1,0)+IF(Table4[[#This Row],[If No]]=1,1,0)=2,1,"")</f>
        <v>1</v>
      </c>
      <c r="M34" s="5" t="str">
        <f>IF(IF(Table4[[#This Row],[Pre or Post]]="Post",1,0)+IF(Table4[[#This Row],[If Yes]]=1,1,0)=2,1,"")</f>
        <v/>
      </c>
      <c r="N34" s="5" t="str">
        <f>IF(IF(Table4[[#This Row],[Pre or Post]]="Post",1,0)+IF(Table4[[#This Row],[If No]]=1,1,0)=2,1,"")</f>
        <v/>
      </c>
    </row>
    <row r="35" spans="1:14">
      <c r="A35" s="1" t="s">
        <v>12</v>
      </c>
      <c r="B35" s="1" t="s">
        <v>21</v>
      </c>
      <c r="C35" s="1">
        <v>5</v>
      </c>
      <c r="D35" s="1" t="s">
        <v>16</v>
      </c>
      <c r="E35" s="1">
        <v>8</v>
      </c>
      <c r="F35" s="1" t="s">
        <v>8</v>
      </c>
      <c r="G35" s="1" t="s">
        <v>8</v>
      </c>
      <c r="H35" s="5">
        <f>IF(Table4[[#This Row],[Response]]="Yes",1,"")</f>
        <v>1</v>
      </c>
      <c r="I35" s="5" t="str">
        <f>IF(Table4[[#This Row],[Response]]="No",1,"")</f>
        <v/>
      </c>
      <c r="J35" s="5">
        <f>IF(SUM(Table4[[#This Row],[If Yes]:[If No]])=1,1,"")</f>
        <v>1</v>
      </c>
      <c r="K35" s="5" t="str">
        <f>IF(IF(Table4[[#This Row],[Pre or Post]]="Pre",1,0)+IF(Table4[[#This Row],[If Yes]]=1,1,0)=2,1,"")</f>
        <v/>
      </c>
      <c r="L35" s="5" t="str">
        <f>IF(IF(Table4[[#This Row],[Pre or Post]]="Pre",1,0)+IF(Table4[[#This Row],[If No]]=1,1,0)=2,1,"")</f>
        <v/>
      </c>
      <c r="M35" s="5">
        <f>IF(IF(Table4[[#This Row],[Pre or Post]]="Post",1,0)+IF(Table4[[#This Row],[If Yes]]=1,1,0)=2,1,"")</f>
        <v>1</v>
      </c>
      <c r="N35" s="5" t="str">
        <f>IF(IF(Table4[[#This Row],[Pre or Post]]="Post",1,0)+IF(Table4[[#This Row],[If No]]=1,1,0)=2,1,"")</f>
        <v/>
      </c>
    </row>
    <row r="36" spans="1:14">
      <c r="A36" s="1" t="s">
        <v>12</v>
      </c>
      <c r="B36" s="1" t="s">
        <v>21</v>
      </c>
      <c r="C36" s="1">
        <v>6</v>
      </c>
      <c r="D36" s="1" t="s">
        <v>6</v>
      </c>
      <c r="E36" s="1">
        <v>4</v>
      </c>
      <c r="F36" s="1" t="s">
        <v>8</v>
      </c>
      <c r="G36" s="1" t="s">
        <v>8</v>
      </c>
      <c r="H36" s="5">
        <f>IF(Table4[[#This Row],[Response]]="Yes",1,"")</f>
        <v>1</v>
      </c>
      <c r="I36" s="5" t="str">
        <f>IF(Table4[[#This Row],[Response]]="No",1,"")</f>
        <v/>
      </c>
      <c r="J36" s="5">
        <f>IF(SUM(Table4[[#This Row],[If Yes]:[If No]])=1,1,"")</f>
        <v>1</v>
      </c>
      <c r="K36" s="5">
        <f>IF(IF(Table4[[#This Row],[Pre or Post]]="Pre",1,0)+IF(Table4[[#This Row],[If Yes]]=1,1,0)=2,1,"")</f>
        <v>1</v>
      </c>
      <c r="L36" s="5" t="str">
        <f>IF(IF(Table4[[#This Row],[Pre or Post]]="Pre",1,0)+IF(Table4[[#This Row],[If No]]=1,1,0)=2,1,"")</f>
        <v/>
      </c>
      <c r="M36" s="5" t="str">
        <f>IF(IF(Table4[[#This Row],[Pre or Post]]="Post",1,0)+IF(Table4[[#This Row],[If Yes]]=1,1,0)=2,1,"")</f>
        <v/>
      </c>
      <c r="N36" s="5" t="str">
        <f>IF(IF(Table4[[#This Row],[Pre or Post]]="Post",1,0)+IF(Table4[[#This Row],[If No]]=1,1,0)=2,1,"")</f>
        <v/>
      </c>
    </row>
    <row r="37" spans="1:14">
      <c r="A37" s="1" t="s">
        <v>12</v>
      </c>
      <c r="B37" s="1" t="s">
        <v>21</v>
      </c>
      <c r="C37" s="1">
        <v>6</v>
      </c>
      <c r="D37" s="1" t="s">
        <v>16</v>
      </c>
      <c r="E37" s="1">
        <v>8</v>
      </c>
      <c r="F37" s="1" t="s">
        <v>8</v>
      </c>
      <c r="G37" s="1" t="s">
        <v>8</v>
      </c>
      <c r="H37" s="5">
        <f>IF(Table4[[#This Row],[Response]]="Yes",1,"")</f>
        <v>1</v>
      </c>
      <c r="I37" s="5" t="str">
        <f>IF(Table4[[#This Row],[Response]]="No",1,"")</f>
        <v/>
      </c>
      <c r="J37" s="5">
        <f>IF(SUM(Table4[[#This Row],[If Yes]:[If No]])=1,1,"")</f>
        <v>1</v>
      </c>
      <c r="K37" s="5" t="str">
        <f>IF(IF(Table4[[#This Row],[Pre or Post]]="Pre",1,0)+IF(Table4[[#This Row],[If Yes]]=1,1,0)=2,1,"")</f>
        <v/>
      </c>
      <c r="L37" s="5" t="str">
        <f>IF(IF(Table4[[#This Row],[Pre or Post]]="Pre",1,0)+IF(Table4[[#This Row],[If No]]=1,1,0)=2,1,"")</f>
        <v/>
      </c>
      <c r="M37" s="5">
        <f>IF(IF(Table4[[#This Row],[Pre or Post]]="Post",1,0)+IF(Table4[[#This Row],[If Yes]]=1,1,0)=2,1,"")</f>
        <v>1</v>
      </c>
      <c r="N37" s="5" t="str">
        <f>IF(IF(Table4[[#This Row],[Pre or Post]]="Post",1,0)+IF(Table4[[#This Row],[If No]]=1,1,0)=2,1,"")</f>
        <v/>
      </c>
    </row>
    <row r="38" spans="1:14">
      <c r="A38" s="1" t="s">
        <v>12</v>
      </c>
      <c r="B38" s="1" t="s">
        <v>21</v>
      </c>
      <c r="C38" s="1">
        <v>7</v>
      </c>
      <c r="D38" s="1" t="s">
        <v>6</v>
      </c>
      <c r="E38" s="1">
        <v>4</v>
      </c>
      <c r="F38" s="1" t="s">
        <v>8</v>
      </c>
      <c r="G38" s="1" t="s">
        <v>8</v>
      </c>
      <c r="H38" s="5">
        <f>IF(Table4[[#This Row],[Response]]="Yes",1,"")</f>
        <v>1</v>
      </c>
      <c r="I38" s="5" t="str">
        <f>IF(Table4[[#This Row],[Response]]="No",1,"")</f>
        <v/>
      </c>
      <c r="J38" s="5">
        <f>IF(SUM(Table4[[#This Row],[If Yes]:[If No]])=1,1,"")</f>
        <v>1</v>
      </c>
      <c r="K38" s="5">
        <f>IF(IF(Table4[[#This Row],[Pre or Post]]="Pre",1,0)+IF(Table4[[#This Row],[If Yes]]=1,1,0)=2,1,"")</f>
        <v>1</v>
      </c>
      <c r="L38" s="5" t="str">
        <f>IF(IF(Table4[[#This Row],[Pre or Post]]="Pre",1,0)+IF(Table4[[#This Row],[If No]]=1,1,0)=2,1,"")</f>
        <v/>
      </c>
      <c r="M38" s="5" t="str">
        <f>IF(IF(Table4[[#This Row],[Pre or Post]]="Post",1,0)+IF(Table4[[#This Row],[If Yes]]=1,1,0)=2,1,"")</f>
        <v/>
      </c>
      <c r="N38" s="5" t="str">
        <f>IF(IF(Table4[[#This Row],[Pre or Post]]="Post",1,0)+IF(Table4[[#This Row],[If No]]=1,1,0)=2,1,"")</f>
        <v/>
      </c>
    </row>
    <row r="39" spans="1:14">
      <c r="A39" s="1" t="s">
        <v>12</v>
      </c>
      <c r="B39" s="1" t="s">
        <v>21</v>
      </c>
      <c r="C39" s="1">
        <v>7</v>
      </c>
      <c r="D39" s="1" t="s">
        <v>16</v>
      </c>
      <c r="E39" s="1">
        <v>8</v>
      </c>
      <c r="F39" s="1" t="s">
        <v>8</v>
      </c>
      <c r="G39" s="1" t="s">
        <v>8</v>
      </c>
      <c r="H39" s="5">
        <f>IF(Table4[[#This Row],[Response]]="Yes",1,"")</f>
        <v>1</v>
      </c>
      <c r="I39" s="5" t="str">
        <f>IF(Table4[[#This Row],[Response]]="No",1,"")</f>
        <v/>
      </c>
      <c r="J39" s="5">
        <f>IF(SUM(Table4[[#This Row],[If Yes]:[If No]])=1,1,"")</f>
        <v>1</v>
      </c>
      <c r="K39" s="5" t="str">
        <f>IF(IF(Table4[[#This Row],[Pre or Post]]="Pre",1,0)+IF(Table4[[#This Row],[If Yes]]=1,1,0)=2,1,"")</f>
        <v/>
      </c>
      <c r="L39" s="5" t="str">
        <f>IF(IF(Table4[[#This Row],[Pre or Post]]="Pre",1,0)+IF(Table4[[#This Row],[If No]]=1,1,0)=2,1,"")</f>
        <v/>
      </c>
      <c r="M39" s="5">
        <f>IF(IF(Table4[[#This Row],[Pre or Post]]="Post",1,0)+IF(Table4[[#This Row],[If Yes]]=1,1,0)=2,1,"")</f>
        <v>1</v>
      </c>
      <c r="N39" s="5" t="str">
        <f>IF(IF(Table4[[#This Row],[Pre or Post]]="Post",1,0)+IF(Table4[[#This Row],[If No]]=1,1,0)=2,1,"")</f>
        <v/>
      </c>
    </row>
    <row r="40" spans="1:14">
      <c r="A40" s="1" t="s">
        <v>12</v>
      </c>
      <c r="B40" s="1" t="s">
        <v>21</v>
      </c>
      <c r="C40" s="1">
        <v>8</v>
      </c>
      <c r="D40" s="1" t="s">
        <v>6</v>
      </c>
      <c r="E40" s="1">
        <v>4</v>
      </c>
      <c r="F40" s="1" t="s">
        <v>9</v>
      </c>
      <c r="G40" s="1" t="s">
        <v>8</v>
      </c>
      <c r="H40" s="5" t="str">
        <f>IF(Table4[[#This Row],[Response]]="Yes",1,"")</f>
        <v/>
      </c>
      <c r="I40" s="5">
        <f>IF(Table4[[#This Row],[Response]]="No",1,"")</f>
        <v>1</v>
      </c>
      <c r="J40" s="5">
        <f>IF(SUM(Table4[[#This Row],[If Yes]:[If No]])=1,1,"")</f>
        <v>1</v>
      </c>
      <c r="K40" s="5" t="str">
        <f>IF(IF(Table4[[#This Row],[Pre or Post]]="Pre",1,0)+IF(Table4[[#This Row],[If Yes]]=1,1,0)=2,1,"")</f>
        <v/>
      </c>
      <c r="L40" s="5">
        <f>IF(IF(Table4[[#This Row],[Pre or Post]]="Pre",1,0)+IF(Table4[[#This Row],[If No]]=1,1,0)=2,1,"")</f>
        <v>1</v>
      </c>
      <c r="M40" s="5" t="str">
        <f>IF(IF(Table4[[#This Row],[Pre or Post]]="Post",1,0)+IF(Table4[[#This Row],[If Yes]]=1,1,0)=2,1,"")</f>
        <v/>
      </c>
      <c r="N40" s="5" t="str">
        <f>IF(IF(Table4[[#This Row],[Pre or Post]]="Post",1,0)+IF(Table4[[#This Row],[If No]]=1,1,0)=2,1,"")</f>
        <v/>
      </c>
    </row>
    <row r="41" spans="1:14">
      <c r="A41" s="1" t="s">
        <v>12</v>
      </c>
      <c r="B41" s="1" t="s">
        <v>21</v>
      </c>
      <c r="C41" s="1">
        <v>8</v>
      </c>
      <c r="D41" s="1" t="s">
        <v>16</v>
      </c>
      <c r="E41" s="1">
        <v>8</v>
      </c>
      <c r="F41" s="1" t="s">
        <v>8</v>
      </c>
      <c r="G41" s="1" t="s">
        <v>8</v>
      </c>
      <c r="H41" s="5">
        <f>IF(Table4[[#This Row],[Response]]="Yes",1,"")</f>
        <v>1</v>
      </c>
      <c r="I41" s="5" t="str">
        <f>IF(Table4[[#This Row],[Response]]="No",1,"")</f>
        <v/>
      </c>
      <c r="J41" s="5">
        <f>IF(SUM(Table4[[#This Row],[If Yes]:[If No]])=1,1,"")</f>
        <v>1</v>
      </c>
      <c r="K41" s="5" t="str">
        <f>IF(IF(Table4[[#This Row],[Pre or Post]]="Pre",1,0)+IF(Table4[[#This Row],[If Yes]]=1,1,0)=2,1,"")</f>
        <v/>
      </c>
      <c r="L41" s="5" t="str">
        <f>IF(IF(Table4[[#This Row],[Pre or Post]]="Pre",1,0)+IF(Table4[[#This Row],[If No]]=1,1,0)=2,1,"")</f>
        <v/>
      </c>
      <c r="M41" s="5">
        <f>IF(IF(Table4[[#This Row],[Pre or Post]]="Post",1,0)+IF(Table4[[#This Row],[If Yes]]=1,1,0)=2,1,"")</f>
        <v>1</v>
      </c>
      <c r="N41" s="5" t="str">
        <f>IF(IF(Table4[[#This Row],[Pre or Post]]="Post",1,0)+IF(Table4[[#This Row],[If No]]=1,1,0)=2,1,"")</f>
        <v/>
      </c>
    </row>
    <row r="42" spans="1:14">
      <c r="A42" s="1" t="s">
        <v>12</v>
      </c>
      <c r="B42" s="1" t="s">
        <v>21</v>
      </c>
      <c r="C42" s="1">
        <v>9</v>
      </c>
      <c r="D42" s="1" t="s">
        <v>6</v>
      </c>
      <c r="E42" s="1">
        <v>4</v>
      </c>
      <c r="F42" s="1" t="s">
        <v>8</v>
      </c>
      <c r="G42" s="1" t="s">
        <v>8</v>
      </c>
      <c r="H42" s="5">
        <f>IF(Table4[[#This Row],[Response]]="Yes",1,"")</f>
        <v>1</v>
      </c>
      <c r="I42" s="5" t="str">
        <f>IF(Table4[[#This Row],[Response]]="No",1,"")</f>
        <v/>
      </c>
      <c r="J42" s="5">
        <f>IF(SUM(Table4[[#This Row],[If Yes]:[If No]])=1,1,"")</f>
        <v>1</v>
      </c>
      <c r="K42" s="5">
        <f>IF(IF(Table4[[#This Row],[Pre or Post]]="Pre",1,0)+IF(Table4[[#This Row],[If Yes]]=1,1,0)=2,1,"")</f>
        <v>1</v>
      </c>
      <c r="L42" s="5" t="str">
        <f>IF(IF(Table4[[#This Row],[Pre or Post]]="Pre",1,0)+IF(Table4[[#This Row],[If No]]=1,1,0)=2,1,"")</f>
        <v/>
      </c>
      <c r="M42" s="5" t="str">
        <f>IF(IF(Table4[[#This Row],[Pre or Post]]="Post",1,0)+IF(Table4[[#This Row],[If Yes]]=1,1,0)=2,1,"")</f>
        <v/>
      </c>
      <c r="N42" s="5" t="str">
        <f>IF(IF(Table4[[#This Row],[Pre or Post]]="Post",1,0)+IF(Table4[[#This Row],[If No]]=1,1,0)=2,1,"")</f>
        <v/>
      </c>
    </row>
    <row r="43" spans="1:14">
      <c r="A43" s="1" t="s">
        <v>12</v>
      </c>
      <c r="B43" s="1" t="s">
        <v>21</v>
      </c>
      <c r="C43" s="1">
        <v>9</v>
      </c>
      <c r="D43" s="1" t="s">
        <v>16</v>
      </c>
      <c r="E43" s="1">
        <v>8</v>
      </c>
      <c r="F43" s="1" t="s">
        <v>8</v>
      </c>
      <c r="G43" s="1" t="s">
        <v>8</v>
      </c>
      <c r="H43" s="5">
        <f>IF(Table4[[#This Row],[Response]]="Yes",1,"")</f>
        <v>1</v>
      </c>
      <c r="I43" s="5" t="str">
        <f>IF(Table4[[#This Row],[Response]]="No",1,"")</f>
        <v/>
      </c>
      <c r="J43" s="5">
        <f>IF(SUM(Table4[[#This Row],[If Yes]:[If No]])=1,1,"")</f>
        <v>1</v>
      </c>
      <c r="K43" s="5" t="str">
        <f>IF(IF(Table4[[#This Row],[Pre or Post]]="Pre",1,0)+IF(Table4[[#This Row],[If Yes]]=1,1,0)=2,1,"")</f>
        <v/>
      </c>
      <c r="L43" s="5" t="str">
        <f>IF(IF(Table4[[#This Row],[Pre or Post]]="Pre",1,0)+IF(Table4[[#This Row],[If No]]=1,1,0)=2,1,"")</f>
        <v/>
      </c>
      <c r="M43" s="5">
        <f>IF(IF(Table4[[#This Row],[Pre or Post]]="Post",1,0)+IF(Table4[[#This Row],[If Yes]]=1,1,0)=2,1,"")</f>
        <v>1</v>
      </c>
      <c r="N43" s="5" t="str">
        <f>IF(IF(Table4[[#This Row],[Pre or Post]]="Post",1,0)+IF(Table4[[#This Row],[If No]]=1,1,0)=2,1,"")</f>
        <v/>
      </c>
    </row>
    <row r="44" spans="1:14">
      <c r="A44" s="1" t="s">
        <v>12</v>
      </c>
      <c r="B44" s="1" t="s">
        <v>21</v>
      </c>
      <c r="C44" s="1">
        <v>10</v>
      </c>
      <c r="D44" s="1" t="s">
        <v>6</v>
      </c>
      <c r="E44" s="1">
        <v>4</v>
      </c>
      <c r="F44" s="1" t="s">
        <v>9</v>
      </c>
      <c r="G44" s="1" t="s">
        <v>8</v>
      </c>
      <c r="H44" s="5" t="str">
        <f>IF(Table4[[#This Row],[Response]]="Yes",1,"")</f>
        <v/>
      </c>
      <c r="I44" s="5">
        <f>IF(Table4[[#This Row],[Response]]="No",1,"")</f>
        <v>1</v>
      </c>
      <c r="J44" s="5">
        <f>IF(SUM(Table4[[#This Row],[If Yes]:[If No]])=1,1,"")</f>
        <v>1</v>
      </c>
      <c r="K44" s="5" t="str">
        <f>IF(IF(Table4[[#This Row],[Pre or Post]]="Pre",1,0)+IF(Table4[[#This Row],[If Yes]]=1,1,0)=2,1,"")</f>
        <v/>
      </c>
      <c r="L44" s="5">
        <f>IF(IF(Table4[[#This Row],[Pre or Post]]="Pre",1,0)+IF(Table4[[#This Row],[If No]]=1,1,0)=2,1,"")</f>
        <v>1</v>
      </c>
      <c r="M44" s="5" t="str">
        <f>IF(IF(Table4[[#This Row],[Pre or Post]]="Post",1,0)+IF(Table4[[#This Row],[If Yes]]=1,1,0)=2,1,"")</f>
        <v/>
      </c>
      <c r="N44" s="5" t="str">
        <f>IF(IF(Table4[[#This Row],[Pre or Post]]="Post",1,0)+IF(Table4[[#This Row],[If No]]=1,1,0)=2,1,"")</f>
        <v/>
      </c>
    </row>
    <row r="45" spans="1:14">
      <c r="A45" s="1" t="s">
        <v>12</v>
      </c>
      <c r="B45" s="1" t="s">
        <v>21</v>
      </c>
      <c r="C45" s="1">
        <v>10</v>
      </c>
      <c r="D45" s="1" t="s">
        <v>16</v>
      </c>
      <c r="E45" s="1">
        <v>8</v>
      </c>
      <c r="F45" s="1" t="s">
        <v>8</v>
      </c>
      <c r="G45" s="1" t="s">
        <v>8</v>
      </c>
      <c r="H45" s="5">
        <f>IF(Table4[[#This Row],[Response]]="Yes",1,"")</f>
        <v>1</v>
      </c>
      <c r="I45" s="5" t="str">
        <f>IF(Table4[[#This Row],[Response]]="No",1,"")</f>
        <v/>
      </c>
      <c r="J45" s="5">
        <f>IF(SUM(Table4[[#This Row],[If Yes]:[If No]])=1,1,"")</f>
        <v>1</v>
      </c>
      <c r="K45" s="5" t="str">
        <f>IF(IF(Table4[[#This Row],[Pre or Post]]="Pre",1,0)+IF(Table4[[#This Row],[If Yes]]=1,1,0)=2,1,"")</f>
        <v/>
      </c>
      <c r="L45" s="5" t="str">
        <f>IF(IF(Table4[[#This Row],[Pre or Post]]="Pre",1,0)+IF(Table4[[#This Row],[If No]]=1,1,0)=2,1,"")</f>
        <v/>
      </c>
      <c r="M45" s="5">
        <f>IF(IF(Table4[[#This Row],[Pre or Post]]="Post",1,0)+IF(Table4[[#This Row],[If Yes]]=1,1,0)=2,1,"")</f>
        <v>1</v>
      </c>
      <c r="N45" s="5" t="str">
        <f>IF(IF(Table4[[#This Row],[Pre or Post]]="Post",1,0)+IF(Table4[[#This Row],[If No]]=1,1,0)=2,1,"")</f>
        <v/>
      </c>
    </row>
    <row r="46" spans="1:14">
      <c r="A46" s="1" t="s">
        <v>12</v>
      </c>
      <c r="B46" s="1" t="s">
        <v>21</v>
      </c>
      <c r="C46" s="1">
        <v>11</v>
      </c>
      <c r="D46" s="1" t="s">
        <v>6</v>
      </c>
      <c r="E46" s="1">
        <v>4</v>
      </c>
      <c r="F46" s="1" t="s">
        <v>8</v>
      </c>
      <c r="G46" s="1" t="s">
        <v>8</v>
      </c>
      <c r="H46" s="5">
        <f>IF(Table4[[#This Row],[Response]]="Yes",1,"")</f>
        <v>1</v>
      </c>
      <c r="I46" s="5" t="str">
        <f>IF(Table4[[#This Row],[Response]]="No",1,"")</f>
        <v/>
      </c>
      <c r="J46" s="5">
        <f>IF(SUM(Table4[[#This Row],[If Yes]:[If No]])=1,1,"")</f>
        <v>1</v>
      </c>
      <c r="K46" s="5">
        <f>IF(IF(Table4[[#This Row],[Pre or Post]]="Pre",1,0)+IF(Table4[[#This Row],[If Yes]]=1,1,0)=2,1,"")</f>
        <v>1</v>
      </c>
      <c r="L46" s="5" t="str">
        <f>IF(IF(Table4[[#This Row],[Pre or Post]]="Pre",1,0)+IF(Table4[[#This Row],[If No]]=1,1,0)=2,1,"")</f>
        <v/>
      </c>
      <c r="M46" s="5" t="str">
        <f>IF(IF(Table4[[#This Row],[Pre or Post]]="Post",1,0)+IF(Table4[[#This Row],[If Yes]]=1,1,0)=2,1,"")</f>
        <v/>
      </c>
      <c r="N46" s="5" t="str">
        <f>IF(IF(Table4[[#This Row],[Pre or Post]]="Post",1,0)+IF(Table4[[#This Row],[If No]]=1,1,0)=2,1,"")</f>
        <v/>
      </c>
    </row>
    <row r="47" spans="1:14">
      <c r="A47" s="1" t="s">
        <v>12</v>
      </c>
      <c r="B47" s="1" t="s">
        <v>21</v>
      </c>
      <c r="C47" s="1">
        <v>11</v>
      </c>
      <c r="D47" s="1" t="s">
        <v>16</v>
      </c>
      <c r="E47" s="1">
        <v>8</v>
      </c>
      <c r="F47" s="1" t="s">
        <v>8</v>
      </c>
      <c r="G47" s="1" t="s">
        <v>8</v>
      </c>
      <c r="H47" s="5">
        <f>IF(Table4[[#This Row],[Response]]="Yes",1,"")</f>
        <v>1</v>
      </c>
      <c r="I47" s="5" t="str">
        <f>IF(Table4[[#This Row],[Response]]="No",1,"")</f>
        <v/>
      </c>
      <c r="J47" s="5">
        <f>IF(SUM(Table4[[#This Row],[If Yes]:[If No]])=1,1,"")</f>
        <v>1</v>
      </c>
      <c r="K47" s="5" t="str">
        <f>IF(IF(Table4[[#This Row],[Pre or Post]]="Pre",1,0)+IF(Table4[[#This Row],[If Yes]]=1,1,0)=2,1,"")</f>
        <v/>
      </c>
      <c r="L47" s="5" t="str">
        <f>IF(IF(Table4[[#This Row],[Pre or Post]]="Pre",1,0)+IF(Table4[[#This Row],[If No]]=1,1,0)=2,1,"")</f>
        <v/>
      </c>
      <c r="M47" s="5">
        <f>IF(IF(Table4[[#This Row],[Pre or Post]]="Post",1,0)+IF(Table4[[#This Row],[If Yes]]=1,1,0)=2,1,"")</f>
        <v>1</v>
      </c>
      <c r="N47" s="5" t="str">
        <f>IF(IF(Table4[[#This Row],[Pre or Post]]="Post",1,0)+IF(Table4[[#This Row],[If No]]=1,1,0)=2,1,"")</f>
        <v/>
      </c>
    </row>
    <row r="48" spans="1:14">
      <c r="A48" s="1" t="s">
        <v>12</v>
      </c>
      <c r="B48" s="1" t="s">
        <v>21</v>
      </c>
      <c r="C48" s="1">
        <v>12</v>
      </c>
      <c r="D48" s="1" t="s">
        <v>6</v>
      </c>
      <c r="E48" s="1">
        <v>4</v>
      </c>
      <c r="F48" s="1" t="s">
        <v>9</v>
      </c>
      <c r="G48" s="1" t="s">
        <v>8</v>
      </c>
      <c r="H48" s="5" t="str">
        <f>IF(Table4[[#This Row],[Response]]="Yes",1,"")</f>
        <v/>
      </c>
      <c r="I48" s="5">
        <f>IF(Table4[[#This Row],[Response]]="No",1,"")</f>
        <v>1</v>
      </c>
      <c r="J48" s="5">
        <f>IF(SUM(Table4[[#This Row],[If Yes]:[If No]])=1,1,"")</f>
        <v>1</v>
      </c>
      <c r="K48" s="5" t="str">
        <f>IF(IF(Table4[[#This Row],[Pre or Post]]="Pre",1,0)+IF(Table4[[#This Row],[If Yes]]=1,1,0)=2,1,"")</f>
        <v/>
      </c>
      <c r="L48" s="5">
        <f>IF(IF(Table4[[#This Row],[Pre or Post]]="Pre",1,0)+IF(Table4[[#This Row],[If No]]=1,1,0)=2,1,"")</f>
        <v>1</v>
      </c>
      <c r="M48" s="5" t="str">
        <f>IF(IF(Table4[[#This Row],[Pre or Post]]="Post",1,0)+IF(Table4[[#This Row],[If Yes]]=1,1,0)=2,1,"")</f>
        <v/>
      </c>
      <c r="N48" s="5" t="str">
        <f>IF(IF(Table4[[#This Row],[Pre or Post]]="Post",1,0)+IF(Table4[[#This Row],[If No]]=1,1,0)=2,1,"")</f>
        <v/>
      </c>
    </row>
    <row r="49" spans="1:14">
      <c r="A49" s="1" t="s">
        <v>12</v>
      </c>
      <c r="B49" s="1" t="s">
        <v>21</v>
      </c>
      <c r="C49" s="1">
        <v>12</v>
      </c>
      <c r="D49" s="1" t="s">
        <v>16</v>
      </c>
      <c r="E49" s="1">
        <v>8</v>
      </c>
      <c r="F49" s="1" t="s">
        <v>8</v>
      </c>
      <c r="G49" s="1" t="s">
        <v>8</v>
      </c>
      <c r="H49" s="5">
        <f>IF(Table4[[#This Row],[Response]]="Yes",1,"")</f>
        <v>1</v>
      </c>
      <c r="I49" s="5" t="str">
        <f>IF(Table4[[#This Row],[Response]]="No",1,"")</f>
        <v/>
      </c>
      <c r="J49" s="5">
        <f>IF(SUM(Table4[[#This Row],[If Yes]:[If No]])=1,1,"")</f>
        <v>1</v>
      </c>
      <c r="K49" s="5" t="str">
        <f>IF(IF(Table4[[#This Row],[Pre or Post]]="Pre",1,0)+IF(Table4[[#This Row],[If Yes]]=1,1,0)=2,1,"")</f>
        <v/>
      </c>
      <c r="L49" s="5" t="str">
        <f>IF(IF(Table4[[#This Row],[Pre or Post]]="Pre",1,0)+IF(Table4[[#This Row],[If No]]=1,1,0)=2,1,"")</f>
        <v/>
      </c>
      <c r="M49" s="5">
        <f>IF(IF(Table4[[#This Row],[Pre or Post]]="Post",1,0)+IF(Table4[[#This Row],[If Yes]]=1,1,0)=2,1,"")</f>
        <v>1</v>
      </c>
      <c r="N49" s="5" t="str">
        <f>IF(IF(Table4[[#This Row],[Pre or Post]]="Post",1,0)+IF(Table4[[#This Row],[If No]]=1,1,0)=2,1,"")</f>
        <v/>
      </c>
    </row>
    <row r="50" spans="1:14">
      <c r="A50" s="1" t="s">
        <v>12</v>
      </c>
      <c r="B50" s="1" t="s">
        <v>21</v>
      </c>
      <c r="C50" s="1">
        <v>13</v>
      </c>
      <c r="D50" s="1" t="s">
        <v>6</v>
      </c>
      <c r="E50" s="1">
        <v>4</v>
      </c>
      <c r="F50" s="1" t="s">
        <v>8</v>
      </c>
      <c r="G50" s="1" t="s">
        <v>8</v>
      </c>
      <c r="H50" s="5">
        <f>IF(Table4[[#This Row],[Response]]="Yes",1,"")</f>
        <v>1</v>
      </c>
      <c r="I50" s="5" t="str">
        <f>IF(Table4[[#This Row],[Response]]="No",1,"")</f>
        <v/>
      </c>
      <c r="J50" s="5">
        <f>IF(SUM(Table4[[#This Row],[If Yes]:[If No]])=1,1,"")</f>
        <v>1</v>
      </c>
      <c r="K50" s="5">
        <f>IF(IF(Table4[[#This Row],[Pre or Post]]="Pre",1,0)+IF(Table4[[#This Row],[If Yes]]=1,1,0)=2,1,"")</f>
        <v>1</v>
      </c>
      <c r="L50" s="5" t="str">
        <f>IF(IF(Table4[[#This Row],[Pre or Post]]="Pre",1,0)+IF(Table4[[#This Row],[If No]]=1,1,0)=2,1,"")</f>
        <v/>
      </c>
      <c r="M50" s="5" t="str">
        <f>IF(IF(Table4[[#This Row],[Pre or Post]]="Post",1,0)+IF(Table4[[#This Row],[If Yes]]=1,1,0)=2,1,"")</f>
        <v/>
      </c>
      <c r="N50" s="5" t="str">
        <f>IF(IF(Table4[[#This Row],[Pre or Post]]="Post",1,0)+IF(Table4[[#This Row],[If No]]=1,1,0)=2,1,"")</f>
        <v/>
      </c>
    </row>
    <row r="51" spans="1:14">
      <c r="A51" s="1" t="s">
        <v>12</v>
      </c>
      <c r="B51" s="1" t="s">
        <v>21</v>
      </c>
      <c r="C51" s="1">
        <v>13</v>
      </c>
      <c r="D51" s="1" t="s">
        <v>16</v>
      </c>
      <c r="E51" s="1">
        <v>8</v>
      </c>
      <c r="F51" s="1" t="s">
        <v>8</v>
      </c>
      <c r="G51" s="1" t="s">
        <v>8</v>
      </c>
      <c r="H51" s="5">
        <f>IF(Table4[[#This Row],[Response]]="Yes",1,"")</f>
        <v>1</v>
      </c>
      <c r="I51" s="5" t="str">
        <f>IF(Table4[[#This Row],[Response]]="No",1,"")</f>
        <v/>
      </c>
      <c r="J51" s="5">
        <f>IF(SUM(Table4[[#This Row],[If Yes]:[If No]])=1,1,"")</f>
        <v>1</v>
      </c>
      <c r="K51" s="5" t="str">
        <f>IF(IF(Table4[[#This Row],[Pre or Post]]="Pre",1,0)+IF(Table4[[#This Row],[If Yes]]=1,1,0)=2,1,"")</f>
        <v/>
      </c>
      <c r="L51" s="5" t="str">
        <f>IF(IF(Table4[[#This Row],[Pre or Post]]="Pre",1,0)+IF(Table4[[#This Row],[If No]]=1,1,0)=2,1,"")</f>
        <v/>
      </c>
      <c r="M51" s="5">
        <f>IF(IF(Table4[[#This Row],[Pre or Post]]="Post",1,0)+IF(Table4[[#This Row],[If Yes]]=1,1,0)=2,1,"")</f>
        <v>1</v>
      </c>
      <c r="N51" s="5" t="str">
        <f>IF(IF(Table4[[#This Row],[Pre or Post]]="Post",1,0)+IF(Table4[[#This Row],[If No]]=1,1,0)=2,1,"")</f>
        <v/>
      </c>
    </row>
    <row r="52" spans="1:14">
      <c r="A52" s="1" t="s">
        <v>12</v>
      </c>
      <c r="B52" s="1" t="s">
        <v>21</v>
      </c>
      <c r="C52" s="1">
        <v>14</v>
      </c>
      <c r="D52" s="1" t="s">
        <v>6</v>
      </c>
      <c r="E52" s="1">
        <v>4</v>
      </c>
      <c r="F52" s="1" t="s">
        <v>9</v>
      </c>
      <c r="G52" s="1" t="s">
        <v>8</v>
      </c>
      <c r="H52" s="5" t="str">
        <f>IF(Table4[[#This Row],[Response]]="Yes",1,"")</f>
        <v/>
      </c>
      <c r="I52" s="5">
        <f>IF(Table4[[#This Row],[Response]]="No",1,"")</f>
        <v>1</v>
      </c>
      <c r="J52" s="5">
        <f>IF(SUM(Table4[[#This Row],[If Yes]:[If No]])=1,1,"")</f>
        <v>1</v>
      </c>
      <c r="K52" s="5" t="str">
        <f>IF(IF(Table4[[#This Row],[Pre or Post]]="Pre",1,0)+IF(Table4[[#This Row],[If Yes]]=1,1,0)=2,1,"")</f>
        <v/>
      </c>
      <c r="L52" s="5">
        <f>IF(IF(Table4[[#This Row],[Pre or Post]]="Pre",1,0)+IF(Table4[[#This Row],[If No]]=1,1,0)=2,1,"")</f>
        <v>1</v>
      </c>
      <c r="M52" s="5" t="str">
        <f>IF(IF(Table4[[#This Row],[Pre or Post]]="Post",1,0)+IF(Table4[[#This Row],[If Yes]]=1,1,0)=2,1,"")</f>
        <v/>
      </c>
      <c r="N52" s="5" t="str">
        <f>IF(IF(Table4[[#This Row],[Pre or Post]]="Post",1,0)+IF(Table4[[#This Row],[If No]]=1,1,0)=2,1,"")</f>
        <v/>
      </c>
    </row>
    <row r="53" spans="1:14">
      <c r="A53" s="1" t="s">
        <v>12</v>
      </c>
      <c r="B53" s="1" t="s">
        <v>21</v>
      </c>
      <c r="C53" s="1">
        <v>14</v>
      </c>
      <c r="D53" s="1" t="s">
        <v>16</v>
      </c>
      <c r="E53" s="1">
        <v>8</v>
      </c>
      <c r="G53" s="1" t="s">
        <v>8</v>
      </c>
      <c r="H53" s="5" t="str">
        <f>IF(Table4[[#This Row],[Response]]="Yes",1,"")</f>
        <v/>
      </c>
      <c r="I53" s="5" t="str">
        <f>IF(Table4[[#This Row],[Response]]="No",1,"")</f>
        <v/>
      </c>
      <c r="J53" s="5" t="str">
        <f>IF(SUM(Table4[[#This Row],[If Yes]:[If No]])=1,1,"")</f>
        <v/>
      </c>
      <c r="K53" s="5" t="str">
        <f>IF(IF(Table4[[#This Row],[Pre or Post]]="Pre",1,0)+IF(Table4[[#This Row],[If Yes]]=1,1,0)=2,1,"")</f>
        <v/>
      </c>
      <c r="L53" s="5" t="str">
        <f>IF(IF(Table4[[#This Row],[Pre or Post]]="Pre",1,0)+IF(Table4[[#This Row],[If No]]=1,1,0)=2,1,"")</f>
        <v/>
      </c>
      <c r="M53" s="5" t="str">
        <f>IF(IF(Table4[[#This Row],[Pre or Post]]="Post",1,0)+IF(Table4[[#This Row],[If Yes]]=1,1,0)=2,1,"")</f>
        <v/>
      </c>
      <c r="N53" s="5" t="str">
        <f>IF(IF(Table4[[#This Row],[Pre or Post]]="Post",1,0)+IF(Table4[[#This Row],[If No]]=1,1,0)=2,1,"")</f>
        <v/>
      </c>
    </row>
    <row r="54" spans="1:14">
      <c r="A54" s="1" t="s">
        <v>12</v>
      </c>
      <c r="B54" s="1" t="s">
        <v>21</v>
      </c>
      <c r="C54" s="1">
        <v>15</v>
      </c>
      <c r="D54" s="1" t="s">
        <v>6</v>
      </c>
      <c r="E54" s="1">
        <v>4</v>
      </c>
      <c r="F54" s="1" t="s">
        <v>9</v>
      </c>
      <c r="G54" s="1" t="s">
        <v>8</v>
      </c>
      <c r="H54" s="5" t="str">
        <f>IF(Table4[[#This Row],[Response]]="Yes",1,"")</f>
        <v/>
      </c>
      <c r="I54" s="5">
        <f>IF(Table4[[#This Row],[Response]]="No",1,"")</f>
        <v>1</v>
      </c>
      <c r="J54" s="5">
        <f>IF(SUM(Table4[[#This Row],[If Yes]:[If No]])=1,1,"")</f>
        <v>1</v>
      </c>
      <c r="K54" s="5" t="str">
        <f>IF(IF(Table4[[#This Row],[Pre or Post]]="Pre",1,0)+IF(Table4[[#This Row],[If Yes]]=1,1,0)=2,1,"")</f>
        <v/>
      </c>
      <c r="L54" s="5">
        <f>IF(IF(Table4[[#This Row],[Pre or Post]]="Pre",1,0)+IF(Table4[[#This Row],[If No]]=1,1,0)=2,1,"")</f>
        <v>1</v>
      </c>
      <c r="M54" s="5" t="str">
        <f>IF(IF(Table4[[#This Row],[Pre or Post]]="Post",1,0)+IF(Table4[[#This Row],[If Yes]]=1,1,0)=2,1,"")</f>
        <v/>
      </c>
      <c r="N54" s="5" t="str">
        <f>IF(IF(Table4[[#This Row],[Pre or Post]]="Post",1,0)+IF(Table4[[#This Row],[If No]]=1,1,0)=2,1,"")</f>
        <v/>
      </c>
    </row>
    <row r="55" spans="1:14">
      <c r="A55" s="1" t="s">
        <v>12</v>
      </c>
      <c r="B55" s="1" t="s">
        <v>21</v>
      </c>
      <c r="C55" s="1">
        <v>15</v>
      </c>
      <c r="D55" s="1" t="s">
        <v>16</v>
      </c>
      <c r="E55" s="1">
        <v>8</v>
      </c>
      <c r="F55" s="1" t="s">
        <v>9</v>
      </c>
      <c r="G55" s="1" t="s">
        <v>8</v>
      </c>
      <c r="H55" s="5" t="str">
        <f>IF(Table4[[#This Row],[Response]]="Yes",1,"")</f>
        <v/>
      </c>
      <c r="I55" s="5">
        <f>IF(Table4[[#This Row],[Response]]="No",1,"")</f>
        <v>1</v>
      </c>
      <c r="J55" s="5">
        <f>IF(SUM(Table4[[#This Row],[If Yes]:[If No]])=1,1,"")</f>
        <v>1</v>
      </c>
      <c r="K55" s="5" t="str">
        <f>IF(IF(Table4[[#This Row],[Pre or Post]]="Pre",1,0)+IF(Table4[[#This Row],[If Yes]]=1,1,0)=2,1,"")</f>
        <v/>
      </c>
      <c r="L55" s="5" t="str">
        <f>IF(IF(Table4[[#This Row],[Pre or Post]]="Pre",1,0)+IF(Table4[[#This Row],[If No]]=1,1,0)=2,1,"")</f>
        <v/>
      </c>
      <c r="M55" s="5" t="str">
        <f>IF(IF(Table4[[#This Row],[Pre or Post]]="Post",1,0)+IF(Table4[[#This Row],[If Yes]]=1,1,0)=2,1,"")</f>
        <v/>
      </c>
      <c r="N55" s="5">
        <f>IF(IF(Table4[[#This Row],[Pre or Post]]="Post",1,0)+IF(Table4[[#This Row],[If No]]=1,1,0)=2,1,"")</f>
        <v>1</v>
      </c>
    </row>
    <row r="56" spans="1:14">
      <c r="A56" s="1" t="s">
        <v>12</v>
      </c>
      <c r="B56" s="1" t="s">
        <v>21</v>
      </c>
      <c r="C56" s="1">
        <v>16</v>
      </c>
      <c r="D56" s="1" t="s">
        <v>6</v>
      </c>
      <c r="E56" s="1">
        <v>4</v>
      </c>
      <c r="F56" s="1" t="s">
        <v>9</v>
      </c>
      <c r="G56" s="1" t="s">
        <v>8</v>
      </c>
      <c r="H56" s="5" t="str">
        <f>IF(Table4[[#This Row],[Response]]="Yes",1,"")</f>
        <v/>
      </c>
      <c r="I56" s="5">
        <f>IF(Table4[[#This Row],[Response]]="No",1,"")</f>
        <v>1</v>
      </c>
      <c r="J56" s="5">
        <f>IF(SUM(Table4[[#This Row],[If Yes]:[If No]])=1,1,"")</f>
        <v>1</v>
      </c>
      <c r="K56" s="5" t="str">
        <f>IF(IF(Table4[[#This Row],[Pre or Post]]="Pre",1,0)+IF(Table4[[#This Row],[If Yes]]=1,1,0)=2,1,"")</f>
        <v/>
      </c>
      <c r="L56" s="5">
        <f>IF(IF(Table4[[#This Row],[Pre or Post]]="Pre",1,0)+IF(Table4[[#This Row],[If No]]=1,1,0)=2,1,"")</f>
        <v>1</v>
      </c>
      <c r="M56" s="5" t="str">
        <f>IF(IF(Table4[[#This Row],[Pre or Post]]="Post",1,0)+IF(Table4[[#This Row],[If Yes]]=1,1,0)=2,1,"")</f>
        <v/>
      </c>
      <c r="N56" s="5" t="str">
        <f>IF(IF(Table4[[#This Row],[Pre or Post]]="Post",1,0)+IF(Table4[[#This Row],[If No]]=1,1,0)=2,1,"")</f>
        <v/>
      </c>
    </row>
    <row r="57" spans="1:14">
      <c r="A57" s="1" t="s">
        <v>12</v>
      </c>
      <c r="B57" s="1" t="s">
        <v>21</v>
      </c>
      <c r="C57" s="1">
        <v>16</v>
      </c>
      <c r="D57" s="1" t="s">
        <v>16</v>
      </c>
      <c r="E57" s="1">
        <v>8</v>
      </c>
      <c r="F57" s="1" t="s">
        <v>8</v>
      </c>
      <c r="G57" s="1" t="s">
        <v>8</v>
      </c>
      <c r="H57" s="5">
        <f>IF(Table4[[#This Row],[Response]]="Yes",1,"")</f>
        <v>1</v>
      </c>
      <c r="I57" s="5" t="str">
        <f>IF(Table4[[#This Row],[Response]]="No",1,"")</f>
        <v/>
      </c>
      <c r="J57" s="5">
        <f>IF(SUM(Table4[[#This Row],[If Yes]:[If No]])=1,1,"")</f>
        <v>1</v>
      </c>
      <c r="K57" s="5" t="str">
        <f>IF(IF(Table4[[#This Row],[Pre or Post]]="Pre",1,0)+IF(Table4[[#This Row],[If Yes]]=1,1,0)=2,1,"")</f>
        <v/>
      </c>
      <c r="L57" s="5" t="str">
        <f>IF(IF(Table4[[#This Row],[Pre or Post]]="Pre",1,0)+IF(Table4[[#This Row],[If No]]=1,1,0)=2,1,"")</f>
        <v/>
      </c>
      <c r="M57" s="5">
        <f>IF(IF(Table4[[#This Row],[Pre or Post]]="Post",1,0)+IF(Table4[[#This Row],[If Yes]]=1,1,0)=2,1,"")</f>
        <v>1</v>
      </c>
      <c r="N57" s="5" t="str">
        <f>IF(IF(Table4[[#This Row],[Pre or Post]]="Post",1,0)+IF(Table4[[#This Row],[If No]]=1,1,0)=2,1,"")</f>
        <v/>
      </c>
    </row>
    <row r="58" spans="1:14">
      <c r="A58" s="1" t="s">
        <v>12</v>
      </c>
      <c r="B58" s="1" t="s">
        <v>21</v>
      </c>
      <c r="C58" s="1">
        <v>17</v>
      </c>
      <c r="D58" s="1" t="s">
        <v>6</v>
      </c>
      <c r="E58" s="1">
        <v>4</v>
      </c>
      <c r="F58" s="1" t="s">
        <v>9</v>
      </c>
      <c r="G58" s="1" t="s">
        <v>8</v>
      </c>
      <c r="H58" s="5" t="str">
        <f>IF(Table4[[#This Row],[Response]]="Yes",1,"")</f>
        <v/>
      </c>
      <c r="I58" s="5">
        <f>IF(Table4[[#This Row],[Response]]="No",1,"")</f>
        <v>1</v>
      </c>
      <c r="J58" s="5">
        <f>IF(SUM(Table4[[#This Row],[If Yes]:[If No]])=1,1,"")</f>
        <v>1</v>
      </c>
      <c r="K58" s="5" t="str">
        <f>IF(IF(Table4[[#This Row],[Pre or Post]]="Pre",1,0)+IF(Table4[[#This Row],[If Yes]]=1,1,0)=2,1,"")</f>
        <v/>
      </c>
      <c r="L58" s="5">
        <f>IF(IF(Table4[[#This Row],[Pre or Post]]="Pre",1,0)+IF(Table4[[#This Row],[If No]]=1,1,0)=2,1,"")</f>
        <v>1</v>
      </c>
      <c r="M58" s="5" t="str">
        <f>IF(IF(Table4[[#This Row],[Pre or Post]]="Post",1,0)+IF(Table4[[#This Row],[If Yes]]=1,1,0)=2,1,"")</f>
        <v/>
      </c>
      <c r="N58" s="5" t="str">
        <f>IF(IF(Table4[[#This Row],[Pre or Post]]="Post",1,0)+IF(Table4[[#This Row],[If No]]=1,1,0)=2,1,"")</f>
        <v/>
      </c>
    </row>
    <row r="59" spans="1:14">
      <c r="A59" s="1" t="s">
        <v>12</v>
      </c>
      <c r="B59" s="1" t="s">
        <v>21</v>
      </c>
      <c r="C59" s="1">
        <v>17</v>
      </c>
      <c r="D59" s="1" t="s">
        <v>16</v>
      </c>
      <c r="E59" s="1">
        <v>8</v>
      </c>
      <c r="F59" s="1" t="s">
        <v>8</v>
      </c>
      <c r="G59" s="1" t="s">
        <v>8</v>
      </c>
      <c r="H59" s="5">
        <f>IF(Table4[[#This Row],[Response]]="Yes",1,"")</f>
        <v>1</v>
      </c>
      <c r="I59" s="5" t="str">
        <f>IF(Table4[[#This Row],[Response]]="No",1,"")</f>
        <v/>
      </c>
      <c r="J59" s="5">
        <f>IF(SUM(Table4[[#This Row],[If Yes]:[If No]])=1,1,"")</f>
        <v>1</v>
      </c>
      <c r="K59" s="5" t="str">
        <f>IF(IF(Table4[[#This Row],[Pre or Post]]="Pre",1,0)+IF(Table4[[#This Row],[If Yes]]=1,1,0)=2,1,"")</f>
        <v/>
      </c>
      <c r="L59" s="5" t="str">
        <f>IF(IF(Table4[[#This Row],[Pre or Post]]="Pre",1,0)+IF(Table4[[#This Row],[If No]]=1,1,0)=2,1,"")</f>
        <v/>
      </c>
      <c r="M59" s="5">
        <f>IF(IF(Table4[[#This Row],[Pre or Post]]="Post",1,0)+IF(Table4[[#This Row],[If Yes]]=1,1,0)=2,1,"")</f>
        <v>1</v>
      </c>
      <c r="N59" s="5" t="str">
        <f>IF(IF(Table4[[#This Row],[Pre or Post]]="Post",1,0)+IF(Table4[[#This Row],[If No]]=1,1,0)=2,1,"")</f>
        <v/>
      </c>
    </row>
    <row r="60" spans="1:14">
      <c r="A60" s="1" t="s">
        <v>12</v>
      </c>
      <c r="B60" s="1" t="s">
        <v>21</v>
      </c>
      <c r="C60" s="1">
        <v>18</v>
      </c>
      <c r="D60" s="1" t="s">
        <v>6</v>
      </c>
      <c r="E60" s="1">
        <v>4</v>
      </c>
      <c r="F60" s="1" t="s">
        <v>8</v>
      </c>
      <c r="G60" s="1" t="s">
        <v>8</v>
      </c>
      <c r="H60" s="5">
        <f>IF(Table4[[#This Row],[Response]]="Yes",1,"")</f>
        <v>1</v>
      </c>
      <c r="I60" s="5" t="str">
        <f>IF(Table4[[#This Row],[Response]]="No",1,"")</f>
        <v/>
      </c>
      <c r="J60" s="5">
        <f>IF(SUM(Table4[[#This Row],[If Yes]:[If No]])=1,1,"")</f>
        <v>1</v>
      </c>
      <c r="K60" s="5">
        <f>IF(IF(Table4[[#This Row],[Pre or Post]]="Pre",1,0)+IF(Table4[[#This Row],[If Yes]]=1,1,0)=2,1,"")</f>
        <v>1</v>
      </c>
      <c r="L60" s="5" t="str">
        <f>IF(IF(Table4[[#This Row],[Pre or Post]]="Pre",1,0)+IF(Table4[[#This Row],[If No]]=1,1,0)=2,1,"")</f>
        <v/>
      </c>
      <c r="M60" s="5" t="str">
        <f>IF(IF(Table4[[#This Row],[Pre or Post]]="Post",1,0)+IF(Table4[[#This Row],[If Yes]]=1,1,0)=2,1,"")</f>
        <v/>
      </c>
      <c r="N60" s="5" t="str">
        <f>IF(IF(Table4[[#This Row],[Pre or Post]]="Post",1,0)+IF(Table4[[#This Row],[If No]]=1,1,0)=2,1,"")</f>
        <v/>
      </c>
    </row>
    <row r="61" spans="1:14">
      <c r="A61" s="1" t="s">
        <v>12</v>
      </c>
      <c r="B61" s="1" t="s">
        <v>21</v>
      </c>
      <c r="C61" s="1">
        <v>18</v>
      </c>
      <c r="D61" s="1" t="s">
        <v>16</v>
      </c>
      <c r="E61" s="1">
        <v>8</v>
      </c>
      <c r="F61" s="1" t="s">
        <v>8</v>
      </c>
      <c r="G61" s="1" t="s">
        <v>8</v>
      </c>
      <c r="H61" s="5">
        <f>IF(Table4[[#This Row],[Response]]="Yes",1,"")</f>
        <v>1</v>
      </c>
      <c r="I61" s="5" t="str">
        <f>IF(Table4[[#This Row],[Response]]="No",1,"")</f>
        <v/>
      </c>
      <c r="J61" s="5">
        <f>IF(SUM(Table4[[#This Row],[If Yes]:[If No]])=1,1,"")</f>
        <v>1</v>
      </c>
      <c r="K61" s="5" t="str">
        <f>IF(IF(Table4[[#This Row],[Pre or Post]]="Pre",1,0)+IF(Table4[[#This Row],[If Yes]]=1,1,0)=2,1,"")</f>
        <v/>
      </c>
      <c r="L61" s="5" t="str">
        <f>IF(IF(Table4[[#This Row],[Pre or Post]]="Pre",1,0)+IF(Table4[[#This Row],[If No]]=1,1,0)=2,1,"")</f>
        <v/>
      </c>
      <c r="M61" s="5">
        <f>IF(IF(Table4[[#This Row],[Pre or Post]]="Post",1,0)+IF(Table4[[#This Row],[If Yes]]=1,1,0)=2,1,"")</f>
        <v>1</v>
      </c>
      <c r="N61" s="5" t="str">
        <f>IF(IF(Table4[[#This Row],[Pre or Post]]="Post",1,0)+IF(Table4[[#This Row],[If No]]=1,1,0)=2,1,"")</f>
        <v/>
      </c>
    </row>
    <row r="62" spans="1:14">
      <c r="A62" s="1" t="s">
        <v>12</v>
      </c>
      <c r="B62" s="1" t="s">
        <v>21</v>
      </c>
      <c r="C62" s="1">
        <v>19</v>
      </c>
      <c r="D62" s="1" t="s">
        <v>6</v>
      </c>
      <c r="E62" s="1">
        <v>4</v>
      </c>
      <c r="F62" s="1" t="s">
        <v>8</v>
      </c>
      <c r="G62" s="1" t="s">
        <v>8</v>
      </c>
      <c r="H62" s="5">
        <f>IF(Table4[[#This Row],[Response]]="Yes",1,"")</f>
        <v>1</v>
      </c>
      <c r="I62" s="5" t="str">
        <f>IF(Table4[[#This Row],[Response]]="No",1,"")</f>
        <v/>
      </c>
      <c r="J62" s="5">
        <f>IF(SUM(Table4[[#This Row],[If Yes]:[If No]])=1,1,"")</f>
        <v>1</v>
      </c>
      <c r="K62" s="5">
        <f>IF(IF(Table4[[#This Row],[Pre or Post]]="Pre",1,0)+IF(Table4[[#This Row],[If Yes]]=1,1,0)=2,1,"")</f>
        <v>1</v>
      </c>
      <c r="L62" s="5" t="str">
        <f>IF(IF(Table4[[#This Row],[Pre or Post]]="Pre",1,0)+IF(Table4[[#This Row],[If No]]=1,1,0)=2,1,"")</f>
        <v/>
      </c>
      <c r="M62" s="5" t="str">
        <f>IF(IF(Table4[[#This Row],[Pre or Post]]="Post",1,0)+IF(Table4[[#This Row],[If Yes]]=1,1,0)=2,1,"")</f>
        <v/>
      </c>
      <c r="N62" s="5" t="str">
        <f>IF(IF(Table4[[#This Row],[Pre or Post]]="Post",1,0)+IF(Table4[[#This Row],[If No]]=1,1,0)=2,1,"")</f>
        <v/>
      </c>
    </row>
    <row r="63" spans="1:14">
      <c r="A63" s="1" t="s">
        <v>12</v>
      </c>
      <c r="B63" s="1" t="s">
        <v>21</v>
      </c>
      <c r="C63" s="1">
        <v>19</v>
      </c>
      <c r="D63" s="1" t="s">
        <v>16</v>
      </c>
      <c r="E63" s="1">
        <v>8</v>
      </c>
      <c r="F63" s="1" t="s">
        <v>8</v>
      </c>
      <c r="G63" s="1" t="s">
        <v>8</v>
      </c>
      <c r="H63" s="5">
        <f>IF(Table4[[#This Row],[Response]]="Yes",1,"")</f>
        <v>1</v>
      </c>
      <c r="I63" s="5" t="str">
        <f>IF(Table4[[#This Row],[Response]]="No",1,"")</f>
        <v/>
      </c>
      <c r="J63" s="5">
        <f>IF(SUM(Table4[[#This Row],[If Yes]:[If No]])=1,1,"")</f>
        <v>1</v>
      </c>
      <c r="K63" s="5" t="str">
        <f>IF(IF(Table4[[#This Row],[Pre or Post]]="Pre",1,0)+IF(Table4[[#This Row],[If Yes]]=1,1,0)=2,1,"")</f>
        <v/>
      </c>
      <c r="L63" s="5" t="str">
        <f>IF(IF(Table4[[#This Row],[Pre or Post]]="Pre",1,0)+IF(Table4[[#This Row],[If No]]=1,1,0)=2,1,"")</f>
        <v/>
      </c>
      <c r="M63" s="5">
        <f>IF(IF(Table4[[#This Row],[Pre or Post]]="Post",1,0)+IF(Table4[[#This Row],[If Yes]]=1,1,0)=2,1,"")</f>
        <v>1</v>
      </c>
      <c r="N63" s="5" t="str">
        <f>IF(IF(Table4[[#This Row],[Pre or Post]]="Post",1,0)+IF(Table4[[#This Row],[If No]]=1,1,0)=2,1,"")</f>
        <v/>
      </c>
    </row>
    <row r="64" spans="1:14">
      <c r="A64" s="1" t="s">
        <v>12</v>
      </c>
      <c r="B64" s="1" t="s">
        <v>21</v>
      </c>
      <c r="C64" s="1">
        <v>20</v>
      </c>
      <c r="D64" s="1" t="s">
        <v>6</v>
      </c>
      <c r="E64" s="1">
        <v>4</v>
      </c>
      <c r="F64" s="1" t="s">
        <v>9</v>
      </c>
      <c r="G64" s="1" t="s">
        <v>8</v>
      </c>
      <c r="H64" s="5" t="str">
        <f>IF(Table4[[#This Row],[Response]]="Yes",1,"")</f>
        <v/>
      </c>
      <c r="I64" s="5">
        <f>IF(Table4[[#This Row],[Response]]="No",1,"")</f>
        <v>1</v>
      </c>
      <c r="J64" s="5">
        <f>IF(SUM(Table4[[#This Row],[If Yes]:[If No]])=1,1,"")</f>
        <v>1</v>
      </c>
      <c r="K64" s="5" t="str">
        <f>IF(IF(Table4[[#This Row],[Pre or Post]]="Pre",1,0)+IF(Table4[[#This Row],[If Yes]]=1,1,0)=2,1,"")</f>
        <v/>
      </c>
      <c r="L64" s="5">
        <f>IF(IF(Table4[[#This Row],[Pre or Post]]="Pre",1,0)+IF(Table4[[#This Row],[If No]]=1,1,0)=2,1,"")</f>
        <v>1</v>
      </c>
      <c r="M64" s="5" t="str">
        <f>IF(IF(Table4[[#This Row],[Pre or Post]]="Post",1,0)+IF(Table4[[#This Row],[If Yes]]=1,1,0)=2,1,"")</f>
        <v/>
      </c>
      <c r="N64" s="5" t="str">
        <f>IF(IF(Table4[[#This Row],[Pre or Post]]="Post",1,0)+IF(Table4[[#This Row],[If No]]=1,1,0)=2,1,"")</f>
        <v/>
      </c>
    </row>
    <row r="65" spans="1:14">
      <c r="A65" s="1" t="s">
        <v>12</v>
      </c>
      <c r="B65" s="1" t="s">
        <v>21</v>
      </c>
      <c r="C65" s="1">
        <v>20</v>
      </c>
      <c r="D65" s="1" t="s">
        <v>16</v>
      </c>
      <c r="E65" s="1">
        <v>8</v>
      </c>
      <c r="F65" s="1" t="s">
        <v>8</v>
      </c>
      <c r="G65" s="1" t="s">
        <v>8</v>
      </c>
      <c r="H65" s="5">
        <f>IF(Table4[[#This Row],[Response]]="Yes",1,"")</f>
        <v>1</v>
      </c>
      <c r="I65" s="5" t="str">
        <f>IF(Table4[[#This Row],[Response]]="No",1,"")</f>
        <v/>
      </c>
      <c r="J65" s="5">
        <f>IF(SUM(Table4[[#This Row],[If Yes]:[If No]])=1,1,"")</f>
        <v>1</v>
      </c>
      <c r="K65" s="5" t="str">
        <f>IF(IF(Table4[[#This Row],[Pre or Post]]="Pre",1,0)+IF(Table4[[#This Row],[If Yes]]=1,1,0)=2,1,"")</f>
        <v/>
      </c>
      <c r="L65" s="5" t="str">
        <f>IF(IF(Table4[[#This Row],[Pre or Post]]="Pre",1,0)+IF(Table4[[#This Row],[If No]]=1,1,0)=2,1,"")</f>
        <v/>
      </c>
      <c r="M65" s="5">
        <f>IF(IF(Table4[[#This Row],[Pre or Post]]="Post",1,0)+IF(Table4[[#This Row],[If Yes]]=1,1,0)=2,1,"")</f>
        <v>1</v>
      </c>
      <c r="N65" s="5" t="str">
        <f>IF(IF(Table4[[#This Row],[Pre or Post]]="Post",1,0)+IF(Table4[[#This Row],[If No]]=1,1,0)=2,1,"")</f>
        <v/>
      </c>
    </row>
    <row r="66" spans="1:14">
      <c r="A66" s="1" t="s">
        <v>12</v>
      </c>
      <c r="B66" s="1" t="s">
        <v>21</v>
      </c>
      <c r="C66" s="1">
        <v>21</v>
      </c>
      <c r="D66" s="1" t="s">
        <v>6</v>
      </c>
      <c r="E66" s="1">
        <v>4</v>
      </c>
      <c r="F66" s="1" t="s">
        <v>8</v>
      </c>
      <c r="G66" s="1" t="s">
        <v>8</v>
      </c>
      <c r="H66" s="5">
        <f>IF(Table4[[#This Row],[Response]]="Yes",1,"")</f>
        <v>1</v>
      </c>
      <c r="I66" s="5" t="str">
        <f>IF(Table4[[#This Row],[Response]]="No",1,"")</f>
        <v/>
      </c>
      <c r="J66" s="5">
        <f>IF(SUM(Table4[[#This Row],[If Yes]:[If No]])=1,1,"")</f>
        <v>1</v>
      </c>
      <c r="K66" s="5">
        <f>IF(IF(Table4[[#This Row],[Pre or Post]]="Pre",1,0)+IF(Table4[[#This Row],[If Yes]]=1,1,0)=2,1,"")</f>
        <v>1</v>
      </c>
      <c r="L66" s="5" t="str">
        <f>IF(IF(Table4[[#This Row],[Pre or Post]]="Pre",1,0)+IF(Table4[[#This Row],[If No]]=1,1,0)=2,1,"")</f>
        <v/>
      </c>
      <c r="M66" s="5" t="str">
        <f>IF(IF(Table4[[#This Row],[Pre or Post]]="Post",1,0)+IF(Table4[[#This Row],[If Yes]]=1,1,0)=2,1,"")</f>
        <v/>
      </c>
      <c r="N66" s="5" t="str">
        <f>IF(IF(Table4[[#This Row],[Pre or Post]]="Post",1,0)+IF(Table4[[#This Row],[If No]]=1,1,0)=2,1,"")</f>
        <v/>
      </c>
    </row>
    <row r="67" spans="1:14">
      <c r="A67" s="1" t="s">
        <v>12</v>
      </c>
      <c r="B67" s="1" t="s">
        <v>21</v>
      </c>
      <c r="C67" s="1">
        <v>21</v>
      </c>
      <c r="D67" s="1" t="s">
        <v>16</v>
      </c>
      <c r="E67" s="1">
        <v>8</v>
      </c>
      <c r="F67" s="1" t="s">
        <v>8</v>
      </c>
      <c r="G67" s="1" t="s">
        <v>8</v>
      </c>
      <c r="H67" s="5">
        <f>IF(Table4[[#This Row],[Response]]="Yes",1,"")</f>
        <v>1</v>
      </c>
      <c r="I67" s="5" t="str">
        <f>IF(Table4[[#This Row],[Response]]="No",1,"")</f>
        <v/>
      </c>
      <c r="J67" s="5">
        <f>IF(SUM(Table4[[#This Row],[If Yes]:[If No]])=1,1,"")</f>
        <v>1</v>
      </c>
      <c r="K67" s="5" t="str">
        <f>IF(IF(Table4[[#This Row],[Pre or Post]]="Pre",1,0)+IF(Table4[[#This Row],[If Yes]]=1,1,0)=2,1,"")</f>
        <v/>
      </c>
      <c r="L67" s="5" t="str">
        <f>IF(IF(Table4[[#This Row],[Pre or Post]]="Pre",1,0)+IF(Table4[[#This Row],[If No]]=1,1,0)=2,1,"")</f>
        <v/>
      </c>
      <c r="M67" s="5">
        <f>IF(IF(Table4[[#This Row],[Pre or Post]]="Post",1,0)+IF(Table4[[#This Row],[If Yes]]=1,1,0)=2,1,"")</f>
        <v>1</v>
      </c>
      <c r="N67" s="5" t="str">
        <f>IF(IF(Table4[[#This Row],[Pre or Post]]="Post",1,0)+IF(Table4[[#This Row],[If No]]=1,1,0)=2,1,"")</f>
        <v/>
      </c>
    </row>
    <row r="68" spans="1:14">
      <c r="A68" s="1" t="s">
        <v>12</v>
      </c>
      <c r="B68" s="1" t="s">
        <v>21</v>
      </c>
      <c r="C68" s="1">
        <v>22</v>
      </c>
      <c r="D68" s="1" t="s">
        <v>6</v>
      </c>
      <c r="E68" s="1">
        <v>4</v>
      </c>
      <c r="F68" s="1" t="s">
        <v>8</v>
      </c>
      <c r="G68" s="1" t="s">
        <v>8</v>
      </c>
      <c r="H68" s="5">
        <f>IF(Table4[[#This Row],[Response]]="Yes",1,"")</f>
        <v>1</v>
      </c>
      <c r="I68" s="5" t="str">
        <f>IF(Table4[[#This Row],[Response]]="No",1,"")</f>
        <v/>
      </c>
      <c r="J68" s="5">
        <f>IF(SUM(Table4[[#This Row],[If Yes]:[If No]])=1,1,"")</f>
        <v>1</v>
      </c>
      <c r="K68" s="5">
        <f>IF(IF(Table4[[#This Row],[Pre or Post]]="Pre",1,0)+IF(Table4[[#This Row],[If Yes]]=1,1,0)=2,1,"")</f>
        <v>1</v>
      </c>
      <c r="L68" s="5" t="str">
        <f>IF(IF(Table4[[#This Row],[Pre or Post]]="Pre",1,0)+IF(Table4[[#This Row],[If No]]=1,1,0)=2,1,"")</f>
        <v/>
      </c>
      <c r="M68" s="5" t="str">
        <f>IF(IF(Table4[[#This Row],[Pre or Post]]="Post",1,0)+IF(Table4[[#This Row],[If Yes]]=1,1,0)=2,1,"")</f>
        <v/>
      </c>
      <c r="N68" s="5" t="str">
        <f>IF(IF(Table4[[#This Row],[Pre or Post]]="Post",1,0)+IF(Table4[[#This Row],[If No]]=1,1,0)=2,1,"")</f>
        <v/>
      </c>
    </row>
    <row r="69" spans="1:14">
      <c r="A69" s="1" t="s">
        <v>12</v>
      </c>
      <c r="B69" s="1" t="s">
        <v>21</v>
      </c>
      <c r="C69" s="1">
        <v>22</v>
      </c>
      <c r="D69" s="1" t="s">
        <v>16</v>
      </c>
      <c r="E69" s="1">
        <v>8</v>
      </c>
      <c r="F69" s="1" t="s">
        <v>8</v>
      </c>
      <c r="G69" s="1" t="s">
        <v>8</v>
      </c>
      <c r="H69" s="5">
        <f>IF(Table4[[#This Row],[Response]]="Yes",1,"")</f>
        <v>1</v>
      </c>
      <c r="I69" s="5" t="str">
        <f>IF(Table4[[#This Row],[Response]]="No",1,"")</f>
        <v/>
      </c>
      <c r="J69" s="5">
        <f>IF(SUM(Table4[[#This Row],[If Yes]:[If No]])=1,1,"")</f>
        <v>1</v>
      </c>
      <c r="K69" s="5" t="str">
        <f>IF(IF(Table4[[#This Row],[Pre or Post]]="Pre",1,0)+IF(Table4[[#This Row],[If Yes]]=1,1,0)=2,1,"")</f>
        <v/>
      </c>
      <c r="L69" s="5" t="str">
        <f>IF(IF(Table4[[#This Row],[Pre or Post]]="Pre",1,0)+IF(Table4[[#This Row],[If No]]=1,1,0)=2,1,"")</f>
        <v/>
      </c>
      <c r="M69" s="5">
        <f>IF(IF(Table4[[#This Row],[Pre or Post]]="Post",1,0)+IF(Table4[[#This Row],[If Yes]]=1,1,0)=2,1,"")</f>
        <v>1</v>
      </c>
      <c r="N69" s="5" t="str">
        <f>IF(IF(Table4[[#This Row],[Pre or Post]]="Post",1,0)+IF(Table4[[#This Row],[If No]]=1,1,0)=2,1,"")</f>
        <v/>
      </c>
    </row>
    <row r="70" spans="1:14">
      <c r="A70" s="1" t="s">
        <v>12</v>
      </c>
      <c r="B70" s="1" t="s">
        <v>21</v>
      </c>
      <c r="C70" s="1">
        <v>23</v>
      </c>
      <c r="D70" s="1" t="s">
        <v>6</v>
      </c>
      <c r="E70" s="1">
        <v>4</v>
      </c>
      <c r="F70" s="1" t="s">
        <v>9</v>
      </c>
      <c r="G70" s="1" t="s">
        <v>8</v>
      </c>
      <c r="H70" s="5" t="str">
        <f>IF(Table4[[#This Row],[Response]]="Yes",1,"")</f>
        <v/>
      </c>
      <c r="I70" s="5">
        <f>IF(Table4[[#This Row],[Response]]="No",1,"")</f>
        <v>1</v>
      </c>
      <c r="J70" s="5">
        <f>IF(SUM(Table4[[#This Row],[If Yes]:[If No]])=1,1,"")</f>
        <v>1</v>
      </c>
      <c r="K70" s="5" t="str">
        <f>IF(IF(Table4[[#This Row],[Pre or Post]]="Pre",1,0)+IF(Table4[[#This Row],[If Yes]]=1,1,0)=2,1,"")</f>
        <v/>
      </c>
      <c r="L70" s="5">
        <f>IF(IF(Table4[[#This Row],[Pre or Post]]="Pre",1,0)+IF(Table4[[#This Row],[If No]]=1,1,0)=2,1,"")</f>
        <v>1</v>
      </c>
      <c r="M70" s="5" t="str">
        <f>IF(IF(Table4[[#This Row],[Pre or Post]]="Post",1,0)+IF(Table4[[#This Row],[If Yes]]=1,1,0)=2,1,"")</f>
        <v/>
      </c>
      <c r="N70" s="5" t="str">
        <f>IF(IF(Table4[[#This Row],[Pre or Post]]="Post",1,0)+IF(Table4[[#This Row],[If No]]=1,1,0)=2,1,"")</f>
        <v/>
      </c>
    </row>
    <row r="71" spans="1:14">
      <c r="A71" s="1" t="s">
        <v>12</v>
      </c>
      <c r="B71" s="1" t="s">
        <v>21</v>
      </c>
      <c r="C71" s="1">
        <v>23</v>
      </c>
      <c r="D71" s="1" t="s">
        <v>16</v>
      </c>
      <c r="E71" s="1">
        <v>8</v>
      </c>
      <c r="F71" s="1" t="s">
        <v>8</v>
      </c>
      <c r="G71" s="1" t="s">
        <v>8</v>
      </c>
      <c r="H71" s="5">
        <f>IF(Table4[[#This Row],[Response]]="Yes",1,"")</f>
        <v>1</v>
      </c>
      <c r="I71" s="5" t="str">
        <f>IF(Table4[[#This Row],[Response]]="No",1,"")</f>
        <v/>
      </c>
      <c r="J71" s="5">
        <f>IF(SUM(Table4[[#This Row],[If Yes]:[If No]])=1,1,"")</f>
        <v>1</v>
      </c>
      <c r="K71" s="5" t="str">
        <f>IF(IF(Table4[[#This Row],[Pre or Post]]="Pre",1,0)+IF(Table4[[#This Row],[If Yes]]=1,1,0)=2,1,"")</f>
        <v/>
      </c>
      <c r="L71" s="5" t="str">
        <f>IF(IF(Table4[[#This Row],[Pre or Post]]="Pre",1,0)+IF(Table4[[#This Row],[If No]]=1,1,0)=2,1,"")</f>
        <v/>
      </c>
      <c r="M71" s="5">
        <f>IF(IF(Table4[[#This Row],[Pre or Post]]="Post",1,0)+IF(Table4[[#This Row],[If Yes]]=1,1,0)=2,1,"")</f>
        <v>1</v>
      </c>
      <c r="N71" s="5" t="str">
        <f>IF(IF(Table4[[#This Row],[Pre or Post]]="Post",1,0)+IF(Table4[[#This Row],[If No]]=1,1,0)=2,1,"")</f>
        <v/>
      </c>
    </row>
    <row r="72" spans="1:14">
      <c r="A72" s="1" t="s">
        <v>12</v>
      </c>
      <c r="B72" s="1" t="s">
        <v>10</v>
      </c>
      <c r="C72" s="1">
        <v>1</v>
      </c>
      <c r="D72" s="1" t="s">
        <v>6</v>
      </c>
      <c r="E72" s="1">
        <v>4</v>
      </c>
      <c r="F72" s="1" t="s">
        <v>9</v>
      </c>
      <c r="G72" s="1" t="s">
        <v>8</v>
      </c>
      <c r="H72" s="5" t="str">
        <f>IF(Table4[[#This Row],[Response]]="Yes",1,"")</f>
        <v/>
      </c>
      <c r="I72" s="5">
        <f>IF(Table4[[#This Row],[Response]]="No",1,"")</f>
        <v>1</v>
      </c>
      <c r="J72" s="5">
        <f>IF(SUM(Table4[[#This Row],[If Yes]:[If No]])=1,1,"")</f>
        <v>1</v>
      </c>
      <c r="K72" s="5" t="str">
        <f>IF(IF(Table4[[#This Row],[Pre or Post]]="Pre",1,0)+IF(Table4[[#This Row],[If Yes]]=1,1,0)=2,1,"")</f>
        <v/>
      </c>
      <c r="L72" s="5">
        <f>IF(IF(Table4[[#This Row],[Pre or Post]]="Pre",1,0)+IF(Table4[[#This Row],[If No]]=1,1,0)=2,1,"")</f>
        <v>1</v>
      </c>
      <c r="M72" s="5" t="str">
        <f>IF(IF(Table4[[#This Row],[Pre or Post]]="Post",1,0)+IF(Table4[[#This Row],[If Yes]]=1,1,0)=2,1,"")</f>
        <v/>
      </c>
      <c r="N72" s="5" t="str">
        <f>IF(IF(Table4[[#This Row],[Pre or Post]]="Post",1,0)+IF(Table4[[#This Row],[If No]]=1,1,0)=2,1,"")</f>
        <v/>
      </c>
    </row>
    <row r="73" spans="1:14">
      <c r="A73" s="1" t="s">
        <v>12</v>
      </c>
      <c r="B73" s="1" t="s">
        <v>10</v>
      </c>
      <c r="C73" s="1">
        <v>1</v>
      </c>
      <c r="D73" s="1" t="s">
        <v>16</v>
      </c>
      <c r="E73" s="1">
        <v>8</v>
      </c>
      <c r="F73" s="1" t="s">
        <v>8</v>
      </c>
      <c r="G73" s="1" t="s">
        <v>8</v>
      </c>
      <c r="H73" s="5">
        <f>IF(Table4[[#This Row],[Response]]="Yes",1,"")</f>
        <v>1</v>
      </c>
      <c r="I73" s="5" t="str">
        <f>IF(Table4[[#This Row],[Response]]="No",1,"")</f>
        <v/>
      </c>
      <c r="J73" s="5">
        <f>IF(SUM(Table4[[#This Row],[If Yes]:[If No]])=1,1,"")</f>
        <v>1</v>
      </c>
      <c r="K73" s="5" t="str">
        <f>IF(IF(Table4[[#This Row],[Pre or Post]]="Pre",1,0)+IF(Table4[[#This Row],[If Yes]]=1,1,0)=2,1,"")</f>
        <v/>
      </c>
      <c r="L73" s="5" t="str">
        <f>IF(IF(Table4[[#This Row],[Pre or Post]]="Pre",1,0)+IF(Table4[[#This Row],[If No]]=1,1,0)=2,1,"")</f>
        <v/>
      </c>
      <c r="M73" s="5">
        <f>IF(IF(Table4[[#This Row],[Pre or Post]]="Post",1,0)+IF(Table4[[#This Row],[If Yes]]=1,1,0)=2,1,"")</f>
        <v>1</v>
      </c>
      <c r="N73" s="5" t="str">
        <f>IF(IF(Table4[[#This Row],[Pre or Post]]="Post",1,0)+IF(Table4[[#This Row],[If No]]=1,1,0)=2,1,"")</f>
        <v/>
      </c>
    </row>
    <row r="74" spans="1:14">
      <c r="A74" s="1" t="s">
        <v>12</v>
      </c>
      <c r="B74" s="1" t="s">
        <v>10</v>
      </c>
      <c r="C74" s="1">
        <v>2</v>
      </c>
      <c r="D74" s="1" t="s">
        <v>6</v>
      </c>
      <c r="E74" s="1">
        <v>4</v>
      </c>
      <c r="F74" s="1" t="s">
        <v>8</v>
      </c>
      <c r="G74" s="1" t="s">
        <v>8</v>
      </c>
      <c r="H74" s="5">
        <f>IF(Table4[[#This Row],[Response]]="Yes",1,"")</f>
        <v>1</v>
      </c>
      <c r="I74" s="5" t="str">
        <f>IF(Table4[[#This Row],[Response]]="No",1,"")</f>
        <v/>
      </c>
      <c r="J74" s="5">
        <f>IF(SUM(Table4[[#This Row],[If Yes]:[If No]])=1,1,"")</f>
        <v>1</v>
      </c>
      <c r="K74" s="5">
        <f>IF(IF(Table4[[#This Row],[Pre or Post]]="Pre",1,0)+IF(Table4[[#This Row],[If Yes]]=1,1,0)=2,1,"")</f>
        <v>1</v>
      </c>
      <c r="L74" s="5" t="str">
        <f>IF(IF(Table4[[#This Row],[Pre or Post]]="Pre",1,0)+IF(Table4[[#This Row],[If No]]=1,1,0)=2,1,"")</f>
        <v/>
      </c>
      <c r="M74" s="5" t="str">
        <f>IF(IF(Table4[[#This Row],[Pre or Post]]="Post",1,0)+IF(Table4[[#This Row],[If Yes]]=1,1,0)=2,1,"")</f>
        <v/>
      </c>
      <c r="N74" s="5" t="str">
        <f>IF(IF(Table4[[#This Row],[Pre or Post]]="Post",1,0)+IF(Table4[[#This Row],[If No]]=1,1,0)=2,1,"")</f>
        <v/>
      </c>
    </row>
    <row r="75" spans="1:14">
      <c r="A75" s="1" t="s">
        <v>12</v>
      </c>
      <c r="B75" s="1" t="s">
        <v>10</v>
      </c>
      <c r="C75" s="1">
        <v>2</v>
      </c>
      <c r="D75" s="1" t="s">
        <v>16</v>
      </c>
      <c r="E75" s="1">
        <v>8</v>
      </c>
      <c r="F75" s="1" t="s">
        <v>8</v>
      </c>
      <c r="G75" s="1" t="s">
        <v>8</v>
      </c>
      <c r="H75" s="5">
        <f>IF(Table4[[#This Row],[Response]]="Yes",1,"")</f>
        <v>1</v>
      </c>
      <c r="I75" s="5" t="str">
        <f>IF(Table4[[#This Row],[Response]]="No",1,"")</f>
        <v/>
      </c>
      <c r="J75" s="5">
        <f>IF(SUM(Table4[[#This Row],[If Yes]:[If No]])=1,1,"")</f>
        <v>1</v>
      </c>
      <c r="K75" s="5" t="str">
        <f>IF(IF(Table4[[#This Row],[Pre or Post]]="Pre",1,0)+IF(Table4[[#This Row],[If Yes]]=1,1,0)=2,1,"")</f>
        <v/>
      </c>
      <c r="L75" s="5" t="str">
        <f>IF(IF(Table4[[#This Row],[Pre or Post]]="Pre",1,0)+IF(Table4[[#This Row],[If No]]=1,1,0)=2,1,"")</f>
        <v/>
      </c>
      <c r="M75" s="5">
        <f>IF(IF(Table4[[#This Row],[Pre or Post]]="Post",1,0)+IF(Table4[[#This Row],[If Yes]]=1,1,0)=2,1,"")</f>
        <v>1</v>
      </c>
      <c r="N75" s="5" t="str">
        <f>IF(IF(Table4[[#This Row],[Pre or Post]]="Post",1,0)+IF(Table4[[#This Row],[If No]]=1,1,0)=2,1,"")</f>
        <v/>
      </c>
    </row>
    <row r="76" spans="1:14">
      <c r="A76" s="1" t="s">
        <v>12</v>
      </c>
      <c r="B76" s="1" t="s">
        <v>10</v>
      </c>
      <c r="C76" s="1">
        <v>3</v>
      </c>
      <c r="D76" s="1" t="s">
        <v>6</v>
      </c>
      <c r="E76" s="1">
        <v>4</v>
      </c>
      <c r="F76" s="1" t="s">
        <v>8</v>
      </c>
      <c r="G76" s="1" t="s">
        <v>8</v>
      </c>
      <c r="H76" s="5">
        <f>IF(Table4[[#This Row],[Response]]="Yes",1,"")</f>
        <v>1</v>
      </c>
      <c r="I76" s="5" t="str">
        <f>IF(Table4[[#This Row],[Response]]="No",1,"")</f>
        <v/>
      </c>
      <c r="J76" s="5">
        <f>IF(SUM(Table4[[#This Row],[If Yes]:[If No]])=1,1,"")</f>
        <v>1</v>
      </c>
      <c r="K76" s="5">
        <f>IF(IF(Table4[[#This Row],[Pre or Post]]="Pre",1,0)+IF(Table4[[#This Row],[If Yes]]=1,1,0)=2,1,"")</f>
        <v>1</v>
      </c>
      <c r="L76" s="5" t="str">
        <f>IF(IF(Table4[[#This Row],[Pre or Post]]="Pre",1,0)+IF(Table4[[#This Row],[If No]]=1,1,0)=2,1,"")</f>
        <v/>
      </c>
      <c r="M76" s="5" t="str">
        <f>IF(IF(Table4[[#This Row],[Pre or Post]]="Post",1,0)+IF(Table4[[#This Row],[If Yes]]=1,1,0)=2,1,"")</f>
        <v/>
      </c>
      <c r="N76" s="5" t="str">
        <f>IF(IF(Table4[[#This Row],[Pre or Post]]="Post",1,0)+IF(Table4[[#This Row],[If No]]=1,1,0)=2,1,"")</f>
        <v/>
      </c>
    </row>
    <row r="77" spans="1:14">
      <c r="A77" s="1" t="s">
        <v>12</v>
      </c>
      <c r="B77" s="1" t="s">
        <v>10</v>
      </c>
      <c r="C77" s="1">
        <v>3</v>
      </c>
      <c r="D77" s="1" t="s">
        <v>16</v>
      </c>
      <c r="E77" s="1">
        <v>8</v>
      </c>
      <c r="F77" s="1" t="s">
        <v>8</v>
      </c>
      <c r="G77" s="1" t="s">
        <v>8</v>
      </c>
      <c r="H77" s="5">
        <f>IF(Table4[[#This Row],[Response]]="Yes",1,"")</f>
        <v>1</v>
      </c>
      <c r="I77" s="5" t="str">
        <f>IF(Table4[[#This Row],[Response]]="No",1,"")</f>
        <v/>
      </c>
      <c r="J77" s="5">
        <f>IF(SUM(Table4[[#This Row],[If Yes]:[If No]])=1,1,"")</f>
        <v>1</v>
      </c>
      <c r="K77" s="5" t="str">
        <f>IF(IF(Table4[[#This Row],[Pre or Post]]="Pre",1,0)+IF(Table4[[#This Row],[If Yes]]=1,1,0)=2,1,"")</f>
        <v/>
      </c>
      <c r="L77" s="5" t="str">
        <f>IF(IF(Table4[[#This Row],[Pre or Post]]="Pre",1,0)+IF(Table4[[#This Row],[If No]]=1,1,0)=2,1,"")</f>
        <v/>
      </c>
      <c r="M77" s="5">
        <f>IF(IF(Table4[[#This Row],[Pre or Post]]="Post",1,0)+IF(Table4[[#This Row],[If Yes]]=1,1,0)=2,1,"")</f>
        <v>1</v>
      </c>
      <c r="N77" s="5" t="str">
        <f>IF(IF(Table4[[#This Row],[Pre or Post]]="Post",1,0)+IF(Table4[[#This Row],[If No]]=1,1,0)=2,1,"")</f>
        <v/>
      </c>
    </row>
    <row r="78" spans="1:14">
      <c r="A78" s="1" t="s">
        <v>12</v>
      </c>
      <c r="B78" s="1" t="s">
        <v>10</v>
      </c>
      <c r="C78" s="1">
        <v>4</v>
      </c>
      <c r="D78" s="1" t="s">
        <v>6</v>
      </c>
      <c r="E78" s="1">
        <v>4</v>
      </c>
      <c r="F78" s="1" t="s">
        <v>8</v>
      </c>
      <c r="G78" s="1" t="s">
        <v>8</v>
      </c>
      <c r="H78" s="5">
        <f>IF(Table4[[#This Row],[Response]]="Yes",1,"")</f>
        <v>1</v>
      </c>
      <c r="I78" s="5" t="str">
        <f>IF(Table4[[#This Row],[Response]]="No",1,"")</f>
        <v/>
      </c>
      <c r="J78" s="5">
        <f>IF(SUM(Table4[[#This Row],[If Yes]:[If No]])=1,1,"")</f>
        <v>1</v>
      </c>
      <c r="K78" s="5">
        <f>IF(IF(Table4[[#This Row],[Pre or Post]]="Pre",1,0)+IF(Table4[[#This Row],[If Yes]]=1,1,0)=2,1,"")</f>
        <v>1</v>
      </c>
      <c r="L78" s="5" t="str">
        <f>IF(IF(Table4[[#This Row],[Pre or Post]]="Pre",1,0)+IF(Table4[[#This Row],[If No]]=1,1,0)=2,1,"")</f>
        <v/>
      </c>
      <c r="M78" s="5" t="str">
        <f>IF(IF(Table4[[#This Row],[Pre or Post]]="Post",1,0)+IF(Table4[[#This Row],[If Yes]]=1,1,0)=2,1,"")</f>
        <v/>
      </c>
      <c r="N78" s="5" t="str">
        <f>IF(IF(Table4[[#This Row],[Pre or Post]]="Post",1,0)+IF(Table4[[#This Row],[If No]]=1,1,0)=2,1,"")</f>
        <v/>
      </c>
    </row>
    <row r="79" spans="1:14">
      <c r="A79" s="1" t="s">
        <v>12</v>
      </c>
      <c r="B79" s="1" t="s">
        <v>10</v>
      </c>
      <c r="C79" s="1">
        <v>4</v>
      </c>
      <c r="D79" s="1" t="s">
        <v>16</v>
      </c>
      <c r="E79" s="1">
        <v>8</v>
      </c>
      <c r="F79" s="1" t="s">
        <v>8</v>
      </c>
      <c r="G79" s="1" t="s">
        <v>8</v>
      </c>
      <c r="H79" s="5">
        <f>IF(Table4[[#This Row],[Response]]="Yes",1,"")</f>
        <v>1</v>
      </c>
      <c r="I79" s="5" t="str">
        <f>IF(Table4[[#This Row],[Response]]="No",1,"")</f>
        <v/>
      </c>
      <c r="J79" s="5">
        <f>IF(SUM(Table4[[#This Row],[If Yes]:[If No]])=1,1,"")</f>
        <v>1</v>
      </c>
      <c r="K79" s="5" t="str">
        <f>IF(IF(Table4[[#This Row],[Pre or Post]]="Pre",1,0)+IF(Table4[[#This Row],[If Yes]]=1,1,0)=2,1,"")</f>
        <v/>
      </c>
      <c r="L79" s="5" t="str">
        <f>IF(IF(Table4[[#This Row],[Pre or Post]]="Pre",1,0)+IF(Table4[[#This Row],[If No]]=1,1,0)=2,1,"")</f>
        <v/>
      </c>
      <c r="M79" s="5">
        <f>IF(IF(Table4[[#This Row],[Pre or Post]]="Post",1,0)+IF(Table4[[#This Row],[If Yes]]=1,1,0)=2,1,"")</f>
        <v>1</v>
      </c>
      <c r="N79" s="5" t="str">
        <f>IF(IF(Table4[[#This Row],[Pre or Post]]="Post",1,0)+IF(Table4[[#This Row],[If No]]=1,1,0)=2,1,"")</f>
        <v/>
      </c>
    </row>
    <row r="80" spans="1:14">
      <c r="A80" s="1" t="s">
        <v>12</v>
      </c>
      <c r="B80" s="1" t="s">
        <v>10</v>
      </c>
      <c r="C80" s="1">
        <v>5</v>
      </c>
      <c r="D80" s="1" t="s">
        <v>6</v>
      </c>
      <c r="E80" s="1">
        <v>4</v>
      </c>
      <c r="F80" s="1" t="s">
        <v>9</v>
      </c>
      <c r="G80" s="1" t="s">
        <v>8</v>
      </c>
      <c r="H80" s="5" t="str">
        <f>IF(Table4[[#This Row],[Response]]="Yes",1,"")</f>
        <v/>
      </c>
      <c r="I80" s="5">
        <f>IF(Table4[[#This Row],[Response]]="No",1,"")</f>
        <v>1</v>
      </c>
      <c r="J80" s="5">
        <f>IF(SUM(Table4[[#This Row],[If Yes]:[If No]])=1,1,"")</f>
        <v>1</v>
      </c>
      <c r="K80" s="5" t="str">
        <f>IF(IF(Table4[[#This Row],[Pre or Post]]="Pre",1,0)+IF(Table4[[#This Row],[If Yes]]=1,1,0)=2,1,"")</f>
        <v/>
      </c>
      <c r="L80" s="5">
        <f>IF(IF(Table4[[#This Row],[Pre or Post]]="Pre",1,0)+IF(Table4[[#This Row],[If No]]=1,1,0)=2,1,"")</f>
        <v>1</v>
      </c>
      <c r="M80" s="5" t="str">
        <f>IF(IF(Table4[[#This Row],[Pre or Post]]="Post",1,0)+IF(Table4[[#This Row],[If Yes]]=1,1,0)=2,1,"")</f>
        <v/>
      </c>
      <c r="N80" s="5" t="str">
        <f>IF(IF(Table4[[#This Row],[Pre or Post]]="Post",1,0)+IF(Table4[[#This Row],[If No]]=1,1,0)=2,1,"")</f>
        <v/>
      </c>
    </row>
    <row r="81" spans="1:14">
      <c r="A81" s="1" t="s">
        <v>12</v>
      </c>
      <c r="B81" s="1" t="s">
        <v>10</v>
      </c>
      <c r="C81" s="1">
        <v>5</v>
      </c>
      <c r="D81" s="1" t="s">
        <v>16</v>
      </c>
      <c r="E81" s="1">
        <v>8</v>
      </c>
      <c r="F81" s="1" t="s">
        <v>8</v>
      </c>
      <c r="G81" s="1" t="s">
        <v>8</v>
      </c>
      <c r="H81" s="5">
        <f>IF(Table4[[#This Row],[Response]]="Yes",1,"")</f>
        <v>1</v>
      </c>
      <c r="I81" s="5" t="str">
        <f>IF(Table4[[#This Row],[Response]]="No",1,"")</f>
        <v/>
      </c>
      <c r="J81" s="5">
        <f>IF(SUM(Table4[[#This Row],[If Yes]:[If No]])=1,1,"")</f>
        <v>1</v>
      </c>
      <c r="K81" s="5" t="str">
        <f>IF(IF(Table4[[#This Row],[Pre or Post]]="Pre",1,0)+IF(Table4[[#This Row],[If Yes]]=1,1,0)=2,1,"")</f>
        <v/>
      </c>
      <c r="L81" s="5" t="str">
        <f>IF(IF(Table4[[#This Row],[Pre or Post]]="Pre",1,0)+IF(Table4[[#This Row],[If No]]=1,1,0)=2,1,"")</f>
        <v/>
      </c>
      <c r="M81" s="5">
        <f>IF(IF(Table4[[#This Row],[Pre or Post]]="Post",1,0)+IF(Table4[[#This Row],[If Yes]]=1,1,0)=2,1,"")</f>
        <v>1</v>
      </c>
      <c r="N81" s="5" t="str">
        <f>IF(IF(Table4[[#This Row],[Pre or Post]]="Post",1,0)+IF(Table4[[#This Row],[If No]]=1,1,0)=2,1,"")</f>
        <v/>
      </c>
    </row>
    <row r="82" spans="1:14">
      <c r="A82" s="1" t="s">
        <v>12</v>
      </c>
      <c r="B82" s="1" t="s">
        <v>10</v>
      </c>
      <c r="C82" s="1">
        <v>6</v>
      </c>
      <c r="D82" s="1" t="s">
        <v>6</v>
      </c>
      <c r="E82" s="1">
        <v>4</v>
      </c>
      <c r="F82" s="1" t="s">
        <v>9</v>
      </c>
      <c r="G82" s="1" t="s">
        <v>8</v>
      </c>
      <c r="H82" s="5" t="str">
        <f>IF(Table4[[#This Row],[Response]]="Yes",1,"")</f>
        <v/>
      </c>
      <c r="I82" s="5">
        <f>IF(Table4[[#This Row],[Response]]="No",1,"")</f>
        <v>1</v>
      </c>
      <c r="J82" s="5">
        <f>IF(SUM(Table4[[#This Row],[If Yes]:[If No]])=1,1,"")</f>
        <v>1</v>
      </c>
      <c r="K82" s="5" t="str">
        <f>IF(IF(Table4[[#This Row],[Pre or Post]]="Pre",1,0)+IF(Table4[[#This Row],[If Yes]]=1,1,0)=2,1,"")</f>
        <v/>
      </c>
      <c r="L82" s="5">
        <f>IF(IF(Table4[[#This Row],[Pre or Post]]="Pre",1,0)+IF(Table4[[#This Row],[If No]]=1,1,0)=2,1,"")</f>
        <v>1</v>
      </c>
      <c r="M82" s="5" t="str">
        <f>IF(IF(Table4[[#This Row],[Pre or Post]]="Post",1,0)+IF(Table4[[#This Row],[If Yes]]=1,1,0)=2,1,"")</f>
        <v/>
      </c>
      <c r="N82" s="5" t="str">
        <f>IF(IF(Table4[[#This Row],[Pre or Post]]="Post",1,0)+IF(Table4[[#This Row],[If No]]=1,1,0)=2,1,"")</f>
        <v/>
      </c>
    </row>
    <row r="83" spans="1:14">
      <c r="A83" s="1" t="s">
        <v>12</v>
      </c>
      <c r="B83" s="1" t="s">
        <v>10</v>
      </c>
      <c r="C83" s="1">
        <v>6</v>
      </c>
      <c r="D83" s="1" t="s">
        <v>16</v>
      </c>
      <c r="E83" s="1">
        <v>8</v>
      </c>
      <c r="F83" s="1" t="s">
        <v>8</v>
      </c>
      <c r="G83" s="1" t="s">
        <v>8</v>
      </c>
      <c r="H83" s="5">
        <f>IF(Table4[[#This Row],[Response]]="Yes",1,"")</f>
        <v>1</v>
      </c>
      <c r="I83" s="5" t="str">
        <f>IF(Table4[[#This Row],[Response]]="No",1,"")</f>
        <v/>
      </c>
      <c r="J83" s="5">
        <f>IF(SUM(Table4[[#This Row],[If Yes]:[If No]])=1,1,"")</f>
        <v>1</v>
      </c>
      <c r="K83" s="5" t="str">
        <f>IF(IF(Table4[[#This Row],[Pre or Post]]="Pre",1,0)+IF(Table4[[#This Row],[If Yes]]=1,1,0)=2,1,"")</f>
        <v/>
      </c>
      <c r="L83" s="5" t="str">
        <f>IF(IF(Table4[[#This Row],[Pre or Post]]="Pre",1,0)+IF(Table4[[#This Row],[If No]]=1,1,0)=2,1,"")</f>
        <v/>
      </c>
      <c r="M83" s="5">
        <f>IF(IF(Table4[[#This Row],[Pre or Post]]="Post",1,0)+IF(Table4[[#This Row],[If Yes]]=1,1,0)=2,1,"")</f>
        <v>1</v>
      </c>
      <c r="N83" s="5" t="str">
        <f>IF(IF(Table4[[#This Row],[Pre or Post]]="Post",1,0)+IF(Table4[[#This Row],[If No]]=1,1,0)=2,1,"")</f>
        <v/>
      </c>
    </row>
    <row r="84" spans="1:14">
      <c r="A84" s="1" t="s">
        <v>12</v>
      </c>
      <c r="B84" s="1" t="s">
        <v>10</v>
      </c>
      <c r="C84" s="1">
        <v>7</v>
      </c>
      <c r="D84" s="1" t="s">
        <v>6</v>
      </c>
      <c r="E84" s="1">
        <v>4</v>
      </c>
      <c r="F84" s="1" t="s">
        <v>8</v>
      </c>
      <c r="G84" s="1" t="s">
        <v>8</v>
      </c>
      <c r="H84" s="5">
        <f>IF(Table4[[#This Row],[Response]]="Yes",1,"")</f>
        <v>1</v>
      </c>
      <c r="I84" s="5" t="str">
        <f>IF(Table4[[#This Row],[Response]]="No",1,"")</f>
        <v/>
      </c>
      <c r="J84" s="5">
        <f>IF(SUM(Table4[[#This Row],[If Yes]:[If No]])=1,1,"")</f>
        <v>1</v>
      </c>
      <c r="K84" s="5">
        <f>IF(IF(Table4[[#This Row],[Pre or Post]]="Pre",1,0)+IF(Table4[[#This Row],[If Yes]]=1,1,0)=2,1,"")</f>
        <v>1</v>
      </c>
      <c r="L84" s="5" t="str">
        <f>IF(IF(Table4[[#This Row],[Pre or Post]]="Pre",1,0)+IF(Table4[[#This Row],[If No]]=1,1,0)=2,1,"")</f>
        <v/>
      </c>
      <c r="M84" s="5" t="str">
        <f>IF(IF(Table4[[#This Row],[Pre or Post]]="Post",1,0)+IF(Table4[[#This Row],[If Yes]]=1,1,0)=2,1,"")</f>
        <v/>
      </c>
      <c r="N84" s="5" t="str">
        <f>IF(IF(Table4[[#This Row],[Pre or Post]]="Post",1,0)+IF(Table4[[#This Row],[If No]]=1,1,0)=2,1,"")</f>
        <v/>
      </c>
    </row>
    <row r="85" spans="1:14">
      <c r="A85" s="1" t="s">
        <v>12</v>
      </c>
      <c r="B85" s="1" t="s">
        <v>10</v>
      </c>
      <c r="C85" s="1">
        <v>7</v>
      </c>
      <c r="D85" s="1" t="s">
        <v>16</v>
      </c>
      <c r="E85" s="1">
        <v>8</v>
      </c>
      <c r="F85" s="1" t="s">
        <v>8</v>
      </c>
      <c r="G85" s="1" t="s">
        <v>8</v>
      </c>
      <c r="H85" s="5">
        <f>IF(Table4[[#This Row],[Response]]="Yes",1,"")</f>
        <v>1</v>
      </c>
      <c r="I85" s="5" t="str">
        <f>IF(Table4[[#This Row],[Response]]="No",1,"")</f>
        <v/>
      </c>
      <c r="J85" s="5">
        <f>IF(SUM(Table4[[#This Row],[If Yes]:[If No]])=1,1,"")</f>
        <v>1</v>
      </c>
      <c r="K85" s="5" t="str">
        <f>IF(IF(Table4[[#This Row],[Pre or Post]]="Pre",1,0)+IF(Table4[[#This Row],[If Yes]]=1,1,0)=2,1,"")</f>
        <v/>
      </c>
      <c r="L85" s="5" t="str">
        <f>IF(IF(Table4[[#This Row],[Pre or Post]]="Pre",1,0)+IF(Table4[[#This Row],[If No]]=1,1,0)=2,1,"")</f>
        <v/>
      </c>
      <c r="M85" s="5">
        <f>IF(IF(Table4[[#This Row],[Pre or Post]]="Post",1,0)+IF(Table4[[#This Row],[If Yes]]=1,1,0)=2,1,"")</f>
        <v>1</v>
      </c>
      <c r="N85" s="5" t="str">
        <f>IF(IF(Table4[[#This Row],[Pre or Post]]="Post",1,0)+IF(Table4[[#This Row],[If No]]=1,1,0)=2,1,"")</f>
        <v/>
      </c>
    </row>
    <row r="86" spans="1:14">
      <c r="A86" s="1" t="s">
        <v>12</v>
      </c>
      <c r="B86" s="1" t="s">
        <v>10</v>
      </c>
      <c r="C86" s="1">
        <v>8</v>
      </c>
      <c r="D86" s="1" t="s">
        <v>6</v>
      </c>
      <c r="E86" s="1">
        <v>4</v>
      </c>
      <c r="F86" s="1" t="s">
        <v>9</v>
      </c>
      <c r="G86" s="1" t="s">
        <v>8</v>
      </c>
      <c r="H86" s="5" t="str">
        <f>IF(Table4[[#This Row],[Response]]="Yes",1,"")</f>
        <v/>
      </c>
      <c r="I86" s="5">
        <f>IF(Table4[[#This Row],[Response]]="No",1,"")</f>
        <v>1</v>
      </c>
      <c r="J86" s="5">
        <f>IF(SUM(Table4[[#This Row],[If Yes]:[If No]])=1,1,"")</f>
        <v>1</v>
      </c>
      <c r="K86" s="5" t="str">
        <f>IF(IF(Table4[[#This Row],[Pre or Post]]="Pre",1,0)+IF(Table4[[#This Row],[If Yes]]=1,1,0)=2,1,"")</f>
        <v/>
      </c>
      <c r="L86" s="5">
        <f>IF(IF(Table4[[#This Row],[Pre or Post]]="Pre",1,0)+IF(Table4[[#This Row],[If No]]=1,1,0)=2,1,"")</f>
        <v>1</v>
      </c>
      <c r="M86" s="5" t="str">
        <f>IF(IF(Table4[[#This Row],[Pre or Post]]="Post",1,0)+IF(Table4[[#This Row],[If Yes]]=1,1,0)=2,1,"")</f>
        <v/>
      </c>
      <c r="N86" s="5" t="str">
        <f>IF(IF(Table4[[#This Row],[Pre or Post]]="Post",1,0)+IF(Table4[[#This Row],[If No]]=1,1,0)=2,1,"")</f>
        <v/>
      </c>
    </row>
    <row r="87" spans="1:14">
      <c r="A87" s="1" t="s">
        <v>12</v>
      </c>
      <c r="B87" s="1" t="s">
        <v>10</v>
      </c>
      <c r="C87" s="1">
        <v>8</v>
      </c>
      <c r="D87" s="1" t="s">
        <v>16</v>
      </c>
      <c r="E87" s="1">
        <v>8</v>
      </c>
      <c r="F87" s="1" t="s">
        <v>8</v>
      </c>
      <c r="G87" s="1" t="s">
        <v>8</v>
      </c>
      <c r="H87" s="5">
        <f>IF(Table4[[#This Row],[Response]]="Yes",1,"")</f>
        <v>1</v>
      </c>
      <c r="I87" s="5" t="str">
        <f>IF(Table4[[#This Row],[Response]]="No",1,"")</f>
        <v/>
      </c>
      <c r="J87" s="5">
        <f>IF(SUM(Table4[[#This Row],[If Yes]:[If No]])=1,1,"")</f>
        <v>1</v>
      </c>
      <c r="K87" s="5" t="str">
        <f>IF(IF(Table4[[#This Row],[Pre or Post]]="Pre",1,0)+IF(Table4[[#This Row],[If Yes]]=1,1,0)=2,1,"")</f>
        <v/>
      </c>
      <c r="L87" s="5" t="str">
        <f>IF(IF(Table4[[#This Row],[Pre or Post]]="Pre",1,0)+IF(Table4[[#This Row],[If No]]=1,1,0)=2,1,"")</f>
        <v/>
      </c>
      <c r="M87" s="5">
        <f>IF(IF(Table4[[#This Row],[Pre or Post]]="Post",1,0)+IF(Table4[[#This Row],[If Yes]]=1,1,0)=2,1,"")</f>
        <v>1</v>
      </c>
      <c r="N87" s="5" t="str">
        <f>IF(IF(Table4[[#This Row],[Pre or Post]]="Post",1,0)+IF(Table4[[#This Row],[If No]]=1,1,0)=2,1,"")</f>
        <v/>
      </c>
    </row>
    <row r="88" spans="1:14">
      <c r="A88" s="1" t="s">
        <v>12</v>
      </c>
      <c r="B88" s="1" t="s">
        <v>10</v>
      </c>
      <c r="C88" s="1">
        <v>9</v>
      </c>
      <c r="D88" s="1" t="s">
        <v>6</v>
      </c>
      <c r="E88" s="1">
        <v>4</v>
      </c>
      <c r="F88" s="1" t="s">
        <v>9</v>
      </c>
      <c r="G88" s="1" t="s">
        <v>8</v>
      </c>
      <c r="H88" s="5" t="str">
        <f>IF(Table4[[#This Row],[Response]]="Yes",1,"")</f>
        <v/>
      </c>
      <c r="I88" s="5">
        <f>IF(Table4[[#This Row],[Response]]="No",1,"")</f>
        <v>1</v>
      </c>
      <c r="J88" s="5">
        <f>IF(SUM(Table4[[#This Row],[If Yes]:[If No]])=1,1,"")</f>
        <v>1</v>
      </c>
      <c r="K88" s="5" t="str">
        <f>IF(IF(Table4[[#This Row],[Pre or Post]]="Pre",1,0)+IF(Table4[[#This Row],[If Yes]]=1,1,0)=2,1,"")</f>
        <v/>
      </c>
      <c r="L88" s="5">
        <f>IF(IF(Table4[[#This Row],[Pre or Post]]="Pre",1,0)+IF(Table4[[#This Row],[If No]]=1,1,0)=2,1,"")</f>
        <v>1</v>
      </c>
      <c r="M88" s="5" t="str">
        <f>IF(IF(Table4[[#This Row],[Pre or Post]]="Post",1,0)+IF(Table4[[#This Row],[If Yes]]=1,1,0)=2,1,"")</f>
        <v/>
      </c>
      <c r="N88" s="5" t="str">
        <f>IF(IF(Table4[[#This Row],[Pre or Post]]="Post",1,0)+IF(Table4[[#This Row],[If No]]=1,1,0)=2,1,"")</f>
        <v/>
      </c>
    </row>
    <row r="89" spans="1:14">
      <c r="A89" s="1" t="s">
        <v>12</v>
      </c>
      <c r="B89" s="1" t="s">
        <v>10</v>
      </c>
      <c r="C89" s="1">
        <v>9</v>
      </c>
      <c r="D89" s="1" t="s">
        <v>16</v>
      </c>
      <c r="E89" s="1">
        <v>8</v>
      </c>
      <c r="F89" s="1" t="s">
        <v>8</v>
      </c>
      <c r="G89" s="1" t="s">
        <v>8</v>
      </c>
      <c r="H89" s="5">
        <f>IF(Table4[[#This Row],[Response]]="Yes",1,"")</f>
        <v>1</v>
      </c>
      <c r="I89" s="5" t="str">
        <f>IF(Table4[[#This Row],[Response]]="No",1,"")</f>
        <v/>
      </c>
      <c r="J89" s="5">
        <f>IF(SUM(Table4[[#This Row],[If Yes]:[If No]])=1,1,"")</f>
        <v>1</v>
      </c>
      <c r="K89" s="5" t="str">
        <f>IF(IF(Table4[[#This Row],[Pre or Post]]="Pre",1,0)+IF(Table4[[#This Row],[If Yes]]=1,1,0)=2,1,"")</f>
        <v/>
      </c>
      <c r="L89" s="5" t="str">
        <f>IF(IF(Table4[[#This Row],[Pre or Post]]="Pre",1,0)+IF(Table4[[#This Row],[If No]]=1,1,0)=2,1,"")</f>
        <v/>
      </c>
      <c r="M89" s="5">
        <f>IF(IF(Table4[[#This Row],[Pre or Post]]="Post",1,0)+IF(Table4[[#This Row],[If Yes]]=1,1,0)=2,1,"")</f>
        <v>1</v>
      </c>
      <c r="N89" s="5" t="str">
        <f>IF(IF(Table4[[#This Row],[Pre or Post]]="Post",1,0)+IF(Table4[[#This Row],[If No]]=1,1,0)=2,1,"")</f>
        <v/>
      </c>
    </row>
    <row r="90" spans="1:14">
      <c r="A90" s="1" t="s">
        <v>12</v>
      </c>
      <c r="B90" s="1" t="s">
        <v>10</v>
      </c>
      <c r="C90" s="1">
        <v>10</v>
      </c>
      <c r="D90" s="1" t="s">
        <v>6</v>
      </c>
      <c r="E90" s="1">
        <v>4</v>
      </c>
      <c r="F90" s="1" t="s">
        <v>8</v>
      </c>
      <c r="G90" s="1" t="s">
        <v>8</v>
      </c>
      <c r="H90" s="5">
        <f>IF(Table4[[#This Row],[Response]]="Yes",1,"")</f>
        <v>1</v>
      </c>
      <c r="I90" s="5" t="str">
        <f>IF(Table4[[#This Row],[Response]]="No",1,"")</f>
        <v/>
      </c>
      <c r="J90" s="5">
        <f>IF(SUM(Table4[[#This Row],[If Yes]:[If No]])=1,1,"")</f>
        <v>1</v>
      </c>
      <c r="K90" s="5">
        <f>IF(IF(Table4[[#This Row],[Pre or Post]]="Pre",1,0)+IF(Table4[[#This Row],[If Yes]]=1,1,0)=2,1,"")</f>
        <v>1</v>
      </c>
      <c r="L90" s="5" t="str">
        <f>IF(IF(Table4[[#This Row],[Pre or Post]]="Pre",1,0)+IF(Table4[[#This Row],[If No]]=1,1,0)=2,1,"")</f>
        <v/>
      </c>
      <c r="M90" s="5" t="str">
        <f>IF(IF(Table4[[#This Row],[Pre or Post]]="Post",1,0)+IF(Table4[[#This Row],[If Yes]]=1,1,0)=2,1,"")</f>
        <v/>
      </c>
      <c r="N90" s="5" t="str">
        <f>IF(IF(Table4[[#This Row],[Pre or Post]]="Post",1,0)+IF(Table4[[#This Row],[If No]]=1,1,0)=2,1,"")</f>
        <v/>
      </c>
    </row>
    <row r="91" spans="1:14">
      <c r="A91" s="1" t="s">
        <v>12</v>
      </c>
      <c r="B91" s="1" t="s">
        <v>10</v>
      </c>
      <c r="C91" s="1">
        <v>10</v>
      </c>
      <c r="D91" s="1" t="s">
        <v>16</v>
      </c>
      <c r="E91" s="1">
        <v>8</v>
      </c>
      <c r="F91" s="1" t="s">
        <v>8</v>
      </c>
      <c r="G91" s="1" t="s">
        <v>8</v>
      </c>
      <c r="H91" s="5">
        <f>IF(Table4[[#This Row],[Response]]="Yes",1,"")</f>
        <v>1</v>
      </c>
      <c r="I91" s="5" t="str">
        <f>IF(Table4[[#This Row],[Response]]="No",1,"")</f>
        <v/>
      </c>
      <c r="J91" s="5">
        <f>IF(SUM(Table4[[#This Row],[If Yes]:[If No]])=1,1,"")</f>
        <v>1</v>
      </c>
      <c r="K91" s="5" t="str">
        <f>IF(IF(Table4[[#This Row],[Pre or Post]]="Pre",1,0)+IF(Table4[[#This Row],[If Yes]]=1,1,0)=2,1,"")</f>
        <v/>
      </c>
      <c r="L91" s="5" t="str">
        <f>IF(IF(Table4[[#This Row],[Pre or Post]]="Pre",1,0)+IF(Table4[[#This Row],[If No]]=1,1,0)=2,1,"")</f>
        <v/>
      </c>
      <c r="M91" s="5">
        <f>IF(IF(Table4[[#This Row],[Pre or Post]]="Post",1,0)+IF(Table4[[#This Row],[If Yes]]=1,1,0)=2,1,"")</f>
        <v>1</v>
      </c>
      <c r="N91" s="5" t="str">
        <f>IF(IF(Table4[[#This Row],[Pre or Post]]="Post",1,0)+IF(Table4[[#This Row],[If No]]=1,1,0)=2,1,"")</f>
        <v/>
      </c>
    </row>
    <row r="92" spans="1:14">
      <c r="A92" s="1" t="s">
        <v>12</v>
      </c>
      <c r="B92" s="1" t="s">
        <v>10</v>
      </c>
      <c r="C92" s="1">
        <v>11</v>
      </c>
      <c r="D92" s="1" t="s">
        <v>6</v>
      </c>
      <c r="E92" s="1">
        <v>4</v>
      </c>
      <c r="F92" s="1" t="s">
        <v>8</v>
      </c>
      <c r="G92" s="1" t="s">
        <v>8</v>
      </c>
      <c r="H92" s="5">
        <f>IF(Table4[[#This Row],[Response]]="Yes",1,"")</f>
        <v>1</v>
      </c>
      <c r="I92" s="5" t="str">
        <f>IF(Table4[[#This Row],[Response]]="No",1,"")</f>
        <v/>
      </c>
      <c r="J92" s="5">
        <f>IF(SUM(Table4[[#This Row],[If Yes]:[If No]])=1,1,"")</f>
        <v>1</v>
      </c>
      <c r="K92" s="5">
        <f>IF(IF(Table4[[#This Row],[Pre or Post]]="Pre",1,0)+IF(Table4[[#This Row],[If Yes]]=1,1,0)=2,1,"")</f>
        <v>1</v>
      </c>
      <c r="L92" s="5" t="str">
        <f>IF(IF(Table4[[#This Row],[Pre or Post]]="Pre",1,0)+IF(Table4[[#This Row],[If No]]=1,1,0)=2,1,"")</f>
        <v/>
      </c>
      <c r="M92" s="5" t="str">
        <f>IF(IF(Table4[[#This Row],[Pre or Post]]="Post",1,0)+IF(Table4[[#This Row],[If Yes]]=1,1,0)=2,1,"")</f>
        <v/>
      </c>
      <c r="N92" s="5" t="str">
        <f>IF(IF(Table4[[#This Row],[Pre or Post]]="Post",1,0)+IF(Table4[[#This Row],[If No]]=1,1,0)=2,1,"")</f>
        <v/>
      </c>
    </row>
    <row r="93" spans="1:14">
      <c r="A93" s="1" t="s">
        <v>12</v>
      </c>
      <c r="B93" s="1" t="s">
        <v>10</v>
      </c>
      <c r="C93" s="1">
        <v>11</v>
      </c>
      <c r="D93" s="1" t="s">
        <v>16</v>
      </c>
      <c r="E93" s="1">
        <v>8</v>
      </c>
      <c r="F93" s="1" t="s">
        <v>8</v>
      </c>
      <c r="G93" s="1" t="s">
        <v>8</v>
      </c>
      <c r="H93" s="5">
        <f>IF(Table4[[#This Row],[Response]]="Yes",1,"")</f>
        <v>1</v>
      </c>
      <c r="I93" s="5" t="str">
        <f>IF(Table4[[#This Row],[Response]]="No",1,"")</f>
        <v/>
      </c>
      <c r="J93" s="5">
        <f>IF(SUM(Table4[[#This Row],[If Yes]:[If No]])=1,1,"")</f>
        <v>1</v>
      </c>
      <c r="K93" s="5" t="str">
        <f>IF(IF(Table4[[#This Row],[Pre or Post]]="Pre",1,0)+IF(Table4[[#This Row],[If Yes]]=1,1,0)=2,1,"")</f>
        <v/>
      </c>
      <c r="L93" s="5" t="str">
        <f>IF(IF(Table4[[#This Row],[Pre or Post]]="Pre",1,0)+IF(Table4[[#This Row],[If No]]=1,1,0)=2,1,"")</f>
        <v/>
      </c>
      <c r="M93" s="5">
        <f>IF(IF(Table4[[#This Row],[Pre or Post]]="Post",1,0)+IF(Table4[[#This Row],[If Yes]]=1,1,0)=2,1,"")</f>
        <v>1</v>
      </c>
      <c r="N93" s="5" t="str">
        <f>IF(IF(Table4[[#This Row],[Pre or Post]]="Post",1,0)+IF(Table4[[#This Row],[If No]]=1,1,0)=2,1,"")</f>
        <v/>
      </c>
    </row>
    <row r="94" spans="1:14">
      <c r="A94" s="1" t="s">
        <v>12</v>
      </c>
      <c r="B94" s="1" t="s">
        <v>10</v>
      </c>
      <c r="C94" s="1">
        <v>12</v>
      </c>
      <c r="D94" s="1" t="s">
        <v>6</v>
      </c>
      <c r="E94" s="1">
        <v>4</v>
      </c>
      <c r="F94" s="1" t="s">
        <v>9</v>
      </c>
      <c r="G94" s="1" t="s">
        <v>8</v>
      </c>
      <c r="H94" s="5" t="str">
        <f>IF(Table4[[#This Row],[Response]]="Yes",1,"")</f>
        <v/>
      </c>
      <c r="I94" s="5">
        <f>IF(Table4[[#This Row],[Response]]="No",1,"")</f>
        <v>1</v>
      </c>
      <c r="J94" s="5">
        <f>IF(SUM(Table4[[#This Row],[If Yes]:[If No]])=1,1,"")</f>
        <v>1</v>
      </c>
      <c r="K94" s="5" t="str">
        <f>IF(IF(Table4[[#This Row],[Pre or Post]]="Pre",1,0)+IF(Table4[[#This Row],[If Yes]]=1,1,0)=2,1,"")</f>
        <v/>
      </c>
      <c r="L94" s="5">
        <f>IF(IF(Table4[[#This Row],[Pre or Post]]="Pre",1,0)+IF(Table4[[#This Row],[If No]]=1,1,0)=2,1,"")</f>
        <v>1</v>
      </c>
      <c r="M94" s="5" t="str">
        <f>IF(IF(Table4[[#This Row],[Pre or Post]]="Post",1,0)+IF(Table4[[#This Row],[If Yes]]=1,1,0)=2,1,"")</f>
        <v/>
      </c>
      <c r="N94" s="5" t="str">
        <f>IF(IF(Table4[[#This Row],[Pre or Post]]="Post",1,0)+IF(Table4[[#This Row],[If No]]=1,1,0)=2,1,"")</f>
        <v/>
      </c>
    </row>
    <row r="95" spans="1:14">
      <c r="A95" s="1" t="s">
        <v>12</v>
      </c>
      <c r="B95" s="1" t="s">
        <v>10</v>
      </c>
      <c r="C95" s="1">
        <v>12</v>
      </c>
      <c r="D95" s="1" t="s">
        <v>16</v>
      </c>
      <c r="E95" s="1">
        <v>8</v>
      </c>
      <c r="F95" s="1" t="s">
        <v>8</v>
      </c>
      <c r="G95" s="1" t="s">
        <v>8</v>
      </c>
      <c r="H95" s="5">
        <f>IF(Table4[[#This Row],[Response]]="Yes",1,"")</f>
        <v>1</v>
      </c>
      <c r="I95" s="5" t="str">
        <f>IF(Table4[[#This Row],[Response]]="No",1,"")</f>
        <v/>
      </c>
      <c r="J95" s="5">
        <f>IF(SUM(Table4[[#This Row],[If Yes]:[If No]])=1,1,"")</f>
        <v>1</v>
      </c>
      <c r="K95" s="5" t="str">
        <f>IF(IF(Table4[[#This Row],[Pre or Post]]="Pre",1,0)+IF(Table4[[#This Row],[If Yes]]=1,1,0)=2,1,"")</f>
        <v/>
      </c>
      <c r="L95" s="5" t="str">
        <f>IF(IF(Table4[[#This Row],[Pre or Post]]="Pre",1,0)+IF(Table4[[#This Row],[If No]]=1,1,0)=2,1,"")</f>
        <v/>
      </c>
      <c r="M95" s="5">
        <f>IF(IF(Table4[[#This Row],[Pre or Post]]="Post",1,0)+IF(Table4[[#This Row],[If Yes]]=1,1,0)=2,1,"")</f>
        <v>1</v>
      </c>
      <c r="N95" s="5" t="str">
        <f>IF(IF(Table4[[#This Row],[Pre or Post]]="Post",1,0)+IF(Table4[[#This Row],[If No]]=1,1,0)=2,1,"")</f>
        <v/>
      </c>
    </row>
    <row r="96" spans="1:14">
      <c r="A96" s="1" t="s">
        <v>12</v>
      </c>
      <c r="B96" s="1" t="s">
        <v>10</v>
      </c>
      <c r="C96" s="1">
        <v>13</v>
      </c>
      <c r="D96" s="1" t="s">
        <v>6</v>
      </c>
      <c r="E96" s="1">
        <v>4</v>
      </c>
      <c r="F96" s="1" t="s">
        <v>9</v>
      </c>
      <c r="G96" s="1" t="s">
        <v>8</v>
      </c>
      <c r="H96" s="5" t="str">
        <f>IF(Table4[[#This Row],[Response]]="Yes",1,"")</f>
        <v/>
      </c>
      <c r="I96" s="5">
        <f>IF(Table4[[#This Row],[Response]]="No",1,"")</f>
        <v>1</v>
      </c>
      <c r="J96" s="5">
        <f>IF(SUM(Table4[[#This Row],[If Yes]:[If No]])=1,1,"")</f>
        <v>1</v>
      </c>
      <c r="K96" s="5" t="str">
        <f>IF(IF(Table4[[#This Row],[Pre or Post]]="Pre",1,0)+IF(Table4[[#This Row],[If Yes]]=1,1,0)=2,1,"")</f>
        <v/>
      </c>
      <c r="L96" s="5">
        <f>IF(IF(Table4[[#This Row],[Pre or Post]]="Pre",1,0)+IF(Table4[[#This Row],[If No]]=1,1,0)=2,1,"")</f>
        <v>1</v>
      </c>
      <c r="M96" s="5" t="str">
        <f>IF(IF(Table4[[#This Row],[Pre or Post]]="Post",1,0)+IF(Table4[[#This Row],[If Yes]]=1,1,0)=2,1,"")</f>
        <v/>
      </c>
      <c r="N96" s="5" t="str">
        <f>IF(IF(Table4[[#This Row],[Pre or Post]]="Post",1,0)+IF(Table4[[#This Row],[If No]]=1,1,0)=2,1,"")</f>
        <v/>
      </c>
    </row>
    <row r="97" spans="1:14">
      <c r="A97" s="1" t="s">
        <v>12</v>
      </c>
      <c r="B97" s="1" t="s">
        <v>10</v>
      </c>
      <c r="C97" s="1">
        <v>13</v>
      </c>
      <c r="D97" s="1" t="s">
        <v>16</v>
      </c>
      <c r="E97" s="1">
        <v>8</v>
      </c>
      <c r="F97" s="1" t="s">
        <v>8</v>
      </c>
      <c r="G97" s="1" t="s">
        <v>8</v>
      </c>
      <c r="H97" s="5">
        <f>IF(Table4[[#This Row],[Response]]="Yes",1,"")</f>
        <v>1</v>
      </c>
      <c r="I97" s="5" t="str">
        <f>IF(Table4[[#This Row],[Response]]="No",1,"")</f>
        <v/>
      </c>
      <c r="J97" s="5">
        <f>IF(SUM(Table4[[#This Row],[If Yes]:[If No]])=1,1,"")</f>
        <v>1</v>
      </c>
      <c r="K97" s="5" t="str">
        <f>IF(IF(Table4[[#This Row],[Pre or Post]]="Pre",1,0)+IF(Table4[[#This Row],[If Yes]]=1,1,0)=2,1,"")</f>
        <v/>
      </c>
      <c r="L97" s="5" t="str">
        <f>IF(IF(Table4[[#This Row],[Pre or Post]]="Pre",1,0)+IF(Table4[[#This Row],[If No]]=1,1,0)=2,1,"")</f>
        <v/>
      </c>
      <c r="M97" s="5">
        <f>IF(IF(Table4[[#This Row],[Pre or Post]]="Post",1,0)+IF(Table4[[#This Row],[If Yes]]=1,1,0)=2,1,"")</f>
        <v>1</v>
      </c>
      <c r="N97" s="5" t="str">
        <f>IF(IF(Table4[[#This Row],[Pre or Post]]="Post",1,0)+IF(Table4[[#This Row],[If No]]=1,1,0)=2,1,"")</f>
        <v/>
      </c>
    </row>
    <row r="98" spans="1:14">
      <c r="A98" s="1" t="s">
        <v>12</v>
      </c>
      <c r="B98" s="1" t="s">
        <v>10</v>
      </c>
      <c r="C98" s="1">
        <v>14</v>
      </c>
      <c r="D98" s="1" t="s">
        <v>6</v>
      </c>
      <c r="E98" s="1">
        <v>4</v>
      </c>
      <c r="F98" s="1" t="s">
        <v>8</v>
      </c>
      <c r="G98" s="1" t="s">
        <v>8</v>
      </c>
      <c r="H98" s="5">
        <f>IF(Table4[[#This Row],[Response]]="Yes",1,"")</f>
        <v>1</v>
      </c>
      <c r="I98" s="5" t="str">
        <f>IF(Table4[[#This Row],[Response]]="No",1,"")</f>
        <v/>
      </c>
      <c r="J98" s="5">
        <f>IF(SUM(Table4[[#This Row],[If Yes]:[If No]])=1,1,"")</f>
        <v>1</v>
      </c>
      <c r="K98" s="5">
        <f>IF(IF(Table4[[#This Row],[Pre or Post]]="Pre",1,0)+IF(Table4[[#This Row],[If Yes]]=1,1,0)=2,1,"")</f>
        <v>1</v>
      </c>
      <c r="L98" s="5" t="str">
        <f>IF(IF(Table4[[#This Row],[Pre or Post]]="Pre",1,0)+IF(Table4[[#This Row],[If No]]=1,1,0)=2,1,"")</f>
        <v/>
      </c>
      <c r="M98" s="5" t="str">
        <f>IF(IF(Table4[[#This Row],[Pre or Post]]="Post",1,0)+IF(Table4[[#This Row],[If Yes]]=1,1,0)=2,1,"")</f>
        <v/>
      </c>
      <c r="N98" s="5" t="str">
        <f>IF(IF(Table4[[#This Row],[Pre or Post]]="Post",1,0)+IF(Table4[[#This Row],[If No]]=1,1,0)=2,1,"")</f>
        <v/>
      </c>
    </row>
    <row r="99" spans="1:14">
      <c r="A99" s="1" t="s">
        <v>12</v>
      </c>
      <c r="B99" s="1" t="s">
        <v>10</v>
      </c>
      <c r="C99" s="1">
        <v>14</v>
      </c>
      <c r="D99" s="1" t="s">
        <v>16</v>
      </c>
      <c r="E99" s="1">
        <v>8</v>
      </c>
      <c r="F99" s="1" t="s">
        <v>8</v>
      </c>
      <c r="G99" s="1" t="s">
        <v>8</v>
      </c>
      <c r="H99" s="5">
        <f>IF(Table4[[#This Row],[Response]]="Yes",1,"")</f>
        <v>1</v>
      </c>
      <c r="I99" s="5" t="str">
        <f>IF(Table4[[#This Row],[Response]]="No",1,"")</f>
        <v/>
      </c>
      <c r="J99" s="5">
        <f>IF(SUM(Table4[[#This Row],[If Yes]:[If No]])=1,1,"")</f>
        <v>1</v>
      </c>
      <c r="K99" s="5" t="str">
        <f>IF(IF(Table4[[#This Row],[Pre or Post]]="Pre",1,0)+IF(Table4[[#This Row],[If Yes]]=1,1,0)=2,1,"")</f>
        <v/>
      </c>
      <c r="L99" s="5" t="str">
        <f>IF(IF(Table4[[#This Row],[Pre or Post]]="Pre",1,0)+IF(Table4[[#This Row],[If No]]=1,1,0)=2,1,"")</f>
        <v/>
      </c>
      <c r="M99" s="5">
        <f>IF(IF(Table4[[#This Row],[Pre or Post]]="Post",1,0)+IF(Table4[[#This Row],[If Yes]]=1,1,0)=2,1,"")</f>
        <v>1</v>
      </c>
      <c r="N99" s="5" t="str">
        <f>IF(IF(Table4[[#This Row],[Pre or Post]]="Post",1,0)+IF(Table4[[#This Row],[If No]]=1,1,0)=2,1,"")</f>
        <v/>
      </c>
    </row>
    <row r="100" spans="1:14">
      <c r="A100" s="1" t="s">
        <v>12</v>
      </c>
      <c r="B100" s="1" t="s">
        <v>10</v>
      </c>
      <c r="C100" s="1">
        <v>15</v>
      </c>
      <c r="D100" s="1" t="s">
        <v>6</v>
      </c>
      <c r="E100" s="1">
        <v>4</v>
      </c>
      <c r="F100" s="1" t="s">
        <v>9</v>
      </c>
      <c r="G100" s="1" t="s">
        <v>8</v>
      </c>
      <c r="H100" s="5" t="str">
        <f>IF(Table4[[#This Row],[Response]]="Yes",1,"")</f>
        <v/>
      </c>
      <c r="I100" s="5">
        <f>IF(Table4[[#This Row],[Response]]="No",1,"")</f>
        <v>1</v>
      </c>
      <c r="J100" s="5">
        <f>IF(SUM(Table4[[#This Row],[If Yes]:[If No]])=1,1,"")</f>
        <v>1</v>
      </c>
      <c r="K100" s="5" t="str">
        <f>IF(IF(Table4[[#This Row],[Pre or Post]]="Pre",1,0)+IF(Table4[[#This Row],[If Yes]]=1,1,0)=2,1,"")</f>
        <v/>
      </c>
      <c r="L100" s="5">
        <f>IF(IF(Table4[[#This Row],[Pre or Post]]="Pre",1,0)+IF(Table4[[#This Row],[If No]]=1,1,0)=2,1,"")</f>
        <v>1</v>
      </c>
      <c r="M100" s="5" t="str">
        <f>IF(IF(Table4[[#This Row],[Pre or Post]]="Post",1,0)+IF(Table4[[#This Row],[If Yes]]=1,1,0)=2,1,"")</f>
        <v/>
      </c>
      <c r="N100" s="5" t="str">
        <f>IF(IF(Table4[[#This Row],[Pre or Post]]="Post",1,0)+IF(Table4[[#This Row],[If No]]=1,1,0)=2,1,"")</f>
        <v/>
      </c>
    </row>
    <row r="101" spans="1:14">
      <c r="A101" s="1" t="s">
        <v>12</v>
      </c>
      <c r="B101" s="1" t="s">
        <v>10</v>
      </c>
      <c r="C101" s="1">
        <v>15</v>
      </c>
      <c r="D101" s="1" t="s">
        <v>16</v>
      </c>
      <c r="E101" s="1">
        <v>8</v>
      </c>
      <c r="F101" s="1" t="s">
        <v>9</v>
      </c>
      <c r="G101" s="1" t="s">
        <v>8</v>
      </c>
      <c r="H101" s="5" t="str">
        <f>IF(Table4[[#This Row],[Response]]="Yes",1,"")</f>
        <v/>
      </c>
      <c r="I101" s="5">
        <f>IF(Table4[[#This Row],[Response]]="No",1,"")</f>
        <v>1</v>
      </c>
      <c r="J101" s="5">
        <f>IF(SUM(Table4[[#This Row],[If Yes]:[If No]])=1,1,"")</f>
        <v>1</v>
      </c>
      <c r="K101" s="5" t="str">
        <f>IF(IF(Table4[[#This Row],[Pre or Post]]="Pre",1,0)+IF(Table4[[#This Row],[If Yes]]=1,1,0)=2,1,"")</f>
        <v/>
      </c>
      <c r="L101" s="5" t="str">
        <f>IF(IF(Table4[[#This Row],[Pre or Post]]="Pre",1,0)+IF(Table4[[#This Row],[If No]]=1,1,0)=2,1,"")</f>
        <v/>
      </c>
      <c r="M101" s="5" t="str">
        <f>IF(IF(Table4[[#This Row],[Pre or Post]]="Post",1,0)+IF(Table4[[#This Row],[If Yes]]=1,1,0)=2,1,"")</f>
        <v/>
      </c>
      <c r="N101" s="5">
        <f>IF(IF(Table4[[#This Row],[Pre or Post]]="Post",1,0)+IF(Table4[[#This Row],[If No]]=1,1,0)=2,1,"")</f>
        <v>1</v>
      </c>
    </row>
    <row r="102" spans="1:14">
      <c r="A102" s="1" t="s">
        <v>12</v>
      </c>
      <c r="B102" s="1" t="s">
        <v>10</v>
      </c>
      <c r="C102" s="1">
        <v>16</v>
      </c>
      <c r="D102" s="1" t="s">
        <v>6</v>
      </c>
      <c r="E102" s="1">
        <v>4</v>
      </c>
      <c r="F102" s="1" t="s">
        <v>8</v>
      </c>
      <c r="G102" s="1" t="s">
        <v>8</v>
      </c>
      <c r="H102" s="5">
        <f>IF(Table4[[#This Row],[Response]]="Yes",1,"")</f>
        <v>1</v>
      </c>
      <c r="I102" s="5" t="str">
        <f>IF(Table4[[#This Row],[Response]]="No",1,"")</f>
        <v/>
      </c>
      <c r="J102" s="5">
        <f>IF(SUM(Table4[[#This Row],[If Yes]:[If No]])=1,1,"")</f>
        <v>1</v>
      </c>
      <c r="K102" s="5">
        <f>IF(IF(Table4[[#This Row],[Pre or Post]]="Pre",1,0)+IF(Table4[[#This Row],[If Yes]]=1,1,0)=2,1,"")</f>
        <v>1</v>
      </c>
      <c r="L102" s="5" t="str">
        <f>IF(IF(Table4[[#This Row],[Pre or Post]]="Pre",1,0)+IF(Table4[[#This Row],[If No]]=1,1,0)=2,1,"")</f>
        <v/>
      </c>
      <c r="M102" s="5" t="str">
        <f>IF(IF(Table4[[#This Row],[Pre or Post]]="Post",1,0)+IF(Table4[[#This Row],[If Yes]]=1,1,0)=2,1,"")</f>
        <v/>
      </c>
      <c r="N102" s="5" t="str">
        <f>IF(IF(Table4[[#This Row],[Pre or Post]]="Post",1,0)+IF(Table4[[#This Row],[If No]]=1,1,0)=2,1,"")</f>
        <v/>
      </c>
    </row>
    <row r="103" spans="1:14">
      <c r="A103" s="1" t="s">
        <v>12</v>
      </c>
      <c r="B103" s="1" t="s">
        <v>10</v>
      </c>
      <c r="C103" s="1">
        <v>16</v>
      </c>
      <c r="D103" s="1" t="s">
        <v>16</v>
      </c>
      <c r="E103" s="1">
        <v>8</v>
      </c>
      <c r="F103" s="1" t="s">
        <v>8</v>
      </c>
      <c r="G103" s="1" t="s">
        <v>8</v>
      </c>
      <c r="H103" s="5">
        <f>IF(Table4[[#This Row],[Response]]="Yes",1,"")</f>
        <v>1</v>
      </c>
      <c r="I103" s="5" t="str">
        <f>IF(Table4[[#This Row],[Response]]="No",1,"")</f>
        <v/>
      </c>
      <c r="J103" s="5">
        <f>IF(SUM(Table4[[#This Row],[If Yes]:[If No]])=1,1,"")</f>
        <v>1</v>
      </c>
      <c r="K103" s="5" t="str">
        <f>IF(IF(Table4[[#This Row],[Pre or Post]]="Pre",1,0)+IF(Table4[[#This Row],[If Yes]]=1,1,0)=2,1,"")</f>
        <v/>
      </c>
      <c r="L103" s="5" t="str">
        <f>IF(IF(Table4[[#This Row],[Pre or Post]]="Pre",1,0)+IF(Table4[[#This Row],[If No]]=1,1,0)=2,1,"")</f>
        <v/>
      </c>
      <c r="M103" s="5">
        <f>IF(IF(Table4[[#This Row],[Pre or Post]]="Post",1,0)+IF(Table4[[#This Row],[If Yes]]=1,1,0)=2,1,"")</f>
        <v>1</v>
      </c>
      <c r="N103" s="5" t="str">
        <f>IF(IF(Table4[[#This Row],[Pre or Post]]="Post",1,0)+IF(Table4[[#This Row],[If No]]=1,1,0)=2,1,"")</f>
        <v/>
      </c>
    </row>
    <row r="104" spans="1:14">
      <c r="A104" s="1" t="s">
        <v>12</v>
      </c>
      <c r="B104" s="1" t="s">
        <v>10</v>
      </c>
      <c r="C104" s="1">
        <v>17</v>
      </c>
      <c r="D104" s="1" t="s">
        <v>6</v>
      </c>
      <c r="E104" s="1">
        <v>4</v>
      </c>
      <c r="F104" s="1" t="s">
        <v>9</v>
      </c>
      <c r="G104" s="1" t="s">
        <v>8</v>
      </c>
      <c r="H104" s="5" t="str">
        <f>IF(Table4[[#This Row],[Response]]="Yes",1,"")</f>
        <v/>
      </c>
      <c r="I104" s="5">
        <f>IF(Table4[[#This Row],[Response]]="No",1,"")</f>
        <v>1</v>
      </c>
      <c r="J104" s="5">
        <f>IF(SUM(Table4[[#This Row],[If Yes]:[If No]])=1,1,"")</f>
        <v>1</v>
      </c>
      <c r="K104" s="5" t="str">
        <f>IF(IF(Table4[[#This Row],[Pre or Post]]="Pre",1,0)+IF(Table4[[#This Row],[If Yes]]=1,1,0)=2,1,"")</f>
        <v/>
      </c>
      <c r="L104" s="5">
        <f>IF(IF(Table4[[#This Row],[Pre or Post]]="Pre",1,0)+IF(Table4[[#This Row],[If No]]=1,1,0)=2,1,"")</f>
        <v>1</v>
      </c>
      <c r="M104" s="5" t="str">
        <f>IF(IF(Table4[[#This Row],[Pre or Post]]="Post",1,0)+IF(Table4[[#This Row],[If Yes]]=1,1,0)=2,1,"")</f>
        <v/>
      </c>
      <c r="N104" s="5" t="str">
        <f>IF(IF(Table4[[#This Row],[Pre or Post]]="Post",1,0)+IF(Table4[[#This Row],[If No]]=1,1,0)=2,1,"")</f>
        <v/>
      </c>
    </row>
    <row r="105" spans="1:14">
      <c r="A105" s="1" t="s">
        <v>12</v>
      </c>
      <c r="B105" s="1" t="s">
        <v>10</v>
      </c>
      <c r="C105" s="1">
        <v>17</v>
      </c>
      <c r="D105" s="1" t="s">
        <v>16</v>
      </c>
      <c r="E105" s="1">
        <v>8</v>
      </c>
      <c r="F105" s="1" t="s">
        <v>8</v>
      </c>
      <c r="G105" s="1" t="s">
        <v>8</v>
      </c>
      <c r="H105" s="5">
        <f>IF(Table4[[#This Row],[Response]]="Yes",1,"")</f>
        <v>1</v>
      </c>
      <c r="I105" s="5" t="str">
        <f>IF(Table4[[#This Row],[Response]]="No",1,"")</f>
        <v/>
      </c>
      <c r="J105" s="5">
        <f>IF(SUM(Table4[[#This Row],[If Yes]:[If No]])=1,1,"")</f>
        <v>1</v>
      </c>
      <c r="K105" s="5" t="str">
        <f>IF(IF(Table4[[#This Row],[Pre or Post]]="Pre",1,0)+IF(Table4[[#This Row],[If Yes]]=1,1,0)=2,1,"")</f>
        <v/>
      </c>
      <c r="L105" s="5" t="str">
        <f>IF(IF(Table4[[#This Row],[Pre or Post]]="Pre",1,0)+IF(Table4[[#This Row],[If No]]=1,1,0)=2,1,"")</f>
        <v/>
      </c>
      <c r="M105" s="5">
        <f>IF(IF(Table4[[#This Row],[Pre or Post]]="Post",1,0)+IF(Table4[[#This Row],[If Yes]]=1,1,0)=2,1,"")</f>
        <v>1</v>
      </c>
      <c r="N105" s="5" t="str">
        <f>IF(IF(Table4[[#This Row],[Pre or Post]]="Post",1,0)+IF(Table4[[#This Row],[If No]]=1,1,0)=2,1,"")</f>
        <v/>
      </c>
    </row>
    <row r="106" spans="1:14">
      <c r="A106" s="1" t="s">
        <v>12</v>
      </c>
      <c r="B106" s="1" t="s">
        <v>10</v>
      </c>
      <c r="C106" s="1">
        <v>18</v>
      </c>
      <c r="D106" s="1" t="s">
        <v>16</v>
      </c>
      <c r="E106" s="1">
        <v>8</v>
      </c>
      <c r="F106" s="1" t="s">
        <v>8</v>
      </c>
      <c r="G106" s="1" t="s">
        <v>9</v>
      </c>
      <c r="H106" s="5">
        <f>IF(Table4[[#This Row],[Response]]="Yes",1,"")</f>
        <v>1</v>
      </c>
      <c r="I106" s="5" t="str">
        <f>IF(Table4[[#This Row],[Response]]="No",1,"")</f>
        <v/>
      </c>
      <c r="J106" s="5">
        <f>IF(SUM(Table4[[#This Row],[If Yes]:[If No]])=1,1,"")</f>
        <v>1</v>
      </c>
      <c r="K106" s="5" t="str">
        <f>IF(IF(Table4[[#This Row],[Pre or Post]]="Pre",1,0)+IF(Table4[[#This Row],[If Yes]]=1,1,0)=2,1,"")</f>
        <v/>
      </c>
      <c r="L106" s="5" t="str">
        <f>IF(IF(Table4[[#This Row],[Pre or Post]]="Pre",1,0)+IF(Table4[[#This Row],[If No]]=1,1,0)=2,1,"")</f>
        <v/>
      </c>
      <c r="M106" s="5">
        <f>IF(IF(Table4[[#This Row],[Pre or Post]]="Post",1,0)+IF(Table4[[#This Row],[If Yes]]=1,1,0)=2,1,"")</f>
        <v>1</v>
      </c>
      <c r="N106" s="5" t="str">
        <f>IF(IF(Table4[[#This Row],[Pre or Post]]="Post",1,0)+IF(Table4[[#This Row],[If No]]=1,1,0)=2,1,"")</f>
        <v/>
      </c>
    </row>
    <row r="107" spans="1:14">
      <c r="A107" s="2"/>
      <c r="B107" s="2"/>
      <c r="C107" s="2"/>
      <c r="D107" s="2"/>
      <c r="E107" s="2"/>
      <c r="F107" s="2"/>
      <c r="G107" s="2"/>
      <c r="H107" s="6">
        <f>SUM([If Yes])</f>
        <v>66</v>
      </c>
      <c r="I107" s="6">
        <f>SUM([If No])</f>
        <v>23</v>
      </c>
      <c r="J107" s="2">
        <f>SUM([Answered?])</f>
        <v>89</v>
      </c>
      <c r="K107" s="2">
        <f>SUM([Pre Yes])</f>
        <v>19</v>
      </c>
      <c r="L107" s="2">
        <f>SUM([Pre No])</f>
        <v>21</v>
      </c>
      <c r="M107" s="2">
        <f>SUM([Post Yes])</f>
        <v>47</v>
      </c>
      <c r="N107" s="2">
        <f>SUM([Post No])</f>
        <v>2</v>
      </c>
    </row>
    <row r="109" spans="1:14">
      <c r="A109" s="1" t="s">
        <v>4</v>
      </c>
      <c r="B109" s="1" t="s">
        <v>36</v>
      </c>
      <c r="C109" s="1" t="s">
        <v>37</v>
      </c>
      <c r="D109" s="1" t="s">
        <v>8</v>
      </c>
      <c r="E109" s="1" t="s">
        <v>9</v>
      </c>
      <c r="F109" s="1" t="s">
        <v>42</v>
      </c>
      <c r="G109" s="1" t="s">
        <v>43</v>
      </c>
    </row>
    <row r="110" spans="1:14">
      <c r="A110" s="1" t="s">
        <v>6</v>
      </c>
      <c r="B110" s="1">
        <f>COUNTIF(Table4[Pre or Post],"Pre")</f>
        <v>40</v>
      </c>
      <c r="C110" s="1">
        <f>SUM(Table4[[#Totals],[Pre Yes]:[Pre No]])</f>
        <v>40</v>
      </c>
      <c r="D110" s="1">
        <f>Table4[[#Totals],[Pre Yes]]</f>
        <v>19</v>
      </c>
      <c r="E110" s="1">
        <f>Table4[[#Totals],[Pre No]]</f>
        <v>21</v>
      </c>
      <c r="F110" s="1">
        <f>D110/C110*100</f>
        <v>47.5</v>
      </c>
      <c r="G110" s="1">
        <f>E110/C110*100</f>
        <v>52.5</v>
      </c>
    </row>
    <row r="111" spans="1:14">
      <c r="A111" s="1" t="s">
        <v>16</v>
      </c>
      <c r="B111" s="1">
        <f>COUNTIF(Table4[Pre or Post],"Post")</f>
        <v>65</v>
      </c>
      <c r="C111" s="1">
        <f>SUM(Table4[[#Totals],[Post Yes]:[Post No]])</f>
        <v>49</v>
      </c>
      <c r="D111" s="1">
        <f>Table4[[#Totals],[Post Yes]]</f>
        <v>47</v>
      </c>
      <c r="E111" s="1">
        <f>Table4[[#Totals],[Post No]]</f>
        <v>2</v>
      </c>
      <c r="F111" s="1">
        <f>D111/C111*100</f>
        <v>95.918367346938766</v>
      </c>
      <c r="G111" s="1">
        <f>E111/C111*100</f>
        <v>4.0816326530612246</v>
      </c>
    </row>
    <row r="113" spans="1:9" ht="30">
      <c r="A113" s="7" t="s">
        <v>44</v>
      </c>
      <c r="B113" s="7" t="s">
        <v>45</v>
      </c>
      <c r="C113" s="7" t="s">
        <v>46</v>
      </c>
      <c r="D113" s="7" t="s">
        <v>49</v>
      </c>
      <c r="E113" s="7" t="s">
        <v>50</v>
      </c>
      <c r="F113" s="7" t="s">
        <v>47</v>
      </c>
      <c r="G113" s="7" t="s">
        <v>48</v>
      </c>
      <c r="H113" s="7" t="s">
        <v>52</v>
      </c>
      <c r="I113" s="7" t="s">
        <v>51</v>
      </c>
    </row>
    <row r="114" spans="1:9">
      <c r="A114" s="1">
        <v>18</v>
      </c>
      <c r="B114" s="1">
        <v>0</v>
      </c>
      <c r="C114" s="1">
        <f>COUNTIF(Table4[Pre and Post?],"Yes")/2</f>
        <v>40</v>
      </c>
      <c r="D114" s="1">
        <f>A114/C114*100</f>
        <v>45</v>
      </c>
      <c r="E114" s="1">
        <f>B114/C114*100</f>
        <v>0</v>
      </c>
      <c r="F114" s="1">
        <f>SUM(Table6[[Changed to Yes]:[Changed to No]])</f>
        <v>18</v>
      </c>
      <c r="G114" s="1">
        <f>[Total Changed]/[Pre and Post]*100</f>
        <v>45</v>
      </c>
      <c r="H114" s="1">
        <f>[Changed to Yes]/[Total Changed]*100</f>
        <v>100</v>
      </c>
      <c r="I114" s="1">
        <f>[Changed to No]/[Total Changed]*100</f>
        <v>0</v>
      </c>
    </row>
  </sheetData>
  <conditionalFormatting sqref="F2:F106">
    <cfRule type="cellIs" dxfId="1598" priority="4" operator="equal">
      <formula>"Yes"</formula>
    </cfRule>
    <cfRule type="cellIs" dxfId="1597" priority="3" operator="equal">
      <formula>"No"</formula>
    </cfRule>
  </conditionalFormatting>
  <conditionalFormatting sqref="G2:G106">
    <cfRule type="cellIs" dxfId="1596" priority="2" operator="equal">
      <formula>"Yes"</formula>
    </cfRule>
    <cfRule type="cellIs" dxfId="1595" priority="1" operator="equal">
      <formula>"No"</formula>
    </cfRule>
  </conditionalFormatting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/>
  </sheetPr>
  <dimension ref="A1:T118"/>
  <sheetViews>
    <sheetView topLeftCell="E76" workbookViewId="0">
      <selection activeCell="K111" sqref="K111"/>
    </sheetView>
  </sheetViews>
  <sheetFormatPr defaultColWidth="16.7109375" defaultRowHeight="15"/>
  <cols>
    <col min="1" max="16384" width="16.7109375" style="1"/>
  </cols>
  <sheetData>
    <row r="1" spans="1:20">
      <c r="A1" s="1" t="s">
        <v>11</v>
      </c>
      <c r="B1" s="1" t="s">
        <v>0</v>
      </c>
      <c r="C1" s="1" t="s">
        <v>1</v>
      </c>
      <c r="D1" s="1" t="s">
        <v>4</v>
      </c>
      <c r="E1" s="1" t="s">
        <v>201</v>
      </c>
      <c r="F1" s="1" t="s">
        <v>2</v>
      </c>
      <c r="G1" s="1" t="s">
        <v>3</v>
      </c>
      <c r="H1" s="1" t="s">
        <v>20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88</v>
      </c>
      <c r="N1" s="1" t="s">
        <v>89</v>
      </c>
      <c r="O1" s="1" t="s">
        <v>72</v>
      </c>
      <c r="P1" s="1" t="s">
        <v>83</v>
      </c>
      <c r="Q1" s="19" t="s">
        <v>199</v>
      </c>
      <c r="R1" s="19" t="s">
        <v>200</v>
      </c>
      <c r="S1" s="19" t="s">
        <v>202</v>
      </c>
      <c r="T1" s="19" t="s">
        <v>203</v>
      </c>
    </row>
    <row r="2" spans="1:20">
      <c r="A2" s="2" t="s">
        <v>12</v>
      </c>
      <c r="B2" s="2" t="s">
        <v>5</v>
      </c>
      <c r="C2" s="1">
        <v>1</v>
      </c>
      <c r="D2" s="2" t="s">
        <v>16</v>
      </c>
      <c r="E2" s="5"/>
      <c r="F2" s="1">
        <v>2</v>
      </c>
      <c r="G2" s="2">
        <v>3</v>
      </c>
      <c r="H2" s="2" t="s">
        <v>9</v>
      </c>
      <c r="I2" s="6" t="str">
        <f>IF(IF(Table442466656974[[#This Row],[Pre or Post]]="Pre",1,0)+IF(ISNUMBER(Table442466656974[[#This Row],[Response]])=TRUE,1,0)=2,1,"")</f>
        <v/>
      </c>
      <c r="J2" s="6">
        <f>IF(IF(Table442466656974[[#This Row],[Pre or Post]]="Post",1,0)+IF(ISNUMBER(Table442466656974[[#This Row],[Response]])=TRUE,1,0)=2,1,"")</f>
        <v>1</v>
      </c>
      <c r="K2" s="6" t="str">
        <f>IF(IF(Table442466656974[[#This Row],[Pre or Post]]="Pre",1,0)+IF(ISNUMBER(Table442466656974[[#This Row],[Response]])=TRUE,1,0)=2,Table442466656974[[#This Row],[Response]],"")</f>
        <v/>
      </c>
      <c r="L2" s="6">
        <f>IF(IF(Table442466656974[[#This Row],[Pre or Post]]="Post",1,0)+IF(ISNUMBER(Table442466656974[[#This Row],[Response]])=TRUE,1,0)=2,Table442466656974[[#This Row],[Response]],"")</f>
        <v>3</v>
      </c>
      <c r="M2" s="6" t="str">
        <f>IF(IF(ISNUMBER(K2),1,0)+IF(ISNUMBER(L3),1,0)=2,IF(IF(C3=C2,1,0)+IF(B3=B2,1,0)+IF(D3="Post",1,0)+IF(D2="Pre",1,0)=4,Table442466656974[[#This Row],[Pre Total]],""),"")</f>
        <v/>
      </c>
      <c r="N2" s="6" t="str">
        <f>IF(IF(ISNUMBER(K1),1,0)+IF(ISNUMBER(Table442466656974[[#This Row],[Post Total]]),1,0)=2,IF(IF(Table442466656974[[#This Row],[Student Number]]=C1,1,0)+IF(Table442466656974[[#This Row],[Session]]=B1,1,0)+IF(Table442466656974[[#This Row],[Pre or Post]]="Post",1,0)+IF(D1="Pre",1,0)=4,Table442466656974[[#This Row],[Post Total]],""),"")</f>
        <v/>
      </c>
      <c r="O2" s="6" t="str">
        <f>IF(IF(ISNUMBER(K1),1,0)+IF(ISNUMBER(Table442466656974[[#This Row],[Post Total]]),1,0)=2,IF(IF(Table442466656974[[#This Row],[Student Number]]=C1,1,0)+IF(Table442466656974[[#This Row],[Session]]=B1,1,0)+IF(Table442466656974[[#This Row],[Pre or Post]]="Post",1,0)+IF(D1="Pre",1,0)=4,Table442466656974[[#This Row],[Post Total]]-K1,""),"")</f>
        <v/>
      </c>
      <c r="P2" s="6" t="b">
        <f>ISNUMBER(Table442466656974[[#This Row],[Change]])</f>
        <v>0</v>
      </c>
      <c r="Q2" s="5" t="str">
        <f>IF(E1="Yes",Table442466656974[[#This Row],[Change]],"")</f>
        <v/>
      </c>
      <c r="R2" s="5" t="str">
        <f>IF(E1="No",Table442466656974[[#This Row],[Change]],"")</f>
        <v/>
      </c>
      <c r="S2" s="5" t="b">
        <f>ISNUMBER(Table442466656974[[#This Row],[If Pre5 Yes]])</f>
        <v>0</v>
      </c>
      <c r="T2" s="5" t="b">
        <f>ISNUMBER(Table442466656974[[#This Row],[If Pre5 No]])</f>
        <v>0</v>
      </c>
    </row>
    <row r="3" spans="1:20">
      <c r="A3" s="2" t="s">
        <v>12</v>
      </c>
      <c r="B3" s="2" t="s">
        <v>5</v>
      </c>
      <c r="C3" s="1">
        <v>2</v>
      </c>
      <c r="D3" s="2" t="s">
        <v>16</v>
      </c>
      <c r="E3" s="5"/>
      <c r="F3" s="1">
        <v>2</v>
      </c>
      <c r="G3" s="1">
        <v>3</v>
      </c>
      <c r="H3" s="2" t="s">
        <v>9</v>
      </c>
      <c r="I3" s="5" t="str">
        <f>IF(IF(Table442466656974[[#This Row],[Pre or Post]]="Pre",1,0)+IF(ISNUMBER(Table442466656974[[#This Row],[Response]])=TRUE,1,0)=2,1,"")</f>
        <v/>
      </c>
      <c r="J3" s="5">
        <f>IF(IF(Table442466656974[[#This Row],[Pre or Post]]="Post",1,0)+IF(ISNUMBER(Table442466656974[[#This Row],[Response]])=TRUE,1,0)=2,1,"")</f>
        <v>1</v>
      </c>
      <c r="K3" s="6" t="str">
        <f>IF(IF(Table442466656974[[#This Row],[Pre or Post]]="Pre",1,0)+IF(ISNUMBER(Table442466656974[[#This Row],[Response]])=TRUE,1,0)=2,Table442466656974[[#This Row],[Response]],"")</f>
        <v/>
      </c>
      <c r="L3" s="6">
        <f>IF(IF(Table442466656974[[#This Row],[Pre or Post]]="Post",1,0)+IF(ISNUMBER(Table442466656974[[#This Row],[Response]])=TRUE,1,0)=2,Table442466656974[[#This Row],[Response]],"")</f>
        <v>3</v>
      </c>
      <c r="M3" s="5" t="str">
        <f>IF(IF(ISNUMBER(K3),1,0)+IF(ISNUMBER(L4),1,0)=2,IF(IF(C4=C3,1,0)+IF(B4=B3,1,0)+IF(D4="Post",1,0)+IF(D3="Pre",1,0)=4,Table442466656974[[#This Row],[Pre Total]],""),"")</f>
        <v/>
      </c>
      <c r="N3" s="5" t="str">
        <f>IF(IF(ISNUMBER(K2),1,0)+IF(ISNUMBER(Table442466656974[[#This Row],[Post Total]]),1,0)=2,IF(IF(Table442466656974[[#This Row],[Student Number]]=C2,1,0)+IF(Table442466656974[[#This Row],[Session]]=B2,1,0)+IF(Table442466656974[[#This Row],[Pre or Post]]="Post",1,0)+IF(D2="Pre",1,0)=4,Table442466656974[[#This Row],[Post Total]],""),"")</f>
        <v/>
      </c>
      <c r="O3" s="5" t="str">
        <f>IF(IF(ISNUMBER(K2),1,0)+IF(ISNUMBER(Table442466656974[[#This Row],[Post Total]]),1,0)=2,IF(IF(Table442466656974[[#This Row],[Student Number]]=C2,1,0)+IF(Table442466656974[[#This Row],[Session]]=B2,1,0)+IF(Table442466656974[[#This Row],[Pre or Post]]="Post",1,0)+IF(D2="Pre",1,0)=4,Table442466656974[[#This Row],[Post Total]]-K2,""),"")</f>
        <v/>
      </c>
      <c r="P3" s="5" t="b">
        <f>ISNUMBER(Table442466656974[[#This Row],[Change]])</f>
        <v>0</v>
      </c>
      <c r="Q3" s="5" t="str">
        <f>IF(E2="Yes",Table442466656974[[#This Row],[Change]],"")</f>
        <v/>
      </c>
      <c r="R3" s="5" t="str">
        <f>IF(E2="No",Table442466656974[[#This Row],[Change]],"")</f>
        <v/>
      </c>
      <c r="S3" s="5" t="b">
        <f>ISNUMBER(Table442466656974[[#This Row],[If Pre5 Yes]])</f>
        <v>0</v>
      </c>
      <c r="T3" s="5" t="b">
        <f>ISNUMBER(Table442466656974[[#This Row],[If Pre5 No]])</f>
        <v>0</v>
      </c>
    </row>
    <row r="4" spans="1:20">
      <c r="A4" s="2" t="s">
        <v>12</v>
      </c>
      <c r="B4" s="2" t="s">
        <v>5</v>
      </c>
      <c r="C4" s="1">
        <v>3</v>
      </c>
      <c r="D4" s="2" t="s">
        <v>16</v>
      </c>
      <c r="E4" s="5"/>
      <c r="F4" s="1">
        <v>2</v>
      </c>
      <c r="G4" s="1">
        <v>3</v>
      </c>
      <c r="H4" s="2" t="s">
        <v>9</v>
      </c>
      <c r="I4" s="5" t="str">
        <f>IF(IF(Table442466656974[[#This Row],[Pre or Post]]="Pre",1,0)+IF(ISNUMBER(Table442466656974[[#This Row],[Response]])=TRUE,1,0)=2,1,"")</f>
        <v/>
      </c>
      <c r="J4" s="5">
        <f>IF(IF(Table442466656974[[#This Row],[Pre or Post]]="Post",1,0)+IF(ISNUMBER(Table442466656974[[#This Row],[Response]])=TRUE,1,0)=2,1,"")</f>
        <v>1</v>
      </c>
      <c r="K4" s="6" t="str">
        <f>IF(IF(Table442466656974[[#This Row],[Pre or Post]]="Pre",1,0)+IF(ISNUMBER(Table442466656974[[#This Row],[Response]])=TRUE,1,0)=2,Table442466656974[[#This Row],[Response]],"")</f>
        <v/>
      </c>
      <c r="L4" s="6">
        <f>IF(IF(Table442466656974[[#This Row],[Pre or Post]]="Post",1,0)+IF(ISNUMBER(Table442466656974[[#This Row],[Response]])=TRUE,1,0)=2,Table442466656974[[#This Row],[Response]],"")</f>
        <v>3</v>
      </c>
      <c r="M4" s="5" t="str">
        <f>IF(IF(ISNUMBER(K4),1,0)+IF(ISNUMBER(L5),1,0)=2,IF(IF(C5=C4,1,0)+IF(B5=B4,1,0)+IF(D5="Post",1,0)+IF(D4="Pre",1,0)=4,Table442466656974[[#This Row],[Pre Total]],""),"")</f>
        <v/>
      </c>
      <c r="N4" s="5" t="str">
        <f>IF(IF(ISNUMBER(K3),1,0)+IF(ISNUMBER(Table442466656974[[#This Row],[Post Total]]),1,0)=2,IF(IF(Table442466656974[[#This Row],[Student Number]]=C3,1,0)+IF(Table442466656974[[#This Row],[Session]]=B3,1,0)+IF(Table442466656974[[#This Row],[Pre or Post]]="Post",1,0)+IF(D3="Pre",1,0)=4,Table442466656974[[#This Row],[Post Total]],""),"")</f>
        <v/>
      </c>
      <c r="O4" s="5" t="str">
        <f>IF(IF(ISNUMBER(K3),1,0)+IF(ISNUMBER(Table442466656974[[#This Row],[Post Total]]),1,0)=2,IF(IF(Table442466656974[[#This Row],[Student Number]]=C3,1,0)+IF(Table442466656974[[#This Row],[Session]]=B3,1,0)+IF(Table442466656974[[#This Row],[Pre or Post]]="Post",1,0)+IF(D3="Pre",1,0)=4,Table442466656974[[#This Row],[Post Total]]-K3,""),"")</f>
        <v/>
      </c>
      <c r="P4" s="5" t="b">
        <f>ISNUMBER(Table442466656974[[#This Row],[Change]])</f>
        <v>0</v>
      </c>
      <c r="Q4" s="5" t="str">
        <f>IF(E3="Yes",Table442466656974[[#This Row],[Change]],"")</f>
        <v/>
      </c>
      <c r="R4" s="5" t="str">
        <f>IF(E3="No",Table442466656974[[#This Row],[Change]],"")</f>
        <v/>
      </c>
      <c r="S4" s="5" t="b">
        <f>ISNUMBER(Table442466656974[[#This Row],[If Pre5 Yes]])</f>
        <v>0</v>
      </c>
      <c r="T4" s="5" t="b">
        <f>ISNUMBER(Table442466656974[[#This Row],[If Pre5 No]])</f>
        <v>0</v>
      </c>
    </row>
    <row r="5" spans="1:20">
      <c r="A5" s="2" t="s">
        <v>12</v>
      </c>
      <c r="B5" s="2" t="s">
        <v>5</v>
      </c>
      <c r="C5" s="1">
        <v>4</v>
      </c>
      <c r="D5" s="2" t="s">
        <v>16</v>
      </c>
      <c r="E5" s="5"/>
      <c r="F5" s="1">
        <v>2</v>
      </c>
      <c r="G5" s="1">
        <v>3</v>
      </c>
      <c r="H5" s="2" t="s">
        <v>9</v>
      </c>
      <c r="I5" s="5" t="str">
        <f>IF(IF(Table442466656974[[#This Row],[Pre or Post]]="Pre",1,0)+IF(ISNUMBER(Table442466656974[[#This Row],[Response]])=TRUE,1,0)=2,1,"")</f>
        <v/>
      </c>
      <c r="J5" s="5">
        <f>IF(IF(Table442466656974[[#This Row],[Pre or Post]]="Post",1,0)+IF(ISNUMBER(Table442466656974[[#This Row],[Response]])=TRUE,1,0)=2,1,"")</f>
        <v>1</v>
      </c>
      <c r="K5" s="6" t="str">
        <f>IF(IF(Table442466656974[[#This Row],[Pre or Post]]="Pre",1,0)+IF(ISNUMBER(Table442466656974[[#This Row],[Response]])=TRUE,1,0)=2,Table442466656974[[#This Row],[Response]],"")</f>
        <v/>
      </c>
      <c r="L5" s="6">
        <f>IF(IF(Table442466656974[[#This Row],[Pre or Post]]="Post",1,0)+IF(ISNUMBER(Table442466656974[[#This Row],[Response]])=TRUE,1,0)=2,Table442466656974[[#This Row],[Response]],"")</f>
        <v>3</v>
      </c>
      <c r="M5" s="5" t="str">
        <f>IF(IF(ISNUMBER(K5),1,0)+IF(ISNUMBER(L6),1,0)=2,IF(IF(C6=C5,1,0)+IF(B6=B5,1,0)+IF(D6="Post",1,0)+IF(D5="Pre",1,0)=4,Table442466656974[[#This Row],[Pre Total]],""),"")</f>
        <v/>
      </c>
      <c r="N5" s="5" t="str">
        <f>IF(IF(ISNUMBER(K4),1,0)+IF(ISNUMBER(Table442466656974[[#This Row],[Post Total]]),1,0)=2,IF(IF(Table442466656974[[#This Row],[Student Number]]=C4,1,0)+IF(Table442466656974[[#This Row],[Session]]=B4,1,0)+IF(Table442466656974[[#This Row],[Pre or Post]]="Post",1,0)+IF(D4="Pre",1,0)=4,Table442466656974[[#This Row],[Post Total]],""),"")</f>
        <v/>
      </c>
      <c r="O5" s="5" t="str">
        <f>IF(IF(ISNUMBER(K4),1,0)+IF(ISNUMBER(Table442466656974[[#This Row],[Post Total]]),1,0)=2,IF(IF(Table442466656974[[#This Row],[Student Number]]=C4,1,0)+IF(Table442466656974[[#This Row],[Session]]=B4,1,0)+IF(Table442466656974[[#This Row],[Pre or Post]]="Post",1,0)+IF(D4="Pre",1,0)=4,Table442466656974[[#This Row],[Post Total]]-K4,""),"")</f>
        <v/>
      </c>
      <c r="P5" s="5" t="b">
        <f>ISNUMBER(Table442466656974[[#This Row],[Change]])</f>
        <v>0</v>
      </c>
      <c r="Q5" s="5" t="str">
        <f>IF(E4="Yes",Table442466656974[[#This Row],[Change]],"")</f>
        <v/>
      </c>
      <c r="R5" s="5" t="str">
        <f>IF(E4="No",Table442466656974[[#This Row],[Change]],"")</f>
        <v/>
      </c>
      <c r="S5" s="5" t="b">
        <f>ISNUMBER(Table442466656974[[#This Row],[If Pre5 Yes]])</f>
        <v>0</v>
      </c>
      <c r="T5" s="5" t="b">
        <f>ISNUMBER(Table442466656974[[#This Row],[If Pre5 No]])</f>
        <v>0</v>
      </c>
    </row>
    <row r="6" spans="1:20">
      <c r="A6" s="2" t="s">
        <v>12</v>
      </c>
      <c r="B6" s="2" t="s">
        <v>5</v>
      </c>
      <c r="C6" s="1">
        <v>5</v>
      </c>
      <c r="D6" s="2" t="s">
        <v>16</v>
      </c>
      <c r="E6" s="5"/>
      <c r="F6" s="1">
        <v>2</v>
      </c>
      <c r="G6" s="1">
        <v>3</v>
      </c>
      <c r="H6" s="2" t="s">
        <v>9</v>
      </c>
      <c r="I6" s="6" t="str">
        <f>IF(IF(Table442466656974[[#This Row],[Pre or Post]]="Pre",1,0)+IF(ISNUMBER(Table442466656974[[#This Row],[Response]])=TRUE,1,0)=2,1,"")</f>
        <v/>
      </c>
      <c r="J6" s="6">
        <f>IF(IF(Table442466656974[[#This Row],[Pre or Post]]="Post",1,0)+IF(ISNUMBER(Table442466656974[[#This Row],[Response]])=TRUE,1,0)=2,1,"")</f>
        <v>1</v>
      </c>
      <c r="K6" s="6" t="str">
        <f>IF(IF(Table442466656974[[#This Row],[Pre or Post]]="Pre",1,0)+IF(ISNUMBER(Table442466656974[[#This Row],[Response]])=TRUE,1,0)=2,Table442466656974[[#This Row],[Response]],"")</f>
        <v/>
      </c>
      <c r="L6" s="6">
        <f>IF(IF(Table442466656974[[#This Row],[Pre or Post]]="Post",1,0)+IF(ISNUMBER(Table442466656974[[#This Row],[Response]])=TRUE,1,0)=2,Table442466656974[[#This Row],[Response]],"")</f>
        <v>3</v>
      </c>
      <c r="M6" s="6" t="str">
        <f>IF(IF(ISNUMBER(K6),1,0)+IF(ISNUMBER(L7),1,0)=2,IF(IF(C7=C6,1,0)+IF(B7=B6,1,0)+IF(D7="Post",1,0)+IF(D6="Pre",1,0)=4,Table442466656974[[#This Row],[Pre Total]],""),"")</f>
        <v/>
      </c>
      <c r="N6" s="6" t="str">
        <f>IF(IF(ISNUMBER(K5),1,0)+IF(ISNUMBER(Table442466656974[[#This Row],[Post Total]]),1,0)=2,IF(IF(Table442466656974[[#This Row],[Student Number]]=C5,1,0)+IF(Table442466656974[[#This Row],[Session]]=B5,1,0)+IF(Table442466656974[[#This Row],[Pre or Post]]="Post",1,0)+IF(D5="Pre",1,0)=4,Table442466656974[[#This Row],[Post Total]],""),"")</f>
        <v/>
      </c>
      <c r="O6" s="6" t="str">
        <f>IF(IF(ISNUMBER(K5),1,0)+IF(ISNUMBER(Table442466656974[[#This Row],[Post Total]]),1,0)=2,IF(IF(Table442466656974[[#This Row],[Student Number]]=C5,1,0)+IF(Table442466656974[[#This Row],[Session]]=B5,1,0)+IF(Table442466656974[[#This Row],[Pre or Post]]="Post",1,0)+IF(D5="Pre",1,0)=4,Table442466656974[[#This Row],[Post Total]]-K5,""),"")</f>
        <v/>
      </c>
      <c r="P6" s="6" t="b">
        <f>ISNUMBER(Table442466656974[[#This Row],[Change]])</f>
        <v>0</v>
      </c>
      <c r="Q6" s="5" t="str">
        <f>IF(E5="Yes",Table442466656974[[#This Row],[Change]],"")</f>
        <v/>
      </c>
      <c r="R6" s="5" t="str">
        <f>IF(E5="No",Table442466656974[[#This Row],[Change]],"")</f>
        <v/>
      </c>
      <c r="S6" s="5" t="b">
        <f>ISNUMBER(Table442466656974[[#This Row],[If Pre5 Yes]])</f>
        <v>0</v>
      </c>
      <c r="T6" s="5" t="b">
        <f>ISNUMBER(Table442466656974[[#This Row],[If Pre5 No]])</f>
        <v>0</v>
      </c>
    </row>
    <row r="7" spans="1:20">
      <c r="A7" s="2" t="s">
        <v>12</v>
      </c>
      <c r="B7" s="2" t="s">
        <v>5</v>
      </c>
      <c r="C7" s="1">
        <v>6</v>
      </c>
      <c r="D7" s="2" t="s">
        <v>16</v>
      </c>
      <c r="E7" s="5"/>
      <c r="F7" s="1">
        <v>2</v>
      </c>
      <c r="G7" s="1">
        <v>3</v>
      </c>
      <c r="H7" s="2" t="s">
        <v>9</v>
      </c>
      <c r="I7" s="5" t="str">
        <f>IF(IF(Table442466656974[[#This Row],[Pre or Post]]="Pre",1,0)+IF(ISNUMBER(Table442466656974[[#This Row],[Response]])=TRUE,1,0)=2,1,"")</f>
        <v/>
      </c>
      <c r="J7" s="5">
        <f>IF(IF(Table442466656974[[#This Row],[Pre or Post]]="Post",1,0)+IF(ISNUMBER(Table442466656974[[#This Row],[Response]])=TRUE,1,0)=2,1,"")</f>
        <v>1</v>
      </c>
      <c r="K7" s="6" t="str">
        <f>IF(IF(Table442466656974[[#This Row],[Pre or Post]]="Pre",1,0)+IF(ISNUMBER(Table442466656974[[#This Row],[Response]])=TRUE,1,0)=2,Table442466656974[[#This Row],[Response]],"")</f>
        <v/>
      </c>
      <c r="L7" s="6">
        <f>IF(IF(Table442466656974[[#This Row],[Pre or Post]]="Post",1,0)+IF(ISNUMBER(Table442466656974[[#This Row],[Response]])=TRUE,1,0)=2,Table442466656974[[#This Row],[Response]],"")</f>
        <v>3</v>
      </c>
      <c r="M7" s="5" t="str">
        <f>IF(IF(ISNUMBER(K7),1,0)+IF(ISNUMBER(L8),1,0)=2,IF(IF(C8=C7,1,0)+IF(B8=B7,1,0)+IF(D8="Post",1,0)+IF(D7="Pre",1,0)=4,Table442466656974[[#This Row],[Pre Total]],""),"")</f>
        <v/>
      </c>
      <c r="N7" s="5" t="str">
        <f>IF(IF(ISNUMBER(K6),1,0)+IF(ISNUMBER(Table442466656974[[#This Row],[Post Total]]),1,0)=2,IF(IF(Table442466656974[[#This Row],[Student Number]]=C6,1,0)+IF(Table442466656974[[#This Row],[Session]]=B6,1,0)+IF(Table442466656974[[#This Row],[Pre or Post]]="Post",1,0)+IF(D6="Pre",1,0)=4,Table442466656974[[#This Row],[Post Total]],""),"")</f>
        <v/>
      </c>
      <c r="O7" s="5" t="str">
        <f>IF(IF(ISNUMBER(K6),1,0)+IF(ISNUMBER(Table442466656974[[#This Row],[Post Total]]),1,0)=2,IF(IF(Table442466656974[[#This Row],[Student Number]]=C6,1,0)+IF(Table442466656974[[#This Row],[Session]]=B6,1,0)+IF(Table442466656974[[#This Row],[Pre or Post]]="Post",1,0)+IF(D6="Pre",1,0)=4,Table442466656974[[#This Row],[Post Total]]-K6,""),"")</f>
        <v/>
      </c>
      <c r="P7" s="5" t="b">
        <f>ISNUMBER(Table442466656974[[#This Row],[Change]])</f>
        <v>0</v>
      </c>
      <c r="Q7" s="5" t="str">
        <f>IF(E6="Yes",Table442466656974[[#This Row],[Change]],"")</f>
        <v/>
      </c>
      <c r="R7" s="5" t="str">
        <f>IF(E6="No",Table442466656974[[#This Row],[Change]],"")</f>
        <v/>
      </c>
      <c r="S7" s="5" t="b">
        <f>ISNUMBER(Table442466656974[[#This Row],[If Pre5 Yes]])</f>
        <v>0</v>
      </c>
      <c r="T7" s="5" t="b">
        <f>ISNUMBER(Table442466656974[[#This Row],[If Pre5 No]])</f>
        <v>0</v>
      </c>
    </row>
    <row r="8" spans="1:20">
      <c r="A8" s="2" t="s">
        <v>12</v>
      </c>
      <c r="B8" s="2" t="s">
        <v>5</v>
      </c>
      <c r="C8" s="1">
        <v>7</v>
      </c>
      <c r="D8" s="2" t="s">
        <v>16</v>
      </c>
      <c r="E8" s="5"/>
      <c r="F8" s="1">
        <v>2</v>
      </c>
      <c r="G8" s="1">
        <v>3</v>
      </c>
      <c r="H8" s="2" t="s">
        <v>9</v>
      </c>
      <c r="I8" s="5" t="str">
        <f>IF(IF(Table442466656974[[#This Row],[Pre or Post]]="Pre",1,0)+IF(ISNUMBER(Table442466656974[[#This Row],[Response]])=TRUE,1,0)=2,1,"")</f>
        <v/>
      </c>
      <c r="J8" s="5">
        <f>IF(IF(Table442466656974[[#This Row],[Pre or Post]]="Post",1,0)+IF(ISNUMBER(Table442466656974[[#This Row],[Response]])=TRUE,1,0)=2,1,"")</f>
        <v>1</v>
      </c>
      <c r="K8" s="6" t="str">
        <f>IF(IF(Table442466656974[[#This Row],[Pre or Post]]="Pre",1,0)+IF(ISNUMBER(Table442466656974[[#This Row],[Response]])=TRUE,1,0)=2,Table442466656974[[#This Row],[Response]],"")</f>
        <v/>
      </c>
      <c r="L8" s="6">
        <f>IF(IF(Table442466656974[[#This Row],[Pre or Post]]="Post",1,0)+IF(ISNUMBER(Table442466656974[[#This Row],[Response]])=TRUE,1,0)=2,Table442466656974[[#This Row],[Response]],"")</f>
        <v>3</v>
      </c>
      <c r="M8" s="5" t="str">
        <f>IF(IF(ISNUMBER(K8),1,0)+IF(ISNUMBER(L9),1,0)=2,IF(IF(C9=C8,1,0)+IF(B9=B8,1,0)+IF(D9="Post",1,0)+IF(D8="Pre",1,0)=4,Table442466656974[[#This Row],[Pre Total]],""),"")</f>
        <v/>
      </c>
      <c r="N8" s="5" t="str">
        <f>IF(IF(ISNUMBER(K7),1,0)+IF(ISNUMBER(Table442466656974[[#This Row],[Post Total]]),1,0)=2,IF(IF(Table442466656974[[#This Row],[Student Number]]=C7,1,0)+IF(Table442466656974[[#This Row],[Session]]=B7,1,0)+IF(Table442466656974[[#This Row],[Pre or Post]]="Post",1,0)+IF(D7="Pre",1,0)=4,Table442466656974[[#This Row],[Post Total]],""),"")</f>
        <v/>
      </c>
      <c r="O8" s="5" t="str">
        <f>IF(IF(ISNUMBER(K7),1,0)+IF(ISNUMBER(Table442466656974[[#This Row],[Post Total]]),1,0)=2,IF(IF(Table442466656974[[#This Row],[Student Number]]=C7,1,0)+IF(Table442466656974[[#This Row],[Session]]=B7,1,0)+IF(Table442466656974[[#This Row],[Pre or Post]]="Post",1,0)+IF(D7="Pre",1,0)=4,Table442466656974[[#This Row],[Post Total]]-K7,""),"")</f>
        <v/>
      </c>
      <c r="P8" s="5" t="b">
        <f>ISNUMBER(Table442466656974[[#This Row],[Change]])</f>
        <v>0</v>
      </c>
      <c r="Q8" s="5" t="str">
        <f>IF(E7="Yes",Table442466656974[[#This Row],[Change]],"")</f>
        <v/>
      </c>
      <c r="R8" s="5" t="str">
        <f>IF(E7="No",Table442466656974[[#This Row],[Change]],"")</f>
        <v/>
      </c>
      <c r="S8" s="5" t="b">
        <f>ISNUMBER(Table442466656974[[#This Row],[If Pre5 Yes]])</f>
        <v>0</v>
      </c>
      <c r="T8" s="5" t="b">
        <f>ISNUMBER(Table442466656974[[#This Row],[If Pre5 No]])</f>
        <v>0</v>
      </c>
    </row>
    <row r="9" spans="1:20">
      <c r="A9" s="2" t="s">
        <v>12</v>
      </c>
      <c r="B9" s="2" t="s">
        <v>5</v>
      </c>
      <c r="C9" s="1">
        <v>8</v>
      </c>
      <c r="D9" s="2" t="s">
        <v>16</v>
      </c>
      <c r="E9" s="5"/>
      <c r="F9" s="1">
        <v>2</v>
      </c>
      <c r="G9" s="1">
        <v>3</v>
      </c>
      <c r="H9" s="2" t="s">
        <v>9</v>
      </c>
      <c r="I9" s="5" t="str">
        <f>IF(IF(Table442466656974[[#This Row],[Pre or Post]]="Pre",1,0)+IF(ISNUMBER(Table442466656974[[#This Row],[Response]])=TRUE,1,0)=2,1,"")</f>
        <v/>
      </c>
      <c r="J9" s="5">
        <f>IF(IF(Table442466656974[[#This Row],[Pre or Post]]="Post",1,0)+IF(ISNUMBER(Table442466656974[[#This Row],[Response]])=TRUE,1,0)=2,1,"")</f>
        <v>1</v>
      </c>
      <c r="K9" s="6" t="str">
        <f>IF(IF(Table442466656974[[#This Row],[Pre or Post]]="Pre",1,0)+IF(ISNUMBER(Table442466656974[[#This Row],[Response]])=TRUE,1,0)=2,Table442466656974[[#This Row],[Response]],"")</f>
        <v/>
      </c>
      <c r="L9" s="6">
        <f>IF(IF(Table442466656974[[#This Row],[Pre or Post]]="Post",1,0)+IF(ISNUMBER(Table442466656974[[#This Row],[Response]])=TRUE,1,0)=2,Table442466656974[[#This Row],[Response]],"")</f>
        <v>3</v>
      </c>
      <c r="M9" s="5" t="str">
        <f>IF(IF(ISNUMBER(K9),1,0)+IF(ISNUMBER(L10),1,0)=2,IF(IF(C10=C9,1,0)+IF(B10=B9,1,0)+IF(D10="Post",1,0)+IF(D9="Pre",1,0)=4,Table442466656974[[#This Row],[Pre Total]],""),"")</f>
        <v/>
      </c>
      <c r="N9" s="5" t="str">
        <f>IF(IF(ISNUMBER(K8),1,0)+IF(ISNUMBER(Table442466656974[[#This Row],[Post Total]]),1,0)=2,IF(IF(Table442466656974[[#This Row],[Student Number]]=C8,1,0)+IF(Table442466656974[[#This Row],[Session]]=B8,1,0)+IF(Table442466656974[[#This Row],[Pre or Post]]="Post",1,0)+IF(D8="Pre",1,0)=4,Table442466656974[[#This Row],[Post Total]],""),"")</f>
        <v/>
      </c>
      <c r="O9" s="5" t="str">
        <f>IF(IF(ISNUMBER(K8),1,0)+IF(ISNUMBER(Table442466656974[[#This Row],[Post Total]]),1,0)=2,IF(IF(Table442466656974[[#This Row],[Student Number]]=C8,1,0)+IF(Table442466656974[[#This Row],[Session]]=B8,1,0)+IF(Table442466656974[[#This Row],[Pre or Post]]="Post",1,0)+IF(D8="Pre",1,0)=4,Table442466656974[[#This Row],[Post Total]]-K8,""),"")</f>
        <v/>
      </c>
      <c r="P9" s="5" t="b">
        <f>ISNUMBER(Table442466656974[[#This Row],[Change]])</f>
        <v>0</v>
      </c>
      <c r="Q9" s="5" t="str">
        <f>IF(E8="Yes",Table442466656974[[#This Row],[Change]],"")</f>
        <v/>
      </c>
      <c r="R9" s="5" t="str">
        <f>IF(E8="No",Table442466656974[[#This Row],[Change]],"")</f>
        <v/>
      </c>
      <c r="S9" s="5" t="b">
        <f>ISNUMBER(Table442466656974[[#This Row],[If Pre5 Yes]])</f>
        <v>0</v>
      </c>
      <c r="T9" s="5" t="b">
        <f>ISNUMBER(Table442466656974[[#This Row],[If Pre5 No]])</f>
        <v>0</v>
      </c>
    </row>
    <row r="10" spans="1:20">
      <c r="A10" s="2" t="s">
        <v>12</v>
      </c>
      <c r="B10" s="2" t="s">
        <v>5</v>
      </c>
      <c r="C10" s="1">
        <v>9</v>
      </c>
      <c r="D10" s="2" t="s">
        <v>16</v>
      </c>
      <c r="E10" s="5"/>
      <c r="F10" s="1">
        <v>2</v>
      </c>
      <c r="G10" s="1">
        <v>4</v>
      </c>
      <c r="H10" s="2" t="s">
        <v>9</v>
      </c>
      <c r="I10" s="6" t="str">
        <f>IF(IF(Table442466656974[[#This Row],[Pre or Post]]="Pre",1,0)+IF(ISNUMBER(Table442466656974[[#This Row],[Response]])=TRUE,1,0)=2,1,"")</f>
        <v/>
      </c>
      <c r="J10" s="6">
        <f>IF(IF(Table442466656974[[#This Row],[Pre or Post]]="Post",1,0)+IF(ISNUMBER(Table442466656974[[#This Row],[Response]])=TRUE,1,0)=2,1,"")</f>
        <v>1</v>
      </c>
      <c r="K10" s="6" t="str">
        <f>IF(IF(Table442466656974[[#This Row],[Pre or Post]]="Pre",1,0)+IF(ISNUMBER(Table442466656974[[#This Row],[Response]])=TRUE,1,0)=2,Table442466656974[[#This Row],[Response]],"")</f>
        <v/>
      </c>
      <c r="L10" s="6">
        <f>IF(IF(Table442466656974[[#This Row],[Pre or Post]]="Post",1,0)+IF(ISNUMBER(Table442466656974[[#This Row],[Response]])=TRUE,1,0)=2,Table442466656974[[#This Row],[Response]],"")</f>
        <v>4</v>
      </c>
      <c r="M10" s="6" t="str">
        <f>IF(IF(ISNUMBER(K10),1,0)+IF(ISNUMBER(L11),1,0)=2,IF(IF(C11=C10,1,0)+IF(B11=B10,1,0)+IF(D11="Post",1,0)+IF(D10="Pre",1,0)=4,Table442466656974[[#This Row],[Pre Total]],""),"")</f>
        <v/>
      </c>
      <c r="N10" s="6" t="str">
        <f>IF(IF(ISNUMBER(K9),1,0)+IF(ISNUMBER(Table442466656974[[#This Row],[Post Total]]),1,0)=2,IF(IF(Table442466656974[[#This Row],[Student Number]]=C9,1,0)+IF(Table442466656974[[#This Row],[Session]]=B9,1,0)+IF(Table442466656974[[#This Row],[Pre or Post]]="Post",1,0)+IF(D9="Pre",1,0)=4,Table442466656974[[#This Row],[Post Total]],""),"")</f>
        <v/>
      </c>
      <c r="O10" s="6" t="str">
        <f>IF(IF(ISNUMBER(K9),1,0)+IF(ISNUMBER(Table442466656974[[#This Row],[Post Total]]),1,0)=2,IF(IF(Table442466656974[[#This Row],[Student Number]]=C9,1,0)+IF(Table442466656974[[#This Row],[Session]]=B9,1,0)+IF(Table442466656974[[#This Row],[Pre or Post]]="Post",1,0)+IF(D9="Pre",1,0)=4,Table442466656974[[#This Row],[Post Total]]-K9,""),"")</f>
        <v/>
      </c>
      <c r="P10" s="6" t="b">
        <f>ISNUMBER(Table442466656974[[#This Row],[Change]])</f>
        <v>0</v>
      </c>
      <c r="Q10" s="5" t="str">
        <f>IF(E9="Yes",Table442466656974[[#This Row],[Change]],"")</f>
        <v/>
      </c>
      <c r="R10" s="5" t="str">
        <f>IF(E9="No",Table442466656974[[#This Row],[Change]],"")</f>
        <v/>
      </c>
      <c r="S10" s="5" t="b">
        <f>ISNUMBER(Table442466656974[[#This Row],[If Pre5 Yes]])</f>
        <v>0</v>
      </c>
      <c r="T10" s="5" t="b">
        <f>ISNUMBER(Table442466656974[[#This Row],[If Pre5 No]])</f>
        <v>0</v>
      </c>
    </row>
    <row r="11" spans="1:20">
      <c r="A11" s="2" t="s">
        <v>12</v>
      </c>
      <c r="B11" s="2" t="s">
        <v>5</v>
      </c>
      <c r="C11" s="1">
        <v>10</v>
      </c>
      <c r="D11" s="2" t="s">
        <v>16</v>
      </c>
      <c r="E11" s="5"/>
      <c r="F11" s="1">
        <v>2</v>
      </c>
      <c r="G11" s="1">
        <v>4</v>
      </c>
      <c r="H11" s="2" t="s">
        <v>9</v>
      </c>
      <c r="I11" s="5" t="str">
        <f>IF(IF(Table442466656974[[#This Row],[Pre or Post]]="Pre",1,0)+IF(ISNUMBER(Table442466656974[[#This Row],[Response]])=TRUE,1,0)=2,1,"")</f>
        <v/>
      </c>
      <c r="J11" s="5">
        <f>IF(IF(Table442466656974[[#This Row],[Pre or Post]]="Post",1,0)+IF(ISNUMBER(Table442466656974[[#This Row],[Response]])=TRUE,1,0)=2,1,"")</f>
        <v>1</v>
      </c>
      <c r="K11" s="6" t="str">
        <f>IF(IF(Table442466656974[[#This Row],[Pre or Post]]="Pre",1,0)+IF(ISNUMBER(Table442466656974[[#This Row],[Response]])=TRUE,1,0)=2,Table442466656974[[#This Row],[Response]],"")</f>
        <v/>
      </c>
      <c r="L11" s="6">
        <f>IF(IF(Table442466656974[[#This Row],[Pre or Post]]="Post",1,0)+IF(ISNUMBER(Table442466656974[[#This Row],[Response]])=TRUE,1,0)=2,Table442466656974[[#This Row],[Response]],"")</f>
        <v>4</v>
      </c>
      <c r="M11" s="5" t="str">
        <f>IF(IF(ISNUMBER(K11),1,0)+IF(ISNUMBER(L12),1,0)=2,IF(IF(C12=C11,1,0)+IF(B12=B11,1,0)+IF(D12="Post",1,0)+IF(D11="Pre",1,0)=4,Table442466656974[[#This Row],[Pre Total]],""),"")</f>
        <v/>
      </c>
      <c r="N11" s="5" t="str">
        <f>IF(IF(ISNUMBER(K10),1,0)+IF(ISNUMBER(Table442466656974[[#This Row],[Post Total]]),1,0)=2,IF(IF(Table442466656974[[#This Row],[Student Number]]=C10,1,0)+IF(Table442466656974[[#This Row],[Session]]=B10,1,0)+IF(Table442466656974[[#This Row],[Pre or Post]]="Post",1,0)+IF(D10="Pre",1,0)=4,Table442466656974[[#This Row],[Post Total]],""),"")</f>
        <v/>
      </c>
      <c r="O11" s="5" t="str">
        <f>IF(IF(ISNUMBER(K10),1,0)+IF(ISNUMBER(Table442466656974[[#This Row],[Post Total]]),1,0)=2,IF(IF(Table442466656974[[#This Row],[Student Number]]=C10,1,0)+IF(Table442466656974[[#This Row],[Session]]=B10,1,0)+IF(Table442466656974[[#This Row],[Pre or Post]]="Post",1,0)+IF(D10="Pre",1,0)=4,Table442466656974[[#This Row],[Post Total]]-K10,""),"")</f>
        <v/>
      </c>
      <c r="P11" s="5" t="b">
        <f>ISNUMBER(Table442466656974[[#This Row],[Change]])</f>
        <v>0</v>
      </c>
      <c r="Q11" s="5" t="str">
        <f>IF(E10="Yes",Table442466656974[[#This Row],[Change]],"")</f>
        <v/>
      </c>
      <c r="R11" s="5" t="str">
        <f>IF(E10="No",Table442466656974[[#This Row],[Change]],"")</f>
        <v/>
      </c>
      <c r="S11" s="5" t="b">
        <f>ISNUMBER(Table442466656974[[#This Row],[If Pre5 Yes]])</f>
        <v>0</v>
      </c>
      <c r="T11" s="5" t="b">
        <f>ISNUMBER(Table442466656974[[#This Row],[If Pre5 No]])</f>
        <v>0</v>
      </c>
    </row>
    <row r="12" spans="1:20">
      <c r="A12" s="2" t="s">
        <v>12</v>
      </c>
      <c r="B12" s="2" t="s">
        <v>5</v>
      </c>
      <c r="C12" s="1">
        <v>11</v>
      </c>
      <c r="D12" s="2" t="s">
        <v>16</v>
      </c>
      <c r="E12" s="5"/>
      <c r="F12" s="1">
        <v>2</v>
      </c>
      <c r="G12" s="1">
        <v>4</v>
      </c>
      <c r="H12" s="2" t="s">
        <v>9</v>
      </c>
      <c r="I12" s="5" t="str">
        <f>IF(IF(Table442466656974[[#This Row],[Pre or Post]]="Pre",1,0)+IF(ISNUMBER(Table442466656974[[#This Row],[Response]])=TRUE,1,0)=2,1,"")</f>
        <v/>
      </c>
      <c r="J12" s="5">
        <f>IF(IF(Table442466656974[[#This Row],[Pre or Post]]="Post",1,0)+IF(ISNUMBER(Table442466656974[[#This Row],[Response]])=TRUE,1,0)=2,1,"")</f>
        <v>1</v>
      </c>
      <c r="K12" s="6" t="str">
        <f>IF(IF(Table442466656974[[#This Row],[Pre or Post]]="Pre",1,0)+IF(ISNUMBER(Table442466656974[[#This Row],[Response]])=TRUE,1,0)=2,Table442466656974[[#This Row],[Response]],"")</f>
        <v/>
      </c>
      <c r="L12" s="6">
        <f>IF(IF(Table442466656974[[#This Row],[Pre or Post]]="Post",1,0)+IF(ISNUMBER(Table442466656974[[#This Row],[Response]])=TRUE,1,0)=2,Table442466656974[[#This Row],[Response]],"")</f>
        <v>4</v>
      </c>
      <c r="M12" s="5" t="str">
        <f>IF(IF(ISNUMBER(K12),1,0)+IF(ISNUMBER(L13),1,0)=2,IF(IF(C13=C12,1,0)+IF(B13=B12,1,0)+IF(D13="Post",1,0)+IF(D12="Pre",1,0)=4,Table442466656974[[#This Row],[Pre Total]],""),"")</f>
        <v/>
      </c>
      <c r="N12" s="5" t="str">
        <f>IF(IF(ISNUMBER(K11),1,0)+IF(ISNUMBER(Table442466656974[[#This Row],[Post Total]]),1,0)=2,IF(IF(Table442466656974[[#This Row],[Student Number]]=C11,1,0)+IF(Table442466656974[[#This Row],[Session]]=B11,1,0)+IF(Table442466656974[[#This Row],[Pre or Post]]="Post",1,0)+IF(D11="Pre",1,0)=4,Table442466656974[[#This Row],[Post Total]],""),"")</f>
        <v/>
      </c>
      <c r="O12" s="5" t="str">
        <f>IF(IF(ISNUMBER(K11),1,0)+IF(ISNUMBER(Table442466656974[[#This Row],[Post Total]]),1,0)=2,IF(IF(Table442466656974[[#This Row],[Student Number]]=C11,1,0)+IF(Table442466656974[[#This Row],[Session]]=B11,1,0)+IF(Table442466656974[[#This Row],[Pre or Post]]="Post",1,0)+IF(D11="Pre",1,0)=4,Table442466656974[[#This Row],[Post Total]]-K11,""),"")</f>
        <v/>
      </c>
      <c r="P12" s="5" t="b">
        <f>ISNUMBER(Table442466656974[[#This Row],[Change]])</f>
        <v>0</v>
      </c>
      <c r="Q12" s="5" t="str">
        <f>IF(E11="Yes",Table442466656974[[#This Row],[Change]],"")</f>
        <v/>
      </c>
      <c r="R12" s="5" t="str">
        <f>IF(E11="No",Table442466656974[[#This Row],[Change]],"")</f>
        <v/>
      </c>
      <c r="S12" s="5" t="b">
        <f>ISNUMBER(Table442466656974[[#This Row],[If Pre5 Yes]])</f>
        <v>0</v>
      </c>
      <c r="T12" s="5" t="b">
        <f>ISNUMBER(Table442466656974[[#This Row],[If Pre5 No]])</f>
        <v>0</v>
      </c>
    </row>
    <row r="13" spans="1:20">
      <c r="A13" s="2" t="s">
        <v>12</v>
      </c>
      <c r="B13" s="2" t="s">
        <v>5</v>
      </c>
      <c r="C13" s="1">
        <v>12</v>
      </c>
      <c r="D13" s="2" t="s">
        <v>16</v>
      </c>
      <c r="E13" s="5"/>
      <c r="F13" s="1">
        <v>2</v>
      </c>
      <c r="G13" s="1">
        <v>3</v>
      </c>
      <c r="H13" s="2" t="s">
        <v>9</v>
      </c>
      <c r="I13" s="5" t="str">
        <f>IF(IF(Table442466656974[[#This Row],[Pre or Post]]="Pre",1,0)+IF(ISNUMBER(Table442466656974[[#This Row],[Response]])=TRUE,1,0)=2,1,"")</f>
        <v/>
      </c>
      <c r="J13" s="5">
        <f>IF(IF(Table442466656974[[#This Row],[Pre or Post]]="Post",1,0)+IF(ISNUMBER(Table442466656974[[#This Row],[Response]])=TRUE,1,0)=2,1,"")</f>
        <v>1</v>
      </c>
      <c r="K13" s="6" t="str">
        <f>IF(IF(Table442466656974[[#This Row],[Pre or Post]]="Pre",1,0)+IF(ISNUMBER(Table442466656974[[#This Row],[Response]])=TRUE,1,0)=2,Table442466656974[[#This Row],[Response]],"")</f>
        <v/>
      </c>
      <c r="L13" s="6">
        <f>IF(IF(Table442466656974[[#This Row],[Pre or Post]]="Post",1,0)+IF(ISNUMBER(Table442466656974[[#This Row],[Response]])=TRUE,1,0)=2,Table442466656974[[#This Row],[Response]],"")</f>
        <v>3</v>
      </c>
      <c r="M13" s="5" t="str">
        <f>IF(IF(ISNUMBER(K13),1,0)+IF(ISNUMBER(L14),1,0)=2,IF(IF(C14=C13,1,0)+IF(B14=B13,1,0)+IF(D14="Post",1,0)+IF(D13="Pre",1,0)=4,Table442466656974[[#This Row],[Pre Total]],""),"")</f>
        <v/>
      </c>
      <c r="N13" s="5" t="str">
        <f>IF(IF(ISNUMBER(K12),1,0)+IF(ISNUMBER(Table442466656974[[#This Row],[Post Total]]),1,0)=2,IF(IF(Table442466656974[[#This Row],[Student Number]]=C12,1,0)+IF(Table442466656974[[#This Row],[Session]]=B12,1,0)+IF(Table442466656974[[#This Row],[Pre or Post]]="Post",1,0)+IF(D12="Pre",1,0)=4,Table442466656974[[#This Row],[Post Total]],""),"")</f>
        <v/>
      </c>
      <c r="O13" s="5" t="str">
        <f>IF(IF(ISNUMBER(K12),1,0)+IF(ISNUMBER(Table442466656974[[#This Row],[Post Total]]),1,0)=2,IF(IF(Table442466656974[[#This Row],[Student Number]]=C12,1,0)+IF(Table442466656974[[#This Row],[Session]]=B12,1,0)+IF(Table442466656974[[#This Row],[Pre or Post]]="Post",1,0)+IF(D12="Pre",1,0)=4,Table442466656974[[#This Row],[Post Total]]-K12,""),"")</f>
        <v/>
      </c>
      <c r="P13" s="5" t="b">
        <f>ISNUMBER(Table442466656974[[#This Row],[Change]])</f>
        <v>0</v>
      </c>
      <c r="Q13" s="5" t="str">
        <f>IF(E12="Yes",Table442466656974[[#This Row],[Change]],"")</f>
        <v/>
      </c>
      <c r="R13" s="5" t="str">
        <f>IF(E12="No",Table442466656974[[#This Row],[Change]],"")</f>
        <v/>
      </c>
      <c r="S13" s="5" t="b">
        <f>ISNUMBER(Table442466656974[[#This Row],[If Pre5 Yes]])</f>
        <v>0</v>
      </c>
      <c r="T13" s="5" t="b">
        <f>ISNUMBER(Table442466656974[[#This Row],[If Pre5 No]])</f>
        <v>0</v>
      </c>
    </row>
    <row r="14" spans="1:20">
      <c r="A14" s="2" t="s">
        <v>12</v>
      </c>
      <c r="B14" s="2" t="s">
        <v>5</v>
      </c>
      <c r="C14" s="1">
        <v>13</v>
      </c>
      <c r="D14" s="2" t="s">
        <v>16</v>
      </c>
      <c r="E14" s="5"/>
      <c r="F14" s="1">
        <v>2</v>
      </c>
      <c r="G14" s="1">
        <v>3</v>
      </c>
      <c r="H14" s="2" t="s">
        <v>9</v>
      </c>
      <c r="I14" s="6" t="str">
        <f>IF(IF(Table442466656974[[#This Row],[Pre or Post]]="Pre",1,0)+IF(ISNUMBER(Table442466656974[[#This Row],[Response]])=TRUE,1,0)=2,1,"")</f>
        <v/>
      </c>
      <c r="J14" s="6">
        <f>IF(IF(Table442466656974[[#This Row],[Pre or Post]]="Post",1,0)+IF(ISNUMBER(Table442466656974[[#This Row],[Response]])=TRUE,1,0)=2,1,"")</f>
        <v>1</v>
      </c>
      <c r="K14" s="6" t="str">
        <f>IF(IF(Table442466656974[[#This Row],[Pre or Post]]="Pre",1,0)+IF(ISNUMBER(Table442466656974[[#This Row],[Response]])=TRUE,1,0)=2,Table442466656974[[#This Row],[Response]],"")</f>
        <v/>
      </c>
      <c r="L14" s="6">
        <f>IF(IF(Table442466656974[[#This Row],[Pre or Post]]="Post",1,0)+IF(ISNUMBER(Table442466656974[[#This Row],[Response]])=TRUE,1,0)=2,Table442466656974[[#This Row],[Response]],"")</f>
        <v>3</v>
      </c>
      <c r="M14" s="6" t="str">
        <f>IF(IF(ISNUMBER(K14),1,0)+IF(ISNUMBER(L15),1,0)=2,IF(IF(C15=C14,1,0)+IF(B15=B14,1,0)+IF(D15="Post",1,0)+IF(D14="Pre",1,0)=4,Table442466656974[[#This Row],[Pre Total]],""),"")</f>
        <v/>
      </c>
      <c r="N14" s="6" t="str">
        <f>IF(IF(ISNUMBER(K13),1,0)+IF(ISNUMBER(Table442466656974[[#This Row],[Post Total]]),1,0)=2,IF(IF(Table442466656974[[#This Row],[Student Number]]=C13,1,0)+IF(Table442466656974[[#This Row],[Session]]=B13,1,0)+IF(Table442466656974[[#This Row],[Pre or Post]]="Post",1,0)+IF(D13="Pre",1,0)=4,Table442466656974[[#This Row],[Post Total]],""),"")</f>
        <v/>
      </c>
      <c r="O14" s="6" t="str">
        <f>IF(IF(ISNUMBER(K13),1,0)+IF(ISNUMBER(Table442466656974[[#This Row],[Post Total]]),1,0)=2,IF(IF(Table442466656974[[#This Row],[Student Number]]=C13,1,0)+IF(Table442466656974[[#This Row],[Session]]=B13,1,0)+IF(Table442466656974[[#This Row],[Pre or Post]]="Post",1,0)+IF(D13="Pre",1,0)=4,Table442466656974[[#This Row],[Post Total]]-K13,""),"")</f>
        <v/>
      </c>
      <c r="P14" s="6" t="b">
        <f>ISNUMBER(Table442466656974[[#This Row],[Change]])</f>
        <v>0</v>
      </c>
      <c r="Q14" s="5" t="str">
        <f>IF(E13="Yes",Table442466656974[[#This Row],[Change]],"")</f>
        <v/>
      </c>
      <c r="R14" s="5" t="str">
        <f>IF(E13="No",Table442466656974[[#This Row],[Change]],"")</f>
        <v/>
      </c>
      <c r="S14" s="5" t="b">
        <f>ISNUMBER(Table442466656974[[#This Row],[If Pre5 Yes]])</f>
        <v>0</v>
      </c>
      <c r="T14" s="5" t="b">
        <f>ISNUMBER(Table442466656974[[#This Row],[If Pre5 No]])</f>
        <v>0</v>
      </c>
    </row>
    <row r="15" spans="1:20">
      <c r="A15" s="2" t="s">
        <v>12</v>
      </c>
      <c r="B15" s="2" t="s">
        <v>5</v>
      </c>
      <c r="C15" s="1">
        <v>14</v>
      </c>
      <c r="D15" s="2" t="s">
        <v>16</v>
      </c>
      <c r="E15" s="5"/>
      <c r="F15" s="1">
        <v>2</v>
      </c>
      <c r="G15" s="1">
        <v>2</v>
      </c>
      <c r="H15" s="2" t="s">
        <v>9</v>
      </c>
      <c r="I15" s="5" t="str">
        <f>IF(IF(Table442466656974[[#This Row],[Pre or Post]]="Pre",1,0)+IF(ISNUMBER(Table442466656974[[#This Row],[Response]])=TRUE,1,0)=2,1,"")</f>
        <v/>
      </c>
      <c r="J15" s="5">
        <f>IF(IF(Table442466656974[[#This Row],[Pre or Post]]="Post",1,0)+IF(ISNUMBER(Table442466656974[[#This Row],[Response]])=TRUE,1,0)=2,1,"")</f>
        <v>1</v>
      </c>
      <c r="K15" s="6" t="str">
        <f>IF(IF(Table442466656974[[#This Row],[Pre or Post]]="Pre",1,0)+IF(ISNUMBER(Table442466656974[[#This Row],[Response]])=TRUE,1,0)=2,Table442466656974[[#This Row],[Response]],"")</f>
        <v/>
      </c>
      <c r="L15" s="6">
        <f>IF(IF(Table442466656974[[#This Row],[Pre or Post]]="Post",1,0)+IF(ISNUMBER(Table442466656974[[#This Row],[Response]])=TRUE,1,0)=2,Table442466656974[[#This Row],[Response]],"")</f>
        <v>2</v>
      </c>
      <c r="M15" s="5" t="str">
        <f>IF(IF(ISNUMBER(K15),1,0)+IF(ISNUMBER(L16),1,0)=2,IF(IF(C16=C15,1,0)+IF(B16=B15,1,0)+IF(D16="Post",1,0)+IF(D15="Pre",1,0)=4,Table442466656974[[#This Row],[Pre Total]],""),"")</f>
        <v/>
      </c>
      <c r="N15" s="5" t="str">
        <f>IF(IF(ISNUMBER(K14),1,0)+IF(ISNUMBER(Table442466656974[[#This Row],[Post Total]]),1,0)=2,IF(IF(Table442466656974[[#This Row],[Student Number]]=C14,1,0)+IF(Table442466656974[[#This Row],[Session]]=B14,1,0)+IF(Table442466656974[[#This Row],[Pre or Post]]="Post",1,0)+IF(D14="Pre",1,0)=4,Table442466656974[[#This Row],[Post Total]],""),"")</f>
        <v/>
      </c>
      <c r="O15" s="5" t="str">
        <f>IF(IF(ISNUMBER(K14),1,0)+IF(ISNUMBER(Table442466656974[[#This Row],[Post Total]]),1,0)=2,IF(IF(Table442466656974[[#This Row],[Student Number]]=C14,1,0)+IF(Table442466656974[[#This Row],[Session]]=B14,1,0)+IF(Table442466656974[[#This Row],[Pre or Post]]="Post",1,0)+IF(D14="Pre",1,0)=4,Table442466656974[[#This Row],[Post Total]]-K14,""),"")</f>
        <v/>
      </c>
      <c r="P15" s="5" t="b">
        <f>ISNUMBER(Table442466656974[[#This Row],[Change]])</f>
        <v>0</v>
      </c>
      <c r="Q15" s="5" t="str">
        <f>IF(E14="Yes",Table442466656974[[#This Row],[Change]],"")</f>
        <v/>
      </c>
      <c r="R15" s="5" t="str">
        <f>IF(E14="No",Table442466656974[[#This Row],[Change]],"")</f>
        <v/>
      </c>
      <c r="S15" s="5" t="b">
        <f>ISNUMBER(Table442466656974[[#This Row],[If Pre5 Yes]])</f>
        <v>0</v>
      </c>
      <c r="T15" s="5" t="b">
        <f>ISNUMBER(Table442466656974[[#This Row],[If Pre5 No]])</f>
        <v>0</v>
      </c>
    </row>
    <row r="16" spans="1:20">
      <c r="A16" s="2" t="s">
        <v>12</v>
      </c>
      <c r="B16" s="2" t="s">
        <v>5</v>
      </c>
      <c r="C16" s="1">
        <v>15</v>
      </c>
      <c r="D16" s="2" t="s">
        <v>16</v>
      </c>
      <c r="E16" s="5"/>
      <c r="F16" s="1">
        <v>2</v>
      </c>
      <c r="G16" s="1">
        <v>4</v>
      </c>
      <c r="H16" s="2" t="s">
        <v>9</v>
      </c>
      <c r="I16" s="5" t="str">
        <f>IF(IF(Table442466656974[[#This Row],[Pre or Post]]="Pre",1,0)+IF(ISNUMBER(Table442466656974[[#This Row],[Response]])=TRUE,1,0)=2,1,"")</f>
        <v/>
      </c>
      <c r="J16" s="5">
        <f>IF(IF(Table442466656974[[#This Row],[Pre or Post]]="Post",1,0)+IF(ISNUMBER(Table442466656974[[#This Row],[Response]])=TRUE,1,0)=2,1,"")</f>
        <v>1</v>
      </c>
      <c r="K16" s="6" t="str">
        <f>IF(IF(Table442466656974[[#This Row],[Pre or Post]]="Pre",1,0)+IF(ISNUMBER(Table442466656974[[#This Row],[Response]])=TRUE,1,0)=2,Table442466656974[[#This Row],[Response]],"")</f>
        <v/>
      </c>
      <c r="L16" s="6">
        <f>IF(IF(Table442466656974[[#This Row],[Pre or Post]]="Post",1,0)+IF(ISNUMBER(Table442466656974[[#This Row],[Response]])=TRUE,1,0)=2,Table442466656974[[#This Row],[Response]],"")</f>
        <v>4</v>
      </c>
      <c r="M16" s="5" t="str">
        <f>IF(IF(ISNUMBER(K16),1,0)+IF(ISNUMBER(L17),1,0)=2,IF(IF(C17=C16,1,0)+IF(B17=B16,1,0)+IF(D17="Post",1,0)+IF(D16="Pre",1,0)=4,Table442466656974[[#This Row],[Pre Total]],""),"")</f>
        <v/>
      </c>
      <c r="N16" s="5" t="str">
        <f>IF(IF(ISNUMBER(K15),1,0)+IF(ISNUMBER(Table442466656974[[#This Row],[Post Total]]),1,0)=2,IF(IF(Table442466656974[[#This Row],[Student Number]]=C15,1,0)+IF(Table442466656974[[#This Row],[Session]]=B15,1,0)+IF(Table442466656974[[#This Row],[Pre or Post]]="Post",1,0)+IF(D15="Pre",1,0)=4,Table442466656974[[#This Row],[Post Total]],""),"")</f>
        <v/>
      </c>
      <c r="O16" s="5" t="str">
        <f>IF(IF(ISNUMBER(K15),1,0)+IF(ISNUMBER(Table442466656974[[#This Row],[Post Total]]),1,0)=2,IF(IF(Table442466656974[[#This Row],[Student Number]]=C15,1,0)+IF(Table442466656974[[#This Row],[Session]]=B15,1,0)+IF(Table442466656974[[#This Row],[Pre or Post]]="Post",1,0)+IF(D15="Pre",1,0)=4,Table442466656974[[#This Row],[Post Total]]-K15,""),"")</f>
        <v/>
      </c>
      <c r="P16" s="5" t="b">
        <f>ISNUMBER(Table442466656974[[#This Row],[Change]])</f>
        <v>0</v>
      </c>
      <c r="Q16" s="5" t="str">
        <f>IF(E15="Yes",Table442466656974[[#This Row],[Change]],"")</f>
        <v/>
      </c>
      <c r="R16" s="5" t="str">
        <f>IF(E15="No",Table442466656974[[#This Row],[Change]],"")</f>
        <v/>
      </c>
      <c r="S16" s="5" t="b">
        <f>ISNUMBER(Table442466656974[[#This Row],[If Pre5 Yes]])</f>
        <v>0</v>
      </c>
      <c r="T16" s="5" t="b">
        <f>ISNUMBER(Table442466656974[[#This Row],[If Pre5 No]])</f>
        <v>0</v>
      </c>
    </row>
    <row r="17" spans="1:20">
      <c r="A17" s="2" t="s">
        <v>12</v>
      </c>
      <c r="B17" s="2" t="s">
        <v>5</v>
      </c>
      <c r="C17" s="1">
        <v>16</v>
      </c>
      <c r="D17" s="2" t="s">
        <v>16</v>
      </c>
      <c r="E17" s="5"/>
      <c r="F17" s="1">
        <v>2</v>
      </c>
      <c r="G17" s="1">
        <v>4</v>
      </c>
      <c r="H17" s="2" t="s">
        <v>9</v>
      </c>
      <c r="I17" s="5" t="str">
        <f>IF(IF(Table442466656974[[#This Row],[Pre or Post]]="Pre",1,0)+IF(ISNUMBER(Table442466656974[[#This Row],[Response]])=TRUE,1,0)=2,1,"")</f>
        <v/>
      </c>
      <c r="J17" s="5">
        <f>IF(IF(Table442466656974[[#This Row],[Pre or Post]]="Post",1,0)+IF(ISNUMBER(Table442466656974[[#This Row],[Response]])=TRUE,1,0)=2,1,"")</f>
        <v>1</v>
      </c>
      <c r="K17" s="6" t="str">
        <f>IF(IF(Table442466656974[[#This Row],[Pre or Post]]="Pre",1,0)+IF(ISNUMBER(Table442466656974[[#This Row],[Response]])=TRUE,1,0)=2,Table442466656974[[#This Row],[Response]],"")</f>
        <v/>
      </c>
      <c r="L17" s="6">
        <f>IF(IF(Table442466656974[[#This Row],[Pre or Post]]="Post",1,0)+IF(ISNUMBER(Table442466656974[[#This Row],[Response]])=TRUE,1,0)=2,Table442466656974[[#This Row],[Response]],"")</f>
        <v>4</v>
      </c>
      <c r="M17" s="5" t="str">
        <f>IF(IF(ISNUMBER(K17),1,0)+IF(ISNUMBER(L18),1,0)=2,IF(IF(C18=C17,1,0)+IF(B18=B17,1,0)+IF(D18="Post",1,0)+IF(D17="Pre",1,0)=4,Table442466656974[[#This Row],[Pre Total]],""),"")</f>
        <v/>
      </c>
      <c r="N17" s="5" t="str">
        <f>IF(IF(ISNUMBER(K16),1,0)+IF(ISNUMBER(Table442466656974[[#This Row],[Post Total]]),1,0)=2,IF(IF(Table442466656974[[#This Row],[Student Number]]=C16,1,0)+IF(Table442466656974[[#This Row],[Session]]=B16,1,0)+IF(Table442466656974[[#This Row],[Pre or Post]]="Post",1,0)+IF(D16="Pre",1,0)=4,Table442466656974[[#This Row],[Post Total]],""),"")</f>
        <v/>
      </c>
      <c r="O17" s="5" t="str">
        <f>IF(IF(ISNUMBER(K16),1,0)+IF(ISNUMBER(Table442466656974[[#This Row],[Post Total]]),1,0)=2,IF(IF(Table442466656974[[#This Row],[Student Number]]=C16,1,0)+IF(Table442466656974[[#This Row],[Session]]=B16,1,0)+IF(Table442466656974[[#This Row],[Pre or Post]]="Post",1,0)+IF(D16="Pre",1,0)=4,Table442466656974[[#This Row],[Post Total]]-K16,""),"")</f>
        <v/>
      </c>
      <c r="P17" s="5" t="b">
        <f>ISNUMBER(Table442466656974[[#This Row],[Change]])</f>
        <v>0</v>
      </c>
      <c r="Q17" s="5" t="str">
        <f>IF(E16="Yes",Table442466656974[[#This Row],[Change]],"")</f>
        <v/>
      </c>
      <c r="R17" s="5" t="str">
        <f>IF(E16="No",Table442466656974[[#This Row],[Change]],"")</f>
        <v/>
      </c>
      <c r="S17" s="5" t="b">
        <f>ISNUMBER(Table442466656974[[#This Row],[If Pre5 Yes]])</f>
        <v>0</v>
      </c>
      <c r="T17" s="5" t="b">
        <f>ISNUMBER(Table442466656974[[#This Row],[If Pre5 No]])</f>
        <v>0</v>
      </c>
    </row>
    <row r="18" spans="1:20">
      <c r="A18" s="2" t="s">
        <v>12</v>
      </c>
      <c r="B18" s="2" t="s">
        <v>5</v>
      </c>
      <c r="C18" s="1">
        <v>17</v>
      </c>
      <c r="D18" s="2" t="s">
        <v>16</v>
      </c>
      <c r="E18" s="5"/>
      <c r="F18" s="1">
        <v>2</v>
      </c>
      <c r="G18" s="1">
        <v>3</v>
      </c>
      <c r="H18" s="2" t="s">
        <v>9</v>
      </c>
      <c r="I18" s="6" t="str">
        <f>IF(IF(Table442466656974[[#This Row],[Pre or Post]]="Pre",1,0)+IF(ISNUMBER(Table442466656974[[#This Row],[Response]])=TRUE,1,0)=2,1,"")</f>
        <v/>
      </c>
      <c r="J18" s="6">
        <f>IF(IF(Table442466656974[[#This Row],[Pre or Post]]="Post",1,0)+IF(ISNUMBER(Table442466656974[[#This Row],[Response]])=TRUE,1,0)=2,1,"")</f>
        <v>1</v>
      </c>
      <c r="K18" s="6" t="str">
        <f>IF(IF(Table442466656974[[#This Row],[Pre or Post]]="Pre",1,0)+IF(ISNUMBER(Table442466656974[[#This Row],[Response]])=TRUE,1,0)=2,Table442466656974[[#This Row],[Response]],"")</f>
        <v/>
      </c>
      <c r="L18" s="6">
        <f>IF(IF(Table442466656974[[#This Row],[Pre or Post]]="Post",1,0)+IF(ISNUMBER(Table442466656974[[#This Row],[Response]])=TRUE,1,0)=2,Table442466656974[[#This Row],[Response]],"")</f>
        <v>3</v>
      </c>
      <c r="M18" s="6" t="str">
        <f>IF(IF(ISNUMBER(K18),1,0)+IF(ISNUMBER(L19),1,0)=2,IF(IF(C19=C18,1,0)+IF(B19=B18,1,0)+IF(D19="Post",1,0)+IF(D18="Pre",1,0)=4,Table442466656974[[#This Row],[Pre Total]],""),"")</f>
        <v/>
      </c>
      <c r="N18" s="6" t="str">
        <f>IF(IF(ISNUMBER(K17),1,0)+IF(ISNUMBER(Table442466656974[[#This Row],[Post Total]]),1,0)=2,IF(IF(Table442466656974[[#This Row],[Student Number]]=C17,1,0)+IF(Table442466656974[[#This Row],[Session]]=B17,1,0)+IF(Table442466656974[[#This Row],[Pre or Post]]="Post",1,0)+IF(D17="Pre",1,0)=4,Table442466656974[[#This Row],[Post Total]],""),"")</f>
        <v/>
      </c>
      <c r="O18" s="6" t="str">
        <f>IF(IF(ISNUMBER(K17),1,0)+IF(ISNUMBER(Table442466656974[[#This Row],[Post Total]]),1,0)=2,IF(IF(Table442466656974[[#This Row],[Student Number]]=C17,1,0)+IF(Table442466656974[[#This Row],[Session]]=B17,1,0)+IF(Table442466656974[[#This Row],[Pre or Post]]="Post",1,0)+IF(D17="Pre",1,0)=4,Table442466656974[[#This Row],[Post Total]]-K17,""),"")</f>
        <v/>
      </c>
      <c r="P18" s="6" t="b">
        <f>ISNUMBER(Table442466656974[[#This Row],[Change]])</f>
        <v>0</v>
      </c>
      <c r="Q18" s="5" t="str">
        <f>IF(E17="Yes",Table442466656974[[#This Row],[Change]],"")</f>
        <v/>
      </c>
      <c r="R18" s="5" t="str">
        <f>IF(E17="No",Table442466656974[[#This Row],[Change]],"")</f>
        <v/>
      </c>
      <c r="S18" s="5" t="b">
        <f>ISNUMBER(Table442466656974[[#This Row],[If Pre5 Yes]])</f>
        <v>0</v>
      </c>
      <c r="T18" s="5" t="b">
        <f>ISNUMBER(Table442466656974[[#This Row],[If Pre5 No]])</f>
        <v>0</v>
      </c>
    </row>
    <row r="19" spans="1:20">
      <c r="A19" s="2" t="s">
        <v>12</v>
      </c>
      <c r="B19" s="2" t="s">
        <v>5</v>
      </c>
      <c r="C19" s="1">
        <v>18</v>
      </c>
      <c r="D19" s="2" t="s">
        <v>16</v>
      </c>
      <c r="E19" s="5"/>
      <c r="F19" s="1">
        <v>2</v>
      </c>
      <c r="G19" s="1">
        <v>4</v>
      </c>
      <c r="H19" s="2" t="s">
        <v>9</v>
      </c>
      <c r="I19" s="5" t="str">
        <f>IF(IF(Table442466656974[[#This Row],[Pre or Post]]="Pre",1,0)+IF(ISNUMBER(Table442466656974[[#This Row],[Response]])=TRUE,1,0)=2,1,"")</f>
        <v/>
      </c>
      <c r="J19" s="5">
        <f>IF(IF(Table442466656974[[#This Row],[Pre or Post]]="Post",1,0)+IF(ISNUMBER(Table442466656974[[#This Row],[Response]])=TRUE,1,0)=2,1,"")</f>
        <v>1</v>
      </c>
      <c r="K19" s="6" t="str">
        <f>IF(IF(Table442466656974[[#This Row],[Pre or Post]]="Pre",1,0)+IF(ISNUMBER(Table442466656974[[#This Row],[Response]])=TRUE,1,0)=2,Table442466656974[[#This Row],[Response]],"")</f>
        <v/>
      </c>
      <c r="L19" s="6">
        <f>IF(IF(Table442466656974[[#This Row],[Pre or Post]]="Post",1,0)+IF(ISNUMBER(Table442466656974[[#This Row],[Response]])=TRUE,1,0)=2,Table442466656974[[#This Row],[Response]],"")</f>
        <v>4</v>
      </c>
      <c r="M19" s="5" t="str">
        <f>IF(IF(ISNUMBER(K19),1,0)+IF(ISNUMBER(L20),1,0)=2,IF(IF(C20=C19,1,0)+IF(B20=B19,1,0)+IF(D20="Post",1,0)+IF(D19="Pre",1,0)=4,Table442466656974[[#This Row],[Pre Total]],""),"")</f>
        <v/>
      </c>
      <c r="N19" s="5" t="str">
        <f>IF(IF(ISNUMBER(K18),1,0)+IF(ISNUMBER(Table442466656974[[#This Row],[Post Total]]),1,0)=2,IF(IF(Table442466656974[[#This Row],[Student Number]]=C18,1,0)+IF(Table442466656974[[#This Row],[Session]]=B18,1,0)+IF(Table442466656974[[#This Row],[Pre or Post]]="Post",1,0)+IF(D18="Pre",1,0)=4,Table442466656974[[#This Row],[Post Total]],""),"")</f>
        <v/>
      </c>
      <c r="O19" s="5" t="str">
        <f>IF(IF(ISNUMBER(K18),1,0)+IF(ISNUMBER(Table442466656974[[#This Row],[Post Total]]),1,0)=2,IF(IF(Table442466656974[[#This Row],[Student Number]]=C18,1,0)+IF(Table442466656974[[#This Row],[Session]]=B18,1,0)+IF(Table442466656974[[#This Row],[Pre or Post]]="Post",1,0)+IF(D18="Pre",1,0)=4,Table442466656974[[#This Row],[Post Total]]-K18,""),"")</f>
        <v/>
      </c>
      <c r="P19" s="5" t="b">
        <f>ISNUMBER(Table442466656974[[#This Row],[Change]])</f>
        <v>0</v>
      </c>
      <c r="Q19" s="5" t="str">
        <f>IF(E18="Yes",Table442466656974[[#This Row],[Change]],"")</f>
        <v/>
      </c>
      <c r="R19" s="5" t="str">
        <f>IF(E18="No",Table442466656974[[#This Row],[Change]],"")</f>
        <v/>
      </c>
      <c r="S19" s="5" t="b">
        <f>ISNUMBER(Table442466656974[[#This Row],[If Pre5 Yes]])</f>
        <v>0</v>
      </c>
      <c r="T19" s="5" t="b">
        <f>ISNUMBER(Table442466656974[[#This Row],[If Pre5 No]])</f>
        <v>0</v>
      </c>
    </row>
    <row r="20" spans="1:20">
      <c r="A20" s="2" t="s">
        <v>12</v>
      </c>
      <c r="B20" s="2" t="s">
        <v>5</v>
      </c>
      <c r="C20" s="2">
        <v>19</v>
      </c>
      <c r="D20" s="2" t="s">
        <v>16</v>
      </c>
      <c r="E20" s="5"/>
      <c r="F20" s="1">
        <v>2</v>
      </c>
      <c r="G20" s="2">
        <v>4</v>
      </c>
      <c r="H20" s="2" t="s">
        <v>9</v>
      </c>
      <c r="I20" s="5" t="str">
        <f>IF(IF(Table442466656974[[#This Row],[Pre or Post]]="Pre",1,0)+IF(ISNUMBER(Table442466656974[[#This Row],[Response]])=TRUE,1,0)=2,1,"")</f>
        <v/>
      </c>
      <c r="J20" s="5">
        <f>IF(IF(Table442466656974[[#This Row],[Pre or Post]]="Post",1,0)+IF(ISNUMBER(Table442466656974[[#This Row],[Response]])=TRUE,1,0)=2,1,"")</f>
        <v>1</v>
      </c>
      <c r="K20" s="6" t="str">
        <f>IF(IF(Table442466656974[[#This Row],[Pre or Post]]="Pre",1,0)+IF(ISNUMBER(Table442466656974[[#This Row],[Response]])=TRUE,1,0)=2,Table442466656974[[#This Row],[Response]],"")</f>
        <v/>
      </c>
      <c r="L20" s="6">
        <f>IF(IF(Table442466656974[[#This Row],[Pre or Post]]="Post",1,0)+IF(ISNUMBER(Table442466656974[[#This Row],[Response]])=TRUE,1,0)=2,Table442466656974[[#This Row],[Response]],"")</f>
        <v>4</v>
      </c>
      <c r="M20" s="5" t="str">
        <f>IF(IF(ISNUMBER(K20),1,0)+IF(ISNUMBER(L21),1,0)=2,IF(IF(C21=C20,1,0)+IF(B21=B20,1,0)+IF(D21="Post",1,0)+IF(D20="Pre",1,0)=4,Table442466656974[[#This Row],[Pre Total]],""),"")</f>
        <v/>
      </c>
      <c r="N20" s="5" t="str">
        <f>IF(IF(ISNUMBER(K19),1,0)+IF(ISNUMBER(Table442466656974[[#This Row],[Post Total]]),1,0)=2,IF(IF(Table442466656974[[#This Row],[Student Number]]=C19,1,0)+IF(Table442466656974[[#This Row],[Session]]=B19,1,0)+IF(Table442466656974[[#This Row],[Pre or Post]]="Post",1,0)+IF(D19="Pre",1,0)=4,Table442466656974[[#This Row],[Post Total]],""),"")</f>
        <v/>
      </c>
      <c r="O20" s="5" t="str">
        <f>IF(IF(ISNUMBER(K19),1,0)+IF(ISNUMBER(Table442466656974[[#This Row],[Post Total]]),1,0)=2,IF(IF(Table442466656974[[#This Row],[Student Number]]=C19,1,0)+IF(Table442466656974[[#This Row],[Session]]=B19,1,0)+IF(Table442466656974[[#This Row],[Pre or Post]]="Post",1,0)+IF(D19="Pre",1,0)=4,Table442466656974[[#This Row],[Post Total]]-K19,""),"")</f>
        <v/>
      </c>
      <c r="P20" s="5" t="b">
        <f>ISNUMBER(Table442466656974[[#This Row],[Change]])</f>
        <v>0</v>
      </c>
      <c r="Q20" s="5" t="str">
        <f>IF(E19="Yes",Table442466656974[[#This Row],[Change]],"")</f>
        <v/>
      </c>
      <c r="R20" s="5" t="str">
        <f>IF(E19="No",Table442466656974[[#This Row],[Change]],"")</f>
        <v/>
      </c>
      <c r="S20" s="5" t="b">
        <f>ISNUMBER(Table442466656974[[#This Row],[If Pre5 Yes]])</f>
        <v>0</v>
      </c>
      <c r="T20" s="5" t="b">
        <f>ISNUMBER(Table442466656974[[#This Row],[If Pre5 No]])</f>
        <v>0</v>
      </c>
    </row>
    <row r="21" spans="1:20">
      <c r="A21" s="2" t="s">
        <v>12</v>
      </c>
      <c r="B21" s="2" t="s">
        <v>5</v>
      </c>
      <c r="C21" s="2">
        <v>20</v>
      </c>
      <c r="D21" s="2" t="s">
        <v>16</v>
      </c>
      <c r="E21" s="5"/>
      <c r="F21" s="1">
        <v>2</v>
      </c>
      <c r="G21" s="2">
        <v>4</v>
      </c>
      <c r="H21" s="2" t="s">
        <v>9</v>
      </c>
      <c r="I21" s="5" t="str">
        <f>IF(IF(Table442466656974[[#This Row],[Pre or Post]]="Pre",1,0)+IF(ISNUMBER(Table442466656974[[#This Row],[Response]])=TRUE,1,0)=2,1,"")</f>
        <v/>
      </c>
      <c r="J21" s="5">
        <f>IF(IF(Table442466656974[[#This Row],[Pre or Post]]="Post",1,0)+IF(ISNUMBER(Table442466656974[[#This Row],[Response]])=TRUE,1,0)=2,1,"")</f>
        <v>1</v>
      </c>
      <c r="K21" s="6" t="str">
        <f>IF(IF(Table442466656974[[#This Row],[Pre or Post]]="Pre",1,0)+IF(ISNUMBER(Table442466656974[[#This Row],[Response]])=TRUE,1,0)=2,Table442466656974[[#This Row],[Response]],"")</f>
        <v/>
      </c>
      <c r="L21" s="6">
        <f>IF(IF(Table442466656974[[#This Row],[Pre or Post]]="Post",1,0)+IF(ISNUMBER(Table442466656974[[#This Row],[Response]])=TRUE,1,0)=2,Table442466656974[[#This Row],[Response]],"")</f>
        <v>4</v>
      </c>
      <c r="M21" s="5" t="str">
        <f>IF(IF(ISNUMBER(K21),1,0)+IF(ISNUMBER(L22),1,0)=2,IF(IF(C22=C21,1,0)+IF(B22=B21,1,0)+IF(D22="Post",1,0)+IF(D21="Pre",1,0)=4,Table442466656974[[#This Row],[Pre Total]],""),"")</f>
        <v/>
      </c>
      <c r="N21" s="5" t="str">
        <f>IF(IF(ISNUMBER(K20),1,0)+IF(ISNUMBER(Table442466656974[[#This Row],[Post Total]]),1,0)=2,IF(IF(Table442466656974[[#This Row],[Student Number]]=C20,1,0)+IF(Table442466656974[[#This Row],[Session]]=B20,1,0)+IF(Table442466656974[[#This Row],[Pre or Post]]="Post",1,0)+IF(D20="Pre",1,0)=4,Table442466656974[[#This Row],[Post Total]],""),"")</f>
        <v/>
      </c>
      <c r="O21" s="5" t="str">
        <f>IF(IF(ISNUMBER(K20),1,0)+IF(ISNUMBER(Table442466656974[[#This Row],[Post Total]]),1,0)=2,IF(IF(Table442466656974[[#This Row],[Student Number]]=C20,1,0)+IF(Table442466656974[[#This Row],[Session]]=B20,1,0)+IF(Table442466656974[[#This Row],[Pre or Post]]="Post",1,0)+IF(D20="Pre",1,0)=4,Table442466656974[[#This Row],[Post Total]]-K20,""),"")</f>
        <v/>
      </c>
      <c r="P21" s="5" t="b">
        <f>ISNUMBER(Table442466656974[[#This Row],[Change]])</f>
        <v>0</v>
      </c>
      <c r="Q21" s="5" t="str">
        <f>IF(E20="Yes",Table442466656974[[#This Row],[Change]],"")</f>
        <v/>
      </c>
      <c r="R21" s="5" t="str">
        <f>IF(E20="No",Table442466656974[[#This Row],[Change]],"")</f>
        <v/>
      </c>
      <c r="S21" s="5" t="b">
        <f>ISNUMBER(Table442466656974[[#This Row],[If Pre5 Yes]])</f>
        <v>0</v>
      </c>
      <c r="T21" s="5" t="b">
        <f>ISNUMBER(Table442466656974[[#This Row],[If Pre5 No]])</f>
        <v>0</v>
      </c>
    </row>
    <row r="22" spans="1:20">
      <c r="A22" s="2" t="s">
        <v>12</v>
      </c>
      <c r="B22" s="2" t="s">
        <v>5</v>
      </c>
      <c r="C22" s="2">
        <v>21</v>
      </c>
      <c r="D22" s="2" t="s">
        <v>16</v>
      </c>
      <c r="E22" s="5"/>
      <c r="F22" s="1">
        <v>2</v>
      </c>
      <c r="G22" s="2">
        <v>4</v>
      </c>
      <c r="H22" s="2" t="s">
        <v>9</v>
      </c>
      <c r="I22" s="6" t="str">
        <f>IF(IF(Table442466656974[[#This Row],[Pre or Post]]="Pre",1,0)+IF(ISNUMBER(Table442466656974[[#This Row],[Response]])=TRUE,1,0)=2,1,"")</f>
        <v/>
      </c>
      <c r="J22" s="6">
        <f>IF(IF(Table442466656974[[#This Row],[Pre or Post]]="Post",1,0)+IF(ISNUMBER(Table442466656974[[#This Row],[Response]])=TRUE,1,0)=2,1,"")</f>
        <v>1</v>
      </c>
      <c r="K22" s="6" t="str">
        <f>IF(IF(Table442466656974[[#This Row],[Pre or Post]]="Pre",1,0)+IF(ISNUMBER(Table442466656974[[#This Row],[Response]])=TRUE,1,0)=2,Table442466656974[[#This Row],[Response]],"")</f>
        <v/>
      </c>
      <c r="L22" s="6">
        <f>IF(IF(Table442466656974[[#This Row],[Pre or Post]]="Post",1,0)+IF(ISNUMBER(Table442466656974[[#This Row],[Response]])=TRUE,1,0)=2,Table442466656974[[#This Row],[Response]],"")</f>
        <v>4</v>
      </c>
      <c r="M22" s="6" t="str">
        <f>IF(IF(ISNUMBER(K22),1,0)+IF(ISNUMBER(L23),1,0)=2,IF(IF(C23=C22,1,0)+IF(B23=B22,1,0)+IF(D23="Post",1,0)+IF(D22="Pre",1,0)=4,Table442466656974[[#This Row],[Pre Total]],""),"")</f>
        <v/>
      </c>
      <c r="N22" s="6" t="str">
        <f>IF(IF(ISNUMBER(K21),1,0)+IF(ISNUMBER(Table442466656974[[#This Row],[Post Total]]),1,0)=2,IF(IF(Table442466656974[[#This Row],[Student Number]]=C21,1,0)+IF(Table442466656974[[#This Row],[Session]]=B21,1,0)+IF(Table442466656974[[#This Row],[Pre or Post]]="Post",1,0)+IF(D21="Pre",1,0)=4,Table442466656974[[#This Row],[Post Total]],""),"")</f>
        <v/>
      </c>
      <c r="O22" s="6" t="str">
        <f>IF(IF(ISNUMBER(K21),1,0)+IF(ISNUMBER(Table442466656974[[#This Row],[Post Total]]),1,0)=2,IF(IF(Table442466656974[[#This Row],[Student Number]]=C21,1,0)+IF(Table442466656974[[#This Row],[Session]]=B21,1,0)+IF(Table442466656974[[#This Row],[Pre or Post]]="Post",1,0)+IF(D21="Pre",1,0)=4,Table442466656974[[#This Row],[Post Total]]-K21,""),"")</f>
        <v/>
      </c>
      <c r="P22" s="6" t="b">
        <f>ISNUMBER(Table442466656974[[#This Row],[Change]])</f>
        <v>0</v>
      </c>
      <c r="Q22" s="5" t="str">
        <f>IF(E21="Yes",Table442466656974[[#This Row],[Change]],"")</f>
        <v/>
      </c>
      <c r="R22" s="5" t="str">
        <f>IF(E21="No",Table442466656974[[#This Row],[Change]],"")</f>
        <v/>
      </c>
      <c r="S22" s="5" t="b">
        <f>ISNUMBER(Table442466656974[[#This Row],[If Pre5 Yes]])</f>
        <v>0</v>
      </c>
      <c r="T22" s="5" t="b">
        <f>ISNUMBER(Table442466656974[[#This Row],[If Pre5 No]])</f>
        <v>0</v>
      </c>
    </row>
    <row r="23" spans="1:20">
      <c r="A23" s="2" t="s">
        <v>12</v>
      </c>
      <c r="B23" s="2" t="s">
        <v>5</v>
      </c>
      <c r="C23" s="2">
        <v>22</v>
      </c>
      <c r="D23" s="2" t="s">
        <v>16</v>
      </c>
      <c r="E23" s="5"/>
      <c r="F23" s="1">
        <v>2</v>
      </c>
      <c r="G23" s="2">
        <v>4</v>
      </c>
      <c r="H23" s="2" t="s">
        <v>9</v>
      </c>
      <c r="I23" s="5" t="str">
        <f>IF(IF(Table442466656974[[#This Row],[Pre or Post]]="Pre",1,0)+IF(ISNUMBER(Table442466656974[[#This Row],[Response]])=TRUE,1,0)=2,1,"")</f>
        <v/>
      </c>
      <c r="J23" s="5">
        <f>IF(IF(Table442466656974[[#This Row],[Pre or Post]]="Post",1,0)+IF(ISNUMBER(Table442466656974[[#This Row],[Response]])=TRUE,1,0)=2,1,"")</f>
        <v>1</v>
      </c>
      <c r="K23" s="6" t="str">
        <f>IF(IF(Table442466656974[[#This Row],[Pre or Post]]="Pre",1,0)+IF(ISNUMBER(Table442466656974[[#This Row],[Response]])=TRUE,1,0)=2,Table442466656974[[#This Row],[Response]],"")</f>
        <v/>
      </c>
      <c r="L23" s="6">
        <f>IF(IF(Table442466656974[[#This Row],[Pre or Post]]="Post",1,0)+IF(ISNUMBER(Table442466656974[[#This Row],[Response]])=TRUE,1,0)=2,Table442466656974[[#This Row],[Response]],"")</f>
        <v>4</v>
      </c>
      <c r="M23" s="5" t="str">
        <f>IF(IF(ISNUMBER(K23),1,0)+IF(ISNUMBER(L24),1,0)=2,IF(IF(C24=C23,1,0)+IF(B24=B23,1,0)+IF(D24="Post",1,0)+IF(D23="Pre",1,0)=4,Table442466656974[[#This Row],[Pre Total]],""),"")</f>
        <v/>
      </c>
      <c r="N23" s="5" t="str">
        <f>IF(IF(ISNUMBER(K22),1,0)+IF(ISNUMBER(Table442466656974[[#This Row],[Post Total]]),1,0)=2,IF(IF(Table442466656974[[#This Row],[Student Number]]=C22,1,0)+IF(Table442466656974[[#This Row],[Session]]=B22,1,0)+IF(Table442466656974[[#This Row],[Pre or Post]]="Post",1,0)+IF(D22="Pre",1,0)=4,Table442466656974[[#This Row],[Post Total]],""),"")</f>
        <v/>
      </c>
      <c r="O23" s="5" t="str">
        <f>IF(IF(ISNUMBER(K22),1,0)+IF(ISNUMBER(Table442466656974[[#This Row],[Post Total]]),1,0)=2,IF(IF(Table442466656974[[#This Row],[Student Number]]=C22,1,0)+IF(Table442466656974[[#This Row],[Session]]=B22,1,0)+IF(Table442466656974[[#This Row],[Pre or Post]]="Post",1,0)+IF(D22="Pre",1,0)=4,Table442466656974[[#This Row],[Post Total]]-K22,""),"")</f>
        <v/>
      </c>
      <c r="P23" s="5" t="b">
        <f>ISNUMBER(Table442466656974[[#This Row],[Change]])</f>
        <v>0</v>
      </c>
      <c r="Q23" s="5" t="str">
        <f>IF(E22="Yes",Table442466656974[[#This Row],[Change]],"")</f>
        <v/>
      </c>
      <c r="R23" s="5" t="str">
        <f>IF(E22="No",Table442466656974[[#This Row],[Change]],"")</f>
        <v/>
      </c>
      <c r="S23" s="5" t="b">
        <f>ISNUMBER(Table442466656974[[#This Row],[If Pre5 Yes]])</f>
        <v>0</v>
      </c>
      <c r="T23" s="5" t="b">
        <f>ISNUMBER(Table442466656974[[#This Row],[If Pre5 No]])</f>
        <v>0</v>
      </c>
    </row>
    <row r="24" spans="1:20">
      <c r="A24" s="2" t="s">
        <v>12</v>
      </c>
      <c r="B24" s="2" t="s">
        <v>5</v>
      </c>
      <c r="C24" s="2">
        <v>23</v>
      </c>
      <c r="D24" s="2" t="s">
        <v>16</v>
      </c>
      <c r="E24" s="5"/>
      <c r="F24" s="1">
        <v>2</v>
      </c>
      <c r="G24" s="2">
        <v>4</v>
      </c>
      <c r="H24" s="2" t="s">
        <v>9</v>
      </c>
      <c r="I24" s="5" t="str">
        <f>IF(IF(Table442466656974[[#This Row],[Pre or Post]]="Pre",1,0)+IF(ISNUMBER(Table442466656974[[#This Row],[Response]])=TRUE,1,0)=2,1,"")</f>
        <v/>
      </c>
      <c r="J24" s="5">
        <f>IF(IF(Table442466656974[[#This Row],[Pre or Post]]="Post",1,0)+IF(ISNUMBER(Table442466656974[[#This Row],[Response]])=TRUE,1,0)=2,1,"")</f>
        <v>1</v>
      </c>
      <c r="K24" s="6" t="str">
        <f>IF(IF(Table442466656974[[#This Row],[Pre or Post]]="Pre",1,0)+IF(ISNUMBER(Table442466656974[[#This Row],[Response]])=TRUE,1,0)=2,Table442466656974[[#This Row],[Response]],"")</f>
        <v/>
      </c>
      <c r="L24" s="6">
        <f>IF(IF(Table442466656974[[#This Row],[Pre or Post]]="Post",1,0)+IF(ISNUMBER(Table442466656974[[#This Row],[Response]])=TRUE,1,0)=2,Table442466656974[[#This Row],[Response]],"")</f>
        <v>4</v>
      </c>
      <c r="M24" s="5" t="str">
        <f>IF(IF(ISNUMBER(K24),1,0)+IF(ISNUMBER(L25),1,0)=2,IF(IF(C25=C24,1,0)+IF(B25=B24,1,0)+IF(D25="Post",1,0)+IF(D24="Pre",1,0)=4,Table442466656974[[#This Row],[Pre Total]],""),"")</f>
        <v/>
      </c>
      <c r="N24" s="5" t="str">
        <f>IF(IF(ISNUMBER(K23),1,0)+IF(ISNUMBER(Table442466656974[[#This Row],[Post Total]]),1,0)=2,IF(IF(Table442466656974[[#This Row],[Student Number]]=C23,1,0)+IF(Table442466656974[[#This Row],[Session]]=B23,1,0)+IF(Table442466656974[[#This Row],[Pre or Post]]="Post",1,0)+IF(D23="Pre",1,0)=4,Table442466656974[[#This Row],[Post Total]],""),"")</f>
        <v/>
      </c>
      <c r="O24" s="5" t="str">
        <f>IF(IF(ISNUMBER(K23),1,0)+IF(ISNUMBER(Table442466656974[[#This Row],[Post Total]]),1,0)=2,IF(IF(Table442466656974[[#This Row],[Student Number]]=C23,1,0)+IF(Table442466656974[[#This Row],[Session]]=B23,1,0)+IF(Table442466656974[[#This Row],[Pre or Post]]="Post",1,0)+IF(D23="Pre",1,0)=4,Table442466656974[[#This Row],[Post Total]]-K23,""),"")</f>
        <v/>
      </c>
      <c r="P24" s="5" t="b">
        <f>ISNUMBER(Table442466656974[[#This Row],[Change]])</f>
        <v>0</v>
      </c>
      <c r="Q24" s="5" t="str">
        <f>IF(E23="Yes",Table442466656974[[#This Row],[Change]],"")</f>
        <v/>
      </c>
      <c r="R24" s="5" t="str">
        <f>IF(E23="No",Table442466656974[[#This Row],[Change]],"")</f>
        <v/>
      </c>
      <c r="S24" s="5" t="b">
        <f>ISNUMBER(Table442466656974[[#This Row],[If Pre5 Yes]])</f>
        <v>0</v>
      </c>
      <c r="T24" s="5" t="b">
        <f>ISNUMBER(Table442466656974[[#This Row],[If Pre5 No]])</f>
        <v>0</v>
      </c>
    </row>
    <row r="25" spans="1:20">
      <c r="A25" s="2" t="s">
        <v>12</v>
      </c>
      <c r="B25" s="2" t="s">
        <v>5</v>
      </c>
      <c r="C25" s="2">
        <v>24</v>
      </c>
      <c r="D25" s="2" t="s">
        <v>16</v>
      </c>
      <c r="E25" s="5"/>
      <c r="F25" s="1">
        <v>2</v>
      </c>
      <c r="G25" s="2">
        <v>3</v>
      </c>
      <c r="H25" s="2" t="s">
        <v>9</v>
      </c>
      <c r="I25" s="5" t="str">
        <f>IF(IF(Table442466656974[[#This Row],[Pre or Post]]="Pre",1,0)+IF(ISNUMBER(Table442466656974[[#This Row],[Response]])=TRUE,1,0)=2,1,"")</f>
        <v/>
      </c>
      <c r="J25" s="5">
        <f>IF(IF(Table442466656974[[#This Row],[Pre or Post]]="Post",1,0)+IF(ISNUMBER(Table442466656974[[#This Row],[Response]])=TRUE,1,0)=2,1,"")</f>
        <v>1</v>
      </c>
      <c r="K25" s="6" t="str">
        <f>IF(IF(Table442466656974[[#This Row],[Pre or Post]]="Pre",1,0)+IF(ISNUMBER(Table442466656974[[#This Row],[Response]])=TRUE,1,0)=2,Table442466656974[[#This Row],[Response]],"")</f>
        <v/>
      </c>
      <c r="L25" s="6">
        <f>IF(IF(Table442466656974[[#This Row],[Pre or Post]]="Post",1,0)+IF(ISNUMBER(Table442466656974[[#This Row],[Response]])=TRUE,1,0)=2,Table442466656974[[#This Row],[Response]],"")</f>
        <v>3</v>
      </c>
      <c r="M25" s="5" t="str">
        <f>IF(IF(ISNUMBER(K25),1,0)+IF(ISNUMBER(L26),1,0)=2,IF(IF(C26=C25,1,0)+IF(B26=B25,1,0)+IF(D26="Post",1,0)+IF(D25="Pre",1,0)=4,Table442466656974[[#This Row],[Pre Total]],""),"")</f>
        <v/>
      </c>
      <c r="N25" s="5" t="str">
        <f>IF(IF(ISNUMBER(K24),1,0)+IF(ISNUMBER(Table442466656974[[#This Row],[Post Total]]),1,0)=2,IF(IF(Table442466656974[[#This Row],[Student Number]]=C24,1,0)+IF(Table442466656974[[#This Row],[Session]]=B24,1,0)+IF(Table442466656974[[#This Row],[Pre or Post]]="Post",1,0)+IF(D24="Pre",1,0)=4,Table442466656974[[#This Row],[Post Total]],""),"")</f>
        <v/>
      </c>
      <c r="O25" s="5" t="str">
        <f>IF(IF(ISNUMBER(K24),1,0)+IF(ISNUMBER(Table442466656974[[#This Row],[Post Total]]),1,0)=2,IF(IF(Table442466656974[[#This Row],[Student Number]]=C24,1,0)+IF(Table442466656974[[#This Row],[Session]]=B24,1,0)+IF(Table442466656974[[#This Row],[Pre or Post]]="Post",1,0)+IF(D24="Pre",1,0)=4,Table442466656974[[#This Row],[Post Total]]-K24,""),"")</f>
        <v/>
      </c>
      <c r="P25" s="5" t="b">
        <f>ISNUMBER(Table442466656974[[#This Row],[Change]])</f>
        <v>0</v>
      </c>
      <c r="Q25" s="5" t="str">
        <f>IF(E24="Yes",Table442466656974[[#This Row],[Change]],"")</f>
        <v/>
      </c>
      <c r="R25" s="5" t="str">
        <f>IF(E24="No",Table442466656974[[#This Row],[Change]],"")</f>
        <v/>
      </c>
      <c r="S25" s="5" t="b">
        <f>ISNUMBER(Table442466656974[[#This Row],[If Pre5 Yes]])</f>
        <v>0</v>
      </c>
      <c r="T25" s="5" t="b">
        <f>ISNUMBER(Table442466656974[[#This Row],[If Pre5 No]])</f>
        <v>0</v>
      </c>
    </row>
    <row r="26" spans="1:20">
      <c r="A26" s="2" t="s">
        <v>12</v>
      </c>
      <c r="B26" s="2" t="s">
        <v>21</v>
      </c>
      <c r="C26" s="1">
        <v>1</v>
      </c>
      <c r="D26" s="2" t="s">
        <v>6</v>
      </c>
      <c r="E26" s="5" t="s">
        <v>8</v>
      </c>
      <c r="F26" s="1">
        <v>9</v>
      </c>
      <c r="G26" s="1">
        <v>3</v>
      </c>
      <c r="H26" s="2" t="s">
        <v>8</v>
      </c>
      <c r="I26" s="5">
        <f>IF(IF(Table442466656974[[#This Row],[Pre or Post]]="Pre",1,0)+IF(ISNUMBER(Table442466656974[[#This Row],[Response]])=TRUE,1,0)=2,1,"")</f>
        <v>1</v>
      </c>
      <c r="J26" s="5" t="str">
        <f>IF(IF(Table442466656974[[#This Row],[Pre or Post]]="Post",1,0)+IF(ISNUMBER(Table442466656974[[#This Row],[Response]])=TRUE,1,0)=2,1,"")</f>
        <v/>
      </c>
      <c r="K26" s="6">
        <f>IF(IF(Table442466656974[[#This Row],[Pre or Post]]="Pre",1,0)+IF(ISNUMBER(Table442466656974[[#This Row],[Response]])=TRUE,1,0)=2,Table442466656974[[#This Row],[Response]],"")</f>
        <v>3</v>
      </c>
      <c r="L26" s="6" t="str">
        <f>IF(IF(Table442466656974[[#This Row],[Pre or Post]]="Post",1,0)+IF(ISNUMBER(Table442466656974[[#This Row],[Response]])=TRUE,1,0)=2,Table442466656974[[#This Row],[Response]],"")</f>
        <v/>
      </c>
      <c r="M26" s="5">
        <f>IF(IF(ISNUMBER(K26),1,0)+IF(ISNUMBER(L27),1,0)=2,IF(IF(C27=C26,1,0)+IF(B27=B26,1,0)+IF(D27="Post",1,0)+IF(D26="Pre",1,0)=4,Table442466656974[[#This Row],[Pre Total]],""),"")</f>
        <v>3</v>
      </c>
      <c r="N26" s="5" t="str">
        <f>IF(IF(ISNUMBER(K25),1,0)+IF(ISNUMBER(Table442466656974[[#This Row],[Post Total]]),1,0)=2,IF(IF(Table442466656974[[#This Row],[Student Number]]=C25,1,0)+IF(Table442466656974[[#This Row],[Session]]=B25,1,0)+IF(Table442466656974[[#This Row],[Pre or Post]]="Post",1,0)+IF(D25="Pre",1,0)=4,Table442466656974[[#This Row],[Post Total]],""),"")</f>
        <v/>
      </c>
      <c r="O26" s="5" t="str">
        <f>IF(IF(ISNUMBER(K25),1,0)+IF(ISNUMBER(Table442466656974[[#This Row],[Post Total]]),1,0)=2,IF(IF(Table442466656974[[#This Row],[Student Number]]=C25,1,0)+IF(Table442466656974[[#This Row],[Session]]=B25,1,0)+IF(Table442466656974[[#This Row],[Pre or Post]]="Post",1,0)+IF(D25="Pre",1,0)=4,Table442466656974[[#This Row],[Post Total]]-K25,""),"")</f>
        <v/>
      </c>
      <c r="P26" s="5" t="b">
        <f>ISNUMBER(Table442466656974[[#This Row],[Change]])</f>
        <v>0</v>
      </c>
      <c r="Q26" s="5" t="str">
        <f>IF(E25="Yes",Table442466656974[[#This Row],[Change]],"")</f>
        <v/>
      </c>
      <c r="R26" s="5" t="str">
        <f>IF(E25="No",Table442466656974[[#This Row],[Change]],"")</f>
        <v/>
      </c>
      <c r="S26" s="5" t="b">
        <f>ISNUMBER(Table442466656974[[#This Row],[If Pre5 Yes]])</f>
        <v>0</v>
      </c>
      <c r="T26" s="5" t="b">
        <f>ISNUMBER(Table442466656974[[#This Row],[If Pre5 No]])</f>
        <v>0</v>
      </c>
    </row>
    <row r="27" spans="1:20">
      <c r="A27" s="2" t="s">
        <v>12</v>
      </c>
      <c r="B27" s="2" t="s">
        <v>21</v>
      </c>
      <c r="C27" s="1">
        <v>1</v>
      </c>
      <c r="D27" s="2" t="s">
        <v>16</v>
      </c>
      <c r="E27" s="5"/>
      <c r="F27" s="1">
        <v>2</v>
      </c>
      <c r="G27" s="2">
        <v>4</v>
      </c>
      <c r="H27" s="2" t="s">
        <v>8</v>
      </c>
      <c r="I27" s="5" t="str">
        <f>IF(IF(Table442466656974[[#This Row],[Pre or Post]]="Pre",1,0)+IF(ISNUMBER(Table442466656974[[#This Row],[Response]])=TRUE,1,0)=2,1,"")</f>
        <v/>
      </c>
      <c r="J27" s="5">
        <f>IF(IF(Table442466656974[[#This Row],[Pre or Post]]="Post",1,0)+IF(ISNUMBER(Table442466656974[[#This Row],[Response]])=TRUE,1,0)=2,1,"")</f>
        <v>1</v>
      </c>
      <c r="K27" s="6" t="str">
        <f>IF(IF(Table442466656974[[#This Row],[Pre or Post]]="Pre",1,0)+IF(ISNUMBER(Table442466656974[[#This Row],[Response]])=TRUE,1,0)=2,Table442466656974[[#This Row],[Response]],"")</f>
        <v/>
      </c>
      <c r="L27" s="6">
        <f>IF(IF(Table442466656974[[#This Row],[Pre or Post]]="Post",1,0)+IF(ISNUMBER(Table442466656974[[#This Row],[Response]])=TRUE,1,0)=2,Table442466656974[[#This Row],[Response]],"")</f>
        <v>4</v>
      </c>
      <c r="M27" s="5" t="str">
        <f>IF(IF(ISNUMBER(K27),1,0)+IF(ISNUMBER(L28),1,0)=2,IF(IF(C28=C27,1,0)+IF(B28=B27,1,0)+IF(D28="Post",1,0)+IF(D27="Pre",1,0)=4,Table442466656974[[#This Row],[Pre Total]],""),"")</f>
        <v/>
      </c>
      <c r="N27" s="5">
        <f>IF(IF(ISNUMBER(K26),1,0)+IF(ISNUMBER(Table442466656974[[#This Row],[Post Total]]),1,0)=2,IF(IF(Table442466656974[[#This Row],[Student Number]]=C26,1,0)+IF(Table442466656974[[#This Row],[Session]]=B26,1,0)+IF(Table442466656974[[#This Row],[Pre or Post]]="Post",1,0)+IF(D26="Pre",1,0)=4,Table442466656974[[#This Row],[Post Total]],""),"")</f>
        <v>4</v>
      </c>
      <c r="O27" s="5">
        <f>IF(IF(ISNUMBER(K26),1,0)+IF(ISNUMBER(Table442466656974[[#This Row],[Post Total]]),1,0)=2,IF(IF(Table442466656974[[#This Row],[Student Number]]=C26,1,0)+IF(Table442466656974[[#This Row],[Session]]=B26,1,0)+IF(Table442466656974[[#This Row],[Pre or Post]]="Post",1,0)+IF(D26="Pre",1,0)=4,Table442466656974[[#This Row],[Post Total]]-K26,""),"")</f>
        <v>1</v>
      </c>
      <c r="P27" s="5" t="b">
        <f>ISNUMBER(Table442466656974[[#This Row],[Change]])</f>
        <v>1</v>
      </c>
      <c r="Q27" s="5">
        <f>IF(E26="Yes",Table442466656974[[#This Row],[Change]],"")</f>
        <v>1</v>
      </c>
      <c r="R27" s="5" t="str">
        <f>IF(E26="No",Table442466656974[[#This Row],[Change]],"")</f>
        <v/>
      </c>
      <c r="S27" s="5" t="b">
        <f>ISNUMBER(Table442466656974[[#This Row],[If Pre5 Yes]])</f>
        <v>1</v>
      </c>
      <c r="T27" s="5" t="b">
        <f>ISNUMBER(Table442466656974[[#This Row],[If Pre5 No]])</f>
        <v>0</v>
      </c>
    </row>
    <row r="28" spans="1:20">
      <c r="A28" s="2" t="s">
        <v>12</v>
      </c>
      <c r="B28" s="2" t="s">
        <v>21</v>
      </c>
      <c r="C28" s="1">
        <v>2</v>
      </c>
      <c r="D28" s="2" t="s">
        <v>6</v>
      </c>
      <c r="E28" s="5" t="s">
        <v>8</v>
      </c>
      <c r="F28" s="1">
        <v>9</v>
      </c>
      <c r="G28" s="1">
        <v>2</v>
      </c>
      <c r="H28" s="2" t="s">
        <v>8</v>
      </c>
      <c r="I28" s="6">
        <f>IF(IF(Table442466656974[[#This Row],[Pre or Post]]="Pre",1,0)+IF(ISNUMBER(Table442466656974[[#This Row],[Response]])=TRUE,1,0)=2,1,"")</f>
        <v>1</v>
      </c>
      <c r="J28" s="6" t="str">
        <f>IF(IF(Table442466656974[[#This Row],[Pre or Post]]="Post",1,0)+IF(ISNUMBER(Table442466656974[[#This Row],[Response]])=TRUE,1,0)=2,1,"")</f>
        <v/>
      </c>
      <c r="K28" s="6">
        <f>IF(IF(Table442466656974[[#This Row],[Pre or Post]]="Pre",1,0)+IF(ISNUMBER(Table442466656974[[#This Row],[Response]])=TRUE,1,0)=2,Table442466656974[[#This Row],[Response]],"")</f>
        <v>2</v>
      </c>
      <c r="L28" s="6" t="str">
        <f>IF(IF(Table442466656974[[#This Row],[Pre or Post]]="Post",1,0)+IF(ISNUMBER(Table442466656974[[#This Row],[Response]])=TRUE,1,0)=2,Table442466656974[[#This Row],[Response]],"")</f>
        <v/>
      </c>
      <c r="M28" s="5">
        <f>IF(IF(ISNUMBER(K28),1,0)+IF(ISNUMBER(L29),1,0)=2,IF(IF(C29=C28,1,0)+IF(B29=B28,1,0)+IF(D29="Post",1,0)+IF(D28="Pre",1,0)=4,Table442466656974[[#This Row],[Pre Total]],""),"")</f>
        <v>2</v>
      </c>
      <c r="N28" s="6" t="str">
        <f>IF(IF(ISNUMBER(K27),1,0)+IF(ISNUMBER(Table442466656974[[#This Row],[Post Total]]),1,0)=2,IF(IF(Table442466656974[[#This Row],[Student Number]]=C27,1,0)+IF(Table442466656974[[#This Row],[Session]]=B27,1,0)+IF(Table442466656974[[#This Row],[Pre or Post]]="Post",1,0)+IF(D27="Pre",1,0)=4,Table442466656974[[#This Row],[Post Total]],""),"")</f>
        <v/>
      </c>
      <c r="O28" s="6" t="str">
        <f>IF(IF(ISNUMBER(K27),1,0)+IF(ISNUMBER(Table442466656974[[#This Row],[Post Total]]),1,0)=2,IF(IF(Table442466656974[[#This Row],[Student Number]]=C27,1,0)+IF(Table442466656974[[#This Row],[Session]]=B27,1,0)+IF(Table442466656974[[#This Row],[Pre or Post]]="Post",1,0)+IF(D27="Pre",1,0)=4,Table442466656974[[#This Row],[Post Total]]-K27,""),"")</f>
        <v/>
      </c>
      <c r="P28" s="6" t="b">
        <f>ISNUMBER(Table442466656974[[#This Row],[Change]])</f>
        <v>0</v>
      </c>
      <c r="Q28" s="5" t="str">
        <f>IF(E27="Yes",Table442466656974[[#This Row],[Change]],"")</f>
        <v/>
      </c>
      <c r="R28" s="5" t="str">
        <f>IF(E27="No",Table442466656974[[#This Row],[Change]],"")</f>
        <v/>
      </c>
      <c r="S28" s="5" t="b">
        <f>ISNUMBER(Table442466656974[[#This Row],[If Pre5 Yes]])</f>
        <v>0</v>
      </c>
      <c r="T28" s="5" t="b">
        <f>ISNUMBER(Table442466656974[[#This Row],[If Pre5 No]])</f>
        <v>0</v>
      </c>
    </row>
    <row r="29" spans="1:20">
      <c r="A29" s="2" t="s">
        <v>12</v>
      </c>
      <c r="B29" s="2" t="s">
        <v>21</v>
      </c>
      <c r="C29" s="1">
        <v>2</v>
      </c>
      <c r="D29" s="2" t="s">
        <v>16</v>
      </c>
      <c r="E29" s="5"/>
      <c r="F29" s="1">
        <v>2</v>
      </c>
      <c r="G29" s="1">
        <v>3</v>
      </c>
      <c r="H29" s="2" t="s">
        <v>8</v>
      </c>
      <c r="I29" s="5" t="str">
        <f>IF(IF(Table442466656974[[#This Row],[Pre or Post]]="Pre",1,0)+IF(ISNUMBER(Table442466656974[[#This Row],[Response]])=TRUE,1,0)=2,1,"")</f>
        <v/>
      </c>
      <c r="J29" s="5">
        <f>IF(IF(Table442466656974[[#This Row],[Pre or Post]]="Post",1,0)+IF(ISNUMBER(Table442466656974[[#This Row],[Response]])=TRUE,1,0)=2,1,"")</f>
        <v>1</v>
      </c>
      <c r="K29" s="6" t="str">
        <f>IF(IF(Table442466656974[[#This Row],[Pre or Post]]="Pre",1,0)+IF(ISNUMBER(Table442466656974[[#This Row],[Response]])=TRUE,1,0)=2,Table442466656974[[#This Row],[Response]],"")</f>
        <v/>
      </c>
      <c r="L29" s="6">
        <f>IF(IF(Table442466656974[[#This Row],[Pre or Post]]="Post",1,0)+IF(ISNUMBER(Table442466656974[[#This Row],[Response]])=TRUE,1,0)=2,Table442466656974[[#This Row],[Response]],"")</f>
        <v>3</v>
      </c>
      <c r="M29" s="5" t="str">
        <f>IF(IF(ISNUMBER(K29),1,0)+IF(ISNUMBER(L30),1,0)=2,IF(IF(C30=C29,1,0)+IF(B30=B29,1,0)+IF(D30="Post",1,0)+IF(D29="Pre",1,0)=4,Table442466656974[[#This Row],[Pre Total]],""),"")</f>
        <v/>
      </c>
      <c r="N29" s="5">
        <f>IF(IF(ISNUMBER(K28),1,0)+IF(ISNUMBER(Table442466656974[[#This Row],[Post Total]]),1,0)=2,IF(IF(Table442466656974[[#This Row],[Student Number]]=C28,1,0)+IF(Table442466656974[[#This Row],[Session]]=B28,1,0)+IF(Table442466656974[[#This Row],[Pre or Post]]="Post",1,0)+IF(D28="Pre",1,0)=4,Table442466656974[[#This Row],[Post Total]],""),"")</f>
        <v>3</v>
      </c>
      <c r="O29" s="5">
        <f>IF(IF(ISNUMBER(K28),1,0)+IF(ISNUMBER(Table442466656974[[#This Row],[Post Total]]),1,0)=2,IF(IF(Table442466656974[[#This Row],[Student Number]]=C28,1,0)+IF(Table442466656974[[#This Row],[Session]]=B28,1,0)+IF(Table442466656974[[#This Row],[Pre or Post]]="Post",1,0)+IF(D28="Pre",1,0)=4,Table442466656974[[#This Row],[Post Total]]-K28,""),"")</f>
        <v>1</v>
      </c>
      <c r="P29" s="5" t="b">
        <f>ISNUMBER(Table442466656974[[#This Row],[Change]])</f>
        <v>1</v>
      </c>
      <c r="Q29" s="5">
        <f>IF(E28="Yes",Table442466656974[[#This Row],[Change]],"")</f>
        <v>1</v>
      </c>
      <c r="R29" s="5" t="str">
        <f>IF(E28="No",Table442466656974[[#This Row],[Change]],"")</f>
        <v/>
      </c>
      <c r="S29" s="5" t="b">
        <f>ISNUMBER(Table442466656974[[#This Row],[If Pre5 Yes]])</f>
        <v>1</v>
      </c>
      <c r="T29" s="5" t="b">
        <f>ISNUMBER(Table442466656974[[#This Row],[If Pre5 No]])</f>
        <v>0</v>
      </c>
    </row>
    <row r="30" spans="1:20">
      <c r="A30" s="2" t="s">
        <v>12</v>
      </c>
      <c r="B30" s="2" t="s">
        <v>21</v>
      </c>
      <c r="C30" s="1">
        <v>3</v>
      </c>
      <c r="D30" s="2" t="s">
        <v>6</v>
      </c>
      <c r="E30" s="5" t="s">
        <v>8</v>
      </c>
      <c r="F30" s="1">
        <v>9</v>
      </c>
      <c r="G30" s="1">
        <v>3</v>
      </c>
      <c r="H30" s="2" t="s">
        <v>8</v>
      </c>
      <c r="I30" s="5">
        <f>IF(IF(Table442466656974[[#This Row],[Pre or Post]]="Pre",1,0)+IF(ISNUMBER(Table442466656974[[#This Row],[Response]])=TRUE,1,0)=2,1,"")</f>
        <v>1</v>
      </c>
      <c r="J30" s="5" t="str">
        <f>IF(IF(Table442466656974[[#This Row],[Pre or Post]]="Post",1,0)+IF(ISNUMBER(Table442466656974[[#This Row],[Response]])=TRUE,1,0)=2,1,"")</f>
        <v/>
      </c>
      <c r="K30" s="6">
        <f>IF(IF(Table442466656974[[#This Row],[Pre or Post]]="Pre",1,0)+IF(ISNUMBER(Table442466656974[[#This Row],[Response]])=TRUE,1,0)=2,Table442466656974[[#This Row],[Response]],"")</f>
        <v>3</v>
      </c>
      <c r="L30" s="6" t="str">
        <f>IF(IF(Table442466656974[[#This Row],[Pre or Post]]="Post",1,0)+IF(ISNUMBER(Table442466656974[[#This Row],[Response]])=TRUE,1,0)=2,Table442466656974[[#This Row],[Response]],"")</f>
        <v/>
      </c>
      <c r="M30" s="5">
        <f>IF(IF(ISNUMBER(K30),1,0)+IF(ISNUMBER(L31),1,0)=2,IF(IF(C31=C30,1,0)+IF(B31=B30,1,0)+IF(D31="Post",1,0)+IF(D30="Pre",1,0)=4,Table442466656974[[#This Row],[Pre Total]],""),"")</f>
        <v>3</v>
      </c>
      <c r="N30" s="5" t="str">
        <f>IF(IF(ISNUMBER(K29),1,0)+IF(ISNUMBER(Table442466656974[[#This Row],[Post Total]]),1,0)=2,IF(IF(Table442466656974[[#This Row],[Student Number]]=C29,1,0)+IF(Table442466656974[[#This Row],[Session]]=B29,1,0)+IF(Table442466656974[[#This Row],[Pre or Post]]="Post",1,0)+IF(D29="Pre",1,0)=4,Table442466656974[[#This Row],[Post Total]],""),"")</f>
        <v/>
      </c>
      <c r="O30" s="5" t="str">
        <f>IF(IF(ISNUMBER(K29),1,0)+IF(ISNUMBER(Table442466656974[[#This Row],[Post Total]]),1,0)=2,IF(IF(Table442466656974[[#This Row],[Student Number]]=C29,1,0)+IF(Table442466656974[[#This Row],[Session]]=B29,1,0)+IF(Table442466656974[[#This Row],[Pre or Post]]="Post",1,0)+IF(D29="Pre",1,0)=4,Table442466656974[[#This Row],[Post Total]]-K29,""),"")</f>
        <v/>
      </c>
      <c r="P30" s="5" t="b">
        <f>ISNUMBER(Table442466656974[[#This Row],[Change]])</f>
        <v>0</v>
      </c>
      <c r="Q30" s="5" t="str">
        <f>IF(E29="Yes",Table442466656974[[#This Row],[Change]],"")</f>
        <v/>
      </c>
      <c r="R30" s="5" t="str">
        <f>IF(E29="No",Table442466656974[[#This Row],[Change]],"")</f>
        <v/>
      </c>
      <c r="S30" s="5" t="b">
        <f>ISNUMBER(Table442466656974[[#This Row],[If Pre5 Yes]])</f>
        <v>0</v>
      </c>
      <c r="T30" s="5" t="b">
        <f>ISNUMBER(Table442466656974[[#This Row],[If Pre5 No]])</f>
        <v>0</v>
      </c>
    </row>
    <row r="31" spans="1:20">
      <c r="A31" s="2" t="s">
        <v>12</v>
      </c>
      <c r="B31" s="2" t="s">
        <v>21</v>
      </c>
      <c r="C31" s="1">
        <v>3</v>
      </c>
      <c r="D31" s="2" t="s">
        <v>16</v>
      </c>
      <c r="E31" s="5"/>
      <c r="F31" s="1">
        <v>2</v>
      </c>
      <c r="G31" s="1">
        <v>3</v>
      </c>
      <c r="H31" s="2" t="s">
        <v>8</v>
      </c>
      <c r="I31" s="6" t="str">
        <f>IF(IF(Table442466656974[[#This Row],[Pre or Post]]="Pre",1,0)+IF(ISNUMBER(Table442466656974[[#This Row],[Response]])=TRUE,1,0)=2,1,"")</f>
        <v/>
      </c>
      <c r="J31" s="6">
        <f>IF(IF(Table442466656974[[#This Row],[Pre or Post]]="Post",1,0)+IF(ISNUMBER(Table442466656974[[#This Row],[Response]])=TRUE,1,0)=2,1,"")</f>
        <v>1</v>
      </c>
      <c r="K31" s="6" t="str">
        <f>IF(IF(Table442466656974[[#This Row],[Pre or Post]]="Pre",1,0)+IF(ISNUMBER(Table442466656974[[#This Row],[Response]])=TRUE,1,0)=2,Table442466656974[[#This Row],[Response]],"")</f>
        <v/>
      </c>
      <c r="L31" s="6">
        <f>IF(IF(Table442466656974[[#This Row],[Pre or Post]]="Post",1,0)+IF(ISNUMBER(Table442466656974[[#This Row],[Response]])=TRUE,1,0)=2,Table442466656974[[#This Row],[Response]],"")</f>
        <v>3</v>
      </c>
      <c r="M31" s="6" t="str">
        <f>IF(IF(ISNUMBER(K31),1,0)+IF(ISNUMBER(L32),1,0)=2,IF(IF(C32=C31,1,0)+IF(B32=B31,1,0)+IF(D32="Post",1,0)+IF(D31="Pre",1,0)=4,Table442466656974[[#This Row],[Pre Total]],""),"")</f>
        <v/>
      </c>
      <c r="N31" s="6">
        <f>IF(IF(ISNUMBER(K30),1,0)+IF(ISNUMBER(Table442466656974[[#This Row],[Post Total]]),1,0)=2,IF(IF(Table442466656974[[#This Row],[Student Number]]=C30,1,0)+IF(Table442466656974[[#This Row],[Session]]=B30,1,0)+IF(Table442466656974[[#This Row],[Pre or Post]]="Post",1,0)+IF(D30="Pre",1,0)=4,Table442466656974[[#This Row],[Post Total]],""),"")</f>
        <v>3</v>
      </c>
      <c r="O31" s="6">
        <f>IF(IF(ISNUMBER(K30),1,0)+IF(ISNUMBER(Table442466656974[[#This Row],[Post Total]]),1,0)=2,IF(IF(Table442466656974[[#This Row],[Student Number]]=C30,1,0)+IF(Table442466656974[[#This Row],[Session]]=B30,1,0)+IF(Table442466656974[[#This Row],[Pre or Post]]="Post",1,0)+IF(D30="Pre",1,0)=4,Table442466656974[[#This Row],[Post Total]]-K30,""),"")</f>
        <v>0</v>
      </c>
      <c r="P31" s="6" t="b">
        <f>ISNUMBER(Table442466656974[[#This Row],[Change]])</f>
        <v>1</v>
      </c>
      <c r="Q31" s="5">
        <f>IF(E30="Yes",Table442466656974[[#This Row],[Change]],"")</f>
        <v>0</v>
      </c>
      <c r="R31" s="5" t="str">
        <f>IF(E30="No",Table442466656974[[#This Row],[Change]],"")</f>
        <v/>
      </c>
      <c r="S31" s="5" t="b">
        <f>ISNUMBER(Table442466656974[[#This Row],[If Pre5 Yes]])</f>
        <v>1</v>
      </c>
      <c r="T31" s="5" t="b">
        <f>ISNUMBER(Table442466656974[[#This Row],[If Pre5 No]])</f>
        <v>0</v>
      </c>
    </row>
    <row r="32" spans="1:20">
      <c r="A32" s="2" t="s">
        <v>12</v>
      </c>
      <c r="B32" s="2" t="s">
        <v>21</v>
      </c>
      <c r="C32" s="1">
        <v>4</v>
      </c>
      <c r="D32" s="2" t="s">
        <v>6</v>
      </c>
      <c r="E32" s="5" t="s">
        <v>8</v>
      </c>
      <c r="F32" s="1">
        <v>9</v>
      </c>
      <c r="G32" s="1">
        <v>4</v>
      </c>
      <c r="H32" s="2" t="s">
        <v>8</v>
      </c>
      <c r="I32" s="6">
        <f>IF(IF(Table442466656974[[#This Row],[Pre or Post]]="Pre",1,0)+IF(ISNUMBER(Table442466656974[[#This Row],[Response]])=TRUE,1,0)=2,1,"")</f>
        <v>1</v>
      </c>
      <c r="J32" s="6" t="str">
        <f>IF(IF(Table442466656974[[#This Row],[Pre or Post]]="Post",1,0)+IF(ISNUMBER(Table442466656974[[#This Row],[Response]])=TRUE,1,0)=2,1,"")</f>
        <v/>
      </c>
      <c r="K32" s="6">
        <f>IF(IF(Table442466656974[[#This Row],[Pre or Post]]="Pre",1,0)+IF(ISNUMBER(Table442466656974[[#This Row],[Response]])=TRUE,1,0)=2,Table442466656974[[#This Row],[Response]],"")</f>
        <v>4</v>
      </c>
      <c r="L32" s="6" t="str">
        <f>IF(IF(Table442466656974[[#This Row],[Pre or Post]]="Post",1,0)+IF(ISNUMBER(Table442466656974[[#This Row],[Response]])=TRUE,1,0)=2,Table442466656974[[#This Row],[Response]],"")</f>
        <v/>
      </c>
      <c r="M32" s="5">
        <f>IF(IF(ISNUMBER(K32),1,0)+IF(ISNUMBER(L33),1,0)=2,IF(IF(C33=C32,1,0)+IF(B33=B32,1,0)+IF(D33="Post",1,0)+IF(D32="Pre",1,0)=4,Table442466656974[[#This Row],[Pre Total]],""),"")</f>
        <v>4</v>
      </c>
      <c r="N32" s="6" t="str">
        <f>IF(IF(ISNUMBER(K31),1,0)+IF(ISNUMBER(Table442466656974[[#This Row],[Post Total]]),1,0)=2,IF(IF(Table442466656974[[#This Row],[Student Number]]=C31,1,0)+IF(Table442466656974[[#This Row],[Session]]=B31,1,0)+IF(Table442466656974[[#This Row],[Pre or Post]]="Post",1,0)+IF(D31="Pre",1,0)=4,Table442466656974[[#This Row],[Post Total]],""),"")</f>
        <v/>
      </c>
      <c r="O32" s="6" t="str">
        <f>IF(IF(ISNUMBER(K31),1,0)+IF(ISNUMBER(Table442466656974[[#This Row],[Post Total]]),1,0)=2,IF(IF(Table442466656974[[#This Row],[Student Number]]=C31,1,0)+IF(Table442466656974[[#This Row],[Session]]=B31,1,0)+IF(Table442466656974[[#This Row],[Pre or Post]]="Post",1,0)+IF(D31="Pre",1,0)=4,Table442466656974[[#This Row],[Post Total]]-K31,""),"")</f>
        <v/>
      </c>
      <c r="P32" s="6" t="b">
        <f>ISNUMBER(Table442466656974[[#This Row],[Change]])</f>
        <v>0</v>
      </c>
      <c r="Q32" s="5" t="str">
        <f>IF(E31="Yes",Table442466656974[[#This Row],[Change]],"")</f>
        <v/>
      </c>
      <c r="R32" s="5" t="str">
        <f>IF(E31="No",Table442466656974[[#This Row],[Change]],"")</f>
        <v/>
      </c>
      <c r="S32" s="5" t="b">
        <f>ISNUMBER(Table442466656974[[#This Row],[If Pre5 Yes]])</f>
        <v>0</v>
      </c>
      <c r="T32" s="5" t="b">
        <f>ISNUMBER(Table442466656974[[#This Row],[If Pre5 No]])</f>
        <v>0</v>
      </c>
    </row>
    <row r="33" spans="1:20">
      <c r="A33" s="2" t="s">
        <v>12</v>
      </c>
      <c r="B33" s="2" t="s">
        <v>21</v>
      </c>
      <c r="C33" s="1">
        <v>4</v>
      </c>
      <c r="D33" s="2" t="s">
        <v>16</v>
      </c>
      <c r="E33" s="5"/>
      <c r="F33" s="1">
        <v>2</v>
      </c>
      <c r="G33" s="1">
        <v>3</v>
      </c>
      <c r="H33" s="2" t="s">
        <v>8</v>
      </c>
      <c r="I33" s="6" t="str">
        <f>IF(IF(Table442466656974[[#This Row],[Pre or Post]]="Pre",1,0)+IF(ISNUMBER(Table442466656974[[#This Row],[Response]])=TRUE,1,0)=2,1,"")</f>
        <v/>
      </c>
      <c r="J33" s="6">
        <f>IF(IF(Table442466656974[[#This Row],[Pre or Post]]="Post",1,0)+IF(ISNUMBER(Table442466656974[[#This Row],[Response]])=TRUE,1,0)=2,1,"")</f>
        <v>1</v>
      </c>
      <c r="K33" s="6" t="str">
        <f>IF(IF(Table442466656974[[#This Row],[Pre or Post]]="Pre",1,0)+IF(ISNUMBER(Table442466656974[[#This Row],[Response]])=TRUE,1,0)=2,Table442466656974[[#This Row],[Response]],"")</f>
        <v/>
      </c>
      <c r="L33" s="6">
        <f>IF(IF(Table442466656974[[#This Row],[Pre or Post]]="Post",1,0)+IF(ISNUMBER(Table442466656974[[#This Row],[Response]])=TRUE,1,0)=2,Table442466656974[[#This Row],[Response]],"")</f>
        <v>3</v>
      </c>
      <c r="M33" s="6" t="str">
        <f>IF(IF(ISNUMBER(K33),1,0)+IF(ISNUMBER(L34),1,0)=2,IF(IF(C34=C33,1,0)+IF(B34=B33,1,0)+IF(D34="Post",1,0)+IF(D33="Pre",1,0)=4,Table442466656974[[#This Row],[Pre Total]],""),"")</f>
        <v/>
      </c>
      <c r="N33" s="6">
        <f>IF(IF(ISNUMBER(K32),1,0)+IF(ISNUMBER(Table442466656974[[#This Row],[Post Total]]),1,0)=2,IF(IF(Table442466656974[[#This Row],[Student Number]]=C32,1,0)+IF(Table442466656974[[#This Row],[Session]]=B32,1,0)+IF(Table442466656974[[#This Row],[Pre or Post]]="Post",1,0)+IF(D32="Pre",1,0)=4,Table442466656974[[#This Row],[Post Total]],""),"")</f>
        <v>3</v>
      </c>
      <c r="O33" s="6">
        <f>IF(IF(ISNUMBER(K32),1,0)+IF(ISNUMBER(Table442466656974[[#This Row],[Post Total]]),1,0)=2,IF(IF(Table442466656974[[#This Row],[Student Number]]=C32,1,0)+IF(Table442466656974[[#This Row],[Session]]=B32,1,0)+IF(Table442466656974[[#This Row],[Pre or Post]]="Post",1,0)+IF(D32="Pre",1,0)=4,Table442466656974[[#This Row],[Post Total]]-K32,""),"")</f>
        <v>-1</v>
      </c>
      <c r="P33" s="6" t="b">
        <f>ISNUMBER(Table442466656974[[#This Row],[Change]])</f>
        <v>1</v>
      </c>
      <c r="Q33" s="5">
        <f>IF(E32="Yes",Table442466656974[[#This Row],[Change]],"")</f>
        <v>-1</v>
      </c>
      <c r="R33" s="5" t="str">
        <f>IF(E32="No",Table442466656974[[#This Row],[Change]],"")</f>
        <v/>
      </c>
      <c r="S33" s="5" t="b">
        <f>ISNUMBER(Table442466656974[[#This Row],[If Pre5 Yes]])</f>
        <v>1</v>
      </c>
      <c r="T33" s="5" t="b">
        <f>ISNUMBER(Table442466656974[[#This Row],[If Pre5 No]])</f>
        <v>0</v>
      </c>
    </row>
    <row r="34" spans="1:20">
      <c r="A34" s="2" t="s">
        <v>12</v>
      </c>
      <c r="B34" s="2" t="s">
        <v>21</v>
      </c>
      <c r="C34" s="1">
        <v>5</v>
      </c>
      <c r="D34" s="2" t="s">
        <v>6</v>
      </c>
      <c r="E34" s="5" t="s">
        <v>8</v>
      </c>
      <c r="F34" s="1">
        <v>9</v>
      </c>
      <c r="G34" s="1">
        <v>3</v>
      </c>
      <c r="H34" s="2" t="s">
        <v>8</v>
      </c>
      <c r="I34" s="5">
        <f>IF(IF(Table442466656974[[#This Row],[Pre or Post]]="Pre",1,0)+IF(ISNUMBER(Table442466656974[[#This Row],[Response]])=TRUE,1,0)=2,1,"")</f>
        <v>1</v>
      </c>
      <c r="J34" s="5" t="str">
        <f>IF(IF(Table442466656974[[#This Row],[Pre or Post]]="Post",1,0)+IF(ISNUMBER(Table442466656974[[#This Row],[Response]])=TRUE,1,0)=2,1,"")</f>
        <v/>
      </c>
      <c r="K34" s="6">
        <f>IF(IF(Table442466656974[[#This Row],[Pre or Post]]="Pre",1,0)+IF(ISNUMBER(Table442466656974[[#This Row],[Response]])=TRUE,1,0)=2,Table442466656974[[#This Row],[Response]],"")</f>
        <v>3</v>
      </c>
      <c r="L34" s="6" t="str">
        <f>IF(IF(Table442466656974[[#This Row],[Pre or Post]]="Post",1,0)+IF(ISNUMBER(Table442466656974[[#This Row],[Response]])=TRUE,1,0)=2,Table442466656974[[#This Row],[Response]],"")</f>
        <v/>
      </c>
      <c r="M34" s="5">
        <f>IF(IF(ISNUMBER(K34),1,0)+IF(ISNUMBER(L35),1,0)=2,IF(IF(C35=C34,1,0)+IF(B35=B34,1,0)+IF(D35="Post",1,0)+IF(D34="Pre",1,0)=4,Table442466656974[[#This Row],[Pre Total]],""),"")</f>
        <v>3</v>
      </c>
      <c r="N34" s="5" t="str">
        <f>IF(IF(ISNUMBER(K33),1,0)+IF(ISNUMBER(Table442466656974[[#This Row],[Post Total]]),1,0)=2,IF(IF(Table442466656974[[#This Row],[Student Number]]=C33,1,0)+IF(Table442466656974[[#This Row],[Session]]=B33,1,0)+IF(Table442466656974[[#This Row],[Pre or Post]]="Post",1,0)+IF(D33="Pre",1,0)=4,Table442466656974[[#This Row],[Post Total]],""),"")</f>
        <v/>
      </c>
      <c r="O34" s="5" t="str">
        <f>IF(IF(ISNUMBER(K33),1,0)+IF(ISNUMBER(Table442466656974[[#This Row],[Post Total]]),1,0)=2,IF(IF(Table442466656974[[#This Row],[Student Number]]=C33,1,0)+IF(Table442466656974[[#This Row],[Session]]=B33,1,0)+IF(Table442466656974[[#This Row],[Pre or Post]]="Post",1,0)+IF(D33="Pre",1,0)=4,Table442466656974[[#This Row],[Post Total]]-K33,""),"")</f>
        <v/>
      </c>
      <c r="P34" s="5" t="b">
        <f>ISNUMBER(Table442466656974[[#This Row],[Change]])</f>
        <v>0</v>
      </c>
      <c r="Q34" s="5" t="str">
        <f>IF(E33="Yes",Table442466656974[[#This Row],[Change]],"")</f>
        <v/>
      </c>
      <c r="R34" s="5" t="str">
        <f>IF(E33="No",Table442466656974[[#This Row],[Change]],"")</f>
        <v/>
      </c>
      <c r="S34" s="5" t="b">
        <f>ISNUMBER(Table442466656974[[#This Row],[If Pre5 Yes]])</f>
        <v>0</v>
      </c>
      <c r="T34" s="5" t="b">
        <f>ISNUMBER(Table442466656974[[#This Row],[If Pre5 No]])</f>
        <v>0</v>
      </c>
    </row>
    <row r="35" spans="1:20">
      <c r="A35" s="2" t="s">
        <v>12</v>
      </c>
      <c r="B35" s="2" t="s">
        <v>21</v>
      </c>
      <c r="C35" s="1">
        <v>5</v>
      </c>
      <c r="D35" s="2" t="s">
        <v>16</v>
      </c>
      <c r="E35" s="5"/>
      <c r="F35" s="1">
        <v>2</v>
      </c>
      <c r="G35" s="1">
        <v>3</v>
      </c>
      <c r="H35" s="2" t="s">
        <v>8</v>
      </c>
      <c r="I35" s="5" t="str">
        <f>IF(IF(Table442466656974[[#This Row],[Pre or Post]]="Pre",1,0)+IF(ISNUMBER(Table442466656974[[#This Row],[Response]])=TRUE,1,0)=2,1,"")</f>
        <v/>
      </c>
      <c r="J35" s="5">
        <f>IF(IF(Table442466656974[[#This Row],[Pre or Post]]="Post",1,0)+IF(ISNUMBER(Table442466656974[[#This Row],[Response]])=TRUE,1,0)=2,1,"")</f>
        <v>1</v>
      </c>
      <c r="K35" s="6" t="str">
        <f>IF(IF(Table442466656974[[#This Row],[Pre or Post]]="Pre",1,0)+IF(ISNUMBER(Table442466656974[[#This Row],[Response]])=TRUE,1,0)=2,Table442466656974[[#This Row],[Response]],"")</f>
        <v/>
      </c>
      <c r="L35" s="6">
        <f>IF(IF(Table442466656974[[#This Row],[Pre or Post]]="Post",1,0)+IF(ISNUMBER(Table442466656974[[#This Row],[Response]])=TRUE,1,0)=2,Table442466656974[[#This Row],[Response]],"")</f>
        <v>3</v>
      </c>
      <c r="M35" s="5" t="str">
        <f>IF(IF(ISNUMBER(K35),1,0)+IF(ISNUMBER(L36),1,0)=2,IF(IF(C36=C35,1,0)+IF(B36=B35,1,0)+IF(D36="Post",1,0)+IF(D35="Pre",1,0)=4,Table442466656974[[#This Row],[Pre Total]],""),"")</f>
        <v/>
      </c>
      <c r="N35" s="5">
        <f>IF(IF(ISNUMBER(K34),1,0)+IF(ISNUMBER(Table442466656974[[#This Row],[Post Total]]),1,0)=2,IF(IF(Table442466656974[[#This Row],[Student Number]]=C34,1,0)+IF(Table442466656974[[#This Row],[Session]]=B34,1,0)+IF(Table442466656974[[#This Row],[Pre or Post]]="Post",1,0)+IF(D34="Pre",1,0)=4,Table442466656974[[#This Row],[Post Total]],""),"")</f>
        <v>3</v>
      </c>
      <c r="O35" s="5">
        <f>IF(IF(ISNUMBER(K34),1,0)+IF(ISNUMBER(Table442466656974[[#This Row],[Post Total]]),1,0)=2,IF(IF(Table442466656974[[#This Row],[Student Number]]=C34,1,0)+IF(Table442466656974[[#This Row],[Session]]=B34,1,0)+IF(Table442466656974[[#This Row],[Pre or Post]]="Post",1,0)+IF(D34="Pre",1,0)=4,Table442466656974[[#This Row],[Post Total]]-K34,""),"")</f>
        <v>0</v>
      </c>
      <c r="P35" s="5" t="b">
        <f>ISNUMBER(Table442466656974[[#This Row],[Change]])</f>
        <v>1</v>
      </c>
      <c r="Q35" s="5">
        <f>IF(E34="Yes",Table442466656974[[#This Row],[Change]],"")</f>
        <v>0</v>
      </c>
      <c r="R35" s="5" t="str">
        <f>IF(E34="No",Table442466656974[[#This Row],[Change]],"")</f>
        <v/>
      </c>
      <c r="S35" s="5" t="b">
        <f>ISNUMBER(Table442466656974[[#This Row],[If Pre5 Yes]])</f>
        <v>1</v>
      </c>
      <c r="T35" s="5" t="b">
        <f>ISNUMBER(Table442466656974[[#This Row],[If Pre5 No]])</f>
        <v>0</v>
      </c>
    </row>
    <row r="36" spans="1:20">
      <c r="A36" s="2" t="s">
        <v>12</v>
      </c>
      <c r="B36" s="2" t="s">
        <v>21</v>
      </c>
      <c r="C36" s="1">
        <v>6</v>
      </c>
      <c r="D36" s="2" t="s">
        <v>6</v>
      </c>
      <c r="E36" s="5" t="s">
        <v>8</v>
      </c>
      <c r="F36" s="1">
        <v>9</v>
      </c>
      <c r="G36" s="1">
        <v>3</v>
      </c>
      <c r="H36" s="2" t="s">
        <v>8</v>
      </c>
      <c r="I36" s="6">
        <f>IF(IF(Table442466656974[[#This Row],[Pre or Post]]="Pre",1,0)+IF(ISNUMBER(Table442466656974[[#This Row],[Response]])=TRUE,1,0)=2,1,"")</f>
        <v>1</v>
      </c>
      <c r="J36" s="6" t="str">
        <f>IF(IF(Table442466656974[[#This Row],[Pre or Post]]="Post",1,0)+IF(ISNUMBER(Table442466656974[[#This Row],[Response]])=TRUE,1,0)=2,1,"")</f>
        <v/>
      </c>
      <c r="K36" s="6">
        <f>IF(IF(Table442466656974[[#This Row],[Pre or Post]]="Pre",1,0)+IF(ISNUMBER(Table442466656974[[#This Row],[Response]])=TRUE,1,0)=2,Table442466656974[[#This Row],[Response]],"")</f>
        <v>3</v>
      </c>
      <c r="L36" s="6" t="str">
        <f>IF(IF(Table442466656974[[#This Row],[Pre or Post]]="Post",1,0)+IF(ISNUMBER(Table442466656974[[#This Row],[Response]])=TRUE,1,0)=2,Table442466656974[[#This Row],[Response]],"")</f>
        <v/>
      </c>
      <c r="M36" s="5">
        <f>IF(IF(ISNUMBER(K36),1,0)+IF(ISNUMBER(L37),1,0)=2,IF(IF(C37=C36,1,0)+IF(B37=B36,1,0)+IF(D37="Post",1,0)+IF(D36="Pre",1,0)=4,Table442466656974[[#This Row],[Pre Total]],""),"")</f>
        <v>3</v>
      </c>
      <c r="N36" s="6" t="str">
        <f>IF(IF(ISNUMBER(K35),1,0)+IF(ISNUMBER(Table442466656974[[#This Row],[Post Total]]),1,0)=2,IF(IF(Table442466656974[[#This Row],[Student Number]]=C35,1,0)+IF(Table442466656974[[#This Row],[Session]]=B35,1,0)+IF(Table442466656974[[#This Row],[Pre or Post]]="Post",1,0)+IF(D35="Pre",1,0)=4,Table442466656974[[#This Row],[Post Total]],""),"")</f>
        <v/>
      </c>
      <c r="O36" s="6" t="str">
        <f>IF(IF(ISNUMBER(K35),1,0)+IF(ISNUMBER(Table442466656974[[#This Row],[Post Total]]),1,0)=2,IF(IF(Table442466656974[[#This Row],[Student Number]]=C35,1,0)+IF(Table442466656974[[#This Row],[Session]]=B35,1,0)+IF(Table442466656974[[#This Row],[Pre or Post]]="Post",1,0)+IF(D35="Pre",1,0)=4,Table442466656974[[#This Row],[Post Total]]-K35,""),"")</f>
        <v/>
      </c>
      <c r="P36" s="6" t="b">
        <f>ISNUMBER(Table442466656974[[#This Row],[Change]])</f>
        <v>0</v>
      </c>
      <c r="Q36" s="5" t="str">
        <f>IF(E35="Yes",Table442466656974[[#This Row],[Change]],"")</f>
        <v/>
      </c>
      <c r="R36" s="5" t="str">
        <f>IF(E35="No",Table442466656974[[#This Row],[Change]],"")</f>
        <v/>
      </c>
      <c r="S36" s="5" t="b">
        <f>ISNUMBER(Table442466656974[[#This Row],[If Pre5 Yes]])</f>
        <v>0</v>
      </c>
      <c r="T36" s="5" t="b">
        <f>ISNUMBER(Table442466656974[[#This Row],[If Pre5 No]])</f>
        <v>0</v>
      </c>
    </row>
    <row r="37" spans="1:20">
      <c r="A37" s="2" t="s">
        <v>12</v>
      </c>
      <c r="B37" s="2" t="s">
        <v>21</v>
      </c>
      <c r="C37" s="1">
        <v>6</v>
      </c>
      <c r="D37" s="2" t="s">
        <v>16</v>
      </c>
      <c r="E37" s="5"/>
      <c r="F37" s="1">
        <v>2</v>
      </c>
      <c r="G37" s="1">
        <v>4</v>
      </c>
      <c r="H37" s="2" t="s">
        <v>8</v>
      </c>
      <c r="I37" s="5" t="str">
        <f>IF(IF(Table442466656974[[#This Row],[Pre or Post]]="Pre",1,0)+IF(ISNUMBER(Table442466656974[[#This Row],[Response]])=TRUE,1,0)=2,1,"")</f>
        <v/>
      </c>
      <c r="J37" s="5">
        <f>IF(IF(Table442466656974[[#This Row],[Pre or Post]]="Post",1,0)+IF(ISNUMBER(Table442466656974[[#This Row],[Response]])=TRUE,1,0)=2,1,"")</f>
        <v>1</v>
      </c>
      <c r="K37" s="6" t="str">
        <f>IF(IF(Table442466656974[[#This Row],[Pre or Post]]="Pre",1,0)+IF(ISNUMBER(Table442466656974[[#This Row],[Response]])=TRUE,1,0)=2,Table442466656974[[#This Row],[Response]],"")</f>
        <v/>
      </c>
      <c r="L37" s="6">
        <f>IF(IF(Table442466656974[[#This Row],[Pre or Post]]="Post",1,0)+IF(ISNUMBER(Table442466656974[[#This Row],[Response]])=TRUE,1,0)=2,Table442466656974[[#This Row],[Response]],"")</f>
        <v>4</v>
      </c>
      <c r="M37" s="5" t="str">
        <f>IF(IF(ISNUMBER(K37),1,0)+IF(ISNUMBER(L38),1,0)=2,IF(IF(C38=C37,1,0)+IF(B38=B37,1,0)+IF(D38="Post",1,0)+IF(D37="Pre",1,0)=4,Table442466656974[[#This Row],[Pre Total]],""),"")</f>
        <v/>
      </c>
      <c r="N37" s="5">
        <f>IF(IF(ISNUMBER(K36),1,0)+IF(ISNUMBER(Table442466656974[[#This Row],[Post Total]]),1,0)=2,IF(IF(Table442466656974[[#This Row],[Student Number]]=C36,1,0)+IF(Table442466656974[[#This Row],[Session]]=B36,1,0)+IF(Table442466656974[[#This Row],[Pre or Post]]="Post",1,0)+IF(D36="Pre",1,0)=4,Table442466656974[[#This Row],[Post Total]],""),"")</f>
        <v>4</v>
      </c>
      <c r="O37" s="5">
        <f>IF(IF(ISNUMBER(K36),1,0)+IF(ISNUMBER(Table442466656974[[#This Row],[Post Total]]),1,0)=2,IF(IF(Table442466656974[[#This Row],[Student Number]]=C36,1,0)+IF(Table442466656974[[#This Row],[Session]]=B36,1,0)+IF(Table442466656974[[#This Row],[Pre or Post]]="Post",1,0)+IF(D36="Pre",1,0)=4,Table442466656974[[#This Row],[Post Total]]-K36,""),"")</f>
        <v>1</v>
      </c>
      <c r="P37" s="5" t="b">
        <f>ISNUMBER(Table442466656974[[#This Row],[Change]])</f>
        <v>1</v>
      </c>
      <c r="Q37" s="5">
        <f>IF(E36="Yes",Table442466656974[[#This Row],[Change]],"")</f>
        <v>1</v>
      </c>
      <c r="R37" s="5" t="str">
        <f>IF(E36="No",Table442466656974[[#This Row],[Change]],"")</f>
        <v/>
      </c>
      <c r="S37" s="5" t="b">
        <f>ISNUMBER(Table442466656974[[#This Row],[If Pre5 Yes]])</f>
        <v>1</v>
      </c>
      <c r="T37" s="5" t="b">
        <f>ISNUMBER(Table442466656974[[#This Row],[If Pre5 No]])</f>
        <v>0</v>
      </c>
    </row>
    <row r="38" spans="1:20">
      <c r="A38" s="2" t="s">
        <v>12</v>
      </c>
      <c r="B38" s="2" t="s">
        <v>21</v>
      </c>
      <c r="C38" s="1">
        <v>7</v>
      </c>
      <c r="D38" s="2" t="s">
        <v>6</v>
      </c>
      <c r="E38" s="5" t="s">
        <v>8</v>
      </c>
      <c r="F38" s="1">
        <v>9</v>
      </c>
      <c r="G38" s="1">
        <v>4</v>
      </c>
      <c r="H38" s="2" t="s">
        <v>8</v>
      </c>
      <c r="I38" s="5">
        <f>IF(IF(Table442466656974[[#This Row],[Pre or Post]]="Pre",1,0)+IF(ISNUMBER(Table442466656974[[#This Row],[Response]])=TRUE,1,0)=2,1,"")</f>
        <v>1</v>
      </c>
      <c r="J38" s="5" t="str">
        <f>IF(IF(Table442466656974[[#This Row],[Pre or Post]]="Post",1,0)+IF(ISNUMBER(Table442466656974[[#This Row],[Response]])=TRUE,1,0)=2,1,"")</f>
        <v/>
      </c>
      <c r="K38" s="6">
        <f>IF(IF(Table442466656974[[#This Row],[Pre or Post]]="Pre",1,0)+IF(ISNUMBER(Table442466656974[[#This Row],[Response]])=TRUE,1,0)=2,Table442466656974[[#This Row],[Response]],"")</f>
        <v>4</v>
      </c>
      <c r="L38" s="6" t="str">
        <f>IF(IF(Table442466656974[[#This Row],[Pre or Post]]="Post",1,0)+IF(ISNUMBER(Table442466656974[[#This Row],[Response]])=TRUE,1,0)=2,Table442466656974[[#This Row],[Response]],"")</f>
        <v/>
      </c>
      <c r="M38" s="5">
        <f>IF(IF(ISNUMBER(K38),1,0)+IF(ISNUMBER(L39),1,0)=2,IF(IF(C39=C38,1,0)+IF(B39=B38,1,0)+IF(D39="Post",1,0)+IF(D38="Pre",1,0)=4,Table442466656974[[#This Row],[Pre Total]],""),"")</f>
        <v>4</v>
      </c>
      <c r="N38" s="5" t="str">
        <f>IF(IF(ISNUMBER(K37),1,0)+IF(ISNUMBER(Table442466656974[[#This Row],[Post Total]]),1,0)=2,IF(IF(Table442466656974[[#This Row],[Student Number]]=C37,1,0)+IF(Table442466656974[[#This Row],[Session]]=B37,1,0)+IF(Table442466656974[[#This Row],[Pre or Post]]="Post",1,0)+IF(D37="Pre",1,0)=4,Table442466656974[[#This Row],[Post Total]],""),"")</f>
        <v/>
      </c>
      <c r="O38" s="5" t="str">
        <f>IF(IF(ISNUMBER(K37),1,0)+IF(ISNUMBER(Table442466656974[[#This Row],[Post Total]]),1,0)=2,IF(IF(Table442466656974[[#This Row],[Student Number]]=C37,1,0)+IF(Table442466656974[[#This Row],[Session]]=B37,1,0)+IF(Table442466656974[[#This Row],[Pre or Post]]="Post",1,0)+IF(D37="Pre",1,0)=4,Table442466656974[[#This Row],[Post Total]]-K37,""),"")</f>
        <v/>
      </c>
      <c r="P38" s="5" t="b">
        <f>ISNUMBER(Table442466656974[[#This Row],[Change]])</f>
        <v>0</v>
      </c>
      <c r="Q38" s="5" t="str">
        <f>IF(E37="Yes",Table442466656974[[#This Row],[Change]],"")</f>
        <v/>
      </c>
      <c r="R38" s="5" t="str">
        <f>IF(E37="No",Table442466656974[[#This Row],[Change]],"")</f>
        <v/>
      </c>
      <c r="S38" s="5" t="b">
        <f>ISNUMBER(Table442466656974[[#This Row],[If Pre5 Yes]])</f>
        <v>0</v>
      </c>
      <c r="T38" s="5" t="b">
        <f>ISNUMBER(Table442466656974[[#This Row],[If Pre5 No]])</f>
        <v>0</v>
      </c>
    </row>
    <row r="39" spans="1:20">
      <c r="A39" s="2" t="s">
        <v>12</v>
      </c>
      <c r="B39" s="2" t="s">
        <v>21</v>
      </c>
      <c r="C39" s="1">
        <v>7</v>
      </c>
      <c r="D39" s="2" t="s">
        <v>16</v>
      </c>
      <c r="E39" s="5"/>
      <c r="F39" s="1">
        <v>2</v>
      </c>
      <c r="G39" s="1">
        <v>4</v>
      </c>
      <c r="H39" s="2" t="s">
        <v>8</v>
      </c>
      <c r="I39" s="6" t="str">
        <f>IF(IF(Table442466656974[[#This Row],[Pre or Post]]="Pre",1,0)+IF(ISNUMBER(Table442466656974[[#This Row],[Response]])=TRUE,1,0)=2,1,"")</f>
        <v/>
      </c>
      <c r="J39" s="6">
        <f>IF(IF(Table442466656974[[#This Row],[Pre or Post]]="Post",1,0)+IF(ISNUMBER(Table442466656974[[#This Row],[Response]])=TRUE,1,0)=2,1,"")</f>
        <v>1</v>
      </c>
      <c r="K39" s="6" t="str">
        <f>IF(IF(Table442466656974[[#This Row],[Pre or Post]]="Pre",1,0)+IF(ISNUMBER(Table442466656974[[#This Row],[Response]])=TRUE,1,0)=2,Table442466656974[[#This Row],[Response]],"")</f>
        <v/>
      </c>
      <c r="L39" s="6">
        <f>IF(IF(Table442466656974[[#This Row],[Pre or Post]]="Post",1,0)+IF(ISNUMBER(Table442466656974[[#This Row],[Response]])=TRUE,1,0)=2,Table442466656974[[#This Row],[Response]],"")</f>
        <v>4</v>
      </c>
      <c r="M39" s="6" t="str">
        <f>IF(IF(ISNUMBER(K39),1,0)+IF(ISNUMBER(L40),1,0)=2,IF(IF(C40=C39,1,0)+IF(B40=B39,1,0)+IF(D40="Post",1,0)+IF(D39="Pre",1,0)=4,Table442466656974[[#This Row],[Pre Total]],""),"")</f>
        <v/>
      </c>
      <c r="N39" s="6">
        <f>IF(IF(ISNUMBER(K38),1,0)+IF(ISNUMBER(Table442466656974[[#This Row],[Post Total]]),1,0)=2,IF(IF(Table442466656974[[#This Row],[Student Number]]=C38,1,0)+IF(Table442466656974[[#This Row],[Session]]=B38,1,0)+IF(Table442466656974[[#This Row],[Pre or Post]]="Post",1,0)+IF(D38="Pre",1,0)=4,Table442466656974[[#This Row],[Post Total]],""),"")</f>
        <v>4</v>
      </c>
      <c r="O39" s="6">
        <f>IF(IF(ISNUMBER(K38),1,0)+IF(ISNUMBER(Table442466656974[[#This Row],[Post Total]]),1,0)=2,IF(IF(Table442466656974[[#This Row],[Student Number]]=C38,1,0)+IF(Table442466656974[[#This Row],[Session]]=B38,1,0)+IF(Table442466656974[[#This Row],[Pre or Post]]="Post",1,0)+IF(D38="Pre",1,0)=4,Table442466656974[[#This Row],[Post Total]]-K38,""),"")</f>
        <v>0</v>
      </c>
      <c r="P39" s="6" t="b">
        <f>ISNUMBER(Table442466656974[[#This Row],[Change]])</f>
        <v>1</v>
      </c>
      <c r="Q39" s="5">
        <f>IF(E38="Yes",Table442466656974[[#This Row],[Change]],"")</f>
        <v>0</v>
      </c>
      <c r="R39" s="5" t="str">
        <f>IF(E38="No",Table442466656974[[#This Row],[Change]],"")</f>
        <v/>
      </c>
      <c r="S39" s="5" t="b">
        <f>ISNUMBER(Table442466656974[[#This Row],[If Pre5 Yes]])</f>
        <v>1</v>
      </c>
      <c r="T39" s="5" t="b">
        <f>ISNUMBER(Table442466656974[[#This Row],[If Pre5 No]])</f>
        <v>0</v>
      </c>
    </row>
    <row r="40" spans="1:20">
      <c r="A40" s="2" t="s">
        <v>12</v>
      </c>
      <c r="B40" s="2" t="s">
        <v>21</v>
      </c>
      <c r="C40" s="1">
        <v>8</v>
      </c>
      <c r="D40" s="2" t="s">
        <v>6</v>
      </c>
      <c r="E40" s="5" t="s">
        <v>8</v>
      </c>
      <c r="F40" s="1">
        <v>9</v>
      </c>
      <c r="G40" s="1">
        <v>4</v>
      </c>
      <c r="H40" s="2" t="s">
        <v>8</v>
      </c>
      <c r="I40" s="5">
        <f>IF(IF(Table442466656974[[#This Row],[Pre or Post]]="Pre",1,0)+IF(ISNUMBER(Table442466656974[[#This Row],[Response]])=TRUE,1,0)=2,1,"")</f>
        <v>1</v>
      </c>
      <c r="J40" s="5" t="str">
        <f>IF(IF(Table442466656974[[#This Row],[Pre or Post]]="Post",1,0)+IF(ISNUMBER(Table442466656974[[#This Row],[Response]])=TRUE,1,0)=2,1,"")</f>
        <v/>
      </c>
      <c r="K40" s="6">
        <f>IF(IF(Table442466656974[[#This Row],[Pre or Post]]="Pre",1,0)+IF(ISNUMBER(Table442466656974[[#This Row],[Response]])=TRUE,1,0)=2,Table442466656974[[#This Row],[Response]],"")</f>
        <v>4</v>
      </c>
      <c r="L40" s="6" t="str">
        <f>IF(IF(Table442466656974[[#This Row],[Pre or Post]]="Post",1,0)+IF(ISNUMBER(Table442466656974[[#This Row],[Response]])=TRUE,1,0)=2,Table442466656974[[#This Row],[Response]],"")</f>
        <v/>
      </c>
      <c r="M40" s="5">
        <f>IF(IF(ISNUMBER(K40),1,0)+IF(ISNUMBER(L41),1,0)=2,IF(IF(C41=C40,1,0)+IF(B41=B40,1,0)+IF(D41="Post",1,0)+IF(D40="Pre",1,0)=4,Table442466656974[[#This Row],[Pre Total]],""),"")</f>
        <v>4</v>
      </c>
      <c r="N40" s="5" t="str">
        <f>IF(IF(ISNUMBER(K39),1,0)+IF(ISNUMBER(Table442466656974[[#This Row],[Post Total]]),1,0)=2,IF(IF(Table442466656974[[#This Row],[Student Number]]=C39,1,0)+IF(Table442466656974[[#This Row],[Session]]=B39,1,0)+IF(Table442466656974[[#This Row],[Pre or Post]]="Post",1,0)+IF(D39="Pre",1,0)=4,Table442466656974[[#This Row],[Post Total]],""),"")</f>
        <v/>
      </c>
      <c r="O40" s="5" t="str">
        <f>IF(IF(ISNUMBER(K39),1,0)+IF(ISNUMBER(Table442466656974[[#This Row],[Post Total]]),1,0)=2,IF(IF(Table442466656974[[#This Row],[Student Number]]=C39,1,0)+IF(Table442466656974[[#This Row],[Session]]=B39,1,0)+IF(Table442466656974[[#This Row],[Pre or Post]]="Post",1,0)+IF(D39="Pre",1,0)=4,Table442466656974[[#This Row],[Post Total]]-K39,""),"")</f>
        <v/>
      </c>
      <c r="P40" s="5" t="b">
        <f>ISNUMBER(Table442466656974[[#This Row],[Change]])</f>
        <v>0</v>
      </c>
      <c r="Q40" s="5" t="str">
        <f>IF(E39="Yes",Table442466656974[[#This Row],[Change]],"")</f>
        <v/>
      </c>
      <c r="R40" s="5" t="str">
        <f>IF(E39="No",Table442466656974[[#This Row],[Change]],"")</f>
        <v/>
      </c>
      <c r="S40" s="5" t="b">
        <f>ISNUMBER(Table442466656974[[#This Row],[If Pre5 Yes]])</f>
        <v>0</v>
      </c>
      <c r="T40" s="5" t="b">
        <f>ISNUMBER(Table442466656974[[#This Row],[If Pre5 No]])</f>
        <v>0</v>
      </c>
    </row>
    <row r="41" spans="1:20">
      <c r="A41" s="2" t="s">
        <v>12</v>
      </c>
      <c r="B41" s="2" t="s">
        <v>21</v>
      </c>
      <c r="C41" s="1">
        <v>8</v>
      </c>
      <c r="D41" s="2" t="s">
        <v>16</v>
      </c>
      <c r="E41" s="5"/>
      <c r="F41" s="1">
        <v>2</v>
      </c>
      <c r="G41" s="1">
        <v>4</v>
      </c>
      <c r="H41" s="2" t="s">
        <v>8</v>
      </c>
      <c r="I41" s="5" t="str">
        <f>IF(IF(Table442466656974[[#This Row],[Pre or Post]]="Pre",1,0)+IF(ISNUMBER(Table442466656974[[#This Row],[Response]])=TRUE,1,0)=2,1,"")</f>
        <v/>
      </c>
      <c r="J41" s="5">
        <f>IF(IF(Table442466656974[[#This Row],[Pre or Post]]="Post",1,0)+IF(ISNUMBER(Table442466656974[[#This Row],[Response]])=TRUE,1,0)=2,1,"")</f>
        <v>1</v>
      </c>
      <c r="K41" s="6" t="str">
        <f>IF(IF(Table442466656974[[#This Row],[Pre or Post]]="Pre",1,0)+IF(ISNUMBER(Table442466656974[[#This Row],[Response]])=TRUE,1,0)=2,Table442466656974[[#This Row],[Response]],"")</f>
        <v/>
      </c>
      <c r="L41" s="6">
        <f>IF(IF(Table442466656974[[#This Row],[Pre or Post]]="Post",1,0)+IF(ISNUMBER(Table442466656974[[#This Row],[Response]])=TRUE,1,0)=2,Table442466656974[[#This Row],[Response]],"")</f>
        <v>4</v>
      </c>
      <c r="M41" s="5" t="str">
        <f>IF(IF(ISNUMBER(K41),1,0)+IF(ISNUMBER(L42),1,0)=2,IF(IF(C42=C41,1,0)+IF(B42=B41,1,0)+IF(D42="Post",1,0)+IF(D41="Pre",1,0)=4,Table442466656974[[#This Row],[Pre Total]],""),"")</f>
        <v/>
      </c>
      <c r="N41" s="5">
        <f>IF(IF(ISNUMBER(K40),1,0)+IF(ISNUMBER(Table442466656974[[#This Row],[Post Total]]),1,0)=2,IF(IF(Table442466656974[[#This Row],[Student Number]]=C40,1,0)+IF(Table442466656974[[#This Row],[Session]]=B40,1,0)+IF(Table442466656974[[#This Row],[Pre or Post]]="Post",1,0)+IF(D40="Pre",1,0)=4,Table442466656974[[#This Row],[Post Total]],""),"")</f>
        <v>4</v>
      </c>
      <c r="O41" s="5">
        <f>IF(IF(ISNUMBER(K40),1,0)+IF(ISNUMBER(Table442466656974[[#This Row],[Post Total]]),1,0)=2,IF(IF(Table442466656974[[#This Row],[Student Number]]=C40,1,0)+IF(Table442466656974[[#This Row],[Session]]=B40,1,0)+IF(Table442466656974[[#This Row],[Pre or Post]]="Post",1,0)+IF(D40="Pre",1,0)=4,Table442466656974[[#This Row],[Post Total]]-K40,""),"")</f>
        <v>0</v>
      </c>
      <c r="P41" s="5" t="b">
        <f>ISNUMBER(Table442466656974[[#This Row],[Change]])</f>
        <v>1</v>
      </c>
      <c r="Q41" s="5">
        <f>IF(E40="Yes",Table442466656974[[#This Row],[Change]],"")</f>
        <v>0</v>
      </c>
      <c r="R41" s="5" t="str">
        <f>IF(E40="No",Table442466656974[[#This Row],[Change]],"")</f>
        <v/>
      </c>
      <c r="S41" s="5" t="b">
        <f>ISNUMBER(Table442466656974[[#This Row],[If Pre5 Yes]])</f>
        <v>1</v>
      </c>
      <c r="T41" s="5" t="b">
        <f>ISNUMBER(Table442466656974[[#This Row],[If Pre5 No]])</f>
        <v>0</v>
      </c>
    </row>
    <row r="42" spans="1:20">
      <c r="A42" s="2" t="s">
        <v>12</v>
      </c>
      <c r="B42" s="2" t="s">
        <v>21</v>
      </c>
      <c r="C42" s="1">
        <v>9</v>
      </c>
      <c r="D42" s="2" t="s">
        <v>6</v>
      </c>
      <c r="E42" s="5" t="s">
        <v>8</v>
      </c>
      <c r="F42" s="1">
        <v>9</v>
      </c>
      <c r="G42" s="1">
        <v>5</v>
      </c>
      <c r="H42" s="2" t="s">
        <v>8</v>
      </c>
      <c r="I42" s="5">
        <f>IF(IF(Table442466656974[[#This Row],[Pre or Post]]="Pre",1,0)+IF(ISNUMBER(Table442466656974[[#This Row],[Response]])=TRUE,1,0)=2,1,"")</f>
        <v>1</v>
      </c>
      <c r="J42" s="5" t="str">
        <f>IF(IF(Table442466656974[[#This Row],[Pre or Post]]="Post",1,0)+IF(ISNUMBER(Table442466656974[[#This Row],[Response]])=TRUE,1,0)=2,1,"")</f>
        <v/>
      </c>
      <c r="K42" s="6">
        <f>IF(IF(Table442466656974[[#This Row],[Pre or Post]]="Pre",1,0)+IF(ISNUMBER(Table442466656974[[#This Row],[Response]])=TRUE,1,0)=2,Table442466656974[[#This Row],[Response]],"")</f>
        <v>5</v>
      </c>
      <c r="L42" s="6" t="str">
        <f>IF(IF(Table442466656974[[#This Row],[Pre or Post]]="Post",1,0)+IF(ISNUMBER(Table442466656974[[#This Row],[Response]])=TRUE,1,0)=2,Table442466656974[[#This Row],[Response]],"")</f>
        <v/>
      </c>
      <c r="M42" s="5">
        <f>IF(IF(ISNUMBER(K42),1,0)+IF(ISNUMBER(L43),1,0)=2,IF(IF(C43=C42,1,0)+IF(B43=B42,1,0)+IF(D43="Post",1,0)+IF(D42="Pre",1,0)=4,Table442466656974[[#This Row],[Pre Total]],""),"")</f>
        <v>5</v>
      </c>
      <c r="N42" s="5" t="str">
        <f>IF(IF(ISNUMBER(K41),1,0)+IF(ISNUMBER(Table442466656974[[#This Row],[Post Total]]),1,0)=2,IF(IF(Table442466656974[[#This Row],[Student Number]]=C41,1,0)+IF(Table442466656974[[#This Row],[Session]]=B41,1,0)+IF(Table442466656974[[#This Row],[Pre or Post]]="Post",1,0)+IF(D41="Pre",1,0)=4,Table442466656974[[#This Row],[Post Total]],""),"")</f>
        <v/>
      </c>
      <c r="O42" s="5" t="str">
        <f>IF(IF(ISNUMBER(K41),1,0)+IF(ISNUMBER(Table442466656974[[#This Row],[Post Total]]),1,0)=2,IF(IF(Table442466656974[[#This Row],[Student Number]]=C41,1,0)+IF(Table442466656974[[#This Row],[Session]]=B41,1,0)+IF(Table442466656974[[#This Row],[Pre or Post]]="Post",1,0)+IF(D41="Pre",1,0)=4,Table442466656974[[#This Row],[Post Total]]-K41,""),"")</f>
        <v/>
      </c>
      <c r="P42" s="5" t="b">
        <f>ISNUMBER(Table442466656974[[#This Row],[Change]])</f>
        <v>0</v>
      </c>
      <c r="Q42" s="5" t="str">
        <f>IF(E41="Yes",Table442466656974[[#This Row],[Change]],"")</f>
        <v/>
      </c>
      <c r="R42" s="5" t="str">
        <f>IF(E41="No",Table442466656974[[#This Row],[Change]],"")</f>
        <v/>
      </c>
      <c r="S42" s="5" t="b">
        <f>ISNUMBER(Table442466656974[[#This Row],[If Pre5 Yes]])</f>
        <v>0</v>
      </c>
      <c r="T42" s="5" t="b">
        <f>ISNUMBER(Table442466656974[[#This Row],[If Pre5 No]])</f>
        <v>0</v>
      </c>
    </row>
    <row r="43" spans="1:20">
      <c r="A43" s="2" t="s">
        <v>12</v>
      </c>
      <c r="B43" s="2" t="s">
        <v>21</v>
      </c>
      <c r="C43" s="1">
        <v>9</v>
      </c>
      <c r="D43" s="2" t="s">
        <v>16</v>
      </c>
      <c r="E43" s="5"/>
      <c r="F43" s="1">
        <v>2</v>
      </c>
      <c r="G43" s="1">
        <v>4</v>
      </c>
      <c r="H43" s="2" t="s">
        <v>8</v>
      </c>
      <c r="I43" s="5" t="str">
        <f>IF(IF(Table442466656974[[#This Row],[Pre or Post]]="Pre",1,0)+IF(ISNUMBER(Table442466656974[[#This Row],[Response]])=TRUE,1,0)=2,1,"")</f>
        <v/>
      </c>
      <c r="J43" s="5">
        <f>IF(IF(Table442466656974[[#This Row],[Pre or Post]]="Post",1,0)+IF(ISNUMBER(Table442466656974[[#This Row],[Response]])=TRUE,1,0)=2,1,"")</f>
        <v>1</v>
      </c>
      <c r="K43" s="6" t="str">
        <f>IF(IF(Table442466656974[[#This Row],[Pre or Post]]="Pre",1,0)+IF(ISNUMBER(Table442466656974[[#This Row],[Response]])=TRUE,1,0)=2,Table442466656974[[#This Row],[Response]],"")</f>
        <v/>
      </c>
      <c r="L43" s="6">
        <f>IF(IF(Table442466656974[[#This Row],[Pre or Post]]="Post",1,0)+IF(ISNUMBER(Table442466656974[[#This Row],[Response]])=TRUE,1,0)=2,Table442466656974[[#This Row],[Response]],"")</f>
        <v>4</v>
      </c>
      <c r="M43" s="5" t="str">
        <f>IF(IF(ISNUMBER(K43),1,0)+IF(ISNUMBER(L44),1,0)=2,IF(IF(C44=C43,1,0)+IF(B44=B43,1,0)+IF(D44="Post",1,0)+IF(D43="Pre",1,0)=4,Table442466656974[[#This Row],[Pre Total]],""),"")</f>
        <v/>
      </c>
      <c r="N43" s="5">
        <f>IF(IF(ISNUMBER(K42),1,0)+IF(ISNUMBER(Table442466656974[[#This Row],[Post Total]]),1,0)=2,IF(IF(Table442466656974[[#This Row],[Student Number]]=C42,1,0)+IF(Table442466656974[[#This Row],[Session]]=B42,1,0)+IF(Table442466656974[[#This Row],[Pre or Post]]="Post",1,0)+IF(D42="Pre",1,0)=4,Table442466656974[[#This Row],[Post Total]],""),"")</f>
        <v>4</v>
      </c>
      <c r="O43" s="5">
        <f>IF(IF(ISNUMBER(K42),1,0)+IF(ISNUMBER(Table442466656974[[#This Row],[Post Total]]),1,0)=2,IF(IF(Table442466656974[[#This Row],[Student Number]]=C42,1,0)+IF(Table442466656974[[#This Row],[Session]]=B42,1,0)+IF(Table442466656974[[#This Row],[Pre or Post]]="Post",1,0)+IF(D42="Pre",1,0)=4,Table442466656974[[#This Row],[Post Total]]-K42,""),"")</f>
        <v>-1</v>
      </c>
      <c r="P43" s="5" t="b">
        <f>ISNUMBER(Table442466656974[[#This Row],[Change]])</f>
        <v>1</v>
      </c>
      <c r="Q43" s="5">
        <f>IF(E42="Yes",Table442466656974[[#This Row],[Change]],"")</f>
        <v>-1</v>
      </c>
      <c r="R43" s="5" t="str">
        <f>IF(E42="No",Table442466656974[[#This Row],[Change]],"")</f>
        <v/>
      </c>
      <c r="S43" s="5" t="b">
        <f>ISNUMBER(Table442466656974[[#This Row],[If Pre5 Yes]])</f>
        <v>1</v>
      </c>
      <c r="T43" s="5" t="b">
        <f>ISNUMBER(Table442466656974[[#This Row],[If Pre5 No]])</f>
        <v>0</v>
      </c>
    </row>
    <row r="44" spans="1:20">
      <c r="A44" s="2" t="s">
        <v>12</v>
      </c>
      <c r="B44" s="2" t="s">
        <v>21</v>
      </c>
      <c r="C44" s="1">
        <v>10</v>
      </c>
      <c r="D44" s="2" t="s">
        <v>6</v>
      </c>
      <c r="E44" s="5" t="s">
        <v>8</v>
      </c>
      <c r="F44" s="1">
        <v>9</v>
      </c>
      <c r="G44" s="1">
        <v>3</v>
      </c>
      <c r="H44" s="2" t="s">
        <v>8</v>
      </c>
      <c r="I44" s="5">
        <f>IF(IF(Table442466656974[[#This Row],[Pre or Post]]="Pre",1,0)+IF(ISNUMBER(Table442466656974[[#This Row],[Response]])=TRUE,1,0)=2,1,"")</f>
        <v>1</v>
      </c>
      <c r="J44" s="5" t="str">
        <f>IF(IF(Table442466656974[[#This Row],[Pre or Post]]="Post",1,0)+IF(ISNUMBER(Table442466656974[[#This Row],[Response]])=TRUE,1,0)=2,1,"")</f>
        <v/>
      </c>
      <c r="K44" s="6">
        <f>IF(IF(Table442466656974[[#This Row],[Pre or Post]]="Pre",1,0)+IF(ISNUMBER(Table442466656974[[#This Row],[Response]])=TRUE,1,0)=2,Table442466656974[[#This Row],[Response]],"")</f>
        <v>3</v>
      </c>
      <c r="L44" s="6" t="str">
        <f>IF(IF(Table442466656974[[#This Row],[Pre or Post]]="Post",1,0)+IF(ISNUMBER(Table442466656974[[#This Row],[Response]])=TRUE,1,0)=2,Table442466656974[[#This Row],[Response]],"")</f>
        <v/>
      </c>
      <c r="M44" s="5">
        <f>IF(IF(ISNUMBER(K44),1,0)+IF(ISNUMBER(L45),1,0)=2,IF(IF(C45=C44,1,0)+IF(B45=B44,1,0)+IF(D45="Post",1,0)+IF(D44="Pre",1,0)=4,Table442466656974[[#This Row],[Pre Total]],""),"")</f>
        <v>3</v>
      </c>
      <c r="N44" s="5" t="str">
        <f>IF(IF(ISNUMBER(K43),1,0)+IF(ISNUMBER(Table442466656974[[#This Row],[Post Total]]),1,0)=2,IF(IF(Table442466656974[[#This Row],[Student Number]]=C43,1,0)+IF(Table442466656974[[#This Row],[Session]]=B43,1,0)+IF(Table442466656974[[#This Row],[Pre or Post]]="Post",1,0)+IF(D43="Pre",1,0)=4,Table442466656974[[#This Row],[Post Total]],""),"")</f>
        <v/>
      </c>
      <c r="O44" s="5" t="str">
        <f>IF(IF(ISNUMBER(K43),1,0)+IF(ISNUMBER(Table442466656974[[#This Row],[Post Total]]),1,0)=2,IF(IF(Table442466656974[[#This Row],[Student Number]]=C43,1,0)+IF(Table442466656974[[#This Row],[Session]]=B43,1,0)+IF(Table442466656974[[#This Row],[Pre or Post]]="Post",1,0)+IF(D43="Pre",1,0)=4,Table442466656974[[#This Row],[Post Total]]-K43,""),"")</f>
        <v/>
      </c>
      <c r="P44" s="5" t="b">
        <f>ISNUMBER(Table442466656974[[#This Row],[Change]])</f>
        <v>0</v>
      </c>
      <c r="Q44" s="5" t="str">
        <f>IF(E43="Yes",Table442466656974[[#This Row],[Change]],"")</f>
        <v/>
      </c>
      <c r="R44" s="5" t="str">
        <f>IF(E43="No",Table442466656974[[#This Row],[Change]],"")</f>
        <v/>
      </c>
      <c r="S44" s="5" t="b">
        <f>ISNUMBER(Table442466656974[[#This Row],[If Pre5 Yes]])</f>
        <v>0</v>
      </c>
      <c r="T44" s="5" t="b">
        <f>ISNUMBER(Table442466656974[[#This Row],[If Pre5 No]])</f>
        <v>0</v>
      </c>
    </row>
    <row r="45" spans="1:20">
      <c r="A45" s="2" t="s">
        <v>12</v>
      </c>
      <c r="B45" s="2" t="s">
        <v>21</v>
      </c>
      <c r="C45" s="1">
        <v>10</v>
      </c>
      <c r="D45" s="2" t="s">
        <v>16</v>
      </c>
      <c r="E45" s="5"/>
      <c r="F45" s="1">
        <v>2</v>
      </c>
      <c r="G45" s="1">
        <v>2</v>
      </c>
      <c r="H45" s="2" t="s">
        <v>8</v>
      </c>
      <c r="I45" s="5" t="str">
        <f>IF(IF(Table442466656974[[#This Row],[Pre or Post]]="Pre",1,0)+IF(ISNUMBER(Table442466656974[[#This Row],[Response]])=TRUE,1,0)=2,1,"")</f>
        <v/>
      </c>
      <c r="J45" s="5">
        <f>IF(IF(Table442466656974[[#This Row],[Pre or Post]]="Post",1,0)+IF(ISNUMBER(Table442466656974[[#This Row],[Response]])=TRUE,1,0)=2,1,"")</f>
        <v>1</v>
      </c>
      <c r="K45" s="6" t="str">
        <f>IF(IF(Table442466656974[[#This Row],[Pre or Post]]="Pre",1,0)+IF(ISNUMBER(Table442466656974[[#This Row],[Response]])=TRUE,1,0)=2,Table442466656974[[#This Row],[Response]],"")</f>
        <v/>
      </c>
      <c r="L45" s="6">
        <f>IF(IF(Table442466656974[[#This Row],[Pre or Post]]="Post",1,0)+IF(ISNUMBER(Table442466656974[[#This Row],[Response]])=TRUE,1,0)=2,Table442466656974[[#This Row],[Response]],"")</f>
        <v>2</v>
      </c>
      <c r="M45" s="5" t="str">
        <f>IF(IF(ISNUMBER(K45),1,0)+IF(ISNUMBER(L46),1,0)=2,IF(IF(C46=C45,1,0)+IF(B46=B45,1,0)+IF(D46="Post",1,0)+IF(D45="Pre",1,0)=4,Table442466656974[[#This Row],[Pre Total]],""),"")</f>
        <v/>
      </c>
      <c r="N45" s="5">
        <f>IF(IF(ISNUMBER(K44),1,0)+IF(ISNUMBER(Table442466656974[[#This Row],[Post Total]]),1,0)=2,IF(IF(Table442466656974[[#This Row],[Student Number]]=C44,1,0)+IF(Table442466656974[[#This Row],[Session]]=B44,1,0)+IF(Table442466656974[[#This Row],[Pre or Post]]="Post",1,0)+IF(D44="Pre",1,0)=4,Table442466656974[[#This Row],[Post Total]],""),"")</f>
        <v>2</v>
      </c>
      <c r="O45" s="5">
        <f>IF(IF(ISNUMBER(K44),1,0)+IF(ISNUMBER(Table442466656974[[#This Row],[Post Total]]),1,0)=2,IF(IF(Table442466656974[[#This Row],[Student Number]]=C44,1,0)+IF(Table442466656974[[#This Row],[Session]]=B44,1,0)+IF(Table442466656974[[#This Row],[Pre or Post]]="Post",1,0)+IF(D44="Pre",1,0)=4,Table442466656974[[#This Row],[Post Total]]-K44,""),"")</f>
        <v>-1</v>
      </c>
      <c r="P45" s="5" t="b">
        <f>ISNUMBER(Table442466656974[[#This Row],[Change]])</f>
        <v>1</v>
      </c>
      <c r="Q45" s="5">
        <f>IF(E44="Yes",Table442466656974[[#This Row],[Change]],"")</f>
        <v>-1</v>
      </c>
      <c r="R45" s="5" t="str">
        <f>IF(E44="No",Table442466656974[[#This Row],[Change]],"")</f>
        <v/>
      </c>
      <c r="S45" s="5" t="b">
        <f>ISNUMBER(Table442466656974[[#This Row],[If Pre5 Yes]])</f>
        <v>1</v>
      </c>
      <c r="T45" s="5" t="b">
        <f>ISNUMBER(Table442466656974[[#This Row],[If Pre5 No]])</f>
        <v>0</v>
      </c>
    </row>
    <row r="46" spans="1:20">
      <c r="A46" s="2" t="s">
        <v>12</v>
      </c>
      <c r="B46" s="2" t="s">
        <v>21</v>
      </c>
      <c r="C46" s="1">
        <v>11</v>
      </c>
      <c r="D46" s="2" t="s">
        <v>6</v>
      </c>
      <c r="E46" s="5" t="s">
        <v>8</v>
      </c>
      <c r="F46" s="1">
        <v>9</v>
      </c>
      <c r="G46" s="1">
        <v>4</v>
      </c>
      <c r="H46" s="2" t="s">
        <v>8</v>
      </c>
      <c r="I46" s="5">
        <f>IF(IF(Table442466656974[[#This Row],[Pre or Post]]="Pre",1,0)+IF(ISNUMBER(Table442466656974[[#This Row],[Response]])=TRUE,1,0)=2,1,"")</f>
        <v>1</v>
      </c>
      <c r="J46" s="5" t="str">
        <f>IF(IF(Table442466656974[[#This Row],[Pre or Post]]="Post",1,0)+IF(ISNUMBER(Table442466656974[[#This Row],[Response]])=TRUE,1,0)=2,1,"")</f>
        <v/>
      </c>
      <c r="K46" s="6">
        <f>IF(IF(Table442466656974[[#This Row],[Pre or Post]]="Pre",1,0)+IF(ISNUMBER(Table442466656974[[#This Row],[Response]])=TRUE,1,0)=2,Table442466656974[[#This Row],[Response]],"")</f>
        <v>4</v>
      </c>
      <c r="L46" s="6" t="str">
        <f>IF(IF(Table442466656974[[#This Row],[Pre or Post]]="Post",1,0)+IF(ISNUMBER(Table442466656974[[#This Row],[Response]])=TRUE,1,0)=2,Table442466656974[[#This Row],[Response]],"")</f>
        <v/>
      </c>
      <c r="M46" s="5">
        <f>IF(IF(ISNUMBER(K46),1,0)+IF(ISNUMBER(L47),1,0)=2,IF(IF(C47=C46,1,0)+IF(B47=B46,1,0)+IF(D47="Post",1,0)+IF(D46="Pre",1,0)=4,Table442466656974[[#This Row],[Pre Total]],""),"")</f>
        <v>4</v>
      </c>
      <c r="N46" s="5" t="str">
        <f>IF(IF(ISNUMBER(K45),1,0)+IF(ISNUMBER(Table442466656974[[#This Row],[Post Total]]),1,0)=2,IF(IF(Table442466656974[[#This Row],[Student Number]]=C45,1,0)+IF(Table442466656974[[#This Row],[Session]]=B45,1,0)+IF(Table442466656974[[#This Row],[Pre or Post]]="Post",1,0)+IF(D45="Pre",1,0)=4,Table442466656974[[#This Row],[Post Total]],""),"")</f>
        <v/>
      </c>
      <c r="O46" s="5" t="str">
        <f>IF(IF(ISNUMBER(K45),1,0)+IF(ISNUMBER(Table442466656974[[#This Row],[Post Total]]),1,0)=2,IF(IF(Table442466656974[[#This Row],[Student Number]]=C45,1,0)+IF(Table442466656974[[#This Row],[Session]]=B45,1,0)+IF(Table442466656974[[#This Row],[Pre or Post]]="Post",1,0)+IF(D45="Pre",1,0)=4,Table442466656974[[#This Row],[Post Total]]-K45,""),"")</f>
        <v/>
      </c>
      <c r="P46" s="5" t="b">
        <f>ISNUMBER(Table442466656974[[#This Row],[Change]])</f>
        <v>0</v>
      </c>
      <c r="Q46" s="5" t="str">
        <f>IF(E45="Yes",Table442466656974[[#This Row],[Change]],"")</f>
        <v/>
      </c>
      <c r="R46" s="5" t="str">
        <f>IF(E45="No",Table442466656974[[#This Row],[Change]],"")</f>
        <v/>
      </c>
      <c r="S46" s="5" t="b">
        <f>ISNUMBER(Table442466656974[[#This Row],[If Pre5 Yes]])</f>
        <v>0</v>
      </c>
      <c r="T46" s="5" t="b">
        <f>ISNUMBER(Table442466656974[[#This Row],[If Pre5 No]])</f>
        <v>0</v>
      </c>
    </row>
    <row r="47" spans="1:20">
      <c r="A47" s="2" t="s">
        <v>12</v>
      </c>
      <c r="B47" s="2" t="s">
        <v>21</v>
      </c>
      <c r="C47" s="1">
        <v>11</v>
      </c>
      <c r="D47" s="2" t="s">
        <v>16</v>
      </c>
      <c r="E47" s="5"/>
      <c r="F47" s="1">
        <v>2</v>
      </c>
      <c r="G47" s="1">
        <v>4</v>
      </c>
      <c r="H47" s="2" t="s">
        <v>8</v>
      </c>
      <c r="I47" s="6" t="str">
        <f>IF(IF(Table442466656974[[#This Row],[Pre or Post]]="Pre",1,0)+IF(ISNUMBER(Table442466656974[[#This Row],[Response]])=TRUE,1,0)=2,1,"")</f>
        <v/>
      </c>
      <c r="J47" s="6">
        <f>IF(IF(Table442466656974[[#This Row],[Pre or Post]]="Post",1,0)+IF(ISNUMBER(Table442466656974[[#This Row],[Response]])=TRUE,1,0)=2,1,"")</f>
        <v>1</v>
      </c>
      <c r="K47" s="6" t="str">
        <f>IF(IF(Table442466656974[[#This Row],[Pre or Post]]="Pre",1,0)+IF(ISNUMBER(Table442466656974[[#This Row],[Response]])=TRUE,1,0)=2,Table442466656974[[#This Row],[Response]],"")</f>
        <v/>
      </c>
      <c r="L47" s="6">
        <f>IF(IF(Table442466656974[[#This Row],[Pre or Post]]="Post",1,0)+IF(ISNUMBER(Table442466656974[[#This Row],[Response]])=TRUE,1,0)=2,Table442466656974[[#This Row],[Response]],"")</f>
        <v>4</v>
      </c>
      <c r="M47" s="6" t="str">
        <f>IF(IF(ISNUMBER(K47),1,0)+IF(ISNUMBER(L48),1,0)=2,IF(IF(C48=C47,1,0)+IF(B48=B47,1,0)+IF(D48="Post",1,0)+IF(D47="Pre",1,0)=4,Table442466656974[[#This Row],[Pre Total]],""),"")</f>
        <v/>
      </c>
      <c r="N47" s="6">
        <f>IF(IF(ISNUMBER(K46),1,0)+IF(ISNUMBER(Table442466656974[[#This Row],[Post Total]]),1,0)=2,IF(IF(Table442466656974[[#This Row],[Student Number]]=C46,1,0)+IF(Table442466656974[[#This Row],[Session]]=B46,1,0)+IF(Table442466656974[[#This Row],[Pre or Post]]="Post",1,0)+IF(D46="Pre",1,0)=4,Table442466656974[[#This Row],[Post Total]],""),"")</f>
        <v>4</v>
      </c>
      <c r="O47" s="6">
        <f>IF(IF(ISNUMBER(K46),1,0)+IF(ISNUMBER(Table442466656974[[#This Row],[Post Total]]),1,0)=2,IF(IF(Table442466656974[[#This Row],[Student Number]]=C46,1,0)+IF(Table442466656974[[#This Row],[Session]]=B46,1,0)+IF(Table442466656974[[#This Row],[Pre or Post]]="Post",1,0)+IF(D46="Pre",1,0)=4,Table442466656974[[#This Row],[Post Total]]-K46,""),"")</f>
        <v>0</v>
      </c>
      <c r="P47" s="6" t="b">
        <f>ISNUMBER(Table442466656974[[#This Row],[Change]])</f>
        <v>1</v>
      </c>
      <c r="Q47" s="5">
        <f>IF(E46="Yes",Table442466656974[[#This Row],[Change]],"")</f>
        <v>0</v>
      </c>
      <c r="R47" s="5" t="str">
        <f>IF(E46="No",Table442466656974[[#This Row],[Change]],"")</f>
        <v/>
      </c>
      <c r="S47" s="5" t="b">
        <f>ISNUMBER(Table442466656974[[#This Row],[If Pre5 Yes]])</f>
        <v>1</v>
      </c>
      <c r="T47" s="5" t="b">
        <f>ISNUMBER(Table442466656974[[#This Row],[If Pre5 No]])</f>
        <v>0</v>
      </c>
    </row>
    <row r="48" spans="1:20">
      <c r="A48" s="2" t="s">
        <v>12</v>
      </c>
      <c r="B48" s="2" t="s">
        <v>21</v>
      </c>
      <c r="C48" s="1">
        <v>12</v>
      </c>
      <c r="D48" s="2" t="s">
        <v>6</v>
      </c>
      <c r="E48" s="5" t="s">
        <v>8</v>
      </c>
      <c r="F48" s="1">
        <v>9</v>
      </c>
      <c r="G48" s="1">
        <v>1</v>
      </c>
      <c r="H48" s="2" t="s">
        <v>8</v>
      </c>
      <c r="I48" s="6">
        <f>IF(IF(Table442466656974[[#This Row],[Pre or Post]]="Pre",1,0)+IF(ISNUMBER(Table442466656974[[#This Row],[Response]])=TRUE,1,0)=2,1,"")</f>
        <v>1</v>
      </c>
      <c r="J48" s="6" t="str">
        <f>IF(IF(Table442466656974[[#This Row],[Pre or Post]]="Post",1,0)+IF(ISNUMBER(Table442466656974[[#This Row],[Response]])=TRUE,1,0)=2,1,"")</f>
        <v/>
      </c>
      <c r="K48" s="6">
        <f>IF(IF(Table442466656974[[#This Row],[Pre or Post]]="Pre",1,0)+IF(ISNUMBER(Table442466656974[[#This Row],[Response]])=TRUE,1,0)=2,Table442466656974[[#This Row],[Response]],"")</f>
        <v>1</v>
      </c>
      <c r="L48" s="6" t="str">
        <f>IF(IF(Table442466656974[[#This Row],[Pre or Post]]="Post",1,0)+IF(ISNUMBER(Table442466656974[[#This Row],[Response]])=TRUE,1,0)=2,Table442466656974[[#This Row],[Response]],"")</f>
        <v/>
      </c>
      <c r="M48" s="5">
        <f>IF(IF(ISNUMBER(K48),1,0)+IF(ISNUMBER(L49),1,0)=2,IF(IF(C49=C48,1,0)+IF(B49=B48,1,0)+IF(D49="Post",1,0)+IF(D48="Pre",1,0)=4,Table442466656974[[#This Row],[Pre Total]],""),"")</f>
        <v>1</v>
      </c>
      <c r="N48" s="5" t="str">
        <f>IF(IF(ISNUMBER(K47),1,0)+IF(ISNUMBER(Table442466656974[[#This Row],[Post Total]]),1,0)=2,IF(IF(Table442466656974[[#This Row],[Student Number]]=C47,1,0)+IF(Table442466656974[[#This Row],[Session]]=B47,1,0)+IF(Table442466656974[[#This Row],[Pre or Post]]="Post",1,0)+IF(D47="Pre",1,0)=4,Table442466656974[[#This Row],[Post Total]],""),"")</f>
        <v/>
      </c>
      <c r="O48" s="6" t="str">
        <f>IF(IF(ISNUMBER(K47),1,0)+IF(ISNUMBER(Table442466656974[[#This Row],[Post Total]]),1,0)=2,IF(IF(Table442466656974[[#This Row],[Student Number]]=C47,1,0)+IF(Table442466656974[[#This Row],[Session]]=B47,1,0)+IF(Table442466656974[[#This Row],[Pre or Post]]="Post",1,0)+IF(D47="Pre",1,0)=4,Table442466656974[[#This Row],[Post Total]]-K47,""),"")</f>
        <v/>
      </c>
      <c r="P48" s="6" t="b">
        <f>ISNUMBER(Table442466656974[[#This Row],[Change]])</f>
        <v>0</v>
      </c>
      <c r="Q48" s="5" t="str">
        <f>IF(E47="Yes",Table442466656974[[#This Row],[Change]],"")</f>
        <v/>
      </c>
      <c r="R48" s="5" t="str">
        <f>IF(E47="No",Table442466656974[[#This Row],[Change]],"")</f>
        <v/>
      </c>
      <c r="S48" s="5" t="b">
        <f>ISNUMBER(Table442466656974[[#This Row],[If Pre5 Yes]])</f>
        <v>0</v>
      </c>
      <c r="T48" s="5" t="b">
        <f>ISNUMBER(Table442466656974[[#This Row],[If Pre5 No]])</f>
        <v>0</v>
      </c>
    </row>
    <row r="49" spans="1:20">
      <c r="A49" s="2" t="s">
        <v>12</v>
      </c>
      <c r="B49" s="2" t="s">
        <v>21</v>
      </c>
      <c r="C49" s="1">
        <v>12</v>
      </c>
      <c r="D49" s="2" t="s">
        <v>16</v>
      </c>
      <c r="E49" s="5"/>
      <c r="F49" s="1">
        <v>2</v>
      </c>
      <c r="G49" s="1">
        <v>1</v>
      </c>
      <c r="H49" s="2" t="s">
        <v>8</v>
      </c>
      <c r="I49" s="5" t="str">
        <f>IF(IF(Table442466656974[[#This Row],[Pre or Post]]="Pre",1,0)+IF(ISNUMBER(Table442466656974[[#This Row],[Response]])=TRUE,1,0)=2,1,"")</f>
        <v/>
      </c>
      <c r="J49" s="5">
        <f>IF(IF(Table442466656974[[#This Row],[Pre or Post]]="Post",1,0)+IF(ISNUMBER(Table442466656974[[#This Row],[Response]])=TRUE,1,0)=2,1,"")</f>
        <v>1</v>
      </c>
      <c r="K49" s="6" t="str">
        <f>IF(IF(Table442466656974[[#This Row],[Pre or Post]]="Pre",1,0)+IF(ISNUMBER(Table442466656974[[#This Row],[Response]])=TRUE,1,0)=2,Table442466656974[[#This Row],[Response]],"")</f>
        <v/>
      </c>
      <c r="L49" s="6">
        <f>IF(IF(Table442466656974[[#This Row],[Pre or Post]]="Post",1,0)+IF(ISNUMBER(Table442466656974[[#This Row],[Response]])=TRUE,1,0)=2,Table442466656974[[#This Row],[Response]],"")</f>
        <v>1</v>
      </c>
      <c r="M49" s="5" t="str">
        <f>IF(IF(ISNUMBER(K49),1,0)+IF(ISNUMBER(L50),1,0)=2,IF(IF(C50=C49,1,0)+IF(B50=B49,1,0)+IF(D50="Post",1,0)+IF(D49="Pre",1,0)=4,Table442466656974[[#This Row],[Pre Total]],""),"")</f>
        <v/>
      </c>
      <c r="N49" s="5">
        <f>IF(IF(ISNUMBER(K48),1,0)+IF(ISNUMBER(Table442466656974[[#This Row],[Post Total]]),1,0)=2,IF(IF(Table442466656974[[#This Row],[Student Number]]=C48,1,0)+IF(Table442466656974[[#This Row],[Session]]=B48,1,0)+IF(Table442466656974[[#This Row],[Pre or Post]]="Post",1,0)+IF(D48="Pre",1,0)=4,Table442466656974[[#This Row],[Post Total]],""),"")</f>
        <v>1</v>
      </c>
      <c r="O49" s="5">
        <f>IF(IF(ISNUMBER(K48),1,0)+IF(ISNUMBER(Table442466656974[[#This Row],[Post Total]]),1,0)=2,IF(IF(Table442466656974[[#This Row],[Student Number]]=C48,1,0)+IF(Table442466656974[[#This Row],[Session]]=B48,1,0)+IF(Table442466656974[[#This Row],[Pre or Post]]="Post",1,0)+IF(D48="Pre",1,0)=4,Table442466656974[[#This Row],[Post Total]]-K48,""),"")</f>
        <v>0</v>
      </c>
      <c r="P49" s="5" t="b">
        <f>ISNUMBER(Table442466656974[[#This Row],[Change]])</f>
        <v>1</v>
      </c>
      <c r="Q49" s="5">
        <f>IF(E48="Yes",Table442466656974[[#This Row],[Change]],"")</f>
        <v>0</v>
      </c>
      <c r="R49" s="5" t="str">
        <f>IF(E48="No",Table442466656974[[#This Row],[Change]],"")</f>
        <v/>
      </c>
      <c r="S49" s="5" t="b">
        <f>ISNUMBER(Table442466656974[[#This Row],[If Pre5 Yes]])</f>
        <v>1</v>
      </c>
      <c r="T49" s="5" t="b">
        <f>ISNUMBER(Table442466656974[[#This Row],[If Pre5 No]])</f>
        <v>0</v>
      </c>
    </row>
    <row r="50" spans="1:20">
      <c r="A50" s="2" t="s">
        <v>12</v>
      </c>
      <c r="B50" s="2" t="s">
        <v>21</v>
      </c>
      <c r="C50" s="1">
        <v>13</v>
      </c>
      <c r="D50" s="2" t="s">
        <v>6</v>
      </c>
      <c r="E50" s="5" t="s">
        <v>8</v>
      </c>
      <c r="F50" s="1">
        <v>9</v>
      </c>
      <c r="G50" s="1">
        <v>4</v>
      </c>
      <c r="H50" s="2" t="s">
        <v>8</v>
      </c>
      <c r="I50" s="5">
        <f>IF(IF(Table442466656974[[#This Row],[Pre or Post]]="Pre",1,0)+IF(ISNUMBER(Table442466656974[[#This Row],[Response]])=TRUE,1,0)=2,1,"")</f>
        <v>1</v>
      </c>
      <c r="J50" s="5" t="str">
        <f>IF(IF(Table442466656974[[#This Row],[Pre or Post]]="Post",1,0)+IF(ISNUMBER(Table442466656974[[#This Row],[Response]])=TRUE,1,0)=2,1,"")</f>
        <v/>
      </c>
      <c r="K50" s="6">
        <f>IF(IF(Table442466656974[[#This Row],[Pre or Post]]="Pre",1,0)+IF(ISNUMBER(Table442466656974[[#This Row],[Response]])=TRUE,1,0)=2,Table442466656974[[#This Row],[Response]],"")</f>
        <v>4</v>
      </c>
      <c r="L50" s="6" t="str">
        <f>IF(IF(Table442466656974[[#This Row],[Pre or Post]]="Post",1,0)+IF(ISNUMBER(Table442466656974[[#This Row],[Response]])=TRUE,1,0)=2,Table442466656974[[#This Row],[Response]],"")</f>
        <v/>
      </c>
      <c r="M50" s="5">
        <f>IF(IF(ISNUMBER(K50),1,0)+IF(ISNUMBER(L51),1,0)=2,IF(IF(C51=C50,1,0)+IF(B51=B50,1,0)+IF(D51="Post",1,0)+IF(D50="Pre",1,0)=4,Table442466656974[[#This Row],[Pre Total]],""),"")</f>
        <v>4</v>
      </c>
      <c r="N50" s="5" t="str">
        <f>IF(IF(ISNUMBER(K49),1,0)+IF(ISNUMBER(Table442466656974[[#This Row],[Post Total]]),1,0)=2,IF(IF(Table442466656974[[#This Row],[Student Number]]=C49,1,0)+IF(Table442466656974[[#This Row],[Session]]=B49,1,0)+IF(Table442466656974[[#This Row],[Pre or Post]]="Post",1,0)+IF(D49="Pre",1,0)=4,Table442466656974[[#This Row],[Post Total]],""),"")</f>
        <v/>
      </c>
      <c r="O50" s="5" t="str">
        <f>IF(IF(ISNUMBER(K49),1,0)+IF(ISNUMBER(Table442466656974[[#This Row],[Post Total]]),1,0)=2,IF(IF(Table442466656974[[#This Row],[Student Number]]=C49,1,0)+IF(Table442466656974[[#This Row],[Session]]=B49,1,0)+IF(Table442466656974[[#This Row],[Pre or Post]]="Post",1,0)+IF(D49="Pre",1,0)=4,Table442466656974[[#This Row],[Post Total]]-K49,""),"")</f>
        <v/>
      </c>
      <c r="P50" s="5" t="b">
        <f>ISNUMBER(Table442466656974[[#This Row],[Change]])</f>
        <v>0</v>
      </c>
      <c r="Q50" s="5" t="str">
        <f>IF(E49="Yes",Table442466656974[[#This Row],[Change]],"")</f>
        <v/>
      </c>
      <c r="R50" s="5" t="str">
        <f>IF(E49="No",Table442466656974[[#This Row],[Change]],"")</f>
        <v/>
      </c>
      <c r="S50" s="5" t="b">
        <f>ISNUMBER(Table442466656974[[#This Row],[If Pre5 Yes]])</f>
        <v>0</v>
      </c>
      <c r="T50" s="5" t="b">
        <f>ISNUMBER(Table442466656974[[#This Row],[If Pre5 No]])</f>
        <v>0</v>
      </c>
    </row>
    <row r="51" spans="1:20">
      <c r="A51" s="2" t="s">
        <v>12</v>
      </c>
      <c r="B51" s="2" t="s">
        <v>21</v>
      </c>
      <c r="C51" s="1">
        <v>13</v>
      </c>
      <c r="D51" s="2" t="s">
        <v>16</v>
      </c>
      <c r="E51" s="5"/>
      <c r="F51" s="1">
        <v>2</v>
      </c>
      <c r="G51" s="1">
        <v>4</v>
      </c>
      <c r="H51" s="2" t="s">
        <v>8</v>
      </c>
      <c r="I51" s="6" t="str">
        <f>IF(IF(Table442466656974[[#This Row],[Pre or Post]]="Pre",1,0)+IF(ISNUMBER(Table442466656974[[#This Row],[Response]])=TRUE,1,0)=2,1,"")</f>
        <v/>
      </c>
      <c r="J51" s="6">
        <f>IF(IF(Table442466656974[[#This Row],[Pre or Post]]="Post",1,0)+IF(ISNUMBER(Table442466656974[[#This Row],[Response]])=TRUE,1,0)=2,1,"")</f>
        <v>1</v>
      </c>
      <c r="K51" s="6" t="str">
        <f>IF(IF(Table442466656974[[#This Row],[Pre or Post]]="Pre",1,0)+IF(ISNUMBER(Table442466656974[[#This Row],[Response]])=TRUE,1,0)=2,Table442466656974[[#This Row],[Response]],"")</f>
        <v/>
      </c>
      <c r="L51" s="6">
        <f>IF(IF(Table442466656974[[#This Row],[Pre or Post]]="Post",1,0)+IF(ISNUMBER(Table442466656974[[#This Row],[Response]])=TRUE,1,0)=2,Table442466656974[[#This Row],[Response]],"")</f>
        <v>4</v>
      </c>
      <c r="M51" s="6" t="str">
        <f>IF(IF(ISNUMBER(K51),1,0)+IF(ISNUMBER(L52),1,0)=2,IF(IF(C52=C51,1,0)+IF(B52=B51,1,0)+IF(D52="Post",1,0)+IF(D51="Pre",1,0)=4,Table442466656974[[#This Row],[Pre Total]],""),"")</f>
        <v/>
      </c>
      <c r="N51" s="6">
        <f>IF(IF(ISNUMBER(K50),1,0)+IF(ISNUMBER(Table442466656974[[#This Row],[Post Total]]),1,0)=2,IF(IF(Table442466656974[[#This Row],[Student Number]]=C50,1,0)+IF(Table442466656974[[#This Row],[Session]]=B50,1,0)+IF(Table442466656974[[#This Row],[Pre or Post]]="Post",1,0)+IF(D50="Pre",1,0)=4,Table442466656974[[#This Row],[Post Total]],""),"")</f>
        <v>4</v>
      </c>
      <c r="O51" s="6">
        <f>IF(IF(ISNUMBER(K50),1,0)+IF(ISNUMBER(Table442466656974[[#This Row],[Post Total]]),1,0)=2,IF(IF(Table442466656974[[#This Row],[Student Number]]=C50,1,0)+IF(Table442466656974[[#This Row],[Session]]=B50,1,0)+IF(Table442466656974[[#This Row],[Pre or Post]]="Post",1,0)+IF(D50="Pre",1,0)=4,Table442466656974[[#This Row],[Post Total]]-K50,""),"")</f>
        <v>0</v>
      </c>
      <c r="P51" s="6" t="b">
        <f>ISNUMBER(Table442466656974[[#This Row],[Change]])</f>
        <v>1</v>
      </c>
      <c r="Q51" s="5">
        <f>IF(E50="Yes",Table442466656974[[#This Row],[Change]],"")</f>
        <v>0</v>
      </c>
      <c r="R51" s="5" t="str">
        <f>IF(E50="No",Table442466656974[[#This Row],[Change]],"")</f>
        <v/>
      </c>
      <c r="S51" s="5" t="b">
        <f>ISNUMBER(Table442466656974[[#This Row],[If Pre5 Yes]])</f>
        <v>1</v>
      </c>
      <c r="T51" s="5" t="b">
        <f>ISNUMBER(Table442466656974[[#This Row],[If Pre5 No]])</f>
        <v>0</v>
      </c>
    </row>
    <row r="52" spans="1:20">
      <c r="A52" s="2" t="s">
        <v>12</v>
      </c>
      <c r="B52" s="2" t="s">
        <v>21</v>
      </c>
      <c r="C52" s="1">
        <v>14</v>
      </c>
      <c r="D52" s="2" t="s">
        <v>6</v>
      </c>
      <c r="E52" s="5" t="s">
        <v>8</v>
      </c>
      <c r="F52" s="1">
        <v>9</v>
      </c>
      <c r="G52" s="1">
        <v>3</v>
      </c>
      <c r="H52" s="2" t="s">
        <v>8</v>
      </c>
      <c r="I52" s="5">
        <f>IF(IF(Table442466656974[[#This Row],[Pre or Post]]="Pre",1,0)+IF(ISNUMBER(Table442466656974[[#This Row],[Response]])=TRUE,1,0)=2,1,"")</f>
        <v>1</v>
      </c>
      <c r="J52" s="5" t="str">
        <f>IF(IF(Table442466656974[[#This Row],[Pre or Post]]="Post",1,0)+IF(ISNUMBER(Table442466656974[[#This Row],[Response]])=TRUE,1,0)=2,1,"")</f>
        <v/>
      </c>
      <c r="K52" s="6">
        <f>IF(IF(Table442466656974[[#This Row],[Pre or Post]]="Pre",1,0)+IF(ISNUMBER(Table442466656974[[#This Row],[Response]])=TRUE,1,0)=2,Table442466656974[[#This Row],[Response]],"")</f>
        <v>3</v>
      </c>
      <c r="L52" s="6" t="str">
        <f>IF(IF(Table442466656974[[#This Row],[Pre or Post]]="Post",1,0)+IF(ISNUMBER(Table442466656974[[#This Row],[Response]])=TRUE,1,0)=2,Table442466656974[[#This Row],[Response]],"")</f>
        <v/>
      </c>
      <c r="M52" s="5">
        <f>IF(IF(ISNUMBER(K52),1,0)+IF(ISNUMBER(L53),1,0)=2,IF(IF(C53=C52,1,0)+IF(B53=B52,1,0)+IF(D53="Post",1,0)+IF(D52="Pre",1,0)=4,Table442466656974[[#This Row],[Pre Total]],""),"")</f>
        <v>3</v>
      </c>
      <c r="N52" s="5" t="str">
        <f>IF(IF(ISNUMBER(K51),1,0)+IF(ISNUMBER(Table442466656974[[#This Row],[Post Total]]),1,0)=2,IF(IF(Table442466656974[[#This Row],[Student Number]]=C51,1,0)+IF(Table442466656974[[#This Row],[Session]]=B51,1,0)+IF(Table442466656974[[#This Row],[Pre or Post]]="Post",1,0)+IF(D51="Pre",1,0)=4,Table442466656974[[#This Row],[Post Total]],""),"")</f>
        <v/>
      </c>
      <c r="O52" s="5" t="str">
        <f>IF(IF(ISNUMBER(K51),1,0)+IF(ISNUMBER(Table442466656974[[#This Row],[Post Total]]),1,0)=2,IF(IF(Table442466656974[[#This Row],[Student Number]]=C51,1,0)+IF(Table442466656974[[#This Row],[Session]]=B51,1,0)+IF(Table442466656974[[#This Row],[Pre or Post]]="Post",1,0)+IF(D51="Pre",1,0)=4,Table442466656974[[#This Row],[Post Total]]-K51,""),"")</f>
        <v/>
      </c>
      <c r="P52" s="5" t="b">
        <f>ISNUMBER(Table442466656974[[#This Row],[Change]])</f>
        <v>0</v>
      </c>
      <c r="Q52" s="5" t="str">
        <f>IF(E51="Yes",Table442466656974[[#This Row],[Change]],"")</f>
        <v/>
      </c>
      <c r="R52" s="5" t="str">
        <f>IF(E51="No",Table442466656974[[#This Row],[Change]],"")</f>
        <v/>
      </c>
      <c r="S52" s="5" t="b">
        <f>ISNUMBER(Table442466656974[[#This Row],[If Pre5 Yes]])</f>
        <v>0</v>
      </c>
      <c r="T52" s="5" t="b">
        <f>ISNUMBER(Table442466656974[[#This Row],[If Pre5 No]])</f>
        <v>0</v>
      </c>
    </row>
    <row r="53" spans="1:20">
      <c r="A53" s="2" t="s">
        <v>12</v>
      </c>
      <c r="B53" s="2" t="s">
        <v>21</v>
      </c>
      <c r="C53" s="1">
        <v>14</v>
      </c>
      <c r="D53" s="2" t="s">
        <v>16</v>
      </c>
      <c r="E53" s="5"/>
      <c r="F53" s="1">
        <v>2</v>
      </c>
      <c r="G53" s="1">
        <v>3</v>
      </c>
      <c r="H53" s="2" t="s">
        <v>8</v>
      </c>
      <c r="I53" s="5" t="str">
        <f>IF(IF(Table442466656974[[#This Row],[Pre or Post]]="Pre",1,0)+IF(ISNUMBER(Table442466656974[[#This Row],[Response]])=TRUE,1,0)=2,1,"")</f>
        <v/>
      </c>
      <c r="J53" s="5">
        <f>IF(IF(Table442466656974[[#This Row],[Pre or Post]]="Post",1,0)+IF(ISNUMBER(Table442466656974[[#This Row],[Response]])=TRUE,1,0)=2,1,"")</f>
        <v>1</v>
      </c>
      <c r="K53" s="6" t="str">
        <f>IF(IF(Table442466656974[[#This Row],[Pre or Post]]="Pre",1,0)+IF(ISNUMBER(Table442466656974[[#This Row],[Response]])=TRUE,1,0)=2,Table442466656974[[#This Row],[Response]],"")</f>
        <v/>
      </c>
      <c r="L53" s="6">
        <f>IF(IF(Table442466656974[[#This Row],[Pre or Post]]="Post",1,0)+IF(ISNUMBER(Table442466656974[[#This Row],[Response]])=TRUE,1,0)=2,Table442466656974[[#This Row],[Response]],"")</f>
        <v>3</v>
      </c>
      <c r="M53" s="5" t="str">
        <f>IF(IF(ISNUMBER(K53),1,0)+IF(ISNUMBER(L54),1,0)=2,IF(IF(C54=C53,1,0)+IF(B54=B53,1,0)+IF(D54="Post",1,0)+IF(D53="Pre",1,0)=4,Table442466656974[[#This Row],[Pre Total]],""),"")</f>
        <v/>
      </c>
      <c r="N53" s="5">
        <f>IF(IF(ISNUMBER(K52),1,0)+IF(ISNUMBER(Table442466656974[[#This Row],[Post Total]]),1,0)=2,IF(IF(Table442466656974[[#This Row],[Student Number]]=C52,1,0)+IF(Table442466656974[[#This Row],[Session]]=B52,1,0)+IF(Table442466656974[[#This Row],[Pre or Post]]="Post",1,0)+IF(D52="Pre",1,0)=4,Table442466656974[[#This Row],[Post Total]],""),"")</f>
        <v>3</v>
      </c>
      <c r="O53" s="5">
        <f>IF(IF(ISNUMBER(K52),1,0)+IF(ISNUMBER(Table442466656974[[#This Row],[Post Total]]),1,0)=2,IF(IF(Table442466656974[[#This Row],[Student Number]]=C52,1,0)+IF(Table442466656974[[#This Row],[Session]]=B52,1,0)+IF(Table442466656974[[#This Row],[Pre or Post]]="Post",1,0)+IF(D52="Pre",1,0)=4,Table442466656974[[#This Row],[Post Total]]-K52,""),"")</f>
        <v>0</v>
      </c>
      <c r="P53" s="5" t="b">
        <f>ISNUMBER(Table442466656974[[#This Row],[Change]])</f>
        <v>1</v>
      </c>
      <c r="Q53" s="5">
        <f>IF(E52="Yes",Table442466656974[[#This Row],[Change]],"")</f>
        <v>0</v>
      </c>
      <c r="R53" s="5" t="str">
        <f>IF(E52="No",Table442466656974[[#This Row],[Change]],"")</f>
        <v/>
      </c>
      <c r="S53" s="5" t="b">
        <f>ISNUMBER(Table442466656974[[#This Row],[If Pre5 Yes]])</f>
        <v>1</v>
      </c>
      <c r="T53" s="5" t="b">
        <f>ISNUMBER(Table442466656974[[#This Row],[If Pre5 No]])</f>
        <v>0</v>
      </c>
    </row>
    <row r="54" spans="1:20">
      <c r="A54" s="2" t="s">
        <v>12</v>
      </c>
      <c r="B54" s="2" t="s">
        <v>21</v>
      </c>
      <c r="C54" s="1">
        <v>15</v>
      </c>
      <c r="D54" s="2" t="s">
        <v>6</v>
      </c>
      <c r="E54" s="5" t="s">
        <v>8</v>
      </c>
      <c r="F54" s="1">
        <v>9</v>
      </c>
      <c r="G54" s="1">
        <v>3</v>
      </c>
      <c r="H54" s="2" t="s">
        <v>8</v>
      </c>
      <c r="I54" s="5">
        <f>IF(IF(Table442466656974[[#This Row],[Pre or Post]]="Pre",1,0)+IF(ISNUMBER(Table442466656974[[#This Row],[Response]])=TRUE,1,0)=2,1,"")</f>
        <v>1</v>
      </c>
      <c r="J54" s="5" t="str">
        <f>IF(IF(Table442466656974[[#This Row],[Pre or Post]]="Post",1,0)+IF(ISNUMBER(Table442466656974[[#This Row],[Response]])=TRUE,1,0)=2,1,"")</f>
        <v/>
      </c>
      <c r="K54" s="6">
        <f>IF(IF(Table442466656974[[#This Row],[Pre or Post]]="Pre",1,0)+IF(ISNUMBER(Table442466656974[[#This Row],[Response]])=TRUE,1,0)=2,Table442466656974[[#This Row],[Response]],"")</f>
        <v>3</v>
      </c>
      <c r="L54" s="6" t="str">
        <f>IF(IF(Table442466656974[[#This Row],[Pre or Post]]="Post",1,0)+IF(ISNUMBER(Table442466656974[[#This Row],[Response]])=TRUE,1,0)=2,Table442466656974[[#This Row],[Response]],"")</f>
        <v/>
      </c>
      <c r="M54" s="5">
        <f>IF(IF(ISNUMBER(K54),1,0)+IF(ISNUMBER(L55),1,0)=2,IF(IF(C55=C54,1,0)+IF(B55=B54,1,0)+IF(D55="Post",1,0)+IF(D54="Pre",1,0)=4,Table442466656974[[#This Row],[Pre Total]],""),"")</f>
        <v>3</v>
      </c>
      <c r="N54" s="5" t="str">
        <f>IF(IF(ISNUMBER(K53),1,0)+IF(ISNUMBER(Table442466656974[[#This Row],[Post Total]]),1,0)=2,IF(IF(Table442466656974[[#This Row],[Student Number]]=C53,1,0)+IF(Table442466656974[[#This Row],[Session]]=B53,1,0)+IF(Table442466656974[[#This Row],[Pre or Post]]="Post",1,0)+IF(D53="Pre",1,0)=4,Table442466656974[[#This Row],[Post Total]],""),"")</f>
        <v/>
      </c>
      <c r="O54" s="5" t="str">
        <f>IF(IF(ISNUMBER(K53),1,0)+IF(ISNUMBER(Table442466656974[[#This Row],[Post Total]]),1,0)=2,IF(IF(Table442466656974[[#This Row],[Student Number]]=C53,1,0)+IF(Table442466656974[[#This Row],[Session]]=B53,1,0)+IF(Table442466656974[[#This Row],[Pre or Post]]="Post",1,0)+IF(D53="Pre",1,0)=4,Table442466656974[[#This Row],[Post Total]]-K53,""),"")</f>
        <v/>
      </c>
      <c r="P54" s="5" t="b">
        <f>ISNUMBER(Table442466656974[[#This Row],[Change]])</f>
        <v>0</v>
      </c>
      <c r="Q54" s="5" t="str">
        <f>IF(E53="Yes",Table442466656974[[#This Row],[Change]],"")</f>
        <v/>
      </c>
      <c r="R54" s="5" t="str">
        <f>IF(E53="No",Table442466656974[[#This Row],[Change]],"")</f>
        <v/>
      </c>
      <c r="S54" s="5" t="b">
        <f>ISNUMBER(Table442466656974[[#This Row],[If Pre5 Yes]])</f>
        <v>0</v>
      </c>
      <c r="T54" s="5" t="b">
        <f>ISNUMBER(Table442466656974[[#This Row],[If Pre5 No]])</f>
        <v>0</v>
      </c>
    </row>
    <row r="55" spans="1:20">
      <c r="A55" s="2" t="s">
        <v>12</v>
      </c>
      <c r="B55" s="2" t="s">
        <v>21</v>
      </c>
      <c r="C55" s="1">
        <v>15</v>
      </c>
      <c r="D55" s="2" t="s">
        <v>16</v>
      </c>
      <c r="E55" s="5"/>
      <c r="F55" s="1">
        <v>2</v>
      </c>
      <c r="G55" s="1">
        <v>3</v>
      </c>
      <c r="H55" s="2" t="s">
        <v>8</v>
      </c>
      <c r="I55" s="6" t="str">
        <f>IF(IF(Table442466656974[[#This Row],[Pre or Post]]="Pre",1,0)+IF(ISNUMBER(Table442466656974[[#This Row],[Response]])=TRUE,1,0)=2,1,"")</f>
        <v/>
      </c>
      <c r="J55" s="6">
        <f>IF(IF(Table442466656974[[#This Row],[Pre or Post]]="Post",1,0)+IF(ISNUMBER(Table442466656974[[#This Row],[Response]])=TRUE,1,0)=2,1,"")</f>
        <v>1</v>
      </c>
      <c r="K55" s="6" t="str">
        <f>IF(IF(Table442466656974[[#This Row],[Pre or Post]]="Pre",1,0)+IF(ISNUMBER(Table442466656974[[#This Row],[Response]])=TRUE,1,0)=2,Table442466656974[[#This Row],[Response]],"")</f>
        <v/>
      </c>
      <c r="L55" s="6">
        <f>IF(IF(Table442466656974[[#This Row],[Pre or Post]]="Post",1,0)+IF(ISNUMBER(Table442466656974[[#This Row],[Response]])=TRUE,1,0)=2,Table442466656974[[#This Row],[Response]],"")</f>
        <v>3</v>
      </c>
      <c r="M55" s="6" t="str">
        <f>IF(IF(ISNUMBER(K55),1,0)+IF(ISNUMBER(L56),1,0)=2,IF(IF(C56=C55,1,0)+IF(B56=B55,1,0)+IF(D56="Post",1,0)+IF(D55="Pre",1,0)=4,Table442466656974[[#This Row],[Pre Total]],""),"")</f>
        <v/>
      </c>
      <c r="N55" s="6">
        <f>IF(IF(ISNUMBER(K54),1,0)+IF(ISNUMBER(Table442466656974[[#This Row],[Post Total]]),1,0)=2,IF(IF(Table442466656974[[#This Row],[Student Number]]=C54,1,0)+IF(Table442466656974[[#This Row],[Session]]=B54,1,0)+IF(Table442466656974[[#This Row],[Pre or Post]]="Post",1,0)+IF(D54="Pre",1,0)=4,Table442466656974[[#This Row],[Post Total]],""),"")</f>
        <v>3</v>
      </c>
      <c r="O55" s="6">
        <f>IF(IF(ISNUMBER(K54),1,0)+IF(ISNUMBER(Table442466656974[[#This Row],[Post Total]]),1,0)=2,IF(IF(Table442466656974[[#This Row],[Student Number]]=C54,1,0)+IF(Table442466656974[[#This Row],[Session]]=B54,1,0)+IF(Table442466656974[[#This Row],[Pre or Post]]="Post",1,0)+IF(D54="Pre",1,0)=4,Table442466656974[[#This Row],[Post Total]]-K54,""),"")</f>
        <v>0</v>
      </c>
      <c r="P55" s="6" t="b">
        <f>ISNUMBER(Table442466656974[[#This Row],[Change]])</f>
        <v>1</v>
      </c>
      <c r="Q55" s="5">
        <f>IF(E54="Yes",Table442466656974[[#This Row],[Change]],"")</f>
        <v>0</v>
      </c>
      <c r="R55" s="5" t="str">
        <f>IF(E54="No",Table442466656974[[#This Row],[Change]],"")</f>
        <v/>
      </c>
      <c r="S55" s="5" t="b">
        <f>ISNUMBER(Table442466656974[[#This Row],[If Pre5 Yes]])</f>
        <v>1</v>
      </c>
      <c r="T55" s="5" t="b">
        <f>ISNUMBER(Table442466656974[[#This Row],[If Pre5 No]])</f>
        <v>0</v>
      </c>
    </row>
    <row r="56" spans="1:20">
      <c r="A56" s="2" t="s">
        <v>12</v>
      </c>
      <c r="B56" s="2" t="s">
        <v>21</v>
      </c>
      <c r="C56" s="1">
        <v>16</v>
      </c>
      <c r="D56" s="2" t="s">
        <v>6</v>
      </c>
      <c r="E56" s="5" t="s">
        <v>8</v>
      </c>
      <c r="F56" s="1">
        <v>9</v>
      </c>
      <c r="G56" s="1">
        <v>3</v>
      </c>
      <c r="H56" s="2" t="s">
        <v>8</v>
      </c>
      <c r="I56" s="6">
        <f>IF(IF(Table442466656974[[#This Row],[Pre or Post]]="Pre",1,0)+IF(ISNUMBER(Table442466656974[[#This Row],[Response]])=TRUE,1,0)=2,1,"")</f>
        <v>1</v>
      </c>
      <c r="J56" s="6" t="str">
        <f>IF(IF(Table442466656974[[#This Row],[Pre or Post]]="Post",1,0)+IF(ISNUMBER(Table442466656974[[#This Row],[Response]])=TRUE,1,0)=2,1,"")</f>
        <v/>
      </c>
      <c r="K56" s="6">
        <f>IF(IF(Table442466656974[[#This Row],[Pre or Post]]="Pre",1,0)+IF(ISNUMBER(Table442466656974[[#This Row],[Response]])=TRUE,1,0)=2,Table442466656974[[#This Row],[Response]],"")</f>
        <v>3</v>
      </c>
      <c r="L56" s="6" t="str">
        <f>IF(IF(Table442466656974[[#This Row],[Pre or Post]]="Post",1,0)+IF(ISNUMBER(Table442466656974[[#This Row],[Response]])=TRUE,1,0)=2,Table442466656974[[#This Row],[Response]],"")</f>
        <v/>
      </c>
      <c r="M56" s="6">
        <f>IF(IF(ISNUMBER(K56),1,0)+IF(ISNUMBER(L57),1,0)=2,IF(IF(C57=C56,1,0)+IF(B57=B56,1,0)+IF(D57="Post",1,0)+IF(D56="Pre",1,0)=4,Table442466656974[[#This Row],[Pre Total]],""),"")</f>
        <v>3</v>
      </c>
      <c r="N56" s="6" t="str">
        <f>IF(IF(ISNUMBER(K55),1,0)+IF(ISNUMBER(Table442466656974[[#This Row],[Post Total]]),1,0)=2,IF(IF(Table442466656974[[#This Row],[Student Number]]=C55,1,0)+IF(Table442466656974[[#This Row],[Session]]=B55,1,0)+IF(Table442466656974[[#This Row],[Pre or Post]]="Post",1,0)+IF(D55="Pre",1,0)=4,Table442466656974[[#This Row],[Post Total]],""),"")</f>
        <v/>
      </c>
      <c r="O56" s="6" t="str">
        <f>IF(IF(ISNUMBER(K55),1,0)+IF(ISNUMBER(Table442466656974[[#This Row],[Post Total]]),1,0)=2,IF(IF(Table442466656974[[#This Row],[Student Number]]=C55,1,0)+IF(Table442466656974[[#This Row],[Session]]=B55,1,0)+IF(Table442466656974[[#This Row],[Pre or Post]]="Post",1,0)+IF(D55="Pre",1,0)=4,Table442466656974[[#This Row],[Post Total]]-K55,""),"")</f>
        <v/>
      </c>
      <c r="P56" s="6" t="b">
        <f>ISNUMBER(Table442466656974[[#This Row],[Change]])</f>
        <v>0</v>
      </c>
      <c r="Q56" s="5" t="str">
        <f>IF(E55="Yes",Table442466656974[[#This Row],[Change]],"")</f>
        <v/>
      </c>
      <c r="R56" s="5" t="str">
        <f>IF(E55="No",Table442466656974[[#This Row],[Change]],"")</f>
        <v/>
      </c>
      <c r="S56" s="5" t="b">
        <f>ISNUMBER(Table442466656974[[#This Row],[If Pre5 Yes]])</f>
        <v>0</v>
      </c>
      <c r="T56" s="5" t="b">
        <f>ISNUMBER(Table442466656974[[#This Row],[If Pre5 No]])</f>
        <v>0</v>
      </c>
    </row>
    <row r="57" spans="1:20">
      <c r="A57" s="2" t="s">
        <v>12</v>
      </c>
      <c r="B57" s="2" t="s">
        <v>21</v>
      </c>
      <c r="C57" s="1">
        <v>16</v>
      </c>
      <c r="D57" s="2" t="s">
        <v>16</v>
      </c>
      <c r="E57" s="5"/>
      <c r="F57" s="1">
        <v>2</v>
      </c>
      <c r="G57" s="1">
        <v>3</v>
      </c>
      <c r="H57" s="2" t="s">
        <v>8</v>
      </c>
      <c r="I57" s="6" t="str">
        <f>IF(IF(Table442466656974[[#This Row],[Pre or Post]]="Pre",1,0)+IF(ISNUMBER(Table442466656974[[#This Row],[Response]])=TRUE,1,0)=2,1,"")</f>
        <v/>
      </c>
      <c r="J57" s="6">
        <f>IF(IF(Table442466656974[[#This Row],[Pre or Post]]="Post",1,0)+IF(ISNUMBER(Table442466656974[[#This Row],[Response]])=TRUE,1,0)=2,1,"")</f>
        <v>1</v>
      </c>
      <c r="K57" s="6" t="str">
        <f>IF(IF(Table442466656974[[#This Row],[Pre or Post]]="Pre",1,0)+IF(ISNUMBER(Table442466656974[[#This Row],[Response]])=TRUE,1,0)=2,Table442466656974[[#This Row],[Response]],"")</f>
        <v/>
      </c>
      <c r="L57" s="6">
        <f>IF(IF(Table442466656974[[#This Row],[Pre or Post]]="Post",1,0)+IF(ISNUMBER(Table442466656974[[#This Row],[Response]])=TRUE,1,0)=2,Table442466656974[[#This Row],[Response]],"")</f>
        <v>3</v>
      </c>
      <c r="M57" s="6" t="str">
        <f>IF(IF(ISNUMBER(K57),1,0)+IF(ISNUMBER(L58),1,0)=2,IF(IF(C58=C57,1,0)+IF(B58=B57,1,0)+IF(D58="Post",1,0)+IF(D57="Pre",1,0)=4,Table442466656974[[#This Row],[Pre Total]],""),"")</f>
        <v/>
      </c>
      <c r="N57" s="6">
        <f>IF(IF(ISNUMBER(K56),1,0)+IF(ISNUMBER(Table442466656974[[#This Row],[Post Total]]),1,0)=2,IF(IF(Table442466656974[[#This Row],[Student Number]]=C56,1,0)+IF(Table442466656974[[#This Row],[Session]]=B56,1,0)+IF(Table442466656974[[#This Row],[Pre or Post]]="Post",1,0)+IF(D56="Pre",1,0)=4,Table442466656974[[#This Row],[Post Total]],""),"")</f>
        <v>3</v>
      </c>
      <c r="O57" s="6">
        <f>IF(IF(ISNUMBER(K56),1,0)+IF(ISNUMBER(Table442466656974[[#This Row],[Post Total]]),1,0)=2,IF(IF(Table442466656974[[#This Row],[Student Number]]=C56,1,0)+IF(Table442466656974[[#This Row],[Session]]=B56,1,0)+IF(Table442466656974[[#This Row],[Pre or Post]]="Post",1,0)+IF(D56="Pre",1,0)=4,Table442466656974[[#This Row],[Post Total]]-K56,""),"")</f>
        <v>0</v>
      </c>
      <c r="P57" s="6" t="b">
        <f>ISNUMBER(Table442466656974[[#This Row],[Change]])</f>
        <v>1</v>
      </c>
      <c r="Q57" s="5">
        <f>IF(E56="Yes",Table442466656974[[#This Row],[Change]],"")</f>
        <v>0</v>
      </c>
      <c r="R57" s="5" t="str">
        <f>IF(E56="No",Table442466656974[[#This Row],[Change]],"")</f>
        <v/>
      </c>
      <c r="S57" s="5" t="b">
        <f>ISNUMBER(Table442466656974[[#This Row],[If Pre5 Yes]])</f>
        <v>1</v>
      </c>
      <c r="T57" s="5" t="b">
        <f>ISNUMBER(Table442466656974[[#This Row],[If Pre5 No]])</f>
        <v>0</v>
      </c>
    </row>
    <row r="58" spans="1:20">
      <c r="A58" s="2" t="s">
        <v>12</v>
      </c>
      <c r="B58" s="2" t="s">
        <v>21</v>
      </c>
      <c r="C58" s="1">
        <v>17</v>
      </c>
      <c r="D58" s="2" t="s">
        <v>6</v>
      </c>
      <c r="E58" s="5" t="s">
        <v>8</v>
      </c>
      <c r="F58" s="1">
        <v>9</v>
      </c>
      <c r="G58" s="1">
        <v>1</v>
      </c>
      <c r="H58" s="2" t="s">
        <v>8</v>
      </c>
      <c r="I58" s="5">
        <f>IF(IF(Table442466656974[[#This Row],[Pre or Post]]="Pre",1,0)+IF(ISNUMBER(Table442466656974[[#This Row],[Response]])=TRUE,1,0)=2,1,"")</f>
        <v>1</v>
      </c>
      <c r="J58" s="5" t="str">
        <f>IF(IF(Table442466656974[[#This Row],[Pre or Post]]="Post",1,0)+IF(ISNUMBER(Table442466656974[[#This Row],[Response]])=TRUE,1,0)=2,1,"")</f>
        <v/>
      </c>
      <c r="K58" s="6">
        <f>IF(IF(Table442466656974[[#This Row],[Pre or Post]]="Pre",1,0)+IF(ISNUMBER(Table442466656974[[#This Row],[Response]])=TRUE,1,0)=2,Table442466656974[[#This Row],[Response]],"")</f>
        <v>1</v>
      </c>
      <c r="L58" s="6" t="str">
        <f>IF(IF(Table442466656974[[#This Row],[Pre or Post]]="Post",1,0)+IF(ISNUMBER(Table442466656974[[#This Row],[Response]])=TRUE,1,0)=2,Table442466656974[[#This Row],[Response]],"")</f>
        <v/>
      </c>
      <c r="M58" s="5">
        <f>IF(IF(ISNUMBER(K58),1,0)+IF(ISNUMBER(L59),1,0)=2,IF(IF(C59=C58,1,0)+IF(B59=B58,1,0)+IF(D59="Post",1,0)+IF(D58="Pre",1,0)=4,Table442466656974[[#This Row],[Pre Total]],""),"")</f>
        <v>1</v>
      </c>
      <c r="N58" s="5" t="str">
        <f>IF(IF(ISNUMBER(K57),1,0)+IF(ISNUMBER(Table442466656974[[#This Row],[Post Total]]),1,0)=2,IF(IF(Table442466656974[[#This Row],[Student Number]]=C57,1,0)+IF(Table442466656974[[#This Row],[Session]]=B57,1,0)+IF(Table442466656974[[#This Row],[Pre or Post]]="Post",1,0)+IF(D57="Pre",1,0)=4,Table442466656974[[#This Row],[Post Total]],""),"")</f>
        <v/>
      </c>
      <c r="O58" s="5" t="str">
        <f>IF(IF(ISNUMBER(K57),1,0)+IF(ISNUMBER(Table442466656974[[#This Row],[Post Total]]),1,0)=2,IF(IF(Table442466656974[[#This Row],[Student Number]]=C57,1,0)+IF(Table442466656974[[#This Row],[Session]]=B57,1,0)+IF(Table442466656974[[#This Row],[Pre or Post]]="Post",1,0)+IF(D57="Pre",1,0)=4,Table442466656974[[#This Row],[Post Total]]-K57,""),"")</f>
        <v/>
      </c>
      <c r="P58" s="5" t="b">
        <f>ISNUMBER(Table442466656974[[#This Row],[Change]])</f>
        <v>0</v>
      </c>
      <c r="Q58" s="5" t="str">
        <f>IF(E57="Yes",Table442466656974[[#This Row],[Change]],"")</f>
        <v/>
      </c>
      <c r="R58" s="5" t="str">
        <f>IF(E57="No",Table442466656974[[#This Row],[Change]],"")</f>
        <v/>
      </c>
      <c r="S58" s="5" t="b">
        <f>ISNUMBER(Table442466656974[[#This Row],[If Pre5 Yes]])</f>
        <v>0</v>
      </c>
      <c r="T58" s="5" t="b">
        <f>ISNUMBER(Table442466656974[[#This Row],[If Pre5 No]])</f>
        <v>0</v>
      </c>
    </row>
    <row r="59" spans="1:20">
      <c r="A59" s="2" t="s">
        <v>12</v>
      </c>
      <c r="B59" s="2" t="s">
        <v>21</v>
      </c>
      <c r="C59" s="1">
        <v>17</v>
      </c>
      <c r="D59" s="2" t="s">
        <v>16</v>
      </c>
      <c r="E59" s="5"/>
      <c r="F59" s="1">
        <v>2</v>
      </c>
      <c r="G59" s="1">
        <v>1</v>
      </c>
      <c r="H59" s="2" t="s">
        <v>8</v>
      </c>
      <c r="I59" s="6" t="str">
        <f>IF(IF(Table442466656974[[#This Row],[Pre or Post]]="Pre",1,0)+IF(ISNUMBER(Table442466656974[[#This Row],[Response]])=TRUE,1,0)=2,1,"")</f>
        <v/>
      </c>
      <c r="J59" s="6">
        <f>IF(IF(Table442466656974[[#This Row],[Pre or Post]]="Post",1,0)+IF(ISNUMBER(Table442466656974[[#This Row],[Response]])=TRUE,1,0)=2,1,"")</f>
        <v>1</v>
      </c>
      <c r="K59" s="6" t="str">
        <f>IF(IF(Table442466656974[[#This Row],[Pre or Post]]="Pre",1,0)+IF(ISNUMBER(Table442466656974[[#This Row],[Response]])=TRUE,1,0)=2,Table442466656974[[#This Row],[Response]],"")</f>
        <v/>
      </c>
      <c r="L59" s="6">
        <f>IF(IF(Table442466656974[[#This Row],[Pre or Post]]="Post",1,0)+IF(ISNUMBER(Table442466656974[[#This Row],[Response]])=TRUE,1,0)=2,Table442466656974[[#This Row],[Response]],"")</f>
        <v>1</v>
      </c>
      <c r="M59" s="6" t="str">
        <f>IF(IF(ISNUMBER(K59),1,0)+IF(ISNUMBER(L60),1,0)=2,IF(IF(C60=C59,1,0)+IF(B60=B59,1,0)+IF(D60="Post",1,0)+IF(D59="Pre",1,0)=4,Table442466656974[[#This Row],[Pre Total]],""),"")</f>
        <v/>
      </c>
      <c r="N59" s="6">
        <f>IF(IF(ISNUMBER(K58),1,0)+IF(ISNUMBER(Table442466656974[[#This Row],[Post Total]]),1,0)=2,IF(IF(Table442466656974[[#This Row],[Student Number]]=C58,1,0)+IF(Table442466656974[[#This Row],[Session]]=B58,1,0)+IF(Table442466656974[[#This Row],[Pre or Post]]="Post",1,0)+IF(D58="Pre",1,0)=4,Table442466656974[[#This Row],[Post Total]],""),"")</f>
        <v>1</v>
      </c>
      <c r="O59" s="6">
        <f>IF(IF(ISNUMBER(K58),1,0)+IF(ISNUMBER(Table442466656974[[#This Row],[Post Total]]),1,0)=2,IF(IF(Table442466656974[[#This Row],[Student Number]]=C58,1,0)+IF(Table442466656974[[#This Row],[Session]]=B58,1,0)+IF(Table442466656974[[#This Row],[Pre or Post]]="Post",1,0)+IF(D58="Pre",1,0)=4,Table442466656974[[#This Row],[Post Total]]-K58,""),"")</f>
        <v>0</v>
      </c>
      <c r="P59" s="6" t="b">
        <f>ISNUMBER(Table442466656974[[#This Row],[Change]])</f>
        <v>1</v>
      </c>
      <c r="Q59" s="5">
        <f>IF(E58="Yes",Table442466656974[[#This Row],[Change]],"")</f>
        <v>0</v>
      </c>
      <c r="R59" s="5" t="str">
        <f>IF(E58="No",Table442466656974[[#This Row],[Change]],"")</f>
        <v/>
      </c>
      <c r="S59" s="5" t="b">
        <f>ISNUMBER(Table442466656974[[#This Row],[If Pre5 Yes]])</f>
        <v>1</v>
      </c>
      <c r="T59" s="5" t="b">
        <f>ISNUMBER(Table442466656974[[#This Row],[If Pre5 No]])</f>
        <v>0</v>
      </c>
    </row>
    <row r="60" spans="1:20">
      <c r="A60" s="2" t="s">
        <v>12</v>
      </c>
      <c r="B60" s="2" t="s">
        <v>21</v>
      </c>
      <c r="C60" s="1">
        <v>18</v>
      </c>
      <c r="D60" s="2" t="s">
        <v>6</v>
      </c>
      <c r="E60" s="5" t="s">
        <v>8</v>
      </c>
      <c r="F60" s="1">
        <v>9</v>
      </c>
      <c r="G60" s="1">
        <v>4</v>
      </c>
      <c r="H60" s="2" t="s">
        <v>8</v>
      </c>
      <c r="I60" s="5">
        <f>IF(IF(Table442466656974[[#This Row],[Pre or Post]]="Pre",1,0)+IF(ISNUMBER(Table442466656974[[#This Row],[Response]])=TRUE,1,0)=2,1,"")</f>
        <v>1</v>
      </c>
      <c r="J60" s="5" t="str">
        <f>IF(IF(Table442466656974[[#This Row],[Pre or Post]]="Post",1,0)+IF(ISNUMBER(Table442466656974[[#This Row],[Response]])=TRUE,1,0)=2,1,"")</f>
        <v/>
      </c>
      <c r="K60" s="6">
        <f>IF(IF(Table442466656974[[#This Row],[Pre or Post]]="Pre",1,0)+IF(ISNUMBER(Table442466656974[[#This Row],[Response]])=TRUE,1,0)=2,Table442466656974[[#This Row],[Response]],"")</f>
        <v>4</v>
      </c>
      <c r="L60" s="6" t="str">
        <f>IF(IF(Table442466656974[[#This Row],[Pre or Post]]="Post",1,0)+IF(ISNUMBER(Table442466656974[[#This Row],[Response]])=TRUE,1,0)=2,Table442466656974[[#This Row],[Response]],"")</f>
        <v/>
      </c>
      <c r="M60" s="5">
        <f>IF(IF(ISNUMBER(K60),1,0)+IF(ISNUMBER(L61),1,0)=2,IF(IF(C61=C60,1,0)+IF(B61=B60,1,0)+IF(D61="Post",1,0)+IF(D60="Pre",1,0)=4,Table442466656974[[#This Row],[Pre Total]],""),"")</f>
        <v>4</v>
      </c>
      <c r="N60" s="5" t="str">
        <f>IF(IF(ISNUMBER(K59),1,0)+IF(ISNUMBER(Table442466656974[[#This Row],[Post Total]]),1,0)=2,IF(IF(Table442466656974[[#This Row],[Student Number]]=C59,1,0)+IF(Table442466656974[[#This Row],[Session]]=B59,1,0)+IF(Table442466656974[[#This Row],[Pre or Post]]="Post",1,0)+IF(D59="Pre",1,0)=4,Table442466656974[[#This Row],[Post Total]],""),"")</f>
        <v/>
      </c>
      <c r="O60" s="5" t="str">
        <f>IF(IF(ISNUMBER(K59),1,0)+IF(ISNUMBER(Table442466656974[[#This Row],[Post Total]]),1,0)=2,IF(IF(Table442466656974[[#This Row],[Student Number]]=C59,1,0)+IF(Table442466656974[[#This Row],[Session]]=B59,1,0)+IF(Table442466656974[[#This Row],[Pre or Post]]="Post",1,0)+IF(D59="Pre",1,0)=4,Table442466656974[[#This Row],[Post Total]]-K59,""),"")</f>
        <v/>
      </c>
      <c r="P60" s="5" t="b">
        <f>ISNUMBER(Table442466656974[[#This Row],[Change]])</f>
        <v>0</v>
      </c>
      <c r="Q60" s="5" t="str">
        <f>IF(E59="Yes",Table442466656974[[#This Row],[Change]],"")</f>
        <v/>
      </c>
      <c r="R60" s="5" t="str">
        <f>IF(E59="No",Table442466656974[[#This Row],[Change]],"")</f>
        <v/>
      </c>
      <c r="S60" s="5" t="b">
        <f>ISNUMBER(Table442466656974[[#This Row],[If Pre5 Yes]])</f>
        <v>0</v>
      </c>
      <c r="T60" s="5" t="b">
        <f>ISNUMBER(Table442466656974[[#This Row],[If Pre5 No]])</f>
        <v>0</v>
      </c>
    </row>
    <row r="61" spans="1:20">
      <c r="A61" s="2" t="s">
        <v>12</v>
      </c>
      <c r="B61" s="2" t="s">
        <v>21</v>
      </c>
      <c r="C61" s="1">
        <v>18</v>
      </c>
      <c r="D61" s="2" t="s">
        <v>16</v>
      </c>
      <c r="E61" s="5"/>
      <c r="F61" s="1">
        <v>2</v>
      </c>
      <c r="G61" s="1">
        <v>4</v>
      </c>
      <c r="H61" s="2" t="s">
        <v>8</v>
      </c>
      <c r="I61" s="5" t="str">
        <f>IF(IF(Table442466656974[[#This Row],[Pre or Post]]="Pre",1,0)+IF(ISNUMBER(Table442466656974[[#This Row],[Response]])=TRUE,1,0)=2,1,"")</f>
        <v/>
      </c>
      <c r="J61" s="5">
        <f>IF(IF(Table442466656974[[#This Row],[Pre or Post]]="Post",1,0)+IF(ISNUMBER(Table442466656974[[#This Row],[Response]])=TRUE,1,0)=2,1,"")</f>
        <v>1</v>
      </c>
      <c r="K61" s="6" t="str">
        <f>IF(IF(Table442466656974[[#This Row],[Pre or Post]]="Pre",1,0)+IF(ISNUMBER(Table442466656974[[#This Row],[Response]])=TRUE,1,0)=2,Table442466656974[[#This Row],[Response]],"")</f>
        <v/>
      </c>
      <c r="L61" s="6">
        <f>IF(IF(Table442466656974[[#This Row],[Pre or Post]]="Post",1,0)+IF(ISNUMBER(Table442466656974[[#This Row],[Response]])=TRUE,1,0)=2,Table442466656974[[#This Row],[Response]],"")</f>
        <v>4</v>
      </c>
      <c r="M61" s="5" t="str">
        <f>IF(IF(ISNUMBER(K61),1,0)+IF(ISNUMBER(L62),1,0)=2,IF(IF(C62=C61,1,0)+IF(B62=B61,1,0)+IF(D62="Post",1,0)+IF(D61="Pre",1,0)=4,Table442466656974[[#This Row],[Pre Total]],""),"")</f>
        <v/>
      </c>
      <c r="N61" s="5">
        <f>IF(IF(ISNUMBER(K60),1,0)+IF(ISNUMBER(Table442466656974[[#This Row],[Post Total]]),1,0)=2,IF(IF(Table442466656974[[#This Row],[Student Number]]=C60,1,0)+IF(Table442466656974[[#This Row],[Session]]=B60,1,0)+IF(Table442466656974[[#This Row],[Pre or Post]]="Post",1,0)+IF(D60="Pre",1,0)=4,Table442466656974[[#This Row],[Post Total]],""),"")</f>
        <v>4</v>
      </c>
      <c r="O61" s="5">
        <f>IF(IF(ISNUMBER(K60),1,0)+IF(ISNUMBER(Table442466656974[[#This Row],[Post Total]]),1,0)=2,IF(IF(Table442466656974[[#This Row],[Student Number]]=C60,1,0)+IF(Table442466656974[[#This Row],[Session]]=B60,1,0)+IF(Table442466656974[[#This Row],[Pre or Post]]="Post",1,0)+IF(D60="Pre",1,0)=4,Table442466656974[[#This Row],[Post Total]]-K60,""),"")</f>
        <v>0</v>
      </c>
      <c r="P61" s="5" t="b">
        <f>ISNUMBER(Table442466656974[[#This Row],[Change]])</f>
        <v>1</v>
      </c>
      <c r="Q61" s="5">
        <f>IF(E60="Yes",Table442466656974[[#This Row],[Change]],"")</f>
        <v>0</v>
      </c>
      <c r="R61" s="5" t="str">
        <f>IF(E60="No",Table442466656974[[#This Row],[Change]],"")</f>
        <v/>
      </c>
      <c r="S61" s="5" t="b">
        <f>ISNUMBER(Table442466656974[[#This Row],[If Pre5 Yes]])</f>
        <v>1</v>
      </c>
      <c r="T61" s="5" t="b">
        <f>ISNUMBER(Table442466656974[[#This Row],[If Pre5 No]])</f>
        <v>0</v>
      </c>
    </row>
    <row r="62" spans="1:20">
      <c r="A62" s="2" t="s">
        <v>12</v>
      </c>
      <c r="B62" s="2" t="s">
        <v>21</v>
      </c>
      <c r="C62" s="1">
        <v>19</v>
      </c>
      <c r="D62" s="2" t="s">
        <v>6</v>
      </c>
      <c r="E62" s="5" t="s">
        <v>8</v>
      </c>
      <c r="F62" s="1">
        <v>9</v>
      </c>
      <c r="G62" s="1">
        <v>2</v>
      </c>
      <c r="H62" s="2" t="s">
        <v>8</v>
      </c>
      <c r="I62" s="5">
        <f>IF(IF(Table442466656974[[#This Row],[Pre or Post]]="Pre",1,0)+IF(ISNUMBER(Table442466656974[[#This Row],[Response]])=TRUE,1,0)=2,1,"")</f>
        <v>1</v>
      </c>
      <c r="J62" s="5" t="str">
        <f>IF(IF(Table442466656974[[#This Row],[Pre or Post]]="Post",1,0)+IF(ISNUMBER(Table442466656974[[#This Row],[Response]])=TRUE,1,0)=2,1,"")</f>
        <v/>
      </c>
      <c r="K62" s="6">
        <f>IF(IF(Table442466656974[[#This Row],[Pre or Post]]="Pre",1,0)+IF(ISNUMBER(Table442466656974[[#This Row],[Response]])=TRUE,1,0)=2,Table442466656974[[#This Row],[Response]],"")</f>
        <v>2</v>
      </c>
      <c r="L62" s="6" t="str">
        <f>IF(IF(Table442466656974[[#This Row],[Pre or Post]]="Post",1,0)+IF(ISNUMBER(Table442466656974[[#This Row],[Response]])=TRUE,1,0)=2,Table442466656974[[#This Row],[Response]],"")</f>
        <v/>
      </c>
      <c r="M62" s="5">
        <f>IF(IF(ISNUMBER(K62),1,0)+IF(ISNUMBER(L63),1,0)=2,IF(IF(C63=C62,1,0)+IF(B63=B62,1,0)+IF(D63="Post",1,0)+IF(D62="Pre",1,0)=4,Table442466656974[[#This Row],[Pre Total]],""),"")</f>
        <v>2</v>
      </c>
      <c r="N62" s="5" t="str">
        <f>IF(IF(ISNUMBER(K61),1,0)+IF(ISNUMBER(Table442466656974[[#This Row],[Post Total]]),1,0)=2,IF(IF(Table442466656974[[#This Row],[Student Number]]=C61,1,0)+IF(Table442466656974[[#This Row],[Session]]=B61,1,0)+IF(Table442466656974[[#This Row],[Pre or Post]]="Post",1,0)+IF(D61="Pre",1,0)=4,Table442466656974[[#This Row],[Post Total]],""),"")</f>
        <v/>
      </c>
      <c r="O62" s="5" t="str">
        <f>IF(IF(ISNUMBER(K61),1,0)+IF(ISNUMBER(Table442466656974[[#This Row],[Post Total]]),1,0)=2,IF(IF(Table442466656974[[#This Row],[Student Number]]=C61,1,0)+IF(Table442466656974[[#This Row],[Session]]=B61,1,0)+IF(Table442466656974[[#This Row],[Pre or Post]]="Post",1,0)+IF(D61="Pre",1,0)=4,Table442466656974[[#This Row],[Post Total]]-K61,""),"")</f>
        <v/>
      </c>
      <c r="P62" s="5" t="b">
        <f>ISNUMBER(Table442466656974[[#This Row],[Change]])</f>
        <v>0</v>
      </c>
      <c r="Q62" s="5" t="str">
        <f>IF(E61="Yes",Table442466656974[[#This Row],[Change]],"")</f>
        <v/>
      </c>
      <c r="R62" s="5" t="str">
        <f>IF(E61="No",Table442466656974[[#This Row],[Change]],"")</f>
        <v/>
      </c>
      <c r="S62" s="5" t="b">
        <f>ISNUMBER(Table442466656974[[#This Row],[If Pre5 Yes]])</f>
        <v>0</v>
      </c>
      <c r="T62" s="5" t="b">
        <f>ISNUMBER(Table442466656974[[#This Row],[If Pre5 No]])</f>
        <v>0</v>
      </c>
    </row>
    <row r="63" spans="1:20">
      <c r="A63" s="2" t="s">
        <v>12</v>
      </c>
      <c r="B63" s="2" t="s">
        <v>21</v>
      </c>
      <c r="C63" s="1">
        <v>19</v>
      </c>
      <c r="D63" s="2" t="s">
        <v>16</v>
      </c>
      <c r="E63" s="5"/>
      <c r="F63" s="1">
        <v>2</v>
      </c>
      <c r="G63" s="1">
        <v>2</v>
      </c>
      <c r="H63" s="2" t="s">
        <v>8</v>
      </c>
      <c r="I63" s="6" t="str">
        <f>IF(IF(Table442466656974[[#This Row],[Pre or Post]]="Pre",1,0)+IF(ISNUMBER(Table442466656974[[#This Row],[Response]])=TRUE,1,0)=2,1,"")</f>
        <v/>
      </c>
      <c r="J63" s="6">
        <f>IF(IF(Table442466656974[[#This Row],[Pre or Post]]="Post",1,0)+IF(ISNUMBER(Table442466656974[[#This Row],[Response]])=TRUE,1,0)=2,1,"")</f>
        <v>1</v>
      </c>
      <c r="K63" s="6" t="str">
        <f>IF(IF(Table442466656974[[#This Row],[Pre or Post]]="Pre",1,0)+IF(ISNUMBER(Table442466656974[[#This Row],[Response]])=TRUE,1,0)=2,Table442466656974[[#This Row],[Response]],"")</f>
        <v/>
      </c>
      <c r="L63" s="6">
        <f>IF(IF(Table442466656974[[#This Row],[Pre or Post]]="Post",1,0)+IF(ISNUMBER(Table442466656974[[#This Row],[Response]])=TRUE,1,0)=2,Table442466656974[[#This Row],[Response]],"")</f>
        <v>2</v>
      </c>
      <c r="M63" s="6" t="str">
        <f>IF(IF(ISNUMBER(K63),1,0)+IF(ISNUMBER(L64),1,0)=2,IF(IF(C64=C63,1,0)+IF(B64=B63,1,0)+IF(D64="Post",1,0)+IF(D63="Pre",1,0)=4,Table442466656974[[#This Row],[Pre Total]],""),"")</f>
        <v/>
      </c>
      <c r="N63" s="6">
        <f>IF(IF(ISNUMBER(K62),1,0)+IF(ISNUMBER(Table442466656974[[#This Row],[Post Total]]),1,0)=2,IF(IF(Table442466656974[[#This Row],[Student Number]]=C62,1,0)+IF(Table442466656974[[#This Row],[Session]]=B62,1,0)+IF(Table442466656974[[#This Row],[Pre or Post]]="Post",1,0)+IF(D62="Pre",1,0)=4,Table442466656974[[#This Row],[Post Total]],""),"")</f>
        <v>2</v>
      </c>
      <c r="O63" s="6">
        <f>IF(IF(ISNUMBER(K62),1,0)+IF(ISNUMBER(Table442466656974[[#This Row],[Post Total]]),1,0)=2,IF(IF(Table442466656974[[#This Row],[Student Number]]=C62,1,0)+IF(Table442466656974[[#This Row],[Session]]=B62,1,0)+IF(Table442466656974[[#This Row],[Pre or Post]]="Post",1,0)+IF(D62="Pre",1,0)=4,Table442466656974[[#This Row],[Post Total]]-K62,""),"")</f>
        <v>0</v>
      </c>
      <c r="P63" s="6" t="b">
        <f>ISNUMBER(Table442466656974[[#This Row],[Change]])</f>
        <v>1</v>
      </c>
      <c r="Q63" s="5">
        <f>IF(E62="Yes",Table442466656974[[#This Row],[Change]],"")</f>
        <v>0</v>
      </c>
      <c r="R63" s="5" t="str">
        <f>IF(E62="No",Table442466656974[[#This Row],[Change]],"")</f>
        <v/>
      </c>
      <c r="S63" s="5" t="b">
        <f>ISNUMBER(Table442466656974[[#This Row],[If Pre5 Yes]])</f>
        <v>1</v>
      </c>
      <c r="T63" s="5" t="b">
        <f>ISNUMBER(Table442466656974[[#This Row],[If Pre5 No]])</f>
        <v>0</v>
      </c>
    </row>
    <row r="64" spans="1:20">
      <c r="A64" s="2" t="s">
        <v>12</v>
      </c>
      <c r="B64" s="2" t="s">
        <v>21</v>
      </c>
      <c r="C64" s="1">
        <v>20</v>
      </c>
      <c r="D64" s="2" t="s">
        <v>6</v>
      </c>
      <c r="E64" s="5" t="s">
        <v>8</v>
      </c>
      <c r="F64" s="1">
        <v>9</v>
      </c>
      <c r="G64" s="1">
        <v>4</v>
      </c>
      <c r="H64" s="2" t="s">
        <v>8</v>
      </c>
      <c r="I64" s="6">
        <f>IF(IF(Table442466656974[[#This Row],[Pre or Post]]="Pre",1,0)+IF(ISNUMBER(Table442466656974[[#This Row],[Response]])=TRUE,1,0)=2,1,"")</f>
        <v>1</v>
      </c>
      <c r="J64" s="6" t="str">
        <f>IF(IF(Table442466656974[[#This Row],[Pre or Post]]="Post",1,0)+IF(ISNUMBER(Table442466656974[[#This Row],[Response]])=TRUE,1,0)=2,1,"")</f>
        <v/>
      </c>
      <c r="K64" s="6">
        <f>IF(IF(Table442466656974[[#This Row],[Pre or Post]]="Pre",1,0)+IF(ISNUMBER(Table442466656974[[#This Row],[Response]])=TRUE,1,0)=2,Table442466656974[[#This Row],[Response]],"")</f>
        <v>4</v>
      </c>
      <c r="L64" s="6" t="str">
        <f>IF(IF(Table442466656974[[#This Row],[Pre or Post]]="Post",1,0)+IF(ISNUMBER(Table442466656974[[#This Row],[Response]])=TRUE,1,0)=2,Table442466656974[[#This Row],[Response]],"")</f>
        <v/>
      </c>
      <c r="M64" s="6">
        <f>IF(IF(ISNUMBER(K64),1,0)+IF(ISNUMBER(L65),1,0)=2,IF(IF(C65=C64,1,0)+IF(B65=B64,1,0)+IF(D65="Post",1,0)+IF(D64="Pre",1,0)=4,Table442466656974[[#This Row],[Pre Total]],""),"")</f>
        <v>4</v>
      </c>
      <c r="N64" s="6" t="str">
        <f>IF(IF(ISNUMBER(K63),1,0)+IF(ISNUMBER(Table442466656974[[#This Row],[Post Total]]),1,0)=2,IF(IF(Table442466656974[[#This Row],[Student Number]]=C63,1,0)+IF(Table442466656974[[#This Row],[Session]]=B63,1,0)+IF(Table442466656974[[#This Row],[Pre or Post]]="Post",1,0)+IF(D63="Pre",1,0)=4,Table442466656974[[#This Row],[Post Total]],""),"")</f>
        <v/>
      </c>
      <c r="O64" s="6" t="str">
        <f>IF(IF(ISNUMBER(K63),1,0)+IF(ISNUMBER(Table442466656974[[#This Row],[Post Total]]),1,0)=2,IF(IF(Table442466656974[[#This Row],[Student Number]]=C63,1,0)+IF(Table442466656974[[#This Row],[Session]]=B63,1,0)+IF(Table442466656974[[#This Row],[Pre or Post]]="Post",1,0)+IF(D63="Pre",1,0)=4,Table442466656974[[#This Row],[Post Total]]-K63,""),"")</f>
        <v/>
      </c>
      <c r="P64" s="6" t="b">
        <f>ISNUMBER(Table442466656974[[#This Row],[Change]])</f>
        <v>0</v>
      </c>
      <c r="Q64" s="5" t="str">
        <f>IF(E63="Yes",Table442466656974[[#This Row],[Change]],"")</f>
        <v/>
      </c>
      <c r="R64" s="5" t="str">
        <f>IF(E63="No",Table442466656974[[#This Row],[Change]],"")</f>
        <v/>
      </c>
      <c r="S64" s="5" t="b">
        <f>ISNUMBER(Table442466656974[[#This Row],[If Pre5 Yes]])</f>
        <v>0</v>
      </c>
      <c r="T64" s="5" t="b">
        <f>ISNUMBER(Table442466656974[[#This Row],[If Pre5 No]])</f>
        <v>0</v>
      </c>
    </row>
    <row r="65" spans="1:20">
      <c r="A65" s="2" t="s">
        <v>12</v>
      </c>
      <c r="B65" s="2" t="s">
        <v>21</v>
      </c>
      <c r="C65" s="1">
        <v>20</v>
      </c>
      <c r="D65" s="2" t="s">
        <v>16</v>
      </c>
      <c r="E65" s="5"/>
      <c r="F65" s="1">
        <v>2</v>
      </c>
      <c r="G65" s="1">
        <v>3</v>
      </c>
      <c r="H65" s="2" t="s">
        <v>8</v>
      </c>
      <c r="I65" s="6" t="str">
        <f>IF(IF(Table442466656974[[#This Row],[Pre or Post]]="Pre",1,0)+IF(ISNUMBER(Table442466656974[[#This Row],[Response]])=TRUE,1,0)=2,1,"")</f>
        <v/>
      </c>
      <c r="J65" s="6">
        <f>IF(IF(Table442466656974[[#This Row],[Pre or Post]]="Post",1,0)+IF(ISNUMBER(Table442466656974[[#This Row],[Response]])=TRUE,1,0)=2,1,"")</f>
        <v>1</v>
      </c>
      <c r="K65" s="6" t="str">
        <f>IF(IF(Table442466656974[[#This Row],[Pre or Post]]="Pre",1,0)+IF(ISNUMBER(Table442466656974[[#This Row],[Response]])=TRUE,1,0)=2,Table442466656974[[#This Row],[Response]],"")</f>
        <v/>
      </c>
      <c r="L65" s="6">
        <f>IF(IF(Table442466656974[[#This Row],[Pre or Post]]="Post",1,0)+IF(ISNUMBER(Table442466656974[[#This Row],[Response]])=TRUE,1,0)=2,Table442466656974[[#This Row],[Response]],"")</f>
        <v>3</v>
      </c>
      <c r="M65" s="6" t="str">
        <f>IF(IF(ISNUMBER(K65),1,0)+IF(ISNUMBER(L66),1,0)=2,IF(IF(C66=C65,1,0)+IF(B66=B65,1,0)+IF(D66="Post",1,0)+IF(D65="Pre",1,0)=4,Table442466656974[[#This Row],[Pre Total]],""),"")</f>
        <v/>
      </c>
      <c r="N65" s="6">
        <f>IF(IF(ISNUMBER(K64),1,0)+IF(ISNUMBER(Table442466656974[[#This Row],[Post Total]]),1,0)=2,IF(IF(Table442466656974[[#This Row],[Student Number]]=C64,1,0)+IF(Table442466656974[[#This Row],[Session]]=B64,1,0)+IF(Table442466656974[[#This Row],[Pre or Post]]="Post",1,0)+IF(D64="Pre",1,0)=4,Table442466656974[[#This Row],[Post Total]],""),"")</f>
        <v>3</v>
      </c>
      <c r="O65" s="6">
        <f>IF(IF(ISNUMBER(K64),1,0)+IF(ISNUMBER(Table442466656974[[#This Row],[Post Total]]),1,0)=2,IF(IF(Table442466656974[[#This Row],[Student Number]]=C64,1,0)+IF(Table442466656974[[#This Row],[Session]]=B64,1,0)+IF(Table442466656974[[#This Row],[Pre or Post]]="Post",1,0)+IF(D64="Pre",1,0)=4,Table442466656974[[#This Row],[Post Total]]-K64,""),"")</f>
        <v>-1</v>
      </c>
      <c r="P65" s="6" t="b">
        <f>ISNUMBER(Table442466656974[[#This Row],[Change]])</f>
        <v>1</v>
      </c>
      <c r="Q65" s="5">
        <f>IF(E64="Yes",Table442466656974[[#This Row],[Change]],"")</f>
        <v>-1</v>
      </c>
      <c r="R65" s="5" t="str">
        <f>IF(E64="No",Table442466656974[[#This Row],[Change]],"")</f>
        <v/>
      </c>
      <c r="S65" s="5" t="b">
        <f>ISNUMBER(Table442466656974[[#This Row],[If Pre5 Yes]])</f>
        <v>1</v>
      </c>
      <c r="T65" s="5" t="b">
        <f>ISNUMBER(Table442466656974[[#This Row],[If Pre5 No]])</f>
        <v>0</v>
      </c>
    </row>
    <row r="66" spans="1:20">
      <c r="A66" s="2" t="s">
        <v>12</v>
      </c>
      <c r="B66" s="2" t="s">
        <v>21</v>
      </c>
      <c r="C66" s="1">
        <v>21</v>
      </c>
      <c r="D66" s="2" t="s">
        <v>6</v>
      </c>
      <c r="E66" s="5" t="s">
        <v>8</v>
      </c>
      <c r="F66" s="1">
        <v>9</v>
      </c>
      <c r="G66" s="1">
        <v>1</v>
      </c>
      <c r="H66" s="2" t="s">
        <v>8</v>
      </c>
      <c r="I66" s="5">
        <f>IF(IF(Table442466656974[[#This Row],[Pre or Post]]="Pre",1,0)+IF(ISNUMBER(Table442466656974[[#This Row],[Response]])=TRUE,1,0)=2,1,"")</f>
        <v>1</v>
      </c>
      <c r="J66" s="5" t="str">
        <f>IF(IF(Table442466656974[[#This Row],[Pre or Post]]="Post",1,0)+IF(ISNUMBER(Table442466656974[[#This Row],[Response]])=TRUE,1,0)=2,1,"")</f>
        <v/>
      </c>
      <c r="K66" s="6">
        <f>IF(IF(Table442466656974[[#This Row],[Pre or Post]]="Pre",1,0)+IF(ISNUMBER(Table442466656974[[#This Row],[Response]])=TRUE,1,0)=2,Table442466656974[[#This Row],[Response]],"")</f>
        <v>1</v>
      </c>
      <c r="L66" s="6" t="str">
        <f>IF(IF(Table442466656974[[#This Row],[Pre or Post]]="Post",1,0)+IF(ISNUMBER(Table442466656974[[#This Row],[Response]])=TRUE,1,0)=2,Table442466656974[[#This Row],[Response]],"")</f>
        <v/>
      </c>
      <c r="M66" s="5">
        <f>IF(IF(ISNUMBER(K66),1,0)+IF(ISNUMBER(L67),1,0)=2,IF(IF(C67=C66,1,0)+IF(B67=B66,1,0)+IF(D67="Post",1,0)+IF(D66="Pre",1,0)=4,Table442466656974[[#This Row],[Pre Total]],""),"")</f>
        <v>1</v>
      </c>
      <c r="N66" s="5" t="str">
        <f>IF(IF(ISNUMBER(K65),1,0)+IF(ISNUMBER(Table442466656974[[#This Row],[Post Total]]),1,0)=2,IF(IF(Table442466656974[[#This Row],[Student Number]]=C65,1,0)+IF(Table442466656974[[#This Row],[Session]]=B65,1,0)+IF(Table442466656974[[#This Row],[Pre or Post]]="Post",1,0)+IF(D65="Pre",1,0)=4,Table442466656974[[#This Row],[Post Total]],""),"")</f>
        <v/>
      </c>
      <c r="O66" s="5" t="str">
        <f>IF(IF(ISNUMBER(K65),1,0)+IF(ISNUMBER(Table442466656974[[#This Row],[Post Total]]),1,0)=2,IF(IF(Table442466656974[[#This Row],[Student Number]]=C65,1,0)+IF(Table442466656974[[#This Row],[Session]]=B65,1,0)+IF(Table442466656974[[#This Row],[Pre or Post]]="Post",1,0)+IF(D65="Pre",1,0)=4,Table442466656974[[#This Row],[Post Total]]-K65,""),"")</f>
        <v/>
      </c>
      <c r="P66" s="5" t="b">
        <f>ISNUMBER(Table442466656974[[#This Row],[Change]])</f>
        <v>0</v>
      </c>
      <c r="Q66" s="5" t="str">
        <f>IF(E65="Yes",Table442466656974[[#This Row],[Change]],"")</f>
        <v/>
      </c>
      <c r="R66" s="5" t="str">
        <f>IF(E65="No",Table442466656974[[#This Row],[Change]],"")</f>
        <v/>
      </c>
      <c r="S66" s="5" t="b">
        <f>ISNUMBER(Table442466656974[[#This Row],[If Pre5 Yes]])</f>
        <v>0</v>
      </c>
      <c r="T66" s="5" t="b">
        <f>ISNUMBER(Table442466656974[[#This Row],[If Pre5 No]])</f>
        <v>0</v>
      </c>
    </row>
    <row r="67" spans="1:20">
      <c r="A67" s="2" t="s">
        <v>12</v>
      </c>
      <c r="B67" s="2" t="s">
        <v>21</v>
      </c>
      <c r="C67" s="1">
        <v>21</v>
      </c>
      <c r="D67" s="2" t="s">
        <v>16</v>
      </c>
      <c r="E67" s="5"/>
      <c r="F67" s="1">
        <v>2</v>
      </c>
      <c r="G67" s="1">
        <v>2</v>
      </c>
      <c r="H67" s="2" t="s">
        <v>8</v>
      </c>
      <c r="I67" s="5" t="str">
        <f>IF(IF(Table442466656974[[#This Row],[Pre or Post]]="Pre",1,0)+IF(ISNUMBER(Table442466656974[[#This Row],[Response]])=TRUE,1,0)=2,1,"")</f>
        <v/>
      </c>
      <c r="J67" s="5">
        <f>IF(IF(Table442466656974[[#This Row],[Pre or Post]]="Post",1,0)+IF(ISNUMBER(Table442466656974[[#This Row],[Response]])=TRUE,1,0)=2,1,"")</f>
        <v>1</v>
      </c>
      <c r="K67" s="6" t="str">
        <f>IF(IF(Table442466656974[[#This Row],[Pre or Post]]="Pre",1,0)+IF(ISNUMBER(Table442466656974[[#This Row],[Response]])=TRUE,1,0)=2,Table442466656974[[#This Row],[Response]],"")</f>
        <v/>
      </c>
      <c r="L67" s="6">
        <f>IF(IF(Table442466656974[[#This Row],[Pre or Post]]="Post",1,0)+IF(ISNUMBER(Table442466656974[[#This Row],[Response]])=TRUE,1,0)=2,Table442466656974[[#This Row],[Response]],"")</f>
        <v>2</v>
      </c>
      <c r="M67" s="5" t="str">
        <f>IF(IF(ISNUMBER(K67),1,0)+IF(ISNUMBER(L68),1,0)=2,IF(IF(C68=C67,1,0)+IF(B68=B67,1,0)+IF(D68="Post",1,0)+IF(D67="Pre",1,0)=4,Table442466656974[[#This Row],[Pre Total]],""),"")</f>
        <v/>
      </c>
      <c r="N67" s="5">
        <f>IF(IF(ISNUMBER(K66),1,0)+IF(ISNUMBER(Table442466656974[[#This Row],[Post Total]]),1,0)=2,IF(IF(Table442466656974[[#This Row],[Student Number]]=C66,1,0)+IF(Table442466656974[[#This Row],[Session]]=B66,1,0)+IF(Table442466656974[[#This Row],[Pre or Post]]="Post",1,0)+IF(D66="Pre",1,0)=4,Table442466656974[[#This Row],[Post Total]],""),"")</f>
        <v>2</v>
      </c>
      <c r="O67" s="5">
        <f>IF(IF(ISNUMBER(K66),1,0)+IF(ISNUMBER(Table442466656974[[#This Row],[Post Total]]),1,0)=2,IF(IF(Table442466656974[[#This Row],[Student Number]]=C66,1,0)+IF(Table442466656974[[#This Row],[Session]]=B66,1,0)+IF(Table442466656974[[#This Row],[Pre or Post]]="Post",1,0)+IF(D66="Pre",1,0)=4,Table442466656974[[#This Row],[Post Total]]-K66,""),"")</f>
        <v>1</v>
      </c>
      <c r="P67" s="5" t="b">
        <f>ISNUMBER(Table442466656974[[#This Row],[Change]])</f>
        <v>1</v>
      </c>
      <c r="Q67" s="5">
        <f>IF(E66="Yes",Table442466656974[[#This Row],[Change]],"")</f>
        <v>1</v>
      </c>
      <c r="R67" s="5" t="str">
        <f>IF(E66="No",Table442466656974[[#This Row],[Change]],"")</f>
        <v/>
      </c>
      <c r="S67" s="5" t="b">
        <f>ISNUMBER(Table442466656974[[#This Row],[If Pre5 Yes]])</f>
        <v>1</v>
      </c>
      <c r="T67" s="5" t="b">
        <f>ISNUMBER(Table442466656974[[#This Row],[If Pre5 No]])</f>
        <v>0</v>
      </c>
    </row>
    <row r="68" spans="1:20">
      <c r="A68" s="2" t="s">
        <v>12</v>
      </c>
      <c r="B68" s="2" t="s">
        <v>21</v>
      </c>
      <c r="C68" s="1">
        <v>22</v>
      </c>
      <c r="D68" s="2" t="s">
        <v>6</v>
      </c>
      <c r="E68" s="5" t="s">
        <v>8</v>
      </c>
      <c r="F68" s="1">
        <v>9</v>
      </c>
      <c r="G68" s="1">
        <v>2</v>
      </c>
      <c r="H68" s="2" t="s">
        <v>8</v>
      </c>
      <c r="I68" s="5">
        <f>IF(IF(Table442466656974[[#This Row],[Pre or Post]]="Pre",1,0)+IF(ISNUMBER(Table442466656974[[#This Row],[Response]])=TRUE,1,0)=2,1,"")</f>
        <v>1</v>
      </c>
      <c r="J68" s="5" t="str">
        <f>IF(IF(Table442466656974[[#This Row],[Pre or Post]]="Post",1,0)+IF(ISNUMBER(Table442466656974[[#This Row],[Response]])=TRUE,1,0)=2,1,"")</f>
        <v/>
      </c>
      <c r="K68" s="6">
        <f>IF(IF(Table442466656974[[#This Row],[Pre or Post]]="Pre",1,0)+IF(ISNUMBER(Table442466656974[[#This Row],[Response]])=TRUE,1,0)=2,Table442466656974[[#This Row],[Response]],"")</f>
        <v>2</v>
      </c>
      <c r="L68" s="6" t="str">
        <f>IF(IF(Table442466656974[[#This Row],[Pre or Post]]="Post",1,0)+IF(ISNUMBER(Table442466656974[[#This Row],[Response]])=TRUE,1,0)=2,Table442466656974[[#This Row],[Response]],"")</f>
        <v/>
      </c>
      <c r="M68" s="5">
        <f>IF(IF(ISNUMBER(K68),1,0)+IF(ISNUMBER(L69),1,0)=2,IF(IF(C69=C68,1,0)+IF(B69=B68,1,0)+IF(D69="Post",1,0)+IF(D68="Pre",1,0)=4,Table442466656974[[#This Row],[Pre Total]],""),"")</f>
        <v>2</v>
      </c>
      <c r="N68" s="5" t="str">
        <f>IF(IF(ISNUMBER(K67),1,0)+IF(ISNUMBER(Table442466656974[[#This Row],[Post Total]]),1,0)=2,IF(IF(Table442466656974[[#This Row],[Student Number]]=C67,1,0)+IF(Table442466656974[[#This Row],[Session]]=B67,1,0)+IF(Table442466656974[[#This Row],[Pre or Post]]="Post",1,0)+IF(D67="Pre",1,0)=4,Table442466656974[[#This Row],[Post Total]],""),"")</f>
        <v/>
      </c>
      <c r="O68" s="5" t="str">
        <f>IF(IF(ISNUMBER(K67),1,0)+IF(ISNUMBER(Table442466656974[[#This Row],[Post Total]]),1,0)=2,IF(IF(Table442466656974[[#This Row],[Student Number]]=C67,1,0)+IF(Table442466656974[[#This Row],[Session]]=B67,1,0)+IF(Table442466656974[[#This Row],[Pre or Post]]="Post",1,0)+IF(D67="Pre",1,0)=4,Table442466656974[[#This Row],[Post Total]]-K67,""),"")</f>
        <v/>
      </c>
      <c r="P68" s="5" t="b">
        <f>ISNUMBER(Table442466656974[[#This Row],[Change]])</f>
        <v>0</v>
      </c>
      <c r="Q68" s="5" t="str">
        <f>IF(E67="Yes",Table442466656974[[#This Row],[Change]],"")</f>
        <v/>
      </c>
      <c r="R68" s="5" t="str">
        <f>IF(E67="No",Table442466656974[[#This Row],[Change]],"")</f>
        <v/>
      </c>
      <c r="S68" s="5" t="b">
        <f>ISNUMBER(Table442466656974[[#This Row],[If Pre5 Yes]])</f>
        <v>0</v>
      </c>
      <c r="T68" s="5" t="b">
        <f>ISNUMBER(Table442466656974[[#This Row],[If Pre5 No]])</f>
        <v>0</v>
      </c>
    </row>
    <row r="69" spans="1:20">
      <c r="A69" s="2" t="s">
        <v>12</v>
      </c>
      <c r="B69" s="2" t="s">
        <v>21</v>
      </c>
      <c r="C69" s="1">
        <v>22</v>
      </c>
      <c r="D69" s="2" t="s">
        <v>16</v>
      </c>
      <c r="E69" s="5"/>
      <c r="F69" s="1">
        <v>2</v>
      </c>
      <c r="G69" s="1">
        <v>3</v>
      </c>
      <c r="H69" s="2" t="s">
        <v>8</v>
      </c>
      <c r="I69" s="5" t="str">
        <f>IF(IF(Table442466656974[[#This Row],[Pre or Post]]="Pre",1,0)+IF(ISNUMBER(Table442466656974[[#This Row],[Response]])=TRUE,1,0)=2,1,"")</f>
        <v/>
      </c>
      <c r="J69" s="5">
        <f>IF(IF(Table442466656974[[#This Row],[Pre or Post]]="Post",1,0)+IF(ISNUMBER(Table442466656974[[#This Row],[Response]])=TRUE,1,0)=2,1,"")</f>
        <v>1</v>
      </c>
      <c r="K69" s="6" t="str">
        <f>IF(IF(Table442466656974[[#This Row],[Pre or Post]]="Pre",1,0)+IF(ISNUMBER(Table442466656974[[#This Row],[Response]])=TRUE,1,0)=2,Table442466656974[[#This Row],[Response]],"")</f>
        <v/>
      </c>
      <c r="L69" s="6">
        <f>IF(IF(Table442466656974[[#This Row],[Pre or Post]]="Post",1,0)+IF(ISNUMBER(Table442466656974[[#This Row],[Response]])=TRUE,1,0)=2,Table442466656974[[#This Row],[Response]],"")</f>
        <v>3</v>
      </c>
      <c r="M69" s="5" t="str">
        <f>IF(IF(ISNUMBER(K69),1,0)+IF(ISNUMBER(L70),1,0)=2,IF(IF(C70=C69,1,0)+IF(B70=B69,1,0)+IF(D70="Post",1,0)+IF(D69="Pre",1,0)=4,Table442466656974[[#This Row],[Pre Total]],""),"")</f>
        <v/>
      </c>
      <c r="N69" s="5">
        <f>IF(IF(ISNUMBER(K68),1,0)+IF(ISNUMBER(Table442466656974[[#This Row],[Post Total]]),1,0)=2,IF(IF(Table442466656974[[#This Row],[Student Number]]=C68,1,0)+IF(Table442466656974[[#This Row],[Session]]=B68,1,0)+IF(Table442466656974[[#This Row],[Pre or Post]]="Post",1,0)+IF(D68="Pre",1,0)=4,Table442466656974[[#This Row],[Post Total]],""),"")</f>
        <v>3</v>
      </c>
      <c r="O69" s="5">
        <f>IF(IF(ISNUMBER(K68),1,0)+IF(ISNUMBER(Table442466656974[[#This Row],[Post Total]]),1,0)=2,IF(IF(Table442466656974[[#This Row],[Student Number]]=C68,1,0)+IF(Table442466656974[[#This Row],[Session]]=B68,1,0)+IF(Table442466656974[[#This Row],[Pre or Post]]="Post",1,0)+IF(D68="Pre",1,0)=4,Table442466656974[[#This Row],[Post Total]]-K68,""),"")</f>
        <v>1</v>
      </c>
      <c r="P69" s="5" t="b">
        <f>ISNUMBER(Table442466656974[[#This Row],[Change]])</f>
        <v>1</v>
      </c>
      <c r="Q69" s="5">
        <f>IF(E68="Yes",Table442466656974[[#This Row],[Change]],"")</f>
        <v>1</v>
      </c>
      <c r="R69" s="5" t="str">
        <f>IF(E68="No",Table442466656974[[#This Row],[Change]],"")</f>
        <v/>
      </c>
      <c r="S69" s="5" t="b">
        <f>ISNUMBER(Table442466656974[[#This Row],[If Pre5 Yes]])</f>
        <v>1</v>
      </c>
      <c r="T69" s="5" t="b">
        <f>ISNUMBER(Table442466656974[[#This Row],[If Pre5 No]])</f>
        <v>0</v>
      </c>
    </row>
    <row r="70" spans="1:20">
      <c r="A70" s="2" t="s">
        <v>12</v>
      </c>
      <c r="B70" s="2" t="s">
        <v>21</v>
      </c>
      <c r="C70" s="1">
        <v>23</v>
      </c>
      <c r="D70" s="2" t="s">
        <v>6</v>
      </c>
      <c r="E70" s="5" t="s">
        <v>8</v>
      </c>
      <c r="F70" s="1">
        <v>9</v>
      </c>
      <c r="G70" s="1">
        <v>3</v>
      </c>
      <c r="H70" s="2" t="s">
        <v>8</v>
      </c>
      <c r="I70" s="5">
        <f>IF(IF(Table442466656974[[#This Row],[Pre or Post]]="Pre",1,0)+IF(ISNUMBER(Table442466656974[[#This Row],[Response]])=TRUE,1,0)=2,1,"")</f>
        <v>1</v>
      </c>
      <c r="J70" s="5" t="str">
        <f>IF(IF(Table442466656974[[#This Row],[Pre or Post]]="Post",1,0)+IF(ISNUMBER(Table442466656974[[#This Row],[Response]])=TRUE,1,0)=2,1,"")</f>
        <v/>
      </c>
      <c r="K70" s="6">
        <f>IF(IF(Table442466656974[[#This Row],[Pre or Post]]="Pre",1,0)+IF(ISNUMBER(Table442466656974[[#This Row],[Response]])=TRUE,1,0)=2,Table442466656974[[#This Row],[Response]],"")</f>
        <v>3</v>
      </c>
      <c r="L70" s="6" t="str">
        <f>IF(IF(Table442466656974[[#This Row],[Pre or Post]]="Post",1,0)+IF(ISNUMBER(Table442466656974[[#This Row],[Response]])=TRUE,1,0)=2,Table442466656974[[#This Row],[Response]],"")</f>
        <v/>
      </c>
      <c r="M70" s="5">
        <f>IF(IF(ISNUMBER(K70),1,0)+IF(ISNUMBER(L71),1,0)=2,IF(IF(C71=C70,1,0)+IF(B71=B70,1,0)+IF(D71="Post",1,0)+IF(D70="Pre",1,0)=4,Table442466656974[[#This Row],[Pre Total]],""),"")</f>
        <v>3</v>
      </c>
      <c r="N70" s="5" t="str">
        <f>IF(IF(ISNUMBER(K69),1,0)+IF(ISNUMBER(Table442466656974[[#This Row],[Post Total]]),1,0)=2,IF(IF(Table442466656974[[#This Row],[Student Number]]=C69,1,0)+IF(Table442466656974[[#This Row],[Session]]=B69,1,0)+IF(Table442466656974[[#This Row],[Pre or Post]]="Post",1,0)+IF(D69="Pre",1,0)=4,Table442466656974[[#This Row],[Post Total]],""),"")</f>
        <v/>
      </c>
      <c r="O70" s="5" t="str">
        <f>IF(IF(ISNUMBER(K69),1,0)+IF(ISNUMBER(Table442466656974[[#This Row],[Post Total]]),1,0)=2,IF(IF(Table442466656974[[#This Row],[Student Number]]=C69,1,0)+IF(Table442466656974[[#This Row],[Session]]=B69,1,0)+IF(Table442466656974[[#This Row],[Pre or Post]]="Post",1,0)+IF(D69="Pre",1,0)=4,Table442466656974[[#This Row],[Post Total]]-K69,""),"")</f>
        <v/>
      </c>
      <c r="P70" s="5" t="b">
        <f>ISNUMBER(Table442466656974[[#This Row],[Change]])</f>
        <v>0</v>
      </c>
      <c r="Q70" s="5" t="str">
        <f>IF(E69="Yes",Table442466656974[[#This Row],[Change]],"")</f>
        <v/>
      </c>
      <c r="R70" s="5" t="str">
        <f>IF(E69="No",Table442466656974[[#This Row],[Change]],"")</f>
        <v/>
      </c>
      <c r="S70" s="5" t="b">
        <f>ISNUMBER(Table442466656974[[#This Row],[If Pre5 Yes]])</f>
        <v>0</v>
      </c>
      <c r="T70" s="5" t="b">
        <f>ISNUMBER(Table442466656974[[#This Row],[If Pre5 No]])</f>
        <v>0</v>
      </c>
    </row>
    <row r="71" spans="1:20">
      <c r="A71" s="2" t="s">
        <v>12</v>
      </c>
      <c r="B71" s="2" t="s">
        <v>21</v>
      </c>
      <c r="C71" s="1">
        <v>23</v>
      </c>
      <c r="D71" s="2" t="s">
        <v>16</v>
      </c>
      <c r="E71" s="5"/>
      <c r="F71" s="1">
        <v>2</v>
      </c>
      <c r="G71" s="1">
        <v>1</v>
      </c>
      <c r="H71" s="2" t="s">
        <v>8</v>
      </c>
      <c r="I71" s="5" t="str">
        <f>IF(IF(Table442466656974[[#This Row],[Pre or Post]]="Pre",1,0)+IF(ISNUMBER(Table442466656974[[#This Row],[Response]])=TRUE,1,0)=2,1,"")</f>
        <v/>
      </c>
      <c r="J71" s="5">
        <f>IF(IF(Table442466656974[[#This Row],[Pre or Post]]="Post",1,0)+IF(ISNUMBER(Table442466656974[[#This Row],[Response]])=TRUE,1,0)=2,1,"")</f>
        <v>1</v>
      </c>
      <c r="K71" s="6" t="str">
        <f>IF(IF(Table442466656974[[#This Row],[Pre or Post]]="Pre",1,0)+IF(ISNUMBER(Table442466656974[[#This Row],[Response]])=TRUE,1,0)=2,Table442466656974[[#This Row],[Response]],"")</f>
        <v/>
      </c>
      <c r="L71" s="6">
        <f>IF(IF(Table442466656974[[#This Row],[Pre or Post]]="Post",1,0)+IF(ISNUMBER(Table442466656974[[#This Row],[Response]])=TRUE,1,0)=2,Table442466656974[[#This Row],[Response]],"")</f>
        <v>1</v>
      </c>
      <c r="M71" s="5" t="str">
        <f>IF(IF(ISNUMBER(K71),1,0)+IF(ISNUMBER(L72),1,0)=2,IF(IF(C72=C71,1,0)+IF(B72=B71,1,0)+IF(D72="Post",1,0)+IF(D71="Pre",1,0)=4,Table442466656974[[#This Row],[Pre Total]],""),"")</f>
        <v/>
      </c>
      <c r="N71" s="5">
        <f>IF(IF(ISNUMBER(K70),1,0)+IF(ISNUMBER(Table442466656974[[#This Row],[Post Total]]),1,0)=2,IF(IF(Table442466656974[[#This Row],[Student Number]]=C70,1,0)+IF(Table442466656974[[#This Row],[Session]]=B70,1,0)+IF(Table442466656974[[#This Row],[Pre or Post]]="Post",1,0)+IF(D70="Pre",1,0)=4,Table442466656974[[#This Row],[Post Total]],""),"")</f>
        <v>1</v>
      </c>
      <c r="O71" s="5">
        <f>IF(IF(ISNUMBER(K70),1,0)+IF(ISNUMBER(Table442466656974[[#This Row],[Post Total]]),1,0)=2,IF(IF(Table442466656974[[#This Row],[Student Number]]=C70,1,0)+IF(Table442466656974[[#This Row],[Session]]=B70,1,0)+IF(Table442466656974[[#This Row],[Pre or Post]]="Post",1,0)+IF(D70="Pre",1,0)=4,Table442466656974[[#This Row],[Post Total]]-K70,""),"")</f>
        <v>-2</v>
      </c>
      <c r="P71" s="5" t="b">
        <f>ISNUMBER(Table442466656974[[#This Row],[Change]])</f>
        <v>1</v>
      </c>
      <c r="Q71" s="5">
        <f>IF(E70="Yes",Table442466656974[[#This Row],[Change]],"")</f>
        <v>-2</v>
      </c>
      <c r="R71" s="5" t="str">
        <f>IF(E70="No",Table442466656974[[#This Row],[Change]],"")</f>
        <v/>
      </c>
      <c r="S71" s="5" t="b">
        <f>ISNUMBER(Table442466656974[[#This Row],[If Pre5 Yes]])</f>
        <v>1</v>
      </c>
      <c r="T71" s="5" t="b">
        <f>ISNUMBER(Table442466656974[[#This Row],[If Pre5 No]])</f>
        <v>0</v>
      </c>
    </row>
    <row r="72" spans="1:20">
      <c r="A72" s="1" t="s">
        <v>12</v>
      </c>
      <c r="B72" s="1" t="s">
        <v>10</v>
      </c>
      <c r="C72" s="1">
        <v>1</v>
      </c>
      <c r="D72" s="1" t="s">
        <v>6</v>
      </c>
      <c r="E72" s="5" t="s">
        <v>8</v>
      </c>
      <c r="F72" s="1">
        <v>9</v>
      </c>
      <c r="G72" s="1">
        <v>3</v>
      </c>
      <c r="H72" s="1" t="s">
        <v>8</v>
      </c>
      <c r="I72" s="5">
        <f>IF(IF(Table442466656974[[#This Row],[Pre or Post]]="Pre",1,0)+IF(ISNUMBER(Table442466656974[[#This Row],[Response]])=TRUE,1,0)=2,1,"")</f>
        <v>1</v>
      </c>
      <c r="J72" s="5" t="str">
        <f>IF(IF(Table442466656974[[#This Row],[Pre or Post]]="Post",1,0)+IF(ISNUMBER(Table442466656974[[#This Row],[Response]])=TRUE,1,0)=2,1,"")</f>
        <v/>
      </c>
      <c r="K72" s="6">
        <f>IF(IF(Table442466656974[[#This Row],[Pre or Post]]="Pre",1,0)+IF(ISNUMBER(Table442466656974[[#This Row],[Response]])=TRUE,1,0)=2,Table442466656974[[#This Row],[Response]],"")</f>
        <v>3</v>
      </c>
      <c r="L72" s="6" t="str">
        <f>IF(IF(Table442466656974[[#This Row],[Pre or Post]]="Post",1,0)+IF(ISNUMBER(Table442466656974[[#This Row],[Response]])=TRUE,1,0)=2,Table442466656974[[#This Row],[Response]],"")</f>
        <v/>
      </c>
      <c r="M72" s="5">
        <f>IF(IF(ISNUMBER(K72),1,0)+IF(ISNUMBER(L73),1,0)=2,IF(IF(C73=C72,1,0)+IF(B73=B72,1,0)+IF(D73="Post",1,0)+IF(D72="Pre",1,0)=4,Table442466656974[[#This Row],[Pre Total]],""),"")</f>
        <v>3</v>
      </c>
      <c r="N72" s="5" t="str">
        <f>IF(IF(ISNUMBER(K71),1,0)+IF(ISNUMBER(Table442466656974[[#This Row],[Post Total]]),1,0)=2,IF(IF(Table442466656974[[#This Row],[Student Number]]=C71,1,0)+IF(Table442466656974[[#This Row],[Session]]=B71,1,0)+IF(Table442466656974[[#This Row],[Pre or Post]]="Post",1,0)+IF(D71="Pre",1,0)=4,Table442466656974[[#This Row],[Post Total]],""),"")</f>
        <v/>
      </c>
      <c r="O72" s="5" t="str">
        <f>IF(IF(ISNUMBER(K71),1,0)+IF(ISNUMBER(Table442466656974[[#This Row],[Post Total]]),1,0)=2,IF(IF(Table442466656974[[#This Row],[Student Number]]=C71,1,0)+IF(Table442466656974[[#This Row],[Session]]=B71,1,0)+IF(Table442466656974[[#This Row],[Pre or Post]]="Post",1,0)+IF(D71="Pre",1,0)=4,Table442466656974[[#This Row],[Post Total]]-K71,""),"")</f>
        <v/>
      </c>
      <c r="P72" s="5" t="b">
        <f>ISNUMBER(Table442466656974[[#This Row],[Change]])</f>
        <v>0</v>
      </c>
      <c r="Q72" s="5" t="str">
        <f>IF(E71="Yes",Table442466656974[[#This Row],[Change]],"")</f>
        <v/>
      </c>
      <c r="R72" s="5" t="str">
        <f>IF(E71="No",Table442466656974[[#This Row],[Change]],"")</f>
        <v/>
      </c>
      <c r="S72" s="5" t="b">
        <f>ISNUMBER(Table442466656974[[#This Row],[If Pre5 Yes]])</f>
        <v>0</v>
      </c>
      <c r="T72" s="5" t="b">
        <f>ISNUMBER(Table442466656974[[#This Row],[If Pre5 No]])</f>
        <v>0</v>
      </c>
    </row>
    <row r="73" spans="1:20">
      <c r="A73" s="1" t="s">
        <v>12</v>
      </c>
      <c r="B73" s="1" t="s">
        <v>10</v>
      </c>
      <c r="C73" s="1">
        <v>1</v>
      </c>
      <c r="D73" s="1" t="s">
        <v>16</v>
      </c>
      <c r="E73" s="5"/>
      <c r="F73" s="1">
        <v>2</v>
      </c>
      <c r="G73" s="1">
        <v>3</v>
      </c>
      <c r="H73" s="1" t="s">
        <v>8</v>
      </c>
      <c r="I73" s="6" t="str">
        <f>IF(IF(Table442466656974[[#This Row],[Pre or Post]]="Pre",1,0)+IF(ISNUMBER(Table442466656974[[#This Row],[Response]])=TRUE,1,0)=2,1,"")</f>
        <v/>
      </c>
      <c r="J73" s="6">
        <f>IF(IF(Table442466656974[[#This Row],[Pre or Post]]="Post",1,0)+IF(ISNUMBER(Table442466656974[[#This Row],[Response]])=TRUE,1,0)=2,1,"")</f>
        <v>1</v>
      </c>
      <c r="K73" s="6" t="str">
        <f>IF(IF(Table442466656974[[#This Row],[Pre or Post]]="Pre",1,0)+IF(ISNUMBER(Table442466656974[[#This Row],[Response]])=TRUE,1,0)=2,Table442466656974[[#This Row],[Response]],"")</f>
        <v/>
      </c>
      <c r="L73" s="6">
        <f>IF(IF(Table442466656974[[#This Row],[Pre or Post]]="Post",1,0)+IF(ISNUMBER(Table442466656974[[#This Row],[Response]])=TRUE,1,0)=2,Table442466656974[[#This Row],[Response]],"")</f>
        <v>3</v>
      </c>
      <c r="M73" s="6" t="str">
        <f>IF(IF(ISNUMBER(K73),1,0)+IF(ISNUMBER(L74),1,0)=2,IF(IF(C74=C73,1,0)+IF(B74=B73,1,0)+IF(D74="Post",1,0)+IF(D73="Pre",1,0)=4,Table442466656974[[#This Row],[Pre Total]],""),"")</f>
        <v/>
      </c>
      <c r="N73" s="6">
        <f>IF(IF(ISNUMBER(K72),1,0)+IF(ISNUMBER(Table442466656974[[#This Row],[Post Total]]),1,0)=2,IF(IF(Table442466656974[[#This Row],[Student Number]]=C72,1,0)+IF(Table442466656974[[#This Row],[Session]]=B72,1,0)+IF(Table442466656974[[#This Row],[Pre or Post]]="Post",1,0)+IF(D72="Pre",1,0)=4,Table442466656974[[#This Row],[Post Total]],""),"")</f>
        <v>3</v>
      </c>
      <c r="O73" s="6">
        <f>IF(IF(ISNUMBER(K72),1,0)+IF(ISNUMBER(Table442466656974[[#This Row],[Post Total]]),1,0)=2,IF(IF(Table442466656974[[#This Row],[Student Number]]=C72,1,0)+IF(Table442466656974[[#This Row],[Session]]=B72,1,0)+IF(Table442466656974[[#This Row],[Pre or Post]]="Post",1,0)+IF(D72="Pre",1,0)=4,Table442466656974[[#This Row],[Post Total]]-K72,""),"")</f>
        <v>0</v>
      </c>
      <c r="P73" s="6" t="b">
        <f>ISNUMBER(Table442466656974[[#This Row],[Change]])</f>
        <v>1</v>
      </c>
      <c r="Q73" s="5">
        <f>IF(E72="Yes",Table442466656974[[#This Row],[Change]],"")</f>
        <v>0</v>
      </c>
      <c r="R73" s="5" t="str">
        <f>IF(E72="No",Table442466656974[[#This Row],[Change]],"")</f>
        <v/>
      </c>
      <c r="S73" s="5" t="b">
        <f>ISNUMBER(Table442466656974[[#This Row],[If Pre5 Yes]])</f>
        <v>1</v>
      </c>
      <c r="T73" s="5" t="b">
        <f>ISNUMBER(Table442466656974[[#This Row],[If Pre5 No]])</f>
        <v>0</v>
      </c>
    </row>
    <row r="74" spans="1:20">
      <c r="A74" s="1" t="s">
        <v>12</v>
      </c>
      <c r="B74" s="1" t="s">
        <v>10</v>
      </c>
      <c r="C74" s="1">
        <v>2</v>
      </c>
      <c r="D74" s="1" t="s">
        <v>6</v>
      </c>
      <c r="E74" s="5" t="s">
        <v>8</v>
      </c>
      <c r="F74" s="1">
        <v>9</v>
      </c>
      <c r="G74" s="1">
        <v>2</v>
      </c>
      <c r="H74" s="1" t="s">
        <v>8</v>
      </c>
      <c r="I74" s="6">
        <f>IF(IF(Table442466656974[[#This Row],[Pre or Post]]="Pre",1,0)+IF(ISNUMBER(Table442466656974[[#This Row],[Response]])=TRUE,1,0)=2,1,"")</f>
        <v>1</v>
      </c>
      <c r="J74" s="6" t="str">
        <f>IF(IF(Table442466656974[[#This Row],[Pre or Post]]="Post",1,0)+IF(ISNUMBER(Table442466656974[[#This Row],[Response]])=TRUE,1,0)=2,1,"")</f>
        <v/>
      </c>
      <c r="K74" s="6">
        <f>IF(IF(Table442466656974[[#This Row],[Pre or Post]]="Pre",1,0)+IF(ISNUMBER(Table442466656974[[#This Row],[Response]])=TRUE,1,0)=2,Table442466656974[[#This Row],[Response]],"")</f>
        <v>2</v>
      </c>
      <c r="L74" s="6" t="str">
        <f>IF(IF(Table442466656974[[#This Row],[Pre or Post]]="Post",1,0)+IF(ISNUMBER(Table442466656974[[#This Row],[Response]])=TRUE,1,0)=2,Table442466656974[[#This Row],[Response]],"")</f>
        <v/>
      </c>
      <c r="M74" s="5">
        <f>IF(IF(ISNUMBER(K74),1,0)+IF(ISNUMBER(L75),1,0)=2,IF(IF(C75=C74,1,0)+IF(B75=B74,1,0)+IF(D75="Post",1,0)+IF(D74="Pre",1,0)=4,Table442466656974[[#This Row],[Pre Total]],""),"")</f>
        <v>2</v>
      </c>
      <c r="N74" s="6" t="str">
        <f>IF(IF(ISNUMBER(K73),1,0)+IF(ISNUMBER(Table442466656974[[#This Row],[Post Total]]),1,0)=2,IF(IF(Table442466656974[[#This Row],[Student Number]]=C73,1,0)+IF(Table442466656974[[#This Row],[Session]]=B73,1,0)+IF(Table442466656974[[#This Row],[Pre or Post]]="Post",1,0)+IF(D73="Pre",1,0)=4,Table442466656974[[#This Row],[Post Total]],""),"")</f>
        <v/>
      </c>
      <c r="O74" s="6" t="str">
        <f>IF(IF(ISNUMBER(K73),1,0)+IF(ISNUMBER(Table442466656974[[#This Row],[Post Total]]),1,0)=2,IF(IF(Table442466656974[[#This Row],[Student Number]]=C73,1,0)+IF(Table442466656974[[#This Row],[Session]]=B73,1,0)+IF(Table442466656974[[#This Row],[Pre or Post]]="Post",1,0)+IF(D73="Pre",1,0)=4,Table442466656974[[#This Row],[Post Total]]-K73,""),"")</f>
        <v/>
      </c>
      <c r="P74" s="6" t="b">
        <f>ISNUMBER(Table442466656974[[#This Row],[Change]])</f>
        <v>0</v>
      </c>
      <c r="Q74" s="5" t="str">
        <f>IF(E73="Yes",Table442466656974[[#This Row],[Change]],"")</f>
        <v/>
      </c>
      <c r="R74" s="5" t="str">
        <f>IF(E73="No",Table442466656974[[#This Row],[Change]],"")</f>
        <v/>
      </c>
      <c r="S74" s="5" t="b">
        <f>ISNUMBER(Table442466656974[[#This Row],[If Pre5 Yes]])</f>
        <v>0</v>
      </c>
      <c r="T74" s="5" t="b">
        <f>ISNUMBER(Table442466656974[[#This Row],[If Pre5 No]])</f>
        <v>0</v>
      </c>
    </row>
    <row r="75" spans="1:20">
      <c r="A75" s="1" t="s">
        <v>12</v>
      </c>
      <c r="B75" s="1" t="s">
        <v>10</v>
      </c>
      <c r="C75" s="1">
        <v>2</v>
      </c>
      <c r="D75" s="1" t="s">
        <v>16</v>
      </c>
      <c r="E75" s="5"/>
      <c r="F75" s="1">
        <v>2</v>
      </c>
      <c r="G75" s="1">
        <v>2</v>
      </c>
      <c r="H75" s="1" t="s">
        <v>8</v>
      </c>
      <c r="I75" s="5" t="str">
        <f>IF(IF(Table442466656974[[#This Row],[Pre or Post]]="Pre",1,0)+IF(ISNUMBER(Table442466656974[[#This Row],[Response]])=TRUE,1,0)=2,1,"")</f>
        <v/>
      </c>
      <c r="J75" s="5">
        <f>IF(IF(Table442466656974[[#This Row],[Pre or Post]]="Post",1,0)+IF(ISNUMBER(Table442466656974[[#This Row],[Response]])=TRUE,1,0)=2,1,"")</f>
        <v>1</v>
      </c>
      <c r="K75" s="6" t="str">
        <f>IF(IF(Table442466656974[[#This Row],[Pre or Post]]="Pre",1,0)+IF(ISNUMBER(Table442466656974[[#This Row],[Response]])=TRUE,1,0)=2,Table442466656974[[#This Row],[Response]],"")</f>
        <v/>
      </c>
      <c r="L75" s="6">
        <f>IF(IF(Table442466656974[[#This Row],[Pre or Post]]="Post",1,0)+IF(ISNUMBER(Table442466656974[[#This Row],[Response]])=TRUE,1,0)=2,Table442466656974[[#This Row],[Response]],"")</f>
        <v>2</v>
      </c>
      <c r="M75" s="5" t="str">
        <f>IF(IF(ISNUMBER(K75),1,0)+IF(ISNUMBER(L76),1,0)=2,IF(IF(C76=C75,1,0)+IF(B76=B75,1,0)+IF(D76="Post",1,0)+IF(D75="Pre",1,0)=4,Table442466656974[[#This Row],[Pre Total]],""),"")</f>
        <v/>
      </c>
      <c r="N75" s="5">
        <f>IF(IF(ISNUMBER(K74),1,0)+IF(ISNUMBER(Table442466656974[[#This Row],[Post Total]]),1,0)=2,IF(IF(Table442466656974[[#This Row],[Student Number]]=C74,1,0)+IF(Table442466656974[[#This Row],[Session]]=B74,1,0)+IF(Table442466656974[[#This Row],[Pre or Post]]="Post",1,0)+IF(D74="Pre",1,0)=4,Table442466656974[[#This Row],[Post Total]],""),"")</f>
        <v>2</v>
      </c>
      <c r="O75" s="5">
        <f>IF(IF(ISNUMBER(K74),1,0)+IF(ISNUMBER(Table442466656974[[#This Row],[Post Total]]),1,0)=2,IF(IF(Table442466656974[[#This Row],[Student Number]]=C74,1,0)+IF(Table442466656974[[#This Row],[Session]]=B74,1,0)+IF(Table442466656974[[#This Row],[Pre or Post]]="Post",1,0)+IF(D74="Pre",1,0)=4,Table442466656974[[#This Row],[Post Total]]-K74,""),"")</f>
        <v>0</v>
      </c>
      <c r="P75" s="5" t="b">
        <f>ISNUMBER(Table442466656974[[#This Row],[Change]])</f>
        <v>1</v>
      </c>
      <c r="Q75" s="5">
        <f>IF(E74="Yes",Table442466656974[[#This Row],[Change]],"")</f>
        <v>0</v>
      </c>
      <c r="R75" s="5" t="str">
        <f>IF(E74="No",Table442466656974[[#This Row],[Change]],"")</f>
        <v/>
      </c>
      <c r="S75" s="5" t="b">
        <f>ISNUMBER(Table442466656974[[#This Row],[If Pre5 Yes]])</f>
        <v>1</v>
      </c>
      <c r="T75" s="5" t="b">
        <f>ISNUMBER(Table442466656974[[#This Row],[If Pre5 No]])</f>
        <v>0</v>
      </c>
    </row>
    <row r="76" spans="1:20">
      <c r="A76" s="1" t="s">
        <v>12</v>
      </c>
      <c r="B76" s="1" t="s">
        <v>10</v>
      </c>
      <c r="C76" s="1">
        <v>3</v>
      </c>
      <c r="D76" s="1" t="s">
        <v>6</v>
      </c>
      <c r="E76" s="5" t="s">
        <v>8</v>
      </c>
      <c r="F76" s="1">
        <v>9</v>
      </c>
      <c r="G76" s="1">
        <v>5</v>
      </c>
      <c r="H76" s="1" t="s">
        <v>8</v>
      </c>
      <c r="I76" s="5">
        <f>IF(IF(Table442466656974[[#This Row],[Pre or Post]]="Pre",1,0)+IF(ISNUMBER(Table442466656974[[#This Row],[Response]])=TRUE,1,0)=2,1,"")</f>
        <v>1</v>
      </c>
      <c r="J76" s="5" t="str">
        <f>IF(IF(Table442466656974[[#This Row],[Pre or Post]]="Post",1,0)+IF(ISNUMBER(Table442466656974[[#This Row],[Response]])=TRUE,1,0)=2,1,"")</f>
        <v/>
      </c>
      <c r="K76" s="6">
        <f>IF(IF(Table442466656974[[#This Row],[Pre or Post]]="Pre",1,0)+IF(ISNUMBER(Table442466656974[[#This Row],[Response]])=TRUE,1,0)=2,Table442466656974[[#This Row],[Response]],"")</f>
        <v>5</v>
      </c>
      <c r="L76" s="6" t="str">
        <f>IF(IF(Table442466656974[[#This Row],[Pre or Post]]="Post",1,0)+IF(ISNUMBER(Table442466656974[[#This Row],[Response]])=TRUE,1,0)=2,Table442466656974[[#This Row],[Response]],"")</f>
        <v/>
      </c>
      <c r="M76" s="5">
        <f>IF(IF(ISNUMBER(K76),1,0)+IF(ISNUMBER(L77),1,0)=2,IF(IF(C77=C76,1,0)+IF(B77=B76,1,0)+IF(D77="Post",1,0)+IF(D76="Pre",1,0)=4,Table442466656974[[#This Row],[Pre Total]],""),"")</f>
        <v>5</v>
      </c>
      <c r="N76" s="5" t="str">
        <f>IF(IF(ISNUMBER(K75),1,0)+IF(ISNUMBER(Table442466656974[[#This Row],[Post Total]]),1,0)=2,IF(IF(Table442466656974[[#This Row],[Student Number]]=C75,1,0)+IF(Table442466656974[[#This Row],[Session]]=B75,1,0)+IF(Table442466656974[[#This Row],[Pre or Post]]="Post",1,0)+IF(D75="Pre",1,0)=4,Table442466656974[[#This Row],[Post Total]],""),"")</f>
        <v/>
      </c>
      <c r="O76" s="5" t="str">
        <f>IF(IF(ISNUMBER(K75),1,0)+IF(ISNUMBER(Table442466656974[[#This Row],[Post Total]]),1,0)=2,IF(IF(Table442466656974[[#This Row],[Student Number]]=C75,1,0)+IF(Table442466656974[[#This Row],[Session]]=B75,1,0)+IF(Table442466656974[[#This Row],[Pre or Post]]="Post",1,0)+IF(D75="Pre",1,0)=4,Table442466656974[[#This Row],[Post Total]]-K75,""),"")</f>
        <v/>
      </c>
      <c r="P76" s="5" t="b">
        <f>ISNUMBER(Table442466656974[[#This Row],[Change]])</f>
        <v>0</v>
      </c>
      <c r="Q76" s="5" t="str">
        <f>IF(E75="Yes",Table442466656974[[#This Row],[Change]],"")</f>
        <v/>
      </c>
      <c r="R76" s="5" t="str">
        <f>IF(E75="No",Table442466656974[[#This Row],[Change]],"")</f>
        <v/>
      </c>
      <c r="S76" s="5" t="b">
        <f>ISNUMBER(Table442466656974[[#This Row],[If Pre5 Yes]])</f>
        <v>0</v>
      </c>
      <c r="T76" s="5" t="b">
        <f>ISNUMBER(Table442466656974[[#This Row],[If Pre5 No]])</f>
        <v>0</v>
      </c>
    </row>
    <row r="77" spans="1:20">
      <c r="A77" s="1" t="s">
        <v>12</v>
      </c>
      <c r="B77" s="1" t="s">
        <v>10</v>
      </c>
      <c r="C77" s="1">
        <v>3</v>
      </c>
      <c r="D77" s="1" t="s">
        <v>16</v>
      </c>
      <c r="E77" s="5"/>
      <c r="F77" s="1">
        <v>2</v>
      </c>
      <c r="G77" s="1">
        <v>5</v>
      </c>
      <c r="H77" s="1" t="s">
        <v>8</v>
      </c>
      <c r="I77" s="5" t="str">
        <f>IF(IF(Table442466656974[[#This Row],[Pre or Post]]="Pre",1,0)+IF(ISNUMBER(Table442466656974[[#This Row],[Response]])=TRUE,1,0)=2,1,"")</f>
        <v/>
      </c>
      <c r="J77" s="5">
        <f>IF(IF(Table442466656974[[#This Row],[Pre or Post]]="Post",1,0)+IF(ISNUMBER(Table442466656974[[#This Row],[Response]])=TRUE,1,0)=2,1,"")</f>
        <v>1</v>
      </c>
      <c r="K77" s="6" t="str">
        <f>IF(IF(Table442466656974[[#This Row],[Pre or Post]]="Pre",1,0)+IF(ISNUMBER(Table442466656974[[#This Row],[Response]])=TRUE,1,0)=2,Table442466656974[[#This Row],[Response]],"")</f>
        <v/>
      </c>
      <c r="L77" s="6">
        <f>IF(IF(Table442466656974[[#This Row],[Pre or Post]]="Post",1,0)+IF(ISNUMBER(Table442466656974[[#This Row],[Response]])=TRUE,1,0)=2,Table442466656974[[#This Row],[Response]],"")</f>
        <v>5</v>
      </c>
      <c r="M77" s="5" t="str">
        <f>IF(IF(ISNUMBER(K77),1,0)+IF(ISNUMBER(L78),1,0)=2,IF(IF(C78=C77,1,0)+IF(B78=B77,1,0)+IF(D78="Post",1,0)+IF(D77="Pre",1,0)=4,Table442466656974[[#This Row],[Pre Total]],""),"")</f>
        <v/>
      </c>
      <c r="N77" s="5">
        <f>IF(IF(ISNUMBER(K76),1,0)+IF(ISNUMBER(Table442466656974[[#This Row],[Post Total]]),1,0)=2,IF(IF(Table442466656974[[#This Row],[Student Number]]=C76,1,0)+IF(Table442466656974[[#This Row],[Session]]=B76,1,0)+IF(Table442466656974[[#This Row],[Pre or Post]]="Post",1,0)+IF(D76="Pre",1,0)=4,Table442466656974[[#This Row],[Post Total]],""),"")</f>
        <v>5</v>
      </c>
      <c r="O77" s="5">
        <f>IF(IF(ISNUMBER(K76),1,0)+IF(ISNUMBER(Table442466656974[[#This Row],[Post Total]]),1,0)=2,IF(IF(Table442466656974[[#This Row],[Student Number]]=C76,1,0)+IF(Table442466656974[[#This Row],[Session]]=B76,1,0)+IF(Table442466656974[[#This Row],[Pre or Post]]="Post",1,0)+IF(D76="Pre",1,0)=4,Table442466656974[[#This Row],[Post Total]]-K76,""),"")</f>
        <v>0</v>
      </c>
      <c r="P77" s="5" t="b">
        <f>ISNUMBER(Table442466656974[[#This Row],[Change]])</f>
        <v>1</v>
      </c>
      <c r="Q77" s="5">
        <f>IF(E76="Yes",Table442466656974[[#This Row],[Change]],"")</f>
        <v>0</v>
      </c>
      <c r="R77" s="5" t="str">
        <f>IF(E76="No",Table442466656974[[#This Row],[Change]],"")</f>
        <v/>
      </c>
      <c r="S77" s="5" t="b">
        <f>ISNUMBER(Table442466656974[[#This Row],[If Pre5 Yes]])</f>
        <v>1</v>
      </c>
      <c r="T77" s="5" t="b">
        <f>ISNUMBER(Table442466656974[[#This Row],[If Pre5 No]])</f>
        <v>0</v>
      </c>
    </row>
    <row r="78" spans="1:20">
      <c r="A78" s="1" t="s">
        <v>12</v>
      </c>
      <c r="B78" s="1" t="s">
        <v>10</v>
      </c>
      <c r="C78" s="1">
        <v>4</v>
      </c>
      <c r="D78" s="1" t="s">
        <v>6</v>
      </c>
      <c r="E78" s="5" t="s">
        <v>8</v>
      </c>
      <c r="F78" s="1">
        <v>9</v>
      </c>
      <c r="G78" s="1">
        <v>4</v>
      </c>
      <c r="H78" s="1" t="s">
        <v>8</v>
      </c>
      <c r="I78" s="6">
        <f>IF(IF(Table442466656974[[#This Row],[Pre or Post]]="Pre",1,0)+IF(ISNUMBER(Table442466656974[[#This Row],[Response]])=TRUE,1,0)=2,1,"")</f>
        <v>1</v>
      </c>
      <c r="J78" s="6" t="str">
        <f>IF(IF(Table442466656974[[#This Row],[Pre or Post]]="Post",1,0)+IF(ISNUMBER(Table442466656974[[#This Row],[Response]])=TRUE,1,0)=2,1,"")</f>
        <v/>
      </c>
      <c r="K78" s="6">
        <f>IF(IF(Table442466656974[[#This Row],[Pre or Post]]="Pre",1,0)+IF(ISNUMBER(Table442466656974[[#This Row],[Response]])=TRUE,1,0)=2,Table442466656974[[#This Row],[Response]],"")</f>
        <v>4</v>
      </c>
      <c r="L78" s="6" t="str">
        <f>IF(IF(Table442466656974[[#This Row],[Pre or Post]]="Post",1,0)+IF(ISNUMBER(Table442466656974[[#This Row],[Response]])=TRUE,1,0)=2,Table442466656974[[#This Row],[Response]],"")</f>
        <v/>
      </c>
      <c r="M78" s="5">
        <f>IF(IF(ISNUMBER(K78),1,0)+IF(ISNUMBER(L79),1,0)=2,IF(IF(C79=C78,1,0)+IF(B79=B78,1,0)+IF(D79="Post",1,0)+IF(D78="Pre",1,0)=4,Table442466656974[[#This Row],[Pre Total]],""),"")</f>
        <v>4</v>
      </c>
      <c r="N78" s="6" t="str">
        <f>IF(IF(ISNUMBER(K77),1,0)+IF(ISNUMBER(Table442466656974[[#This Row],[Post Total]]),1,0)=2,IF(IF(Table442466656974[[#This Row],[Student Number]]=C77,1,0)+IF(Table442466656974[[#This Row],[Session]]=B77,1,0)+IF(Table442466656974[[#This Row],[Pre or Post]]="Post",1,0)+IF(D77="Pre",1,0)=4,Table442466656974[[#This Row],[Post Total]],""),"")</f>
        <v/>
      </c>
      <c r="O78" s="6" t="str">
        <f>IF(IF(ISNUMBER(K77),1,0)+IF(ISNUMBER(Table442466656974[[#This Row],[Post Total]]),1,0)=2,IF(IF(Table442466656974[[#This Row],[Student Number]]=C77,1,0)+IF(Table442466656974[[#This Row],[Session]]=B77,1,0)+IF(Table442466656974[[#This Row],[Pre or Post]]="Post",1,0)+IF(D77="Pre",1,0)=4,Table442466656974[[#This Row],[Post Total]]-K77,""),"")</f>
        <v/>
      </c>
      <c r="P78" s="6" t="b">
        <f>ISNUMBER(Table442466656974[[#This Row],[Change]])</f>
        <v>0</v>
      </c>
      <c r="Q78" s="5" t="str">
        <f>IF(E77="Yes",Table442466656974[[#This Row],[Change]],"")</f>
        <v/>
      </c>
      <c r="R78" s="5" t="str">
        <f>IF(E77="No",Table442466656974[[#This Row],[Change]],"")</f>
        <v/>
      </c>
      <c r="S78" s="5" t="b">
        <f>ISNUMBER(Table442466656974[[#This Row],[If Pre5 Yes]])</f>
        <v>0</v>
      </c>
      <c r="T78" s="5" t="b">
        <f>ISNUMBER(Table442466656974[[#This Row],[If Pre5 No]])</f>
        <v>0</v>
      </c>
    </row>
    <row r="79" spans="1:20">
      <c r="A79" s="1" t="s">
        <v>12</v>
      </c>
      <c r="B79" s="1" t="s">
        <v>10</v>
      </c>
      <c r="C79" s="1">
        <v>4</v>
      </c>
      <c r="D79" s="1" t="s">
        <v>16</v>
      </c>
      <c r="E79" s="5"/>
      <c r="F79" s="1">
        <v>2</v>
      </c>
      <c r="G79" s="1">
        <v>4</v>
      </c>
      <c r="H79" s="1" t="s">
        <v>8</v>
      </c>
      <c r="I79" s="5" t="str">
        <f>IF(IF(Table442466656974[[#This Row],[Pre or Post]]="Pre",1,0)+IF(ISNUMBER(Table442466656974[[#This Row],[Response]])=TRUE,1,0)=2,1,"")</f>
        <v/>
      </c>
      <c r="J79" s="5">
        <f>IF(IF(Table442466656974[[#This Row],[Pre or Post]]="Post",1,0)+IF(ISNUMBER(Table442466656974[[#This Row],[Response]])=TRUE,1,0)=2,1,"")</f>
        <v>1</v>
      </c>
      <c r="K79" s="6" t="str">
        <f>IF(IF(Table442466656974[[#This Row],[Pre or Post]]="Pre",1,0)+IF(ISNUMBER(Table442466656974[[#This Row],[Response]])=TRUE,1,0)=2,Table442466656974[[#This Row],[Response]],"")</f>
        <v/>
      </c>
      <c r="L79" s="6">
        <f>IF(IF(Table442466656974[[#This Row],[Pre or Post]]="Post",1,0)+IF(ISNUMBER(Table442466656974[[#This Row],[Response]])=TRUE,1,0)=2,Table442466656974[[#This Row],[Response]],"")</f>
        <v>4</v>
      </c>
      <c r="M79" s="5" t="str">
        <f>IF(IF(ISNUMBER(K79),1,0)+IF(ISNUMBER(L80),1,0)=2,IF(IF(C80=C79,1,0)+IF(B80=B79,1,0)+IF(D80="Post",1,0)+IF(D79="Pre",1,0)=4,Table442466656974[[#This Row],[Pre Total]],""),"")</f>
        <v/>
      </c>
      <c r="N79" s="5">
        <f>IF(IF(ISNUMBER(K78),1,0)+IF(ISNUMBER(Table442466656974[[#This Row],[Post Total]]),1,0)=2,IF(IF(Table442466656974[[#This Row],[Student Number]]=C78,1,0)+IF(Table442466656974[[#This Row],[Session]]=B78,1,0)+IF(Table442466656974[[#This Row],[Pre or Post]]="Post",1,0)+IF(D78="Pre",1,0)=4,Table442466656974[[#This Row],[Post Total]],""),"")</f>
        <v>4</v>
      </c>
      <c r="O79" s="5">
        <f>IF(IF(ISNUMBER(K78),1,0)+IF(ISNUMBER(Table442466656974[[#This Row],[Post Total]]),1,0)=2,IF(IF(Table442466656974[[#This Row],[Student Number]]=C78,1,0)+IF(Table442466656974[[#This Row],[Session]]=B78,1,0)+IF(Table442466656974[[#This Row],[Pre or Post]]="Post",1,0)+IF(D78="Pre",1,0)=4,Table442466656974[[#This Row],[Post Total]]-K78,""),"")</f>
        <v>0</v>
      </c>
      <c r="P79" s="5" t="b">
        <f>ISNUMBER(Table442466656974[[#This Row],[Change]])</f>
        <v>1</v>
      </c>
      <c r="Q79" s="5">
        <f>IF(E78="Yes",Table442466656974[[#This Row],[Change]],"")</f>
        <v>0</v>
      </c>
      <c r="R79" s="5" t="str">
        <f>IF(E78="No",Table442466656974[[#This Row],[Change]],"")</f>
        <v/>
      </c>
      <c r="S79" s="5" t="b">
        <f>ISNUMBER(Table442466656974[[#This Row],[If Pre5 Yes]])</f>
        <v>1</v>
      </c>
      <c r="T79" s="5" t="b">
        <f>ISNUMBER(Table442466656974[[#This Row],[If Pre5 No]])</f>
        <v>0</v>
      </c>
    </row>
    <row r="80" spans="1:20">
      <c r="A80" s="1" t="s">
        <v>12</v>
      </c>
      <c r="B80" s="1" t="s">
        <v>10</v>
      </c>
      <c r="C80" s="1">
        <v>5</v>
      </c>
      <c r="D80" s="1" t="s">
        <v>6</v>
      </c>
      <c r="E80" s="5" t="s">
        <v>8</v>
      </c>
      <c r="F80" s="1">
        <v>9</v>
      </c>
      <c r="G80" s="1">
        <v>3</v>
      </c>
      <c r="H80" s="1" t="s">
        <v>8</v>
      </c>
      <c r="I80" s="5">
        <f>IF(IF(Table442466656974[[#This Row],[Pre or Post]]="Pre",1,0)+IF(ISNUMBER(Table442466656974[[#This Row],[Response]])=TRUE,1,0)=2,1,"")</f>
        <v>1</v>
      </c>
      <c r="J80" s="5" t="str">
        <f>IF(IF(Table442466656974[[#This Row],[Pre or Post]]="Post",1,0)+IF(ISNUMBER(Table442466656974[[#This Row],[Response]])=TRUE,1,0)=2,1,"")</f>
        <v/>
      </c>
      <c r="K80" s="6">
        <f>IF(IF(Table442466656974[[#This Row],[Pre or Post]]="Pre",1,0)+IF(ISNUMBER(Table442466656974[[#This Row],[Response]])=TRUE,1,0)=2,Table442466656974[[#This Row],[Response]],"")</f>
        <v>3</v>
      </c>
      <c r="L80" s="6" t="str">
        <f>IF(IF(Table442466656974[[#This Row],[Pre or Post]]="Post",1,0)+IF(ISNUMBER(Table442466656974[[#This Row],[Response]])=TRUE,1,0)=2,Table442466656974[[#This Row],[Response]],"")</f>
        <v/>
      </c>
      <c r="M80" s="5">
        <f>IF(IF(ISNUMBER(K80),1,0)+IF(ISNUMBER(L81),1,0)=2,IF(IF(C81=C80,1,0)+IF(B81=B80,1,0)+IF(D81="Post",1,0)+IF(D80="Pre",1,0)=4,Table442466656974[[#This Row],[Pre Total]],""),"")</f>
        <v>3</v>
      </c>
      <c r="N80" s="5" t="str">
        <f>IF(IF(ISNUMBER(K79),1,0)+IF(ISNUMBER(Table442466656974[[#This Row],[Post Total]]),1,0)=2,IF(IF(Table442466656974[[#This Row],[Student Number]]=C79,1,0)+IF(Table442466656974[[#This Row],[Session]]=B79,1,0)+IF(Table442466656974[[#This Row],[Pre or Post]]="Post",1,0)+IF(D79="Pre",1,0)=4,Table442466656974[[#This Row],[Post Total]],""),"")</f>
        <v/>
      </c>
      <c r="O80" s="5" t="str">
        <f>IF(IF(ISNUMBER(K79),1,0)+IF(ISNUMBER(Table442466656974[[#This Row],[Post Total]]),1,0)=2,IF(IF(Table442466656974[[#This Row],[Student Number]]=C79,1,0)+IF(Table442466656974[[#This Row],[Session]]=B79,1,0)+IF(Table442466656974[[#This Row],[Pre or Post]]="Post",1,0)+IF(D79="Pre",1,0)=4,Table442466656974[[#This Row],[Post Total]]-K79,""),"")</f>
        <v/>
      </c>
      <c r="P80" s="5" t="b">
        <f>ISNUMBER(Table442466656974[[#This Row],[Change]])</f>
        <v>0</v>
      </c>
      <c r="Q80" s="5" t="str">
        <f>IF(E79="Yes",Table442466656974[[#This Row],[Change]],"")</f>
        <v/>
      </c>
      <c r="R80" s="5" t="str">
        <f>IF(E79="No",Table442466656974[[#This Row],[Change]],"")</f>
        <v/>
      </c>
      <c r="S80" s="5" t="b">
        <f>ISNUMBER(Table442466656974[[#This Row],[If Pre5 Yes]])</f>
        <v>0</v>
      </c>
      <c r="T80" s="5" t="b">
        <f>ISNUMBER(Table442466656974[[#This Row],[If Pre5 No]])</f>
        <v>0</v>
      </c>
    </row>
    <row r="81" spans="1:20">
      <c r="A81" s="1" t="s">
        <v>12</v>
      </c>
      <c r="B81" s="1" t="s">
        <v>10</v>
      </c>
      <c r="C81" s="1">
        <v>5</v>
      </c>
      <c r="D81" s="1" t="s">
        <v>16</v>
      </c>
      <c r="E81" s="5"/>
      <c r="F81" s="1">
        <v>2</v>
      </c>
      <c r="G81" s="1">
        <v>3</v>
      </c>
      <c r="H81" s="1" t="s">
        <v>8</v>
      </c>
      <c r="I81" s="6" t="str">
        <f>IF(IF(Table442466656974[[#This Row],[Pre or Post]]="Pre",1,0)+IF(ISNUMBER(Table442466656974[[#This Row],[Response]])=TRUE,1,0)=2,1,"")</f>
        <v/>
      </c>
      <c r="J81" s="6">
        <f>IF(IF(Table442466656974[[#This Row],[Pre or Post]]="Post",1,0)+IF(ISNUMBER(Table442466656974[[#This Row],[Response]])=TRUE,1,0)=2,1,"")</f>
        <v>1</v>
      </c>
      <c r="K81" s="6" t="str">
        <f>IF(IF(Table442466656974[[#This Row],[Pre or Post]]="Pre",1,0)+IF(ISNUMBER(Table442466656974[[#This Row],[Response]])=TRUE,1,0)=2,Table442466656974[[#This Row],[Response]],"")</f>
        <v/>
      </c>
      <c r="L81" s="6">
        <f>IF(IF(Table442466656974[[#This Row],[Pre or Post]]="Post",1,0)+IF(ISNUMBER(Table442466656974[[#This Row],[Response]])=TRUE,1,0)=2,Table442466656974[[#This Row],[Response]],"")</f>
        <v>3</v>
      </c>
      <c r="M81" s="6" t="str">
        <f>IF(IF(ISNUMBER(K81),1,0)+IF(ISNUMBER(L82),1,0)=2,IF(IF(C82=C81,1,0)+IF(B82=B81,1,0)+IF(D82="Post",1,0)+IF(D81="Pre",1,0)=4,Table442466656974[[#This Row],[Pre Total]],""),"")</f>
        <v/>
      </c>
      <c r="N81" s="6">
        <f>IF(IF(ISNUMBER(K80),1,0)+IF(ISNUMBER(Table442466656974[[#This Row],[Post Total]]),1,0)=2,IF(IF(Table442466656974[[#This Row],[Student Number]]=C80,1,0)+IF(Table442466656974[[#This Row],[Session]]=B80,1,0)+IF(Table442466656974[[#This Row],[Pre or Post]]="Post",1,0)+IF(D80="Pre",1,0)=4,Table442466656974[[#This Row],[Post Total]],""),"")</f>
        <v>3</v>
      </c>
      <c r="O81" s="6">
        <f>IF(IF(ISNUMBER(K80),1,0)+IF(ISNUMBER(Table442466656974[[#This Row],[Post Total]]),1,0)=2,IF(IF(Table442466656974[[#This Row],[Student Number]]=C80,1,0)+IF(Table442466656974[[#This Row],[Session]]=B80,1,0)+IF(Table442466656974[[#This Row],[Pre or Post]]="Post",1,0)+IF(D80="Pre",1,0)=4,Table442466656974[[#This Row],[Post Total]]-K80,""),"")</f>
        <v>0</v>
      </c>
      <c r="P81" s="6" t="b">
        <f>ISNUMBER(Table442466656974[[#This Row],[Change]])</f>
        <v>1</v>
      </c>
      <c r="Q81" s="5">
        <f>IF(E80="Yes",Table442466656974[[#This Row],[Change]],"")</f>
        <v>0</v>
      </c>
      <c r="R81" s="5" t="str">
        <f>IF(E80="No",Table442466656974[[#This Row],[Change]],"")</f>
        <v/>
      </c>
      <c r="S81" s="5" t="b">
        <f>ISNUMBER(Table442466656974[[#This Row],[If Pre5 Yes]])</f>
        <v>1</v>
      </c>
      <c r="T81" s="5" t="b">
        <f>ISNUMBER(Table442466656974[[#This Row],[If Pre5 No]])</f>
        <v>0</v>
      </c>
    </row>
    <row r="82" spans="1:20">
      <c r="A82" s="1" t="s">
        <v>12</v>
      </c>
      <c r="B82" s="1" t="s">
        <v>10</v>
      </c>
      <c r="C82" s="1">
        <v>6</v>
      </c>
      <c r="D82" s="1" t="s">
        <v>6</v>
      </c>
      <c r="E82" s="5" t="s">
        <v>8</v>
      </c>
      <c r="F82" s="1">
        <v>9</v>
      </c>
      <c r="G82" s="1">
        <v>4</v>
      </c>
      <c r="H82" s="1" t="s">
        <v>8</v>
      </c>
      <c r="I82" s="5">
        <f>IF(IF(Table442466656974[[#This Row],[Pre or Post]]="Pre",1,0)+IF(ISNUMBER(Table442466656974[[#This Row],[Response]])=TRUE,1,0)=2,1,"")</f>
        <v>1</v>
      </c>
      <c r="J82" s="5" t="str">
        <f>IF(IF(Table442466656974[[#This Row],[Pre or Post]]="Post",1,0)+IF(ISNUMBER(Table442466656974[[#This Row],[Response]])=TRUE,1,0)=2,1,"")</f>
        <v/>
      </c>
      <c r="K82" s="6">
        <f>IF(IF(Table442466656974[[#This Row],[Pre or Post]]="Pre",1,0)+IF(ISNUMBER(Table442466656974[[#This Row],[Response]])=TRUE,1,0)=2,Table442466656974[[#This Row],[Response]],"")</f>
        <v>4</v>
      </c>
      <c r="L82" s="6" t="str">
        <f>IF(IF(Table442466656974[[#This Row],[Pre or Post]]="Post",1,0)+IF(ISNUMBER(Table442466656974[[#This Row],[Response]])=TRUE,1,0)=2,Table442466656974[[#This Row],[Response]],"")</f>
        <v/>
      </c>
      <c r="M82" s="5">
        <f>IF(IF(ISNUMBER(K82),1,0)+IF(ISNUMBER(L83),1,0)=2,IF(IF(C83=C82,1,0)+IF(B83=B82,1,0)+IF(D83="Post",1,0)+IF(D82="Pre",1,0)=4,Table442466656974[[#This Row],[Pre Total]],""),"")</f>
        <v>4</v>
      </c>
      <c r="N82" s="5" t="str">
        <f>IF(IF(ISNUMBER(K81),1,0)+IF(ISNUMBER(Table442466656974[[#This Row],[Post Total]]),1,0)=2,IF(IF(Table442466656974[[#This Row],[Student Number]]=C81,1,0)+IF(Table442466656974[[#This Row],[Session]]=B81,1,0)+IF(Table442466656974[[#This Row],[Pre or Post]]="Post",1,0)+IF(D81="Pre",1,0)=4,Table442466656974[[#This Row],[Post Total]],""),"")</f>
        <v/>
      </c>
      <c r="O82" s="5" t="str">
        <f>IF(IF(ISNUMBER(K81),1,0)+IF(ISNUMBER(Table442466656974[[#This Row],[Post Total]]),1,0)=2,IF(IF(Table442466656974[[#This Row],[Student Number]]=C81,1,0)+IF(Table442466656974[[#This Row],[Session]]=B81,1,0)+IF(Table442466656974[[#This Row],[Pre or Post]]="Post",1,0)+IF(D81="Pre",1,0)=4,Table442466656974[[#This Row],[Post Total]]-K81,""),"")</f>
        <v/>
      </c>
      <c r="P82" s="5" t="b">
        <f>ISNUMBER(Table442466656974[[#This Row],[Change]])</f>
        <v>0</v>
      </c>
      <c r="Q82" s="5" t="str">
        <f>IF(E81="Yes",Table442466656974[[#This Row],[Change]],"")</f>
        <v/>
      </c>
      <c r="R82" s="5" t="str">
        <f>IF(E81="No",Table442466656974[[#This Row],[Change]],"")</f>
        <v/>
      </c>
      <c r="S82" s="5" t="b">
        <f>ISNUMBER(Table442466656974[[#This Row],[If Pre5 Yes]])</f>
        <v>0</v>
      </c>
      <c r="T82" s="5" t="b">
        <f>ISNUMBER(Table442466656974[[#This Row],[If Pre5 No]])</f>
        <v>0</v>
      </c>
    </row>
    <row r="83" spans="1:20">
      <c r="A83" s="1" t="s">
        <v>12</v>
      </c>
      <c r="B83" s="1" t="s">
        <v>10</v>
      </c>
      <c r="C83" s="1">
        <v>6</v>
      </c>
      <c r="D83" s="1" t="s">
        <v>16</v>
      </c>
      <c r="E83" s="5"/>
      <c r="F83" s="1">
        <v>2</v>
      </c>
      <c r="G83" s="1">
        <v>4</v>
      </c>
      <c r="H83" s="1" t="s">
        <v>8</v>
      </c>
      <c r="I83" s="5" t="str">
        <f>IF(IF(Table442466656974[[#This Row],[Pre or Post]]="Pre",1,0)+IF(ISNUMBER(Table442466656974[[#This Row],[Response]])=TRUE,1,0)=2,1,"")</f>
        <v/>
      </c>
      <c r="J83" s="5">
        <f>IF(IF(Table442466656974[[#This Row],[Pre or Post]]="Post",1,0)+IF(ISNUMBER(Table442466656974[[#This Row],[Response]])=TRUE,1,0)=2,1,"")</f>
        <v>1</v>
      </c>
      <c r="K83" s="6" t="str">
        <f>IF(IF(Table442466656974[[#This Row],[Pre or Post]]="Pre",1,0)+IF(ISNUMBER(Table442466656974[[#This Row],[Response]])=TRUE,1,0)=2,Table442466656974[[#This Row],[Response]],"")</f>
        <v/>
      </c>
      <c r="L83" s="6">
        <f>IF(IF(Table442466656974[[#This Row],[Pre or Post]]="Post",1,0)+IF(ISNUMBER(Table442466656974[[#This Row],[Response]])=TRUE,1,0)=2,Table442466656974[[#This Row],[Response]],"")</f>
        <v>4</v>
      </c>
      <c r="M83" s="5" t="str">
        <f>IF(IF(ISNUMBER(K83),1,0)+IF(ISNUMBER(L84),1,0)=2,IF(IF(C84=C83,1,0)+IF(B84=B83,1,0)+IF(D84="Post",1,0)+IF(D83="Pre",1,0)=4,Table442466656974[[#This Row],[Pre Total]],""),"")</f>
        <v/>
      </c>
      <c r="N83" s="5">
        <f>IF(IF(ISNUMBER(K82),1,0)+IF(ISNUMBER(Table442466656974[[#This Row],[Post Total]]),1,0)=2,IF(IF(Table442466656974[[#This Row],[Student Number]]=C82,1,0)+IF(Table442466656974[[#This Row],[Session]]=B82,1,0)+IF(Table442466656974[[#This Row],[Pre or Post]]="Post",1,0)+IF(D82="Pre",1,0)=4,Table442466656974[[#This Row],[Post Total]],""),"")</f>
        <v>4</v>
      </c>
      <c r="O83" s="5">
        <f>IF(IF(ISNUMBER(K82),1,0)+IF(ISNUMBER(Table442466656974[[#This Row],[Post Total]]),1,0)=2,IF(IF(Table442466656974[[#This Row],[Student Number]]=C82,1,0)+IF(Table442466656974[[#This Row],[Session]]=B82,1,0)+IF(Table442466656974[[#This Row],[Pre or Post]]="Post",1,0)+IF(D82="Pre",1,0)=4,Table442466656974[[#This Row],[Post Total]]-K82,""),"")</f>
        <v>0</v>
      </c>
      <c r="P83" s="5" t="b">
        <f>ISNUMBER(Table442466656974[[#This Row],[Change]])</f>
        <v>1</v>
      </c>
      <c r="Q83" s="5">
        <f>IF(E82="Yes",Table442466656974[[#This Row],[Change]],"")</f>
        <v>0</v>
      </c>
      <c r="R83" s="5" t="str">
        <f>IF(E82="No",Table442466656974[[#This Row],[Change]],"")</f>
        <v/>
      </c>
      <c r="S83" s="5" t="b">
        <f>ISNUMBER(Table442466656974[[#This Row],[If Pre5 Yes]])</f>
        <v>1</v>
      </c>
      <c r="T83" s="5" t="b">
        <f>ISNUMBER(Table442466656974[[#This Row],[If Pre5 No]])</f>
        <v>0</v>
      </c>
    </row>
    <row r="84" spans="1:20">
      <c r="A84" s="1" t="s">
        <v>12</v>
      </c>
      <c r="B84" s="1" t="s">
        <v>10</v>
      </c>
      <c r="C84" s="1">
        <v>7</v>
      </c>
      <c r="D84" s="1" t="s">
        <v>6</v>
      </c>
      <c r="E84" s="5" t="s">
        <v>8</v>
      </c>
      <c r="F84" s="1">
        <v>9</v>
      </c>
      <c r="G84" s="1">
        <v>3</v>
      </c>
      <c r="H84" s="1" t="s">
        <v>8</v>
      </c>
      <c r="I84" s="5">
        <f>IF(IF(Table442466656974[[#This Row],[Pre or Post]]="Pre",1,0)+IF(ISNUMBER(Table442466656974[[#This Row],[Response]])=TRUE,1,0)=2,1,"")</f>
        <v>1</v>
      </c>
      <c r="J84" s="5" t="str">
        <f>IF(IF(Table442466656974[[#This Row],[Pre or Post]]="Post",1,0)+IF(ISNUMBER(Table442466656974[[#This Row],[Response]])=TRUE,1,0)=2,1,"")</f>
        <v/>
      </c>
      <c r="K84" s="6">
        <f>IF(IF(Table442466656974[[#This Row],[Pre or Post]]="Pre",1,0)+IF(ISNUMBER(Table442466656974[[#This Row],[Response]])=TRUE,1,0)=2,Table442466656974[[#This Row],[Response]],"")</f>
        <v>3</v>
      </c>
      <c r="L84" s="6" t="str">
        <f>IF(IF(Table442466656974[[#This Row],[Pre or Post]]="Post",1,0)+IF(ISNUMBER(Table442466656974[[#This Row],[Response]])=TRUE,1,0)=2,Table442466656974[[#This Row],[Response]],"")</f>
        <v/>
      </c>
      <c r="M84" s="5">
        <f>IF(IF(ISNUMBER(K84),1,0)+IF(ISNUMBER(L85),1,0)=2,IF(IF(C85=C84,1,0)+IF(B85=B84,1,0)+IF(D85="Post",1,0)+IF(D84="Pre",1,0)=4,Table442466656974[[#This Row],[Pre Total]],""),"")</f>
        <v>3</v>
      </c>
      <c r="N84" s="5" t="str">
        <f>IF(IF(ISNUMBER(K83),1,0)+IF(ISNUMBER(Table442466656974[[#This Row],[Post Total]]),1,0)=2,IF(IF(Table442466656974[[#This Row],[Student Number]]=C83,1,0)+IF(Table442466656974[[#This Row],[Session]]=B83,1,0)+IF(Table442466656974[[#This Row],[Pre or Post]]="Post",1,0)+IF(D83="Pre",1,0)=4,Table442466656974[[#This Row],[Post Total]],""),"")</f>
        <v/>
      </c>
      <c r="O84" s="5" t="str">
        <f>IF(IF(ISNUMBER(K83),1,0)+IF(ISNUMBER(Table442466656974[[#This Row],[Post Total]]),1,0)=2,IF(IF(Table442466656974[[#This Row],[Student Number]]=C83,1,0)+IF(Table442466656974[[#This Row],[Session]]=B83,1,0)+IF(Table442466656974[[#This Row],[Pre or Post]]="Post",1,0)+IF(D83="Pre",1,0)=4,Table442466656974[[#This Row],[Post Total]]-K83,""),"")</f>
        <v/>
      </c>
      <c r="P84" s="5" t="b">
        <f>ISNUMBER(Table442466656974[[#This Row],[Change]])</f>
        <v>0</v>
      </c>
      <c r="Q84" s="5" t="str">
        <f>IF(E83="Yes",Table442466656974[[#This Row],[Change]],"")</f>
        <v/>
      </c>
      <c r="R84" s="5" t="str">
        <f>IF(E83="No",Table442466656974[[#This Row],[Change]],"")</f>
        <v/>
      </c>
      <c r="S84" s="5" t="b">
        <f>ISNUMBER(Table442466656974[[#This Row],[If Pre5 Yes]])</f>
        <v>0</v>
      </c>
      <c r="T84" s="5" t="b">
        <f>ISNUMBER(Table442466656974[[#This Row],[If Pre5 No]])</f>
        <v>0</v>
      </c>
    </row>
    <row r="85" spans="1:20">
      <c r="A85" s="1" t="s">
        <v>12</v>
      </c>
      <c r="B85" s="1" t="s">
        <v>10</v>
      </c>
      <c r="C85" s="1">
        <v>7</v>
      </c>
      <c r="D85" s="1" t="s">
        <v>16</v>
      </c>
      <c r="E85" s="5"/>
      <c r="F85" s="1">
        <v>2</v>
      </c>
      <c r="G85" s="1">
        <v>3</v>
      </c>
      <c r="H85" s="1" t="s">
        <v>8</v>
      </c>
      <c r="I85" s="5" t="str">
        <f>IF(IF(Table442466656974[[#This Row],[Pre or Post]]="Pre",1,0)+IF(ISNUMBER(Table442466656974[[#This Row],[Response]])=TRUE,1,0)=2,1,"")</f>
        <v/>
      </c>
      <c r="J85" s="5">
        <f>IF(IF(Table442466656974[[#This Row],[Pre or Post]]="Post",1,0)+IF(ISNUMBER(Table442466656974[[#This Row],[Response]])=TRUE,1,0)=2,1,"")</f>
        <v>1</v>
      </c>
      <c r="K85" s="6" t="str">
        <f>IF(IF(Table442466656974[[#This Row],[Pre or Post]]="Pre",1,0)+IF(ISNUMBER(Table442466656974[[#This Row],[Response]])=TRUE,1,0)=2,Table442466656974[[#This Row],[Response]],"")</f>
        <v/>
      </c>
      <c r="L85" s="6">
        <f>IF(IF(Table442466656974[[#This Row],[Pre or Post]]="Post",1,0)+IF(ISNUMBER(Table442466656974[[#This Row],[Response]])=TRUE,1,0)=2,Table442466656974[[#This Row],[Response]],"")</f>
        <v>3</v>
      </c>
      <c r="M85" s="5" t="str">
        <f>IF(IF(ISNUMBER(K85),1,0)+IF(ISNUMBER(L86),1,0)=2,IF(IF(C86=C85,1,0)+IF(B86=B85,1,0)+IF(D86="Post",1,0)+IF(D85="Pre",1,0)=4,Table442466656974[[#This Row],[Pre Total]],""),"")</f>
        <v/>
      </c>
      <c r="N85" s="5">
        <f>IF(IF(ISNUMBER(K84),1,0)+IF(ISNUMBER(Table442466656974[[#This Row],[Post Total]]),1,0)=2,IF(IF(Table442466656974[[#This Row],[Student Number]]=C84,1,0)+IF(Table442466656974[[#This Row],[Session]]=B84,1,0)+IF(Table442466656974[[#This Row],[Pre or Post]]="Post",1,0)+IF(D84="Pre",1,0)=4,Table442466656974[[#This Row],[Post Total]],""),"")</f>
        <v>3</v>
      </c>
      <c r="O85" s="5">
        <f>IF(IF(ISNUMBER(K84),1,0)+IF(ISNUMBER(Table442466656974[[#This Row],[Post Total]]),1,0)=2,IF(IF(Table442466656974[[#This Row],[Student Number]]=C84,1,0)+IF(Table442466656974[[#This Row],[Session]]=B84,1,0)+IF(Table442466656974[[#This Row],[Pre or Post]]="Post",1,0)+IF(D84="Pre",1,0)=4,Table442466656974[[#This Row],[Post Total]]-K84,""),"")</f>
        <v>0</v>
      </c>
      <c r="P85" s="5" t="b">
        <f>ISNUMBER(Table442466656974[[#This Row],[Change]])</f>
        <v>1</v>
      </c>
      <c r="Q85" s="5">
        <f>IF(E84="Yes",Table442466656974[[#This Row],[Change]],"")</f>
        <v>0</v>
      </c>
      <c r="R85" s="5" t="str">
        <f>IF(E84="No",Table442466656974[[#This Row],[Change]],"")</f>
        <v/>
      </c>
      <c r="S85" s="5" t="b">
        <f>ISNUMBER(Table442466656974[[#This Row],[If Pre5 Yes]])</f>
        <v>1</v>
      </c>
      <c r="T85" s="5" t="b">
        <f>ISNUMBER(Table442466656974[[#This Row],[If Pre5 No]])</f>
        <v>0</v>
      </c>
    </row>
    <row r="86" spans="1:20">
      <c r="A86" s="1" t="s">
        <v>12</v>
      </c>
      <c r="B86" s="1" t="s">
        <v>10</v>
      </c>
      <c r="C86" s="1">
        <v>8</v>
      </c>
      <c r="D86" s="1" t="s">
        <v>6</v>
      </c>
      <c r="E86" s="5" t="s">
        <v>8</v>
      </c>
      <c r="F86" s="1">
        <v>9</v>
      </c>
      <c r="G86" s="1">
        <v>4</v>
      </c>
      <c r="H86" s="1" t="s">
        <v>8</v>
      </c>
      <c r="I86" s="5">
        <f>IF(IF(Table442466656974[[#This Row],[Pre or Post]]="Pre",1,0)+IF(ISNUMBER(Table442466656974[[#This Row],[Response]])=TRUE,1,0)=2,1,"")</f>
        <v>1</v>
      </c>
      <c r="J86" s="5" t="str">
        <f>IF(IF(Table442466656974[[#This Row],[Pre or Post]]="Post",1,0)+IF(ISNUMBER(Table442466656974[[#This Row],[Response]])=TRUE,1,0)=2,1,"")</f>
        <v/>
      </c>
      <c r="K86" s="6">
        <f>IF(IF(Table442466656974[[#This Row],[Pre or Post]]="Pre",1,0)+IF(ISNUMBER(Table442466656974[[#This Row],[Response]])=TRUE,1,0)=2,Table442466656974[[#This Row],[Response]],"")</f>
        <v>4</v>
      </c>
      <c r="L86" s="6" t="str">
        <f>IF(IF(Table442466656974[[#This Row],[Pre or Post]]="Post",1,0)+IF(ISNUMBER(Table442466656974[[#This Row],[Response]])=TRUE,1,0)=2,Table442466656974[[#This Row],[Response]],"")</f>
        <v/>
      </c>
      <c r="M86" s="5">
        <f>IF(IF(ISNUMBER(K86),1,0)+IF(ISNUMBER(L87),1,0)=2,IF(IF(C87=C86,1,0)+IF(B87=B86,1,0)+IF(D87="Post",1,0)+IF(D86="Pre",1,0)=4,Table442466656974[[#This Row],[Pre Total]],""),"")</f>
        <v>4</v>
      </c>
      <c r="N86" s="5" t="str">
        <f>IF(IF(ISNUMBER(K85),1,0)+IF(ISNUMBER(Table442466656974[[#This Row],[Post Total]]),1,0)=2,IF(IF(Table442466656974[[#This Row],[Student Number]]=C85,1,0)+IF(Table442466656974[[#This Row],[Session]]=B85,1,0)+IF(Table442466656974[[#This Row],[Pre or Post]]="Post",1,0)+IF(D85="Pre",1,0)=4,Table442466656974[[#This Row],[Post Total]],""),"")</f>
        <v/>
      </c>
      <c r="O86" s="5" t="str">
        <f>IF(IF(ISNUMBER(K85),1,0)+IF(ISNUMBER(Table442466656974[[#This Row],[Post Total]]),1,0)=2,IF(IF(Table442466656974[[#This Row],[Student Number]]=C85,1,0)+IF(Table442466656974[[#This Row],[Session]]=B85,1,0)+IF(Table442466656974[[#This Row],[Pre or Post]]="Post",1,0)+IF(D85="Pre",1,0)=4,Table442466656974[[#This Row],[Post Total]]-K85,""),"")</f>
        <v/>
      </c>
      <c r="P86" s="5" t="b">
        <f>ISNUMBER(Table442466656974[[#This Row],[Change]])</f>
        <v>0</v>
      </c>
      <c r="Q86" s="5" t="str">
        <f>IF(E85="Yes",Table442466656974[[#This Row],[Change]],"")</f>
        <v/>
      </c>
      <c r="R86" s="5" t="str">
        <f>IF(E85="No",Table442466656974[[#This Row],[Change]],"")</f>
        <v/>
      </c>
      <c r="S86" s="5" t="b">
        <f>ISNUMBER(Table442466656974[[#This Row],[If Pre5 Yes]])</f>
        <v>0</v>
      </c>
      <c r="T86" s="5" t="b">
        <f>ISNUMBER(Table442466656974[[#This Row],[If Pre5 No]])</f>
        <v>0</v>
      </c>
    </row>
    <row r="87" spans="1:20">
      <c r="A87" s="1" t="s">
        <v>12</v>
      </c>
      <c r="B87" s="1" t="s">
        <v>10</v>
      </c>
      <c r="C87" s="1">
        <v>8</v>
      </c>
      <c r="D87" s="1" t="s">
        <v>16</v>
      </c>
      <c r="E87" s="5"/>
      <c r="F87" s="1">
        <v>2</v>
      </c>
      <c r="G87" s="1">
        <v>4</v>
      </c>
      <c r="H87" s="1" t="s">
        <v>8</v>
      </c>
      <c r="I87" s="5" t="str">
        <f>IF(IF(Table442466656974[[#This Row],[Pre or Post]]="Pre",1,0)+IF(ISNUMBER(Table442466656974[[#This Row],[Response]])=TRUE,1,0)=2,1,"")</f>
        <v/>
      </c>
      <c r="J87" s="5">
        <f>IF(IF(Table442466656974[[#This Row],[Pre or Post]]="Post",1,0)+IF(ISNUMBER(Table442466656974[[#This Row],[Response]])=TRUE,1,0)=2,1,"")</f>
        <v>1</v>
      </c>
      <c r="K87" s="6" t="str">
        <f>IF(IF(Table442466656974[[#This Row],[Pre or Post]]="Pre",1,0)+IF(ISNUMBER(Table442466656974[[#This Row],[Response]])=TRUE,1,0)=2,Table442466656974[[#This Row],[Response]],"")</f>
        <v/>
      </c>
      <c r="L87" s="6">
        <f>IF(IF(Table442466656974[[#This Row],[Pre or Post]]="Post",1,0)+IF(ISNUMBER(Table442466656974[[#This Row],[Response]])=TRUE,1,0)=2,Table442466656974[[#This Row],[Response]],"")</f>
        <v>4</v>
      </c>
      <c r="M87" s="5" t="str">
        <f>IF(IF(ISNUMBER(K87),1,0)+IF(ISNUMBER(L88),1,0)=2,IF(IF(C88=C87,1,0)+IF(B88=B87,1,0)+IF(D88="Post",1,0)+IF(D87="Pre",1,0)=4,Table442466656974[[#This Row],[Pre Total]],""),"")</f>
        <v/>
      </c>
      <c r="N87" s="5">
        <f>IF(IF(ISNUMBER(K86),1,0)+IF(ISNUMBER(Table442466656974[[#This Row],[Post Total]]),1,0)=2,IF(IF(Table442466656974[[#This Row],[Student Number]]=C86,1,0)+IF(Table442466656974[[#This Row],[Session]]=B86,1,0)+IF(Table442466656974[[#This Row],[Pre or Post]]="Post",1,0)+IF(D86="Pre",1,0)=4,Table442466656974[[#This Row],[Post Total]],""),"")</f>
        <v>4</v>
      </c>
      <c r="O87" s="5">
        <f>IF(IF(ISNUMBER(K86),1,0)+IF(ISNUMBER(Table442466656974[[#This Row],[Post Total]]),1,0)=2,IF(IF(Table442466656974[[#This Row],[Student Number]]=C86,1,0)+IF(Table442466656974[[#This Row],[Session]]=B86,1,0)+IF(Table442466656974[[#This Row],[Pre or Post]]="Post",1,0)+IF(D86="Pre",1,0)=4,Table442466656974[[#This Row],[Post Total]]-K86,""),"")</f>
        <v>0</v>
      </c>
      <c r="P87" s="5" t="b">
        <f>ISNUMBER(Table442466656974[[#This Row],[Change]])</f>
        <v>1</v>
      </c>
      <c r="Q87" s="5">
        <f>IF(E86="Yes",Table442466656974[[#This Row],[Change]],"")</f>
        <v>0</v>
      </c>
      <c r="R87" s="5" t="str">
        <f>IF(E86="No",Table442466656974[[#This Row],[Change]],"")</f>
        <v/>
      </c>
      <c r="S87" s="5" t="b">
        <f>ISNUMBER(Table442466656974[[#This Row],[If Pre5 Yes]])</f>
        <v>1</v>
      </c>
      <c r="T87" s="5" t="b">
        <f>ISNUMBER(Table442466656974[[#This Row],[If Pre5 No]])</f>
        <v>0</v>
      </c>
    </row>
    <row r="88" spans="1:20">
      <c r="A88" s="1" t="s">
        <v>12</v>
      </c>
      <c r="B88" s="1" t="s">
        <v>10</v>
      </c>
      <c r="C88" s="1">
        <v>9</v>
      </c>
      <c r="D88" s="1" t="s">
        <v>6</v>
      </c>
      <c r="E88" s="5" t="s">
        <v>8</v>
      </c>
      <c r="F88" s="1">
        <v>9</v>
      </c>
      <c r="G88" s="1">
        <v>4</v>
      </c>
      <c r="H88" s="1" t="s">
        <v>8</v>
      </c>
      <c r="I88" s="6">
        <f>IF(IF(Table442466656974[[#This Row],[Pre or Post]]="Pre",1,0)+IF(ISNUMBER(Table442466656974[[#This Row],[Response]])=TRUE,1,0)=2,1,"")</f>
        <v>1</v>
      </c>
      <c r="J88" s="6" t="str">
        <f>IF(IF(Table442466656974[[#This Row],[Pre or Post]]="Post",1,0)+IF(ISNUMBER(Table442466656974[[#This Row],[Response]])=TRUE,1,0)=2,1,"")</f>
        <v/>
      </c>
      <c r="K88" s="6">
        <f>IF(IF(Table442466656974[[#This Row],[Pre or Post]]="Pre",1,0)+IF(ISNUMBER(Table442466656974[[#This Row],[Response]])=TRUE,1,0)=2,Table442466656974[[#This Row],[Response]],"")</f>
        <v>4</v>
      </c>
      <c r="L88" s="6" t="str">
        <f>IF(IF(Table442466656974[[#This Row],[Pre or Post]]="Post",1,0)+IF(ISNUMBER(Table442466656974[[#This Row],[Response]])=TRUE,1,0)=2,Table442466656974[[#This Row],[Response]],"")</f>
        <v/>
      </c>
      <c r="M88" s="5">
        <f>IF(IF(ISNUMBER(K88),1,0)+IF(ISNUMBER(L89),1,0)=2,IF(IF(C89=C88,1,0)+IF(B89=B88,1,0)+IF(D89="Post",1,0)+IF(D88="Pre",1,0)=4,Table442466656974[[#This Row],[Pre Total]],""),"")</f>
        <v>4</v>
      </c>
      <c r="N88" s="6" t="str">
        <f>IF(IF(ISNUMBER(K87),1,0)+IF(ISNUMBER(Table442466656974[[#This Row],[Post Total]]),1,0)=2,IF(IF(Table442466656974[[#This Row],[Student Number]]=C87,1,0)+IF(Table442466656974[[#This Row],[Session]]=B87,1,0)+IF(Table442466656974[[#This Row],[Pre or Post]]="Post",1,0)+IF(D87="Pre",1,0)=4,Table442466656974[[#This Row],[Post Total]],""),"")</f>
        <v/>
      </c>
      <c r="O88" s="6" t="str">
        <f>IF(IF(ISNUMBER(K87),1,0)+IF(ISNUMBER(Table442466656974[[#This Row],[Post Total]]),1,0)=2,IF(IF(Table442466656974[[#This Row],[Student Number]]=C87,1,0)+IF(Table442466656974[[#This Row],[Session]]=B87,1,0)+IF(Table442466656974[[#This Row],[Pre or Post]]="Post",1,0)+IF(D87="Pre",1,0)=4,Table442466656974[[#This Row],[Post Total]]-K87,""),"")</f>
        <v/>
      </c>
      <c r="P88" s="6" t="b">
        <f>ISNUMBER(Table442466656974[[#This Row],[Change]])</f>
        <v>0</v>
      </c>
      <c r="Q88" s="5" t="str">
        <f>IF(E87="Yes",Table442466656974[[#This Row],[Change]],"")</f>
        <v/>
      </c>
      <c r="R88" s="5" t="str">
        <f>IF(E87="No",Table442466656974[[#This Row],[Change]],"")</f>
        <v/>
      </c>
      <c r="S88" s="5" t="b">
        <f>ISNUMBER(Table442466656974[[#This Row],[If Pre5 Yes]])</f>
        <v>0</v>
      </c>
      <c r="T88" s="5" t="b">
        <f>ISNUMBER(Table442466656974[[#This Row],[If Pre5 No]])</f>
        <v>0</v>
      </c>
    </row>
    <row r="89" spans="1:20">
      <c r="A89" s="1" t="s">
        <v>12</v>
      </c>
      <c r="B89" s="1" t="s">
        <v>10</v>
      </c>
      <c r="C89" s="1">
        <v>9</v>
      </c>
      <c r="D89" s="1" t="s">
        <v>16</v>
      </c>
      <c r="E89" s="5"/>
      <c r="F89" s="1">
        <v>2</v>
      </c>
      <c r="G89" s="1">
        <v>4</v>
      </c>
      <c r="H89" s="1" t="s">
        <v>8</v>
      </c>
      <c r="I89" s="6" t="str">
        <f>IF(IF(Table442466656974[[#This Row],[Pre or Post]]="Pre",1,0)+IF(ISNUMBER(Table442466656974[[#This Row],[Response]])=TRUE,1,0)=2,1,"")</f>
        <v/>
      </c>
      <c r="J89" s="6">
        <f>IF(IF(Table442466656974[[#This Row],[Pre or Post]]="Post",1,0)+IF(ISNUMBER(Table442466656974[[#This Row],[Response]])=TRUE,1,0)=2,1,"")</f>
        <v>1</v>
      </c>
      <c r="K89" s="6" t="str">
        <f>IF(IF(Table442466656974[[#This Row],[Pre or Post]]="Pre",1,0)+IF(ISNUMBER(Table442466656974[[#This Row],[Response]])=TRUE,1,0)=2,Table442466656974[[#This Row],[Response]],"")</f>
        <v/>
      </c>
      <c r="L89" s="6">
        <f>IF(IF(Table442466656974[[#This Row],[Pre or Post]]="Post",1,0)+IF(ISNUMBER(Table442466656974[[#This Row],[Response]])=TRUE,1,0)=2,Table442466656974[[#This Row],[Response]],"")</f>
        <v>4</v>
      </c>
      <c r="M89" s="6" t="str">
        <f>IF(IF(ISNUMBER(K89),1,0)+IF(ISNUMBER(L90),1,0)=2,IF(IF(C90=C89,1,0)+IF(B90=B89,1,0)+IF(D90="Post",1,0)+IF(D89="Pre",1,0)=4,Table442466656974[[#This Row],[Pre Total]],""),"")</f>
        <v/>
      </c>
      <c r="N89" s="6">
        <f>IF(IF(ISNUMBER(K88),1,0)+IF(ISNUMBER(Table442466656974[[#This Row],[Post Total]]),1,0)=2,IF(IF(Table442466656974[[#This Row],[Student Number]]=C88,1,0)+IF(Table442466656974[[#This Row],[Session]]=B88,1,0)+IF(Table442466656974[[#This Row],[Pre or Post]]="Post",1,0)+IF(D88="Pre",1,0)=4,Table442466656974[[#This Row],[Post Total]],""),"")</f>
        <v>4</v>
      </c>
      <c r="O89" s="6">
        <f>IF(IF(ISNUMBER(K88),1,0)+IF(ISNUMBER(Table442466656974[[#This Row],[Post Total]]),1,0)=2,IF(IF(Table442466656974[[#This Row],[Student Number]]=C88,1,0)+IF(Table442466656974[[#This Row],[Session]]=B88,1,0)+IF(Table442466656974[[#This Row],[Pre or Post]]="Post",1,0)+IF(D88="Pre",1,0)=4,Table442466656974[[#This Row],[Post Total]]-K88,""),"")</f>
        <v>0</v>
      </c>
      <c r="P89" s="6" t="b">
        <f>ISNUMBER(Table442466656974[[#This Row],[Change]])</f>
        <v>1</v>
      </c>
      <c r="Q89" s="5">
        <f>IF(E88="Yes",Table442466656974[[#This Row],[Change]],"")</f>
        <v>0</v>
      </c>
      <c r="R89" s="5" t="str">
        <f>IF(E88="No",Table442466656974[[#This Row],[Change]],"")</f>
        <v/>
      </c>
      <c r="S89" s="5" t="b">
        <f>ISNUMBER(Table442466656974[[#This Row],[If Pre5 Yes]])</f>
        <v>1</v>
      </c>
      <c r="T89" s="5" t="b">
        <f>ISNUMBER(Table442466656974[[#This Row],[If Pre5 No]])</f>
        <v>0</v>
      </c>
    </row>
    <row r="90" spans="1:20">
      <c r="A90" s="1" t="s">
        <v>12</v>
      </c>
      <c r="B90" s="1" t="s">
        <v>10</v>
      </c>
      <c r="C90" s="1">
        <v>10</v>
      </c>
      <c r="D90" s="1" t="s">
        <v>6</v>
      </c>
      <c r="E90" s="5" t="s">
        <v>9</v>
      </c>
      <c r="F90" s="1">
        <v>9</v>
      </c>
      <c r="G90" s="1">
        <v>4</v>
      </c>
      <c r="H90" s="1" t="s">
        <v>8</v>
      </c>
      <c r="I90" s="5">
        <f>IF(IF(Table442466656974[[#This Row],[Pre or Post]]="Pre",1,0)+IF(ISNUMBER(Table442466656974[[#This Row],[Response]])=TRUE,1,0)=2,1,"")</f>
        <v>1</v>
      </c>
      <c r="J90" s="5" t="str">
        <f>IF(IF(Table442466656974[[#This Row],[Pre or Post]]="Post",1,0)+IF(ISNUMBER(Table442466656974[[#This Row],[Response]])=TRUE,1,0)=2,1,"")</f>
        <v/>
      </c>
      <c r="K90" s="6">
        <f>IF(IF(Table442466656974[[#This Row],[Pre or Post]]="Pre",1,0)+IF(ISNUMBER(Table442466656974[[#This Row],[Response]])=TRUE,1,0)=2,Table442466656974[[#This Row],[Response]],"")</f>
        <v>4</v>
      </c>
      <c r="L90" s="6" t="str">
        <f>IF(IF(Table442466656974[[#This Row],[Pre or Post]]="Post",1,0)+IF(ISNUMBER(Table442466656974[[#This Row],[Response]])=TRUE,1,0)=2,Table442466656974[[#This Row],[Response]],"")</f>
        <v/>
      </c>
      <c r="M90" s="5">
        <f>IF(IF(ISNUMBER(K90),1,0)+IF(ISNUMBER(L91),1,0)=2,IF(IF(C91=C90,1,0)+IF(B91=B90,1,0)+IF(D91="Post",1,0)+IF(D90="Pre",1,0)=4,Table442466656974[[#This Row],[Pre Total]],""),"")</f>
        <v>4</v>
      </c>
      <c r="N90" s="5" t="str">
        <f>IF(IF(ISNUMBER(K89),1,0)+IF(ISNUMBER(Table442466656974[[#This Row],[Post Total]]),1,0)=2,IF(IF(Table442466656974[[#This Row],[Student Number]]=C89,1,0)+IF(Table442466656974[[#This Row],[Session]]=B89,1,0)+IF(Table442466656974[[#This Row],[Pre or Post]]="Post",1,0)+IF(D89="Pre",1,0)=4,Table442466656974[[#This Row],[Post Total]],""),"")</f>
        <v/>
      </c>
      <c r="O90" s="5" t="str">
        <f>IF(IF(ISNUMBER(K89),1,0)+IF(ISNUMBER(Table442466656974[[#This Row],[Post Total]]),1,0)=2,IF(IF(Table442466656974[[#This Row],[Student Number]]=C89,1,0)+IF(Table442466656974[[#This Row],[Session]]=B89,1,0)+IF(Table442466656974[[#This Row],[Pre or Post]]="Post",1,0)+IF(D89="Pre",1,0)=4,Table442466656974[[#This Row],[Post Total]]-K89,""),"")</f>
        <v/>
      </c>
      <c r="P90" s="5" t="b">
        <f>ISNUMBER(Table442466656974[[#This Row],[Change]])</f>
        <v>0</v>
      </c>
      <c r="Q90" s="5" t="str">
        <f>IF(E89="Yes",Table442466656974[[#This Row],[Change]],"")</f>
        <v/>
      </c>
      <c r="R90" s="5" t="str">
        <f>IF(E89="No",Table442466656974[[#This Row],[Change]],"")</f>
        <v/>
      </c>
      <c r="S90" s="5" t="b">
        <f>ISNUMBER(Table442466656974[[#This Row],[If Pre5 Yes]])</f>
        <v>0</v>
      </c>
      <c r="T90" s="5" t="b">
        <f>ISNUMBER(Table442466656974[[#This Row],[If Pre5 No]])</f>
        <v>0</v>
      </c>
    </row>
    <row r="91" spans="1:20">
      <c r="A91" s="1" t="s">
        <v>12</v>
      </c>
      <c r="B91" s="1" t="s">
        <v>10</v>
      </c>
      <c r="C91" s="1">
        <v>10</v>
      </c>
      <c r="D91" s="1" t="s">
        <v>16</v>
      </c>
      <c r="E91" s="5"/>
      <c r="F91" s="1">
        <v>2</v>
      </c>
      <c r="G91" s="1">
        <v>4</v>
      </c>
      <c r="H91" s="1" t="s">
        <v>8</v>
      </c>
      <c r="I91" s="5" t="str">
        <f>IF(IF(Table442466656974[[#This Row],[Pre or Post]]="Pre",1,0)+IF(ISNUMBER(Table442466656974[[#This Row],[Response]])=TRUE,1,0)=2,1,"")</f>
        <v/>
      </c>
      <c r="J91" s="5">
        <f>IF(IF(Table442466656974[[#This Row],[Pre or Post]]="Post",1,0)+IF(ISNUMBER(Table442466656974[[#This Row],[Response]])=TRUE,1,0)=2,1,"")</f>
        <v>1</v>
      </c>
      <c r="K91" s="6" t="str">
        <f>IF(IF(Table442466656974[[#This Row],[Pre or Post]]="Pre",1,0)+IF(ISNUMBER(Table442466656974[[#This Row],[Response]])=TRUE,1,0)=2,Table442466656974[[#This Row],[Response]],"")</f>
        <v/>
      </c>
      <c r="L91" s="6">
        <f>IF(IF(Table442466656974[[#This Row],[Pre or Post]]="Post",1,0)+IF(ISNUMBER(Table442466656974[[#This Row],[Response]])=TRUE,1,0)=2,Table442466656974[[#This Row],[Response]],"")</f>
        <v>4</v>
      </c>
      <c r="M91" s="5" t="str">
        <f>IF(IF(ISNUMBER(K91),1,0)+IF(ISNUMBER(L92),1,0)=2,IF(IF(C92=C91,1,0)+IF(B92=B91,1,0)+IF(D92="Post",1,0)+IF(D91="Pre",1,0)=4,Table442466656974[[#This Row],[Pre Total]],""),"")</f>
        <v/>
      </c>
      <c r="N91" s="5">
        <f>IF(IF(ISNUMBER(K90),1,0)+IF(ISNUMBER(Table442466656974[[#This Row],[Post Total]]),1,0)=2,IF(IF(Table442466656974[[#This Row],[Student Number]]=C90,1,0)+IF(Table442466656974[[#This Row],[Session]]=B90,1,0)+IF(Table442466656974[[#This Row],[Pre or Post]]="Post",1,0)+IF(D90="Pre",1,0)=4,Table442466656974[[#This Row],[Post Total]],""),"")</f>
        <v>4</v>
      </c>
      <c r="O91" s="5">
        <f>IF(IF(ISNUMBER(K90),1,0)+IF(ISNUMBER(Table442466656974[[#This Row],[Post Total]]),1,0)=2,IF(IF(Table442466656974[[#This Row],[Student Number]]=C90,1,0)+IF(Table442466656974[[#This Row],[Session]]=B90,1,0)+IF(Table442466656974[[#This Row],[Pre or Post]]="Post",1,0)+IF(D90="Pre",1,0)=4,Table442466656974[[#This Row],[Post Total]]-K90,""),"")</f>
        <v>0</v>
      </c>
      <c r="P91" s="5" t="b">
        <f>ISNUMBER(Table442466656974[[#This Row],[Change]])</f>
        <v>1</v>
      </c>
      <c r="Q91" s="5" t="str">
        <f>IF(E90="Yes",Table442466656974[[#This Row],[Change]],"")</f>
        <v/>
      </c>
      <c r="R91" s="5">
        <f>IF(E90="No",Table442466656974[[#This Row],[Change]],"")</f>
        <v>0</v>
      </c>
      <c r="S91" s="5" t="b">
        <f>ISNUMBER(Table442466656974[[#This Row],[If Pre5 Yes]])</f>
        <v>0</v>
      </c>
      <c r="T91" s="5" t="b">
        <f>ISNUMBER(Table442466656974[[#This Row],[If Pre5 No]])</f>
        <v>1</v>
      </c>
    </row>
    <row r="92" spans="1:20">
      <c r="A92" s="1" t="s">
        <v>12</v>
      </c>
      <c r="B92" s="1" t="s">
        <v>10</v>
      </c>
      <c r="C92" s="1">
        <v>11</v>
      </c>
      <c r="D92" s="1" t="s">
        <v>6</v>
      </c>
      <c r="E92" s="5" t="s">
        <v>8</v>
      </c>
      <c r="F92" s="1">
        <v>9</v>
      </c>
      <c r="G92" s="1">
        <v>2</v>
      </c>
      <c r="H92" s="1" t="s">
        <v>8</v>
      </c>
      <c r="I92" s="6">
        <f>IF(IF(Table442466656974[[#This Row],[Pre or Post]]="Pre",1,0)+IF(ISNUMBER(Table442466656974[[#This Row],[Response]])=TRUE,1,0)=2,1,"")</f>
        <v>1</v>
      </c>
      <c r="J92" s="6" t="str">
        <f>IF(IF(Table442466656974[[#This Row],[Pre or Post]]="Post",1,0)+IF(ISNUMBER(Table442466656974[[#This Row],[Response]])=TRUE,1,0)=2,1,"")</f>
        <v/>
      </c>
      <c r="K92" s="6">
        <f>IF(IF(Table442466656974[[#This Row],[Pre or Post]]="Pre",1,0)+IF(ISNUMBER(Table442466656974[[#This Row],[Response]])=TRUE,1,0)=2,Table442466656974[[#This Row],[Response]],"")</f>
        <v>2</v>
      </c>
      <c r="L92" s="6" t="str">
        <f>IF(IF(Table442466656974[[#This Row],[Pre or Post]]="Post",1,0)+IF(ISNUMBER(Table442466656974[[#This Row],[Response]])=TRUE,1,0)=2,Table442466656974[[#This Row],[Response]],"")</f>
        <v/>
      </c>
      <c r="M92" s="5">
        <f>IF(IF(ISNUMBER(K92),1,0)+IF(ISNUMBER(L93),1,0)=2,IF(IF(C93=C92,1,0)+IF(B93=B92,1,0)+IF(D93="Post",1,0)+IF(D92="Pre",1,0)=4,Table442466656974[[#This Row],[Pre Total]],""),"")</f>
        <v>2</v>
      </c>
      <c r="N92" s="6" t="str">
        <f>IF(IF(ISNUMBER(K91),1,0)+IF(ISNUMBER(Table442466656974[[#This Row],[Post Total]]),1,0)=2,IF(IF(Table442466656974[[#This Row],[Student Number]]=C91,1,0)+IF(Table442466656974[[#This Row],[Session]]=B91,1,0)+IF(Table442466656974[[#This Row],[Pre or Post]]="Post",1,0)+IF(D91="Pre",1,0)=4,Table442466656974[[#This Row],[Post Total]],""),"")</f>
        <v/>
      </c>
      <c r="O92" s="6" t="str">
        <f>IF(IF(ISNUMBER(K91),1,0)+IF(ISNUMBER(Table442466656974[[#This Row],[Post Total]]),1,0)=2,IF(IF(Table442466656974[[#This Row],[Student Number]]=C91,1,0)+IF(Table442466656974[[#This Row],[Session]]=B91,1,0)+IF(Table442466656974[[#This Row],[Pre or Post]]="Post",1,0)+IF(D91="Pre",1,0)=4,Table442466656974[[#This Row],[Post Total]]-K91,""),"")</f>
        <v/>
      </c>
      <c r="P92" s="6" t="b">
        <f>ISNUMBER(Table442466656974[[#This Row],[Change]])</f>
        <v>0</v>
      </c>
      <c r="Q92" s="5" t="str">
        <f>IF(E91="Yes",Table442466656974[[#This Row],[Change]],"")</f>
        <v/>
      </c>
      <c r="R92" s="5" t="str">
        <f>IF(E91="No",Table442466656974[[#This Row],[Change]],"")</f>
        <v/>
      </c>
      <c r="S92" s="5" t="b">
        <f>ISNUMBER(Table442466656974[[#This Row],[If Pre5 Yes]])</f>
        <v>0</v>
      </c>
      <c r="T92" s="5" t="b">
        <f>ISNUMBER(Table442466656974[[#This Row],[If Pre5 No]])</f>
        <v>0</v>
      </c>
    </row>
    <row r="93" spans="1:20">
      <c r="A93" s="1" t="s">
        <v>12</v>
      </c>
      <c r="B93" s="1" t="s">
        <v>10</v>
      </c>
      <c r="C93" s="1">
        <v>11</v>
      </c>
      <c r="D93" s="1" t="s">
        <v>16</v>
      </c>
      <c r="E93" s="5"/>
      <c r="F93" s="1">
        <v>2</v>
      </c>
      <c r="G93" s="1">
        <v>2</v>
      </c>
      <c r="H93" s="1" t="s">
        <v>8</v>
      </c>
      <c r="I93" s="5" t="str">
        <f>IF(IF(Table442466656974[[#This Row],[Pre or Post]]="Pre",1,0)+IF(ISNUMBER(Table442466656974[[#This Row],[Response]])=TRUE,1,0)=2,1,"")</f>
        <v/>
      </c>
      <c r="J93" s="5">
        <f>IF(IF(Table442466656974[[#This Row],[Pre or Post]]="Post",1,0)+IF(ISNUMBER(Table442466656974[[#This Row],[Response]])=TRUE,1,0)=2,1,"")</f>
        <v>1</v>
      </c>
      <c r="K93" s="6" t="str">
        <f>IF(IF(Table442466656974[[#This Row],[Pre or Post]]="Pre",1,0)+IF(ISNUMBER(Table442466656974[[#This Row],[Response]])=TRUE,1,0)=2,Table442466656974[[#This Row],[Response]],"")</f>
        <v/>
      </c>
      <c r="L93" s="6">
        <f>IF(IF(Table442466656974[[#This Row],[Pre or Post]]="Post",1,0)+IF(ISNUMBER(Table442466656974[[#This Row],[Response]])=TRUE,1,0)=2,Table442466656974[[#This Row],[Response]],"")</f>
        <v>2</v>
      </c>
      <c r="M93" s="5" t="str">
        <f>IF(IF(ISNUMBER(K93),1,0)+IF(ISNUMBER(L94),1,0)=2,IF(IF(C94=C93,1,0)+IF(B94=B93,1,0)+IF(D94="Post",1,0)+IF(D93="Pre",1,0)=4,Table442466656974[[#This Row],[Pre Total]],""),"")</f>
        <v/>
      </c>
      <c r="N93" s="5">
        <f>IF(IF(ISNUMBER(K92),1,0)+IF(ISNUMBER(Table442466656974[[#This Row],[Post Total]]),1,0)=2,IF(IF(Table442466656974[[#This Row],[Student Number]]=C92,1,0)+IF(Table442466656974[[#This Row],[Session]]=B92,1,0)+IF(Table442466656974[[#This Row],[Pre or Post]]="Post",1,0)+IF(D92="Pre",1,0)=4,Table442466656974[[#This Row],[Post Total]],""),"")</f>
        <v>2</v>
      </c>
      <c r="O93" s="5">
        <f>IF(IF(ISNUMBER(K92),1,0)+IF(ISNUMBER(Table442466656974[[#This Row],[Post Total]]),1,0)=2,IF(IF(Table442466656974[[#This Row],[Student Number]]=C92,1,0)+IF(Table442466656974[[#This Row],[Session]]=B92,1,0)+IF(Table442466656974[[#This Row],[Pre or Post]]="Post",1,0)+IF(D92="Pre",1,0)=4,Table442466656974[[#This Row],[Post Total]]-K92,""),"")</f>
        <v>0</v>
      </c>
      <c r="P93" s="5" t="b">
        <f>ISNUMBER(Table442466656974[[#This Row],[Change]])</f>
        <v>1</v>
      </c>
      <c r="Q93" s="5">
        <f>IF(E92="Yes",Table442466656974[[#This Row],[Change]],"")</f>
        <v>0</v>
      </c>
      <c r="R93" s="5" t="str">
        <f>IF(E92="No",Table442466656974[[#This Row],[Change]],"")</f>
        <v/>
      </c>
      <c r="S93" s="5" t="b">
        <f>ISNUMBER(Table442466656974[[#This Row],[If Pre5 Yes]])</f>
        <v>1</v>
      </c>
      <c r="T93" s="5" t="b">
        <f>ISNUMBER(Table442466656974[[#This Row],[If Pre5 No]])</f>
        <v>0</v>
      </c>
    </row>
    <row r="94" spans="1:20">
      <c r="A94" s="1" t="s">
        <v>12</v>
      </c>
      <c r="B94" s="1" t="s">
        <v>10</v>
      </c>
      <c r="C94" s="1">
        <v>12</v>
      </c>
      <c r="D94" s="1" t="s">
        <v>6</v>
      </c>
      <c r="E94" s="5" t="s">
        <v>8</v>
      </c>
      <c r="F94" s="1">
        <v>9</v>
      </c>
      <c r="G94" s="1">
        <v>4</v>
      </c>
      <c r="H94" s="1" t="s">
        <v>8</v>
      </c>
      <c r="I94" s="5">
        <f>IF(IF(Table442466656974[[#This Row],[Pre or Post]]="Pre",1,0)+IF(ISNUMBER(Table442466656974[[#This Row],[Response]])=TRUE,1,0)=2,1,"")</f>
        <v>1</v>
      </c>
      <c r="J94" s="5" t="str">
        <f>IF(IF(Table442466656974[[#This Row],[Pre or Post]]="Post",1,0)+IF(ISNUMBER(Table442466656974[[#This Row],[Response]])=TRUE,1,0)=2,1,"")</f>
        <v/>
      </c>
      <c r="K94" s="6">
        <f>IF(IF(Table442466656974[[#This Row],[Pre or Post]]="Pre",1,0)+IF(ISNUMBER(Table442466656974[[#This Row],[Response]])=TRUE,1,0)=2,Table442466656974[[#This Row],[Response]],"")</f>
        <v>4</v>
      </c>
      <c r="L94" s="6" t="str">
        <f>IF(IF(Table442466656974[[#This Row],[Pre or Post]]="Post",1,0)+IF(ISNUMBER(Table442466656974[[#This Row],[Response]])=TRUE,1,0)=2,Table442466656974[[#This Row],[Response]],"")</f>
        <v/>
      </c>
      <c r="M94" s="5">
        <f>IF(IF(ISNUMBER(K94),1,0)+IF(ISNUMBER(L95),1,0)=2,IF(IF(C95=C94,1,0)+IF(B95=B94,1,0)+IF(D95="Post",1,0)+IF(D94="Pre",1,0)=4,Table442466656974[[#This Row],[Pre Total]],""),"")</f>
        <v>4</v>
      </c>
      <c r="N94" s="5" t="str">
        <f>IF(IF(ISNUMBER(K93),1,0)+IF(ISNUMBER(Table442466656974[[#This Row],[Post Total]]),1,0)=2,IF(IF(Table442466656974[[#This Row],[Student Number]]=C93,1,0)+IF(Table442466656974[[#This Row],[Session]]=B93,1,0)+IF(Table442466656974[[#This Row],[Pre or Post]]="Post",1,0)+IF(D93="Pre",1,0)=4,Table442466656974[[#This Row],[Post Total]],""),"")</f>
        <v/>
      </c>
      <c r="O94" s="5" t="str">
        <f>IF(IF(ISNUMBER(K93),1,0)+IF(ISNUMBER(Table442466656974[[#This Row],[Post Total]]),1,0)=2,IF(IF(Table442466656974[[#This Row],[Student Number]]=C93,1,0)+IF(Table442466656974[[#This Row],[Session]]=B93,1,0)+IF(Table442466656974[[#This Row],[Pre or Post]]="Post",1,0)+IF(D93="Pre",1,0)=4,Table442466656974[[#This Row],[Post Total]]-K93,""),"")</f>
        <v/>
      </c>
      <c r="P94" s="5" t="b">
        <f>ISNUMBER(Table442466656974[[#This Row],[Change]])</f>
        <v>0</v>
      </c>
      <c r="Q94" s="5" t="str">
        <f>IF(E93="Yes",Table442466656974[[#This Row],[Change]],"")</f>
        <v/>
      </c>
      <c r="R94" s="5" t="str">
        <f>IF(E93="No",Table442466656974[[#This Row],[Change]],"")</f>
        <v/>
      </c>
      <c r="S94" s="5" t="b">
        <f>ISNUMBER(Table442466656974[[#This Row],[If Pre5 Yes]])</f>
        <v>0</v>
      </c>
      <c r="T94" s="5" t="b">
        <f>ISNUMBER(Table442466656974[[#This Row],[If Pre5 No]])</f>
        <v>0</v>
      </c>
    </row>
    <row r="95" spans="1:20">
      <c r="A95" s="1" t="s">
        <v>12</v>
      </c>
      <c r="B95" s="1" t="s">
        <v>10</v>
      </c>
      <c r="C95" s="1">
        <v>12</v>
      </c>
      <c r="D95" s="1" t="s">
        <v>16</v>
      </c>
      <c r="E95" s="5"/>
      <c r="F95" s="1">
        <v>2</v>
      </c>
      <c r="G95" s="1">
        <v>5</v>
      </c>
      <c r="H95" s="1" t="s">
        <v>8</v>
      </c>
      <c r="I95" s="5" t="str">
        <f>IF(IF(Table442466656974[[#This Row],[Pre or Post]]="Pre",1,0)+IF(ISNUMBER(Table442466656974[[#This Row],[Response]])=TRUE,1,0)=2,1,"")</f>
        <v/>
      </c>
      <c r="J95" s="5">
        <f>IF(IF(Table442466656974[[#This Row],[Pre or Post]]="Post",1,0)+IF(ISNUMBER(Table442466656974[[#This Row],[Response]])=TRUE,1,0)=2,1,"")</f>
        <v>1</v>
      </c>
      <c r="K95" s="6" t="str">
        <f>IF(IF(Table442466656974[[#This Row],[Pre or Post]]="Pre",1,0)+IF(ISNUMBER(Table442466656974[[#This Row],[Response]])=TRUE,1,0)=2,Table442466656974[[#This Row],[Response]],"")</f>
        <v/>
      </c>
      <c r="L95" s="6">
        <f>IF(IF(Table442466656974[[#This Row],[Pre or Post]]="Post",1,0)+IF(ISNUMBER(Table442466656974[[#This Row],[Response]])=TRUE,1,0)=2,Table442466656974[[#This Row],[Response]],"")</f>
        <v>5</v>
      </c>
      <c r="M95" s="5" t="str">
        <f>IF(IF(ISNUMBER(K95),1,0)+IF(ISNUMBER(L96),1,0)=2,IF(IF(C96=C95,1,0)+IF(B96=B95,1,0)+IF(D96="Post",1,0)+IF(D95="Pre",1,0)=4,Table442466656974[[#This Row],[Pre Total]],""),"")</f>
        <v/>
      </c>
      <c r="N95" s="5">
        <f>IF(IF(ISNUMBER(K94),1,0)+IF(ISNUMBER(Table442466656974[[#This Row],[Post Total]]),1,0)=2,IF(IF(Table442466656974[[#This Row],[Student Number]]=C94,1,0)+IF(Table442466656974[[#This Row],[Session]]=B94,1,0)+IF(Table442466656974[[#This Row],[Pre or Post]]="Post",1,0)+IF(D94="Pre",1,0)=4,Table442466656974[[#This Row],[Post Total]],""),"")</f>
        <v>5</v>
      </c>
      <c r="O95" s="5">
        <f>IF(IF(ISNUMBER(K94),1,0)+IF(ISNUMBER(Table442466656974[[#This Row],[Post Total]]),1,0)=2,IF(IF(Table442466656974[[#This Row],[Student Number]]=C94,1,0)+IF(Table442466656974[[#This Row],[Session]]=B94,1,0)+IF(Table442466656974[[#This Row],[Pre or Post]]="Post",1,0)+IF(D94="Pre",1,0)=4,Table442466656974[[#This Row],[Post Total]]-K94,""),"")</f>
        <v>1</v>
      </c>
      <c r="P95" s="5" t="b">
        <f>ISNUMBER(Table442466656974[[#This Row],[Change]])</f>
        <v>1</v>
      </c>
      <c r="Q95" s="5">
        <f>IF(E94="Yes",Table442466656974[[#This Row],[Change]],"")</f>
        <v>1</v>
      </c>
      <c r="R95" s="5" t="str">
        <f>IF(E94="No",Table442466656974[[#This Row],[Change]],"")</f>
        <v/>
      </c>
      <c r="S95" s="5" t="b">
        <f>ISNUMBER(Table442466656974[[#This Row],[If Pre5 Yes]])</f>
        <v>1</v>
      </c>
      <c r="T95" s="5" t="b">
        <f>ISNUMBER(Table442466656974[[#This Row],[If Pre5 No]])</f>
        <v>0</v>
      </c>
    </row>
    <row r="96" spans="1:20">
      <c r="A96" s="1" t="s">
        <v>12</v>
      </c>
      <c r="B96" s="1" t="s">
        <v>10</v>
      </c>
      <c r="C96" s="1">
        <v>13</v>
      </c>
      <c r="D96" s="1" t="s">
        <v>6</v>
      </c>
      <c r="E96" s="5" t="s">
        <v>8</v>
      </c>
      <c r="F96" s="1">
        <v>9</v>
      </c>
      <c r="G96" s="1">
        <v>3</v>
      </c>
      <c r="H96" s="1" t="s">
        <v>8</v>
      </c>
      <c r="I96" s="6">
        <f>IF(IF(Table442466656974[[#This Row],[Pre or Post]]="Pre",1,0)+IF(ISNUMBER(Table442466656974[[#This Row],[Response]])=TRUE,1,0)=2,1,"")</f>
        <v>1</v>
      </c>
      <c r="J96" s="6" t="str">
        <f>IF(IF(Table442466656974[[#This Row],[Pre or Post]]="Post",1,0)+IF(ISNUMBER(Table442466656974[[#This Row],[Response]])=TRUE,1,0)=2,1,"")</f>
        <v/>
      </c>
      <c r="K96" s="6">
        <f>IF(IF(Table442466656974[[#This Row],[Pre or Post]]="Pre",1,0)+IF(ISNUMBER(Table442466656974[[#This Row],[Response]])=TRUE,1,0)=2,Table442466656974[[#This Row],[Response]],"")</f>
        <v>3</v>
      </c>
      <c r="L96" s="6" t="str">
        <f>IF(IF(Table442466656974[[#This Row],[Pre or Post]]="Post",1,0)+IF(ISNUMBER(Table442466656974[[#This Row],[Response]])=TRUE,1,0)=2,Table442466656974[[#This Row],[Response]],"")</f>
        <v/>
      </c>
      <c r="M96" s="5">
        <f>IF(IF(ISNUMBER(K96),1,0)+IF(ISNUMBER(L97),1,0)=2,IF(IF(C97=C96,1,0)+IF(B97=B96,1,0)+IF(D97="Post",1,0)+IF(D96="Pre",1,0)=4,Table442466656974[[#This Row],[Pre Total]],""),"")</f>
        <v>3</v>
      </c>
      <c r="N96" s="6" t="str">
        <f>IF(IF(ISNUMBER(K95),1,0)+IF(ISNUMBER(Table442466656974[[#This Row],[Post Total]]),1,0)=2,IF(IF(Table442466656974[[#This Row],[Student Number]]=C95,1,0)+IF(Table442466656974[[#This Row],[Session]]=B95,1,0)+IF(Table442466656974[[#This Row],[Pre or Post]]="Post",1,0)+IF(D95="Pre",1,0)=4,Table442466656974[[#This Row],[Post Total]],""),"")</f>
        <v/>
      </c>
      <c r="O96" s="6" t="str">
        <f>IF(IF(ISNUMBER(K95),1,0)+IF(ISNUMBER(Table442466656974[[#This Row],[Post Total]]),1,0)=2,IF(IF(Table442466656974[[#This Row],[Student Number]]=C95,1,0)+IF(Table442466656974[[#This Row],[Session]]=B95,1,0)+IF(Table442466656974[[#This Row],[Pre or Post]]="Post",1,0)+IF(D95="Pre",1,0)=4,Table442466656974[[#This Row],[Post Total]]-K95,""),"")</f>
        <v/>
      </c>
      <c r="P96" s="6" t="b">
        <f>ISNUMBER(Table442466656974[[#This Row],[Change]])</f>
        <v>0</v>
      </c>
      <c r="Q96" s="5" t="str">
        <f>IF(E95="Yes",Table442466656974[[#This Row],[Change]],"")</f>
        <v/>
      </c>
      <c r="R96" s="5" t="str">
        <f>IF(E95="No",Table442466656974[[#This Row],[Change]],"")</f>
        <v/>
      </c>
      <c r="S96" s="5" t="b">
        <f>ISNUMBER(Table442466656974[[#This Row],[If Pre5 Yes]])</f>
        <v>0</v>
      </c>
      <c r="T96" s="5" t="b">
        <f>ISNUMBER(Table442466656974[[#This Row],[If Pre5 No]])</f>
        <v>0</v>
      </c>
    </row>
    <row r="97" spans="1:20">
      <c r="A97" s="1" t="s">
        <v>12</v>
      </c>
      <c r="B97" s="1" t="s">
        <v>10</v>
      </c>
      <c r="C97" s="1">
        <v>13</v>
      </c>
      <c r="D97" s="1" t="s">
        <v>16</v>
      </c>
      <c r="E97" s="5"/>
      <c r="F97" s="1">
        <v>2</v>
      </c>
      <c r="G97" s="1">
        <v>4</v>
      </c>
      <c r="H97" s="1" t="s">
        <v>8</v>
      </c>
      <c r="I97" s="6" t="str">
        <f>IF(IF(Table442466656974[[#This Row],[Pre or Post]]="Pre",1,0)+IF(ISNUMBER(Table442466656974[[#This Row],[Response]])=TRUE,1,0)=2,1,"")</f>
        <v/>
      </c>
      <c r="J97" s="6">
        <f>IF(IF(Table442466656974[[#This Row],[Pre or Post]]="Post",1,0)+IF(ISNUMBER(Table442466656974[[#This Row],[Response]])=TRUE,1,0)=2,1,"")</f>
        <v>1</v>
      </c>
      <c r="K97" s="6" t="str">
        <f>IF(IF(Table442466656974[[#This Row],[Pre or Post]]="Pre",1,0)+IF(ISNUMBER(Table442466656974[[#This Row],[Response]])=TRUE,1,0)=2,Table442466656974[[#This Row],[Response]],"")</f>
        <v/>
      </c>
      <c r="L97" s="6">
        <f>IF(IF(Table442466656974[[#This Row],[Pre or Post]]="Post",1,0)+IF(ISNUMBER(Table442466656974[[#This Row],[Response]])=TRUE,1,0)=2,Table442466656974[[#This Row],[Response]],"")</f>
        <v>4</v>
      </c>
      <c r="M97" s="6" t="str">
        <f>IF(IF(ISNUMBER(K97),1,0)+IF(ISNUMBER(L98),1,0)=2,IF(IF(C98=C97,1,0)+IF(B98=B97,1,0)+IF(D98="Post",1,0)+IF(D97="Pre",1,0)=4,Table442466656974[[#This Row],[Pre Total]],""),"")</f>
        <v/>
      </c>
      <c r="N97" s="6">
        <f>IF(IF(ISNUMBER(K96),1,0)+IF(ISNUMBER(Table442466656974[[#This Row],[Post Total]]),1,0)=2,IF(IF(Table442466656974[[#This Row],[Student Number]]=C96,1,0)+IF(Table442466656974[[#This Row],[Session]]=B96,1,0)+IF(Table442466656974[[#This Row],[Pre or Post]]="Post",1,0)+IF(D96="Pre",1,0)=4,Table442466656974[[#This Row],[Post Total]],""),"")</f>
        <v>4</v>
      </c>
      <c r="O97" s="6">
        <f>IF(IF(ISNUMBER(K96),1,0)+IF(ISNUMBER(Table442466656974[[#This Row],[Post Total]]),1,0)=2,IF(IF(Table442466656974[[#This Row],[Student Number]]=C96,1,0)+IF(Table442466656974[[#This Row],[Session]]=B96,1,0)+IF(Table442466656974[[#This Row],[Pre or Post]]="Post",1,0)+IF(D96="Pre",1,0)=4,Table442466656974[[#This Row],[Post Total]]-K96,""),"")</f>
        <v>1</v>
      </c>
      <c r="P97" s="6" t="b">
        <f>ISNUMBER(Table442466656974[[#This Row],[Change]])</f>
        <v>1</v>
      </c>
      <c r="Q97" s="5">
        <f>IF(E96="Yes",Table442466656974[[#This Row],[Change]],"")</f>
        <v>1</v>
      </c>
      <c r="R97" s="5" t="str">
        <f>IF(E96="No",Table442466656974[[#This Row],[Change]],"")</f>
        <v/>
      </c>
      <c r="S97" s="5" t="b">
        <f>ISNUMBER(Table442466656974[[#This Row],[If Pre5 Yes]])</f>
        <v>1</v>
      </c>
      <c r="T97" s="5" t="b">
        <f>ISNUMBER(Table442466656974[[#This Row],[If Pre5 No]])</f>
        <v>0</v>
      </c>
    </row>
    <row r="98" spans="1:20">
      <c r="A98" s="1" t="s">
        <v>12</v>
      </c>
      <c r="B98" s="1" t="s">
        <v>10</v>
      </c>
      <c r="C98" s="1">
        <v>14</v>
      </c>
      <c r="D98" s="1" t="s">
        <v>6</v>
      </c>
      <c r="E98" s="5" t="s">
        <v>8</v>
      </c>
      <c r="F98" s="1">
        <v>9</v>
      </c>
      <c r="G98" s="1">
        <v>4</v>
      </c>
      <c r="H98" s="1" t="s">
        <v>8</v>
      </c>
      <c r="I98" s="5">
        <f>IF(IF(Table442466656974[[#This Row],[Pre or Post]]="Pre",1,0)+IF(ISNUMBER(Table442466656974[[#This Row],[Response]])=TRUE,1,0)=2,1,"")</f>
        <v>1</v>
      </c>
      <c r="J98" s="5" t="str">
        <f>IF(IF(Table442466656974[[#This Row],[Pre or Post]]="Post",1,0)+IF(ISNUMBER(Table442466656974[[#This Row],[Response]])=TRUE,1,0)=2,1,"")</f>
        <v/>
      </c>
      <c r="K98" s="6">
        <f>IF(IF(Table442466656974[[#This Row],[Pre or Post]]="Pre",1,0)+IF(ISNUMBER(Table442466656974[[#This Row],[Response]])=TRUE,1,0)=2,Table442466656974[[#This Row],[Response]],"")</f>
        <v>4</v>
      </c>
      <c r="L98" s="6" t="str">
        <f>IF(IF(Table442466656974[[#This Row],[Pre or Post]]="Post",1,0)+IF(ISNUMBER(Table442466656974[[#This Row],[Response]])=TRUE,1,0)=2,Table442466656974[[#This Row],[Response]],"")</f>
        <v/>
      </c>
      <c r="M98" s="5">
        <f>IF(IF(ISNUMBER(K98),1,0)+IF(ISNUMBER(L99),1,0)=2,IF(IF(C99=C98,1,0)+IF(B99=B98,1,0)+IF(D99="Post",1,0)+IF(D98="Pre",1,0)=4,Table442466656974[[#This Row],[Pre Total]],""),"")</f>
        <v>4</v>
      </c>
      <c r="N98" s="5" t="str">
        <f>IF(IF(ISNUMBER(K97),1,0)+IF(ISNUMBER(Table442466656974[[#This Row],[Post Total]]),1,0)=2,IF(IF(Table442466656974[[#This Row],[Student Number]]=C97,1,0)+IF(Table442466656974[[#This Row],[Session]]=B97,1,0)+IF(Table442466656974[[#This Row],[Pre or Post]]="Post",1,0)+IF(D97="Pre",1,0)=4,Table442466656974[[#This Row],[Post Total]],""),"")</f>
        <v/>
      </c>
      <c r="O98" s="5" t="str">
        <f>IF(IF(ISNUMBER(K97),1,0)+IF(ISNUMBER(Table442466656974[[#This Row],[Post Total]]),1,0)=2,IF(IF(Table442466656974[[#This Row],[Student Number]]=C97,1,0)+IF(Table442466656974[[#This Row],[Session]]=B97,1,0)+IF(Table442466656974[[#This Row],[Pre or Post]]="Post",1,0)+IF(D97="Pre",1,0)=4,Table442466656974[[#This Row],[Post Total]]-K97,""),"")</f>
        <v/>
      </c>
      <c r="P98" s="5" t="b">
        <f>ISNUMBER(Table442466656974[[#This Row],[Change]])</f>
        <v>0</v>
      </c>
      <c r="Q98" s="5" t="str">
        <f>IF(E97="Yes",Table442466656974[[#This Row],[Change]],"")</f>
        <v/>
      </c>
      <c r="R98" s="5" t="str">
        <f>IF(E97="No",Table442466656974[[#This Row],[Change]],"")</f>
        <v/>
      </c>
      <c r="S98" s="5" t="b">
        <f>ISNUMBER(Table442466656974[[#This Row],[If Pre5 Yes]])</f>
        <v>0</v>
      </c>
      <c r="T98" s="5" t="b">
        <f>ISNUMBER(Table442466656974[[#This Row],[If Pre5 No]])</f>
        <v>0</v>
      </c>
    </row>
    <row r="99" spans="1:20">
      <c r="A99" s="1" t="s">
        <v>12</v>
      </c>
      <c r="B99" s="1" t="s">
        <v>10</v>
      </c>
      <c r="C99" s="1">
        <v>14</v>
      </c>
      <c r="D99" s="1" t="s">
        <v>16</v>
      </c>
      <c r="E99" s="5"/>
      <c r="F99" s="1">
        <v>2</v>
      </c>
      <c r="G99" s="1">
        <v>4</v>
      </c>
      <c r="H99" s="1" t="s">
        <v>8</v>
      </c>
      <c r="I99" s="6" t="str">
        <f>IF(IF(Table442466656974[[#This Row],[Pre or Post]]="Pre",1,0)+IF(ISNUMBER(Table442466656974[[#This Row],[Response]])=TRUE,1,0)=2,1,"")</f>
        <v/>
      </c>
      <c r="J99" s="6">
        <f>IF(IF(Table442466656974[[#This Row],[Pre or Post]]="Post",1,0)+IF(ISNUMBER(Table442466656974[[#This Row],[Response]])=TRUE,1,0)=2,1,"")</f>
        <v>1</v>
      </c>
      <c r="K99" s="6" t="str">
        <f>IF(IF(Table442466656974[[#This Row],[Pre or Post]]="Pre",1,0)+IF(ISNUMBER(Table442466656974[[#This Row],[Response]])=TRUE,1,0)=2,Table442466656974[[#This Row],[Response]],"")</f>
        <v/>
      </c>
      <c r="L99" s="6">
        <f>IF(IF(Table442466656974[[#This Row],[Pre or Post]]="Post",1,0)+IF(ISNUMBER(Table442466656974[[#This Row],[Response]])=TRUE,1,0)=2,Table442466656974[[#This Row],[Response]],"")</f>
        <v>4</v>
      </c>
      <c r="M99" s="6" t="str">
        <f>IF(IF(ISNUMBER(K99),1,0)+IF(ISNUMBER(L100),1,0)=2,IF(IF(C100=C99,1,0)+IF(B100=B99,1,0)+IF(D100="Post",1,0)+IF(D99="Pre",1,0)=4,Table442466656974[[#This Row],[Pre Total]],""),"")</f>
        <v/>
      </c>
      <c r="N99" s="6">
        <f>IF(IF(ISNUMBER(K98),1,0)+IF(ISNUMBER(Table442466656974[[#This Row],[Post Total]]),1,0)=2,IF(IF(Table442466656974[[#This Row],[Student Number]]=C98,1,0)+IF(Table442466656974[[#This Row],[Session]]=B98,1,0)+IF(Table442466656974[[#This Row],[Pre or Post]]="Post",1,0)+IF(D98="Pre",1,0)=4,Table442466656974[[#This Row],[Post Total]],""),"")</f>
        <v>4</v>
      </c>
      <c r="O99" s="6">
        <f>IF(IF(ISNUMBER(K98),1,0)+IF(ISNUMBER(Table442466656974[[#This Row],[Post Total]]),1,0)=2,IF(IF(Table442466656974[[#This Row],[Student Number]]=C98,1,0)+IF(Table442466656974[[#This Row],[Session]]=B98,1,0)+IF(Table442466656974[[#This Row],[Pre or Post]]="Post",1,0)+IF(D98="Pre",1,0)=4,Table442466656974[[#This Row],[Post Total]]-K98,""),"")</f>
        <v>0</v>
      </c>
      <c r="P99" s="6" t="b">
        <f>ISNUMBER(Table442466656974[[#This Row],[Change]])</f>
        <v>1</v>
      </c>
      <c r="Q99" s="5">
        <f>IF(E98="Yes",Table442466656974[[#This Row],[Change]],"")</f>
        <v>0</v>
      </c>
      <c r="R99" s="5" t="str">
        <f>IF(E98="No",Table442466656974[[#This Row],[Change]],"")</f>
        <v/>
      </c>
      <c r="S99" s="5" t="b">
        <f>ISNUMBER(Table442466656974[[#This Row],[If Pre5 Yes]])</f>
        <v>1</v>
      </c>
      <c r="T99" s="5" t="b">
        <f>ISNUMBER(Table442466656974[[#This Row],[If Pre5 No]])</f>
        <v>0</v>
      </c>
    </row>
    <row r="100" spans="1:20">
      <c r="A100" s="1" t="s">
        <v>12</v>
      </c>
      <c r="B100" s="1" t="s">
        <v>10</v>
      </c>
      <c r="C100" s="1">
        <v>15</v>
      </c>
      <c r="D100" s="1" t="s">
        <v>6</v>
      </c>
      <c r="E100" s="5" t="s">
        <v>8</v>
      </c>
      <c r="F100" s="1">
        <v>9</v>
      </c>
      <c r="G100" s="1">
        <v>3</v>
      </c>
      <c r="H100" s="1" t="s">
        <v>8</v>
      </c>
      <c r="I100" s="6">
        <f>IF(IF(Table442466656974[[#This Row],[Pre or Post]]="Pre",1,0)+IF(ISNUMBER(Table442466656974[[#This Row],[Response]])=TRUE,1,0)=2,1,"")</f>
        <v>1</v>
      </c>
      <c r="J100" s="6" t="str">
        <f>IF(IF(Table442466656974[[#This Row],[Pre or Post]]="Post",1,0)+IF(ISNUMBER(Table442466656974[[#This Row],[Response]])=TRUE,1,0)=2,1,"")</f>
        <v/>
      </c>
      <c r="K100" s="6">
        <f>IF(IF(Table442466656974[[#This Row],[Pre or Post]]="Pre",1,0)+IF(ISNUMBER(Table442466656974[[#This Row],[Response]])=TRUE,1,0)=2,Table442466656974[[#This Row],[Response]],"")</f>
        <v>3</v>
      </c>
      <c r="L100" s="6" t="str">
        <f>IF(IF(Table442466656974[[#This Row],[Pre or Post]]="Post",1,0)+IF(ISNUMBER(Table442466656974[[#This Row],[Response]])=TRUE,1,0)=2,Table442466656974[[#This Row],[Response]],"")</f>
        <v/>
      </c>
      <c r="M100" s="5">
        <f>IF(IF(ISNUMBER(K100),1,0)+IF(ISNUMBER(L101),1,0)=2,IF(IF(C101=C100,1,0)+IF(B101=B100,1,0)+IF(D101="Post",1,0)+IF(D100="Pre",1,0)=4,Table442466656974[[#This Row],[Pre Total]],""),"")</f>
        <v>3</v>
      </c>
      <c r="N100" s="6" t="str">
        <f>IF(IF(ISNUMBER(K99),1,0)+IF(ISNUMBER(Table442466656974[[#This Row],[Post Total]]),1,0)=2,IF(IF(Table442466656974[[#This Row],[Student Number]]=C99,1,0)+IF(Table442466656974[[#This Row],[Session]]=B99,1,0)+IF(Table442466656974[[#This Row],[Pre or Post]]="Post",1,0)+IF(D99="Pre",1,0)=4,Table442466656974[[#This Row],[Post Total]],""),"")</f>
        <v/>
      </c>
      <c r="O100" s="6" t="str">
        <f>IF(IF(ISNUMBER(K99),1,0)+IF(ISNUMBER(Table442466656974[[#This Row],[Post Total]]),1,0)=2,IF(IF(Table442466656974[[#This Row],[Student Number]]=C99,1,0)+IF(Table442466656974[[#This Row],[Session]]=B99,1,0)+IF(Table442466656974[[#This Row],[Pre or Post]]="Post",1,0)+IF(D99="Pre",1,0)=4,Table442466656974[[#This Row],[Post Total]]-K99,""),"")</f>
        <v/>
      </c>
      <c r="P100" s="6" t="b">
        <f>ISNUMBER(Table442466656974[[#This Row],[Change]])</f>
        <v>0</v>
      </c>
      <c r="Q100" s="5" t="str">
        <f>IF(E99="Yes",Table442466656974[[#This Row],[Change]],"")</f>
        <v/>
      </c>
      <c r="R100" s="5" t="str">
        <f>IF(E99="No",Table442466656974[[#This Row],[Change]],"")</f>
        <v/>
      </c>
      <c r="S100" s="5" t="b">
        <f>ISNUMBER(Table442466656974[[#This Row],[If Pre5 Yes]])</f>
        <v>0</v>
      </c>
      <c r="T100" s="5" t="b">
        <f>ISNUMBER(Table442466656974[[#This Row],[If Pre5 No]])</f>
        <v>0</v>
      </c>
    </row>
    <row r="101" spans="1:20">
      <c r="A101" s="1" t="s">
        <v>12</v>
      </c>
      <c r="B101" s="1" t="s">
        <v>10</v>
      </c>
      <c r="C101" s="1">
        <v>15</v>
      </c>
      <c r="D101" s="1" t="s">
        <v>16</v>
      </c>
      <c r="E101" s="5"/>
      <c r="F101" s="1">
        <v>2</v>
      </c>
      <c r="G101" s="1">
        <v>2</v>
      </c>
      <c r="H101" s="1" t="s">
        <v>8</v>
      </c>
      <c r="I101" s="5" t="str">
        <f>IF(IF(Table442466656974[[#This Row],[Pre or Post]]="Pre",1,0)+IF(ISNUMBER(Table442466656974[[#This Row],[Response]])=TRUE,1,0)=2,1,"")</f>
        <v/>
      </c>
      <c r="J101" s="5">
        <f>IF(IF(Table442466656974[[#This Row],[Pre or Post]]="Post",1,0)+IF(ISNUMBER(Table442466656974[[#This Row],[Response]])=TRUE,1,0)=2,1,"")</f>
        <v>1</v>
      </c>
      <c r="K101" s="6" t="str">
        <f>IF(IF(Table442466656974[[#This Row],[Pre or Post]]="Pre",1,0)+IF(ISNUMBER(Table442466656974[[#This Row],[Response]])=TRUE,1,0)=2,Table442466656974[[#This Row],[Response]],"")</f>
        <v/>
      </c>
      <c r="L101" s="6">
        <f>IF(IF(Table442466656974[[#This Row],[Pre or Post]]="Post",1,0)+IF(ISNUMBER(Table442466656974[[#This Row],[Response]])=TRUE,1,0)=2,Table442466656974[[#This Row],[Response]],"")</f>
        <v>2</v>
      </c>
      <c r="M101" s="5" t="str">
        <f>IF(IF(ISNUMBER(K101),1,0)+IF(ISNUMBER(L102),1,0)=2,IF(IF(C102=C101,1,0)+IF(B102=B101,1,0)+IF(D102="Post",1,0)+IF(D101="Pre",1,0)=4,Table442466656974[[#This Row],[Pre Total]],""),"")</f>
        <v/>
      </c>
      <c r="N101" s="5">
        <f>IF(IF(ISNUMBER(K100),1,0)+IF(ISNUMBER(Table442466656974[[#This Row],[Post Total]]),1,0)=2,IF(IF(Table442466656974[[#This Row],[Student Number]]=C100,1,0)+IF(Table442466656974[[#This Row],[Session]]=B100,1,0)+IF(Table442466656974[[#This Row],[Pre or Post]]="Post",1,0)+IF(D100="Pre",1,0)=4,Table442466656974[[#This Row],[Post Total]],""),"")</f>
        <v>2</v>
      </c>
      <c r="O101" s="5">
        <f>IF(IF(ISNUMBER(K100),1,0)+IF(ISNUMBER(Table442466656974[[#This Row],[Post Total]]),1,0)=2,IF(IF(Table442466656974[[#This Row],[Student Number]]=C100,1,0)+IF(Table442466656974[[#This Row],[Session]]=B100,1,0)+IF(Table442466656974[[#This Row],[Pre or Post]]="Post",1,0)+IF(D100="Pre",1,0)=4,Table442466656974[[#This Row],[Post Total]]-K100,""),"")</f>
        <v>-1</v>
      </c>
      <c r="P101" s="5" t="b">
        <f>ISNUMBER(Table442466656974[[#This Row],[Change]])</f>
        <v>1</v>
      </c>
      <c r="Q101" s="5">
        <f>IF(E100="Yes",Table442466656974[[#This Row],[Change]],"")</f>
        <v>-1</v>
      </c>
      <c r="R101" s="5" t="str">
        <f>IF(E100="No",Table442466656974[[#This Row],[Change]],"")</f>
        <v/>
      </c>
      <c r="S101" s="5" t="b">
        <f>ISNUMBER(Table442466656974[[#This Row],[If Pre5 Yes]])</f>
        <v>1</v>
      </c>
      <c r="T101" s="5" t="b">
        <f>ISNUMBER(Table442466656974[[#This Row],[If Pre5 No]])</f>
        <v>0</v>
      </c>
    </row>
    <row r="102" spans="1:20">
      <c r="A102" s="1" t="s">
        <v>12</v>
      </c>
      <c r="B102" s="1" t="s">
        <v>10</v>
      </c>
      <c r="C102" s="1">
        <v>16</v>
      </c>
      <c r="D102" s="1" t="s">
        <v>6</v>
      </c>
      <c r="E102" s="5" t="s">
        <v>8</v>
      </c>
      <c r="F102" s="1">
        <v>9</v>
      </c>
      <c r="G102" s="1">
        <v>3</v>
      </c>
      <c r="H102" s="1" t="s">
        <v>8</v>
      </c>
      <c r="I102" s="5">
        <f>IF(IF(Table442466656974[[#This Row],[Pre or Post]]="Pre",1,0)+IF(ISNUMBER(Table442466656974[[#This Row],[Response]])=TRUE,1,0)=2,1,"")</f>
        <v>1</v>
      </c>
      <c r="J102" s="5" t="str">
        <f>IF(IF(Table442466656974[[#This Row],[Pre or Post]]="Post",1,0)+IF(ISNUMBER(Table442466656974[[#This Row],[Response]])=TRUE,1,0)=2,1,"")</f>
        <v/>
      </c>
      <c r="K102" s="6">
        <f>IF(IF(Table442466656974[[#This Row],[Pre or Post]]="Pre",1,0)+IF(ISNUMBER(Table442466656974[[#This Row],[Response]])=TRUE,1,0)=2,Table442466656974[[#This Row],[Response]],"")</f>
        <v>3</v>
      </c>
      <c r="L102" s="6" t="str">
        <f>IF(IF(Table442466656974[[#This Row],[Pre or Post]]="Post",1,0)+IF(ISNUMBER(Table442466656974[[#This Row],[Response]])=TRUE,1,0)=2,Table442466656974[[#This Row],[Response]],"")</f>
        <v/>
      </c>
      <c r="M102" s="5">
        <f>IF(IF(ISNUMBER(K102),1,0)+IF(ISNUMBER(L103),1,0)=2,IF(IF(C103=C102,1,0)+IF(B103=B102,1,0)+IF(D103="Post",1,0)+IF(D102="Pre",1,0)=4,Table442466656974[[#This Row],[Pre Total]],""),"")</f>
        <v>3</v>
      </c>
      <c r="N102" s="5" t="str">
        <f>IF(IF(ISNUMBER(K101),1,0)+IF(ISNUMBER(Table442466656974[[#This Row],[Post Total]]),1,0)=2,IF(IF(Table442466656974[[#This Row],[Student Number]]=C101,1,0)+IF(Table442466656974[[#This Row],[Session]]=B101,1,0)+IF(Table442466656974[[#This Row],[Pre or Post]]="Post",1,0)+IF(D101="Pre",1,0)=4,Table442466656974[[#This Row],[Post Total]],""),"")</f>
        <v/>
      </c>
      <c r="O102" s="5" t="str">
        <f>IF(IF(ISNUMBER(K101),1,0)+IF(ISNUMBER(Table442466656974[[#This Row],[Post Total]]),1,0)=2,IF(IF(Table442466656974[[#This Row],[Student Number]]=C101,1,0)+IF(Table442466656974[[#This Row],[Session]]=B101,1,0)+IF(Table442466656974[[#This Row],[Pre or Post]]="Post",1,0)+IF(D101="Pre",1,0)=4,Table442466656974[[#This Row],[Post Total]]-K101,""),"")</f>
        <v/>
      </c>
      <c r="P102" s="5" t="b">
        <f>ISNUMBER(Table442466656974[[#This Row],[Change]])</f>
        <v>0</v>
      </c>
      <c r="Q102" s="5" t="str">
        <f>IF(E101="Yes",Table442466656974[[#This Row],[Change]],"")</f>
        <v/>
      </c>
      <c r="R102" s="5" t="str">
        <f>IF(E101="No",Table442466656974[[#This Row],[Change]],"")</f>
        <v/>
      </c>
      <c r="S102" s="5" t="b">
        <f>ISNUMBER(Table442466656974[[#This Row],[If Pre5 Yes]])</f>
        <v>0</v>
      </c>
      <c r="T102" s="5" t="b">
        <f>ISNUMBER(Table442466656974[[#This Row],[If Pre5 No]])</f>
        <v>0</v>
      </c>
    </row>
    <row r="103" spans="1:20">
      <c r="A103" s="1" t="s">
        <v>12</v>
      </c>
      <c r="B103" s="1" t="s">
        <v>10</v>
      </c>
      <c r="C103" s="1">
        <v>16</v>
      </c>
      <c r="D103" s="1" t="s">
        <v>16</v>
      </c>
      <c r="E103" s="5"/>
      <c r="F103" s="1">
        <v>2</v>
      </c>
      <c r="G103" s="1">
        <v>3</v>
      </c>
      <c r="H103" s="1" t="s">
        <v>8</v>
      </c>
      <c r="I103" s="5" t="str">
        <f>IF(IF(Table442466656974[[#This Row],[Pre or Post]]="Pre",1,0)+IF(ISNUMBER(Table442466656974[[#This Row],[Response]])=TRUE,1,0)=2,1,"")</f>
        <v/>
      </c>
      <c r="J103" s="5">
        <f>IF(IF(Table442466656974[[#This Row],[Pre or Post]]="Post",1,0)+IF(ISNUMBER(Table442466656974[[#This Row],[Response]])=TRUE,1,0)=2,1,"")</f>
        <v>1</v>
      </c>
      <c r="K103" s="6" t="str">
        <f>IF(IF(Table442466656974[[#This Row],[Pre or Post]]="Pre",1,0)+IF(ISNUMBER(Table442466656974[[#This Row],[Response]])=TRUE,1,0)=2,Table442466656974[[#This Row],[Response]],"")</f>
        <v/>
      </c>
      <c r="L103" s="6">
        <f>IF(IF(Table442466656974[[#This Row],[Pre or Post]]="Post",1,0)+IF(ISNUMBER(Table442466656974[[#This Row],[Response]])=TRUE,1,0)=2,Table442466656974[[#This Row],[Response]],"")</f>
        <v>3</v>
      </c>
      <c r="M103" s="5" t="str">
        <f>IF(IF(ISNUMBER(K103),1,0)+IF(ISNUMBER(L104),1,0)=2,IF(IF(C104=C103,1,0)+IF(B104=B103,1,0)+IF(D104="Post",1,0)+IF(D103="Pre",1,0)=4,Table442466656974[[#This Row],[Pre Total]],""),"")</f>
        <v/>
      </c>
      <c r="N103" s="5">
        <f>IF(IF(ISNUMBER(K102),1,0)+IF(ISNUMBER(Table442466656974[[#This Row],[Post Total]]),1,0)=2,IF(IF(Table442466656974[[#This Row],[Student Number]]=C102,1,0)+IF(Table442466656974[[#This Row],[Session]]=B102,1,0)+IF(Table442466656974[[#This Row],[Pre or Post]]="Post",1,0)+IF(D102="Pre",1,0)=4,Table442466656974[[#This Row],[Post Total]],""),"")</f>
        <v>3</v>
      </c>
      <c r="O103" s="5">
        <f>IF(IF(ISNUMBER(K102),1,0)+IF(ISNUMBER(Table442466656974[[#This Row],[Post Total]]),1,0)=2,IF(IF(Table442466656974[[#This Row],[Student Number]]=C102,1,0)+IF(Table442466656974[[#This Row],[Session]]=B102,1,0)+IF(Table442466656974[[#This Row],[Pre or Post]]="Post",1,0)+IF(D102="Pre",1,0)=4,Table442466656974[[#This Row],[Post Total]]-K102,""),"")</f>
        <v>0</v>
      </c>
      <c r="P103" s="5" t="b">
        <f>ISNUMBER(Table442466656974[[#This Row],[Change]])</f>
        <v>1</v>
      </c>
      <c r="Q103" s="5">
        <f>IF(E102="Yes",Table442466656974[[#This Row],[Change]],"")</f>
        <v>0</v>
      </c>
      <c r="R103" s="5" t="str">
        <f>IF(E102="No",Table442466656974[[#This Row],[Change]],"")</f>
        <v/>
      </c>
      <c r="S103" s="5" t="b">
        <f>ISNUMBER(Table442466656974[[#This Row],[If Pre5 Yes]])</f>
        <v>1</v>
      </c>
      <c r="T103" s="5" t="b">
        <f>ISNUMBER(Table442466656974[[#This Row],[If Pre5 No]])</f>
        <v>0</v>
      </c>
    </row>
    <row r="104" spans="1:20">
      <c r="A104" s="1" t="s">
        <v>12</v>
      </c>
      <c r="B104" s="1" t="s">
        <v>10</v>
      </c>
      <c r="C104" s="1">
        <v>17</v>
      </c>
      <c r="D104" s="1" t="s">
        <v>6</v>
      </c>
      <c r="E104" s="5" t="s">
        <v>8</v>
      </c>
      <c r="F104" s="1">
        <v>9</v>
      </c>
      <c r="G104" s="1">
        <v>3</v>
      </c>
      <c r="H104" s="1" t="s">
        <v>8</v>
      </c>
      <c r="I104" s="6">
        <f>IF(IF(Table442466656974[[#This Row],[Pre or Post]]="Pre",1,0)+IF(ISNUMBER(Table442466656974[[#This Row],[Response]])=TRUE,1,0)=2,1,"")</f>
        <v>1</v>
      </c>
      <c r="J104" s="6" t="str">
        <f>IF(IF(Table442466656974[[#This Row],[Pre or Post]]="Post",1,0)+IF(ISNUMBER(Table442466656974[[#This Row],[Response]])=TRUE,1,0)=2,1,"")</f>
        <v/>
      </c>
      <c r="K104" s="6">
        <f>IF(IF(Table442466656974[[#This Row],[Pre or Post]]="Pre",1,0)+IF(ISNUMBER(Table442466656974[[#This Row],[Response]])=TRUE,1,0)=2,Table442466656974[[#This Row],[Response]],"")</f>
        <v>3</v>
      </c>
      <c r="L104" s="6" t="str">
        <f>IF(IF(Table442466656974[[#This Row],[Pre or Post]]="Post",1,0)+IF(ISNUMBER(Table442466656974[[#This Row],[Response]])=TRUE,1,0)=2,Table442466656974[[#This Row],[Response]],"")</f>
        <v/>
      </c>
      <c r="M104" s="5">
        <f>IF(IF(ISNUMBER(K104),1,0)+IF(ISNUMBER(L105),1,0)=2,IF(IF(C105=C104,1,0)+IF(B105=B104,1,0)+IF(D105="Post",1,0)+IF(D104="Pre",1,0)=4,Table442466656974[[#This Row],[Pre Total]],""),"")</f>
        <v>3</v>
      </c>
      <c r="N104" s="6" t="str">
        <f>IF(IF(ISNUMBER(K103),1,0)+IF(ISNUMBER(Table442466656974[[#This Row],[Post Total]]),1,0)=2,IF(IF(Table442466656974[[#This Row],[Student Number]]=C103,1,0)+IF(Table442466656974[[#This Row],[Session]]=B103,1,0)+IF(Table442466656974[[#This Row],[Pre or Post]]="Post",1,0)+IF(D103="Pre",1,0)=4,Table442466656974[[#This Row],[Post Total]],""),"")</f>
        <v/>
      </c>
      <c r="O104" s="6" t="str">
        <f>IF(IF(ISNUMBER(K103),1,0)+IF(ISNUMBER(Table442466656974[[#This Row],[Post Total]]),1,0)=2,IF(IF(Table442466656974[[#This Row],[Student Number]]=C103,1,0)+IF(Table442466656974[[#This Row],[Session]]=B103,1,0)+IF(Table442466656974[[#This Row],[Pre or Post]]="Post",1,0)+IF(D103="Pre",1,0)=4,Table442466656974[[#This Row],[Post Total]]-K103,""),"")</f>
        <v/>
      </c>
      <c r="P104" s="6" t="b">
        <f>ISNUMBER(Table442466656974[[#This Row],[Change]])</f>
        <v>0</v>
      </c>
      <c r="Q104" s="5" t="str">
        <f>IF(E103="Yes",Table442466656974[[#This Row],[Change]],"")</f>
        <v/>
      </c>
      <c r="R104" s="5" t="str">
        <f>IF(E103="No",Table442466656974[[#This Row],[Change]],"")</f>
        <v/>
      </c>
      <c r="S104" s="5" t="b">
        <f>ISNUMBER(Table442466656974[[#This Row],[If Pre5 Yes]])</f>
        <v>0</v>
      </c>
      <c r="T104" s="5" t="b">
        <f>ISNUMBER(Table442466656974[[#This Row],[If Pre5 No]])</f>
        <v>0</v>
      </c>
    </row>
    <row r="105" spans="1:20">
      <c r="A105" s="1" t="s">
        <v>12</v>
      </c>
      <c r="B105" s="1" t="s">
        <v>10</v>
      </c>
      <c r="C105" s="1">
        <v>17</v>
      </c>
      <c r="D105" s="1" t="s">
        <v>16</v>
      </c>
      <c r="E105" s="5"/>
      <c r="F105" s="1">
        <v>2</v>
      </c>
      <c r="G105" s="1">
        <v>3</v>
      </c>
      <c r="H105" s="1" t="s">
        <v>8</v>
      </c>
      <c r="I105" s="6" t="str">
        <f>IF(IF(Table442466656974[[#This Row],[Pre or Post]]="Pre",1,0)+IF(ISNUMBER(Table442466656974[[#This Row],[Response]])=TRUE,1,0)=2,1,"")</f>
        <v/>
      </c>
      <c r="J105" s="6">
        <f>IF(IF(Table442466656974[[#This Row],[Pre or Post]]="Post",1,0)+IF(ISNUMBER(Table442466656974[[#This Row],[Response]])=TRUE,1,0)=2,1,"")</f>
        <v>1</v>
      </c>
      <c r="K105" s="6" t="str">
        <f>IF(IF(Table442466656974[[#This Row],[Pre or Post]]="Pre",1,0)+IF(ISNUMBER(Table442466656974[[#This Row],[Response]])=TRUE,1,0)=2,Table442466656974[[#This Row],[Response]],"")</f>
        <v/>
      </c>
      <c r="L105" s="6">
        <f>IF(IF(Table442466656974[[#This Row],[Pre or Post]]="Post",1,0)+IF(ISNUMBER(Table442466656974[[#This Row],[Response]])=TRUE,1,0)=2,Table442466656974[[#This Row],[Response]],"")</f>
        <v>3</v>
      </c>
      <c r="M105" s="6" t="str">
        <f>IF(IF(ISNUMBER(K105),1,0)+IF(ISNUMBER(L106),1,0)=2,IF(IF(C106=C105,1,0)+IF(B106=B105,1,0)+IF(D106="Post",1,0)+IF(D105="Pre",1,0)=4,Table442466656974[[#This Row],[Pre Total]],""),"")</f>
        <v/>
      </c>
      <c r="N105" s="6">
        <f>IF(IF(ISNUMBER(K104),1,0)+IF(ISNUMBER(Table442466656974[[#This Row],[Post Total]]),1,0)=2,IF(IF(Table442466656974[[#This Row],[Student Number]]=C104,1,0)+IF(Table442466656974[[#This Row],[Session]]=B104,1,0)+IF(Table442466656974[[#This Row],[Pre or Post]]="Post",1,0)+IF(D104="Pre",1,0)=4,Table442466656974[[#This Row],[Post Total]],""),"")</f>
        <v>3</v>
      </c>
      <c r="O105" s="6">
        <f>IF(IF(ISNUMBER(K104),1,0)+IF(ISNUMBER(Table442466656974[[#This Row],[Post Total]]),1,0)=2,IF(IF(Table442466656974[[#This Row],[Student Number]]=C104,1,0)+IF(Table442466656974[[#This Row],[Session]]=B104,1,0)+IF(Table442466656974[[#This Row],[Pre or Post]]="Post",1,0)+IF(D104="Pre",1,0)=4,Table442466656974[[#This Row],[Post Total]]-K104,""),"")</f>
        <v>0</v>
      </c>
      <c r="P105" s="6" t="b">
        <f>ISNUMBER(Table442466656974[[#This Row],[Change]])</f>
        <v>1</v>
      </c>
      <c r="Q105" s="5">
        <f>IF(E104="Yes",Table442466656974[[#This Row],[Change]],"")</f>
        <v>0</v>
      </c>
      <c r="R105" s="5" t="str">
        <f>IF(E104="No",Table442466656974[[#This Row],[Change]],"")</f>
        <v/>
      </c>
      <c r="S105" s="5" t="b">
        <f>ISNUMBER(Table442466656974[[#This Row],[If Pre5 Yes]])</f>
        <v>1</v>
      </c>
      <c r="T105" s="5" t="b">
        <f>ISNUMBER(Table442466656974[[#This Row],[If Pre5 No]])</f>
        <v>0</v>
      </c>
    </row>
    <row r="106" spans="1:20">
      <c r="A106" s="1" t="s">
        <v>12</v>
      </c>
      <c r="B106" s="1" t="s">
        <v>10</v>
      </c>
      <c r="C106" s="1">
        <v>18</v>
      </c>
      <c r="D106" s="1" t="s">
        <v>16</v>
      </c>
      <c r="E106" s="5"/>
      <c r="F106" s="1">
        <v>2</v>
      </c>
      <c r="G106" s="1">
        <v>3</v>
      </c>
      <c r="H106" s="1" t="s">
        <v>9</v>
      </c>
      <c r="I106" s="5" t="str">
        <f>IF(IF(Table442466656974[[#This Row],[Pre or Post]]="Pre",1,0)+IF(ISNUMBER(Table442466656974[[#This Row],[Response]])=TRUE,1,0)=2,1,"")</f>
        <v/>
      </c>
      <c r="J106" s="5">
        <f>IF(IF(Table442466656974[[#This Row],[Pre or Post]]="Post",1,0)+IF(ISNUMBER(Table442466656974[[#This Row],[Response]])=TRUE,1,0)=2,1,"")</f>
        <v>1</v>
      </c>
      <c r="K106" s="6" t="str">
        <f>IF(IF(Table442466656974[[#This Row],[Pre or Post]]="Pre",1,0)+IF(ISNUMBER(Table442466656974[[#This Row],[Response]])=TRUE,1,0)=2,Table442466656974[[#This Row],[Response]],"")</f>
        <v/>
      </c>
      <c r="L106" s="6">
        <f>IF(IF(Table442466656974[[#This Row],[Pre or Post]]="Post",1,0)+IF(ISNUMBER(Table442466656974[[#This Row],[Response]])=TRUE,1,0)=2,Table442466656974[[#This Row],[Response]],"")</f>
        <v>3</v>
      </c>
      <c r="M106" s="5" t="str">
        <f>IF(IF(ISNUMBER(K106),1,0)+IF(ISNUMBER(L107),1,0)=2,IF(IF(C107=C106,1,0)+IF(B107=B106,1,0)+IF(D107="Post",1,0)+IF(D106="Pre",1,0)=4,Table442466656974[[#This Row],[Pre Total]],""),"")</f>
        <v/>
      </c>
      <c r="N106" s="5" t="str">
        <f>IF(IF(ISNUMBER(K105),1,0)+IF(ISNUMBER(Table442466656974[[#This Row],[Post Total]]),1,0)=2,IF(IF(Table442466656974[[#This Row],[Student Number]]=C105,1,0)+IF(Table442466656974[[#This Row],[Session]]=B105,1,0)+IF(Table442466656974[[#This Row],[Pre or Post]]="Post",1,0)+IF(D105="Pre",1,0)=4,Table442466656974[[#This Row],[Post Total]],""),"")</f>
        <v/>
      </c>
      <c r="O106" s="5" t="str">
        <f>IF(IF(ISNUMBER(K105),1,0)+IF(ISNUMBER(Table442466656974[[#This Row],[Post Total]]),1,0)=2,IF(IF(Table442466656974[[#This Row],[Student Number]]=C105,1,0)+IF(Table442466656974[[#This Row],[Session]]=B105,1,0)+IF(Table442466656974[[#This Row],[Pre or Post]]="Post",1,0)+IF(D105="Pre",1,0)=4,Table442466656974[[#This Row],[Post Total]]-K105,""),"")</f>
        <v/>
      </c>
      <c r="P106" s="5" t="b">
        <f>ISNUMBER(Table442466656974[[#This Row],[Change]])</f>
        <v>0</v>
      </c>
      <c r="Q106" s="5" t="str">
        <f>IF(E105="Yes",Table442466656974[[#This Row],[Change]],"")</f>
        <v/>
      </c>
      <c r="R106" s="5" t="str">
        <f>IF(E105="No",Table442466656974[[#This Row],[Change]],"")</f>
        <v/>
      </c>
      <c r="S106" s="5" t="b">
        <f>ISNUMBER(Table442466656974[[#This Row],[If Pre5 Yes]])</f>
        <v>0</v>
      </c>
      <c r="T106" s="5" t="b">
        <f>ISNUMBER(Table442466656974[[#This Row],[If Pre5 No]])</f>
        <v>0</v>
      </c>
    </row>
    <row r="107" spans="1:20">
      <c r="A107" s="2"/>
      <c r="B107" s="2"/>
      <c r="C107" s="2"/>
      <c r="D107" s="2"/>
      <c r="E107" s="2"/>
      <c r="F107" s="2"/>
      <c r="G107" s="2"/>
      <c r="H107" s="2"/>
      <c r="I107" s="6">
        <f>SUM([Pre Answers])</f>
        <v>40</v>
      </c>
      <c r="J107" s="6">
        <f>SUM([Post Answers])</f>
        <v>65</v>
      </c>
      <c r="K107" s="2">
        <f>SUM([Pre Total])</f>
        <v>127</v>
      </c>
      <c r="L107" s="2">
        <f>SUM([Post Total])</f>
        <v>212</v>
      </c>
      <c r="M107" s="2">
        <f>SUM([Pre Total (Pooled)])</f>
        <v>127</v>
      </c>
      <c r="N107" s="2">
        <f>SUM([Post Total (Pooled)])</f>
        <v>127</v>
      </c>
      <c r="O107" s="2">
        <f>SUM([Change])</f>
        <v>0</v>
      </c>
      <c r="P107" s="2">
        <f>COUNTIF([Number 2 Resp],TRUE)</f>
        <v>40</v>
      </c>
      <c r="Q107" s="2">
        <f>SUM([If Pre5 Yes])</f>
        <v>0</v>
      </c>
      <c r="R107" s="2">
        <f>SUM([If Pre5 No])</f>
        <v>0</v>
      </c>
      <c r="S107" s="2">
        <f>COUNTIF([Pre5 Yes Answers],"TRUE")</f>
        <v>39</v>
      </c>
      <c r="T107" s="2">
        <f>COUNTIF([Pre5 No Answers],"TRUE")</f>
        <v>1</v>
      </c>
    </row>
    <row r="108" spans="1:20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1" t="s">
        <v>175</v>
      </c>
    </row>
    <row r="110" spans="1:20" ht="30">
      <c r="A110" s="16" t="s">
        <v>204</v>
      </c>
      <c r="B110" s="16" t="s">
        <v>36</v>
      </c>
      <c r="C110" s="16" t="s">
        <v>37</v>
      </c>
      <c r="D110" s="16" t="s">
        <v>68</v>
      </c>
      <c r="E110" s="16" t="s">
        <v>69</v>
      </c>
      <c r="F110" s="16"/>
      <c r="G110" s="16"/>
      <c r="H110" s="16"/>
      <c r="I110" s="16"/>
      <c r="J110" s="16"/>
      <c r="K110" s="16"/>
    </row>
    <row r="111" spans="1:20">
      <c r="A111" s="1" t="s">
        <v>8</v>
      </c>
      <c r="B111" s="1">
        <f>COUNTIF(Table442466656974[Pre5 Yes or No],"Yes")</f>
        <v>39</v>
      </c>
      <c r="C111" s="1">
        <f>Table442466656974[[#Totals],[Pre5 Yes Answers]]</f>
        <v>39</v>
      </c>
      <c r="D111" s="1">
        <f>Table442466656974[[#Totals],[If Pre5 Yes]]/Table5122567687075[[#This Row],[Total Answers]]</f>
        <v>0</v>
      </c>
      <c r="E111" s="1">
        <f>STDEV(Table442466656974[If Pre5 Yes])</f>
        <v>0.64888568452305018</v>
      </c>
    </row>
    <row r="112" spans="1:20">
      <c r="A112" s="1" t="s">
        <v>9</v>
      </c>
      <c r="B112" s="1">
        <f>COUNTIF(Table442466656974[Pre5 Yes or No],"No")</f>
        <v>1</v>
      </c>
      <c r="C112" s="1">
        <f>Table442466656974[[#Totals],[Pre5 No Answers]]</f>
        <v>1</v>
      </c>
      <c r="D112" s="1">
        <f>Table442466656974[[#Totals],[If Pre5 No]]/Table5122567687075[[#This Row],[Total Answers]]</f>
        <v>0</v>
      </c>
      <c r="E112" s="1" t="e">
        <f>STDEV(Table442466656974[If Pre5 No])</f>
        <v>#DIV/0!</v>
      </c>
    </row>
    <row r="116" spans="1:5">
      <c r="A116"/>
      <c r="B116" s="16"/>
      <c r="C116" s="16"/>
      <c r="D116" s="16"/>
      <c r="E116" s="16"/>
    </row>
    <row r="117" spans="1:5">
      <c r="A117"/>
      <c r="D117" s="5"/>
    </row>
    <row r="118" spans="1:5">
      <c r="A118"/>
      <c r="D118" s="5"/>
    </row>
  </sheetData>
  <conditionalFormatting sqref="C116 F109 F113:F153 G107:G108 G2:H106">
    <cfRule type="cellIs" dxfId="177" priority="3" operator="equal">
      <formula>"No"</formula>
    </cfRule>
    <cfRule type="cellIs" dxfId="176" priority="4" operator="equal">
      <formula>"Yes"</formula>
    </cfRule>
  </conditionalFormatting>
  <conditionalFormatting sqref="G109 G113:G153 F110:F112 H2:H108">
    <cfRule type="cellIs" dxfId="175" priority="1" operator="equal">
      <formula>"Yes"</formula>
    </cfRule>
    <cfRule type="cellIs" dxfId="174" priority="2" operator="equal">
      <formula>"No"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/>
  </sheetPr>
  <dimension ref="A1:F23"/>
  <sheetViews>
    <sheetView workbookViewId="0">
      <selection activeCell="G32" sqref="G32"/>
    </sheetView>
  </sheetViews>
  <sheetFormatPr defaultRowHeight="15"/>
  <cols>
    <col min="1" max="1" width="9.7109375" bestFit="1" customWidth="1"/>
    <col min="2" max="3" width="10.140625" bestFit="1" customWidth="1"/>
    <col min="4" max="4" width="10.85546875" bestFit="1" customWidth="1"/>
    <col min="5" max="5" width="12.7109375" bestFit="1" customWidth="1"/>
    <col min="6" max="6" width="12" bestFit="1" customWidth="1"/>
  </cols>
  <sheetData>
    <row r="1" spans="1:6" ht="45">
      <c r="A1" s="16" t="s">
        <v>180</v>
      </c>
      <c r="B1" s="16" t="s">
        <v>201</v>
      </c>
      <c r="C1" s="16" t="s">
        <v>36</v>
      </c>
      <c r="D1" s="16" t="s">
        <v>37</v>
      </c>
      <c r="E1" s="16" t="s">
        <v>68</v>
      </c>
      <c r="F1" s="16" t="s">
        <v>69</v>
      </c>
    </row>
    <row r="2" spans="1:6">
      <c r="A2" s="1" t="s">
        <v>24</v>
      </c>
      <c r="B2" s="1" t="s">
        <v>8</v>
      </c>
      <c r="C2" s="1">
        <v>56</v>
      </c>
      <c r="D2" s="1">
        <v>54</v>
      </c>
      <c r="E2" s="1">
        <v>0.32407407407407407</v>
      </c>
      <c r="F2" s="1">
        <v>0.72135490576406369</v>
      </c>
    </row>
    <row r="3" spans="1:6">
      <c r="A3" s="1" t="s">
        <v>24</v>
      </c>
      <c r="B3" s="1" t="s">
        <v>9</v>
      </c>
      <c r="C3" s="1">
        <v>4</v>
      </c>
      <c r="D3" s="1">
        <v>4</v>
      </c>
      <c r="E3" s="1">
        <v>0.25</v>
      </c>
      <c r="F3" s="1">
        <v>0.5</v>
      </c>
    </row>
    <row r="4" spans="1:6">
      <c r="A4" s="2" t="s">
        <v>12</v>
      </c>
      <c r="B4" s="1" t="s">
        <v>8</v>
      </c>
      <c r="C4" s="1">
        <v>39</v>
      </c>
      <c r="D4" s="1">
        <v>39</v>
      </c>
      <c r="E4" s="1">
        <v>0</v>
      </c>
      <c r="F4" s="1">
        <v>0.64888568452305018</v>
      </c>
    </row>
    <row r="5" spans="1:6">
      <c r="A5" s="2" t="s">
        <v>12</v>
      </c>
      <c r="B5" s="1" t="s">
        <v>9</v>
      </c>
      <c r="C5" s="1">
        <v>1</v>
      </c>
      <c r="D5" s="1">
        <v>1</v>
      </c>
      <c r="E5" s="1">
        <v>0</v>
      </c>
      <c r="F5" s="1" t="e">
        <v>#DIV/0!</v>
      </c>
    </row>
    <row r="6" spans="1:6">
      <c r="A6" s="1"/>
      <c r="B6" s="1"/>
      <c r="C6" s="1"/>
      <c r="D6" s="1"/>
      <c r="E6" s="1"/>
    </row>
    <row r="7" spans="1:6">
      <c r="A7" s="1" t="s">
        <v>181</v>
      </c>
      <c r="B7" s="1"/>
      <c r="C7" s="1"/>
      <c r="D7" s="1"/>
      <c r="E7" s="1"/>
    </row>
    <row r="8" spans="1:6">
      <c r="A8" t="s">
        <v>192</v>
      </c>
    </row>
    <row r="9" spans="1:6">
      <c r="A9" s="3" t="s">
        <v>24</v>
      </c>
      <c r="B9" s="3" t="s">
        <v>8</v>
      </c>
      <c r="C9" s="3">
        <v>56</v>
      </c>
      <c r="D9" s="3">
        <v>54</v>
      </c>
      <c r="E9" s="3">
        <v>0.32407407407407407</v>
      </c>
      <c r="F9" s="20">
        <v>0.72135490576406369</v>
      </c>
    </row>
    <row r="10" spans="1:6">
      <c r="A10" s="3" t="s">
        <v>12</v>
      </c>
      <c r="B10" s="3" t="s">
        <v>8</v>
      </c>
      <c r="C10" s="3">
        <v>39</v>
      </c>
      <c r="D10" s="3">
        <v>39</v>
      </c>
      <c r="E10" s="3">
        <v>0</v>
      </c>
      <c r="F10" s="20">
        <v>0.64888568452305018</v>
      </c>
    </row>
    <row r="11" spans="1:6">
      <c r="A11" t="s">
        <v>205</v>
      </c>
    </row>
    <row r="12" spans="1:6">
      <c r="A12" t="s">
        <v>193</v>
      </c>
    </row>
    <row r="13" spans="1:6">
      <c r="A13" s="21" t="s">
        <v>24</v>
      </c>
      <c r="B13" s="21" t="s">
        <v>9</v>
      </c>
      <c r="C13" s="21">
        <v>4</v>
      </c>
      <c r="D13" s="21">
        <v>4</v>
      </c>
      <c r="E13" s="21">
        <v>0.25</v>
      </c>
      <c r="F13" s="22">
        <v>0.5</v>
      </c>
    </row>
    <row r="14" spans="1:6">
      <c r="A14" s="23" t="s">
        <v>12</v>
      </c>
      <c r="B14" s="23" t="s">
        <v>9</v>
      </c>
      <c r="C14" s="23">
        <v>1</v>
      </c>
      <c r="D14" s="23">
        <v>1</v>
      </c>
      <c r="E14" s="23">
        <v>0</v>
      </c>
      <c r="F14" s="24" t="e">
        <v>#DIV/0!</v>
      </c>
    </row>
    <row r="15" spans="1:6">
      <c r="A15" t="s">
        <v>197</v>
      </c>
    </row>
    <row r="16" spans="1:6">
      <c r="A16" t="s">
        <v>194</v>
      </c>
    </row>
    <row r="17" spans="1:6">
      <c r="A17" s="3" t="s">
        <v>24</v>
      </c>
      <c r="B17" s="3" t="s">
        <v>8</v>
      </c>
      <c r="C17" s="3">
        <v>56</v>
      </c>
      <c r="D17" s="3">
        <v>54</v>
      </c>
      <c r="E17" s="3">
        <v>0.32407407407407407</v>
      </c>
      <c r="F17" s="20">
        <v>0.72135490576406369</v>
      </c>
    </row>
    <row r="18" spans="1:6">
      <c r="A18" s="26" t="s">
        <v>24</v>
      </c>
      <c r="B18" s="26" t="s">
        <v>9</v>
      </c>
      <c r="C18" s="26">
        <v>4</v>
      </c>
      <c r="D18" s="26">
        <v>4</v>
      </c>
      <c r="E18" s="26">
        <v>0.25</v>
      </c>
      <c r="F18" s="27">
        <v>0.5</v>
      </c>
    </row>
    <row r="19" spans="1:6">
      <c r="A19" t="s">
        <v>206</v>
      </c>
    </row>
    <row r="20" spans="1:6">
      <c r="A20" t="s">
        <v>195</v>
      </c>
    </row>
    <row r="21" spans="1:6">
      <c r="A21" s="3" t="s">
        <v>12</v>
      </c>
      <c r="B21" s="3" t="s">
        <v>8</v>
      </c>
      <c r="C21" s="3">
        <v>39</v>
      </c>
      <c r="D21" s="3">
        <v>39</v>
      </c>
      <c r="E21" s="3">
        <v>0</v>
      </c>
      <c r="F21" s="20">
        <v>0.64888568452305018</v>
      </c>
    </row>
    <row r="22" spans="1:6">
      <c r="A22" s="4" t="s">
        <v>12</v>
      </c>
      <c r="B22" s="4" t="s">
        <v>9</v>
      </c>
      <c r="C22" s="4">
        <v>1</v>
      </c>
      <c r="D22" s="4">
        <v>1</v>
      </c>
      <c r="E22" s="4">
        <v>0</v>
      </c>
      <c r="F22" s="25" t="e">
        <v>#DIV/0!</v>
      </c>
    </row>
    <row r="23" spans="1:6">
      <c r="A23" t="s">
        <v>197</v>
      </c>
    </row>
  </sheetData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8"/>
  </sheetPr>
  <dimension ref="A1:T170"/>
  <sheetViews>
    <sheetView topLeftCell="A128" workbookViewId="0">
      <selection activeCell="E164" sqref="A163:E164"/>
    </sheetView>
  </sheetViews>
  <sheetFormatPr defaultColWidth="16.7109375" defaultRowHeight="15"/>
  <cols>
    <col min="1" max="16384" width="16.7109375" style="1"/>
  </cols>
  <sheetData>
    <row r="1" spans="1:20">
      <c r="A1" s="1" t="s">
        <v>11</v>
      </c>
      <c r="B1" s="1" t="s">
        <v>0</v>
      </c>
      <c r="C1" s="1" t="s">
        <v>1</v>
      </c>
      <c r="D1" s="1" t="s">
        <v>4</v>
      </c>
      <c r="E1" s="1" t="s">
        <v>207</v>
      </c>
      <c r="F1" s="1" t="s">
        <v>2</v>
      </c>
      <c r="G1" s="1" t="s">
        <v>3</v>
      </c>
      <c r="H1" s="1" t="s">
        <v>20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88</v>
      </c>
      <c r="N1" s="1" t="s">
        <v>89</v>
      </c>
      <c r="O1" s="1" t="s">
        <v>72</v>
      </c>
      <c r="P1" s="1" t="s">
        <v>83</v>
      </c>
      <c r="Q1" s="19" t="s">
        <v>208</v>
      </c>
      <c r="R1" s="19" t="s">
        <v>209</v>
      </c>
      <c r="S1" s="19" t="s">
        <v>210</v>
      </c>
      <c r="T1" s="19" t="s">
        <v>211</v>
      </c>
    </row>
    <row r="2" spans="1:20">
      <c r="A2" s="2" t="s">
        <v>24</v>
      </c>
      <c r="B2" s="2" t="s">
        <v>30</v>
      </c>
      <c r="C2" s="1">
        <v>1</v>
      </c>
      <c r="D2" s="2" t="s">
        <v>16</v>
      </c>
      <c r="E2" s="6"/>
      <c r="F2" s="1">
        <v>6</v>
      </c>
      <c r="G2" s="1">
        <v>5</v>
      </c>
      <c r="H2" s="2" t="s">
        <v>9</v>
      </c>
      <c r="I2" s="5" t="str">
        <f>IF(IF(Table442466657277[[#This Row],[Pre or Post]]="Pre",1,0)+IF(ISNUMBER(Table442466657277[[#This Row],[Response]])=TRUE,1,0)=2,1,"")</f>
        <v/>
      </c>
      <c r="J2" s="5">
        <f>IF(IF(Table442466657277[[#This Row],[Pre or Post]]="Post",1,0)+IF(ISNUMBER(Table442466657277[[#This Row],[Response]])=TRUE,1,0)=2,1,"")</f>
        <v>1</v>
      </c>
      <c r="K2" s="6" t="str">
        <f>IF(IF(Table442466657277[[#This Row],[Pre or Post]]="Pre",1,0)+IF(ISNUMBER(Table442466657277[[#This Row],[Response]])=TRUE,1,0)=2,Table442466657277[[#This Row],[Response]],"")</f>
        <v/>
      </c>
      <c r="L2" s="6">
        <f>IF(IF(Table442466657277[[#This Row],[Pre or Post]]="Post",1,0)+IF(ISNUMBER(Table442466657277[[#This Row],[Response]])=TRUE,1,0)=2,Table442466657277[[#This Row],[Response]],"")</f>
        <v>5</v>
      </c>
      <c r="M2" s="5" t="str">
        <f>IF(IF(ISNUMBER(K2),1,0)+IF(ISNUMBER(L3),1,0)=2,IF(IF(C3=C2,1,0)+IF(B3=B2,1,0)+IF(D3="Post",1,0)+IF(D2="Pre",1,0)=4,Table442466657277[[#This Row],[Pre Total]],""),"")</f>
        <v/>
      </c>
      <c r="N2" s="5" t="str">
        <f>IF(IF(ISNUMBER(K1),1,0)+IF(ISNUMBER(Table442466657277[[#This Row],[Post Total]]),1,0)=2,IF(IF(Table442466657277[[#This Row],[Student Number]]=C1,1,0)+IF(Table442466657277[[#This Row],[Session]]=B1,1,0)+IF(Table442466657277[[#This Row],[Pre or Post]]="Post",1,0)+IF(D1="Pre",1,0)=4,Table442466657277[[#This Row],[Post Total]],""),"")</f>
        <v/>
      </c>
      <c r="O2" s="5" t="str">
        <f>IF(IF(ISNUMBER(K1),1,0)+IF(ISNUMBER(Table442466657277[[#This Row],[Post Total]]),1,0)=2,IF(IF(Table442466657277[[#This Row],[Student Number]]=C1,1,0)+IF(Table442466657277[[#This Row],[Session]]=B1,1,0)+IF(Table442466657277[[#This Row],[Pre or Post]]="Post",1,0)+IF(D1="Pre",1,0)=4,Table442466657277[[#This Row],[Post Total]]-K1,""),"")</f>
        <v/>
      </c>
      <c r="P2" s="5" t="b">
        <f>ISNUMBER(Table442466657277[[#This Row],[Change]])</f>
        <v>0</v>
      </c>
      <c r="Q2" s="5" t="str">
        <f>IF(E1="Yes",Table442466657277[[#This Row],[Change]],"")</f>
        <v/>
      </c>
      <c r="R2" s="5" t="str">
        <f>IF(E1="No",Table442466657277[[#This Row],[Change]],"")</f>
        <v/>
      </c>
      <c r="S2" s="5" t="b">
        <f>ISNUMBER(Table442466657277[[#This Row],[If Pre6 Yes]])</f>
        <v>0</v>
      </c>
      <c r="T2" s="5" t="b">
        <f>ISNUMBER(Table442466657277[[#This Row],[If Pre6 No]])</f>
        <v>0</v>
      </c>
    </row>
    <row r="3" spans="1:20">
      <c r="A3" s="2" t="s">
        <v>24</v>
      </c>
      <c r="B3" s="2" t="s">
        <v>30</v>
      </c>
      <c r="C3" s="1">
        <v>2</v>
      </c>
      <c r="D3" s="2" t="s">
        <v>16</v>
      </c>
      <c r="E3" s="6"/>
      <c r="F3" s="1">
        <v>6</v>
      </c>
      <c r="G3" s="1">
        <v>5</v>
      </c>
      <c r="H3" s="2" t="s">
        <v>9</v>
      </c>
      <c r="I3" s="5" t="str">
        <f>IF(IF(Table442466657277[[#This Row],[Pre or Post]]="Pre",1,0)+IF(ISNUMBER(Table442466657277[[#This Row],[Response]])=TRUE,1,0)=2,1,"")</f>
        <v/>
      </c>
      <c r="J3" s="5">
        <f>IF(IF(Table442466657277[[#This Row],[Pre or Post]]="Post",1,0)+IF(ISNUMBER(Table442466657277[[#This Row],[Response]])=TRUE,1,0)=2,1,"")</f>
        <v>1</v>
      </c>
      <c r="K3" s="6" t="str">
        <f>IF(IF(Table442466657277[[#This Row],[Pre or Post]]="Pre",1,0)+IF(ISNUMBER(Table442466657277[[#This Row],[Response]])=TRUE,1,0)=2,Table442466657277[[#This Row],[Response]],"")</f>
        <v/>
      </c>
      <c r="L3" s="6">
        <f>IF(IF(Table442466657277[[#This Row],[Pre or Post]]="Post",1,0)+IF(ISNUMBER(Table442466657277[[#This Row],[Response]])=TRUE,1,0)=2,Table442466657277[[#This Row],[Response]],"")</f>
        <v>5</v>
      </c>
      <c r="M3" s="5" t="str">
        <f>IF(IF(ISNUMBER(K3),1,0)+IF(ISNUMBER(L4),1,0)=2,IF(IF(C4=C3,1,0)+IF(B4=B3,1,0)+IF(D4="Post",1,0)+IF(D3="Pre",1,0)=4,Table442466657277[[#This Row],[Pre Total]],""),"")</f>
        <v/>
      </c>
      <c r="N3" s="5" t="str">
        <f>IF(IF(ISNUMBER(K2),1,0)+IF(ISNUMBER(Table442466657277[[#This Row],[Post Total]]),1,0)=2,IF(IF(Table442466657277[[#This Row],[Student Number]]=C2,1,0)+IF(Table442466657277[[#This Row],[Session]]=B2,1,0)+IF(Table442466657277[[#This Row],[Pre or Post]]="Post",1,0)+IF(D2="Pre",1,0)=4,Table442466657277[[#This Row],[Post Total]],""),"")</f>
        <v/>
      </c>
      <c r="O3" s="5" t="str">
        <f>IF(IF(ISNUMBER(K2),1,0)+IF(ISNUMBER(Table442466657277[[#This Row],[Post Total]]),1,0)=2,IF(IF(Table442466657277[[#This Row],[Student Number]]=C2,1,0)+IF(Table442466657277[[#This Row],[Session]]=B2,1,0)+IF(Table442466657277[[#This Row],[Pre or Post]]="Post",1,0)+IF(D2="Pre",1,0)=4,Table442466657277[[#This Row],[Post Total]]-K2,""),"")</f>
        <v/>
      </c>
      <c r="P3" s="5" t="b">
        <f>ISNUMBER(Table442466657277[[#This Row],[Change]])</f>
        <v>0</v>
      </c>
      <c r="Q3" s="5" t="str">
        <f>IF(E2="Yes",Table442466657277[[#This Row],[Change]],"")</f>
        <v/>
      </c>
      <c r="R3" s="5" t="str">
        <f>IF(E2="No",Table442466657277[[#This Row],[Change]],"")</f>
        <v/>
      </c>
      <c r="S3" s="5" t="b">
        <f>ISNUMBER(Table442466657277[[#This Row],[If Pre6 Yes]])</f>
        <v>0</v>
      </c>
      <c r="T3" s="5" t="b">
        <f>ISNUMBER(Table442466657277[[#This Row],[If Pre6 No]])</f>
        <v>0</v>
      </c>
    </row>
    <row r="4" spans="1:20">
      <c r="A4" s="2" t="s">
        <v>24</v>
      </c>
      <c r="B4" s="2" t="s">
        <v>30</v>
      </c>
      <c r="C4" s="1">
        <v>3</v>
      </c>
      <c r="D4" s="2" t="s">
        <v>16</v>
      </c>
      <c r="E4" s="6"/>
      <c r="F4" s="1">
        <v>6</v>
      </c>
      <c r="G4" s="1">
        <v>4</v>
      </c>
      <c r="H4" s="2" t="s">
        <v>9</v>
      </c>
      <c r="I4" s="6" t="str">
        <f>IF(IF(Table442466657277[[#This Row],[Pre or Post]]="Pre",1,0)+IF(ISNUMBER(Table442466657277[[#This Row],[Response]])=TRUE,1,0)=2,1,"")</f>
        <v/>
      </c>
      <c r="J4" s="6">
        <f>IF(IF(Table442466657277[[#This Row],[Pre or Post]]="Post",1,0)+IF(ISNUMBER(Table442466657277[[#This Row],[Response]])=TRUE,1,0)=2,1,"")</f>
        <v>1</v>
      </c>
      <c r="K4" s="6" t="str">
        <f>IF(IF(Table442466657277[[#This Row],[Pre or Post]]="Pre",1,0)+IF(ISNUMBER(Table442466657277[[#This Row],[Response]])=TRUE,1,0)=2,Table442466657277[[#This Row],[Response]],"")</f>
        <v/>
      </c>
      <c r="L4" s="6">
        <f>IF(IF(Table442466657277[[#This Row],[Pre or Post]]="Post",1,0)+IF(ISNUMBER(Table442466657277[[#This Row],[Response]])=TRUE,1,0)=2,Table442466657277[[#This Row],[Response]],"")</f>
        <v>4</v>
      </c>
      <c r="M4" s="6" t="str">
        <f>IF(IF(ISNUMBER(K4),1,0)+IF(ISNUMBER(L5),1,0)=2,IF(IF(C5=C4,1,0)+IF(B5=B4,1,0)+IF(D5="Post",1,0)+IF(D4="Pre",1,0)=4,Table442466657277[[#This Row],[Pre Total]],""),"")</f>
        <v/>
      </c>
      <c r="N4" s="6" t="str">
        <f>IF(IF(ISNUMBER(K3),1,0)+IF(ISNUMBER(Table442466657277[[#This Row],[Post Total]]),1,0)=2,IF(IF(Table442466657277[[#This Row],[Student Number]]=C3,1,0)+IF(Table442466657277[[#This Row],[Session]]=B3,1,0)+IF(Table442466657277[[#This Row],[Pre or Post]]="Post",1,0)+IF(D3="Pre",1,0)=4,Table442466657277[[#This Row],[Post Total]],""),"")</f>
        <v/>
      </c>
      <c r="O4" s="6" t="str">
        <f>IF(IF(ISNUMBER(K3),1,0)+IF(ISNUMBER(Table442466657277[[#This Row],[Post Total]]),1,0)=2,IF(IF(Table442466657277[[#This Row],[Student Number]]=C3,1,0)+IF(Table442466657277[[#This Row],[Session]]=B3,1,0)+IF(Table442466657277[[#This Row],[Pre or Post]]="Post",1,0)+IF(D3="Pre",1,0)=4,Table442466657277[[#This Row],[Post Total]]-K3,""),"")</f>
        <v/>
      </c>
      <c r="P4" s="6" t="b">
        <f>ISNUMBER(Table442466657277[[#This Row],[Change]])</f>
        <v>0</v>
      </c>
      <c r="Q4" s="5" t="str">
        <f>IF(E3="Yes",Table442466657277[[#This Row],[Change]],"")</f>
        <v/>
      </c>
      <c r="R4" s="5" t="str">
        <f>IF(E3="No",Table442466657277[[#This Row],[Change]],"")</f>
        <v/>
      </c>
      <c r="S4" s="5" t="b">
        <f>ISNUMBER(Table442466657277[[#This Row],[If Pre6 Yes]])</f>
        <v>0</v>
      </c>
      <c r="T4" s="5" t="b">
        <f>ISNUMBER(Table442466657277[[#This Row],[If Pre6 No]])</f>
        <v>0</v>
      </c>
    </row>
    <row r="5" spans="1:20">
      <c r="A5" s="2" t="s">
        <v>24</v>
      </c>
      <c r="B5" s="2" t="s">
        <v>30</v>
      </c>
      <c r="C5" s="1">
        <v>4</v>
      </c>
      <c r="D5" s="2" t="s">
        <v>16</v>
      </c>
      <c r="E5" s="6"/>
      <c r="F5" s="1">
        <v>6</v>
      </c>
      <c r="G5" s="1">
        <v>5</v>
      </c>
      <c r="H5" s="2" t="s">
        <v>9</v>
      </c>
      <c r="I5" s="6" t="str">
        <f>IF(IF(Table442466657277[[#This Row],[Pre or Post]]="Pre",1,0)+IF(ISNUMBER(Table442466657277[[#This Row],[Response]])=TRUE,1,0)=2,1,"")</f>
        <v/>
      </c>
      <c r="J5" s="6">
        <f>IF(IF(Table442466657277[[#This Row],[Pre or Post]]="Post",1,0)+IF(ISNUMBER(Table442466657277[[#This Row],[Response]])=TRUE,1,0)=2,1,"")</f>
        <v>1</v>
      </c>
      <c r="K5" s="6" t="str">
        <f>IF(IF(Table442466657277[[#This Row],[Pre or Post]]="Pre",1,0)+IF(ISNUMBER(Table442466657277[[#This Row],[Response]])=TRUE,1,0)=2,Table442466657277[[#This Row],[Response]],"")</f>
        <v/>
      </c>
      <c r="L5" s="6">
        <f>IF(IF(Table442466657277[[#This Row],[Pre or Post]]="Post",1,0)+IF(ISNUMBER(Table442466657277[[#This Row],[Response]])=TRUE,1,0)=2,Table442466657277[[#This Row],[Response]],"")</f>
        <v>5</v>
      </c>
      <c r="M5" s="6" t="str">
        <f>IF(IF(ISNUMBER(K5),1,0)+IF(ISNUMBER(L6),1,0)=2,IF(IF(C6=C5,1,0)+IF(B6=B5,1,0)+IF(D6="Post",1,0)+IF(D5="Pre",1,0)=4,Table442466657277[[#This Row],[Pre Total]],""),"")</f>
        <v/>
      </c>
      <c r="N5" s="6" t="str">
        <f>IF(IF(ISNUMBER(K4),1,0)+IF(ISNUMBER(Table442466657277[[#This Row],[Post Total]]),1,0)=2,IF(IF(Table442466657277[[#This Row],[Student Number]]=C4,1,0)+IF(Table442466657277[[#This Row],[Session]]=B4,1,0)+IF(Table442466657277[[#This Row],[Pre or Post]]="Post",1,0)+IF(D4="Pre",1,0)=4,Table442466657277[[#This Row],[Post Total]],""),"")</f>
        <v/>
      </c>
      <c r="O5" s="6" t="str">
        <f>IF(IF(ISNUMBER(K4),1,0)+IF(ISNUMBER(Table442466657277[[#This Row],[Post Total]]),1,0)=2,IF(IF(Table442466657277[[#This Row],[Student Number]]=C4,1,0)+IF(Table442466657277[[#This Row],[Session]]=B4,1,0)+IF(Table442466657277[[#This Row],[Pre or Post]]="Post",1,0)+IF(D4="Pre",1,0)=4,Table442466657277[[#This Row],[Post Total]]-K4,""),"")</f>
        <v/>
      </c>
      <c r="P5" s="6" t="b">
        <f>ISNUMBER(Table442466657277[[#This Row],[Change]])</f>
        <v>0</v>
      </c>
      <c r="Q5" s="5" t="str">
        <f>IF(E4="Yes",Table442466657277[[#This Row],[Change]],"")</f>
        <v/>
      </c>
      <c r="R5" s="5" t="str">
        <f>IF(E4="No",Table442466657277[[#This Row],[Change]],"")</f>
        <v/>
      </c>
      <c r="S5" s="5" t="b">
        <f>ISNUMBER(Table442466657277[[#This Row],[If Pre6 Yes]])</f>
        <v>0</v>
      </c>
      <c r="T5" s="5" t="b">
        <f>ISNUMBER(Table442466657277[[#This Row],[If Pre6 No]])</f>
        <v>0</v>
      </c>
    </row>
    <row r="6" spans="1:20">
      <c r="A6" s="2" t="s">
        <v>24</v>
      </c>
      <c r="B6" s="2" t="s">
        <v>30</v>
      </c>
      <c r="C6" s="1">
        <v>5</v>
      </c>
      <c r="D6" s="2" t="s">
        <v>16</v>
      </c>
      <c r="E6" s="6"/>
      <c r="F6" s="1">
        <v>6</v>
      </c>
      <c r="G6" s="1">
        <v>5</v>
      </c>
      <c r="H6" s="2" t="s">
        <v>9</v>
      </c>
      <c r="I6" s="5" t="str">
        <f>IF(IF(Table442466657277[[#This Row],[Pre or Post]]="Pre",1,0)+IF(ISNUMBER(Table442466657277[[#This Row],[Response]])=TRUE,1,0)=2,1,"")</f>
        <v/>
      </c>
      <c r="J6" s="5">
        <f>IF(IF(Table442466657277[[#This Row],[Pre or Post]]="Post",1,0)+IF(ISNUMBER(Table442466657277[[#This Row],[Response]])=TRUE,1,0)=2,1,"")</f>
        <v>1</v>
      </c>
      <c r="K6" s="6" t="str">
        <f>IF(IF(Table442466657277[[#This Row],[Pre or Post]]="Pre",1,0)+IF(ISNUMBER(Table442466657277[[#This Row],[Response]])=TRUE,1,0)=2,Table442466657277[[#This Row],[Response]],"")</f>
        <v/>
      </c>
      <c r="L6" s="6">
        <f>IF(IF(Table442466657277[[#This Row],[Pre or Post]]="Post",1,0)+IF(ISNUMBER(Table442466657277[[#This Row],[Response]])=TRUE,1,0)=2,Table442466657277[[#This Row],[Response]],"")</f>
        <v>5</v>
      </c>
      <c r="M6" s="5" t="str">
        <f>IF(IF(ISNUMBER(K6),1,0)+IF(ISNUMBER(L7),1,0)=2,IF(IF(C7=C6,1,0)+IF(B7=B6,1,0)+IF(D7="Post",1,0)+IF(D6="Pre",1,0)=4,Table442466657277[[#This Row],[Pre Total]],""),"")</f>
        <v/>
      </c>
      <c r="N6" s="5" t="str">
        <f>IF(IF(ISNUMBER(K5),1,0)+IF(ISNUMBER(Table442466657277[[#This Row],[Post Total]]),1,0)=2,IF(IF(Table442466657277[[#This Row],[Student Number]]=C5,1,0)+IF(Table442466657277[[#This Row],[Session]]=B5,1,0)+IF(Table442466657277[[#This Row],[Pre or Post]]="Post",1,0)+IF(D5="Pre",1,0)=4,Table442466657277[[#This Row],[Post Total]],""),"")</f>
        <v/>
      </c>
      <c r="O6" s="5" t="str">
        <f>IF(IF(ISNUMBER(K5),1,0)+IF(ISNUMBER(Table442466657277[[#This Row],[Post Total]]),1,0)=2,IF(IF(Table442466657277[[#This Row],[Student Number]]=C5,1,0)+IF(Table442466657277[[#This Row],[Session]]=B5,1,0)+IF(Table442466657277[[#This Row],[Pre or Post]]="Post",1,0)+IF(D5="Pre",1,0)=4,Table442466657277[[#This Row],[Post Total]]-K5,""),"")</f>
        <v/>
      </c>
      <c r="P6" s="5" t="b">
        <f>ISNUMBER(Table442466657277[[#This Row],[Change]])</f>
        <v>0</v>
      </c>
      <c r="Q6" s="5" t="str">
        <f>IF(E5="Yes",Table442466657277[[#This Row],[Change]],"")</f>
        <v/>
      </c>
      <c r="R6" s="5" t="str">
        <f>IF(E5="No",Table442466657277[[#This Row],[Change]],"")</f>
        <v/>
      </c>
      <c r="S6" s="5" t="b">
        <f>ISNUMBER(Table442466657277[[#This Row],[If Pre6 Yes]])</f>
        <v>0</v>
      </c>
      <c r="T6" s="5" t="b">
        <f>ISNUMBER(Table442466657277[[#This Row],[If Pre6 No]])</f>
        <v>0</v>
      </c>
    </row>
    <row r="7" spans="1:20">
      <c r="A7" s="2" t="s">
        <v>24</v>
      </c>
      <c r="B7" s="2" t="s">
        <v>30</v>
      </c>
      <c r="C7" s="1">
        <v>6</v>
      </c>
      <c r="D7" s="2" t="s">
        <v>16</v>
      </c>
      <c r="E7" s="6"/>
      <c r="F7" s="1">
        <v>6</v>
      </c>
      <c r="G7" s="1">
        <v>5</v>
      </c>
      <c r="H7" s="2" t="s">
        <v>9</v>
      </c>
      <c r="I7" s="5" t="str">
        <f>IF(IF(Table442466657277[[#This Row],[Pre or Post]]="Pre",1,0)+IF(ISNUMBER(Table442466657277[[#This Row],[Response]])=TRUE,1,0)=2,1,"")</f>
        <v/>
      </c>
      <c r="J7" s="5">
        <f>IF(IF(Table442466657277[[#This Row],[Pre or Post]]="Post",1,0)+IF(ISNUMBER(Table442466657277[[#This Row],[Response]])=TRUE,1,0)=2,1,"")</f>
        <v>1</v>
      </c>
      <c r="K7" s="6" t="str">
        <f>IF(IF(Table442466657277[[#This Row],[Pre or Post]]="Pre",1,0)+IF(ISNUMBER(Table442466657277[[#This Row],[Response]])=TRUE,1,0)=2,Table442466657277[[#This Row],[Response]],"")</f>
        <v/>
      </c>
      <c r="L7" s="6">
        <f>IF(IF(Table442466657277[[#This Row],[Pre or Post]]="Post",1,0)+IF(ISNUMBER(Table442466657277[[#This Row],[Response]])=TRUE,1,0)=2,Table442466657277[[#This Row],[Response]],"")</f>
        <v>5</v>
      </c>
      <c r="M7" s="5" t="str">
        <f>IF(IF(ISNUMBER(K7),1,0)+IF(ISNUMBER(L8),1,0)=2,IF(IF(C8=C7,1,0)+IF(B8=B7,1,0)+IF(D8="Post",1,0)+IF(D7="Pre",1,0)=4,Table442466657277[[#This Row],[Pre Total]],""),"")</f>
        <v/>
      </c>
      <c r="N7" s="5" t="str">
        <f>IF(IF(ISNUMBER(K6),1,0)+IF(ISNUMBER(Table442466657277[[#This Row],[Post Total]]),1,0)=2,IF(IF(Table442466657277[[#This Row],[Student Number]]=C6,1,0)+IF(Table442466657277[[#This Row],[Session]]=B6,1,0)+IF(Table442466657277[[#This Row],[Pre or Post]]="Post",1,0)+IF(D6="Pre",1,0)=4,Table442466657277[[#This Row],[Post Total]],""),"")</f>
        <v/>
      </c>
      <c r="O7" s="5" t="str">
        <f>IF(IF(ISNUMBER(K6),1,0)+IF(ISNUMBER(Table442466657277[[#This Row],[Post Total]]),1,0)=2,IF(IF(Table442466657277[[#This Row],[Student Number]]=C6,1,0)+IF(Table442466657277[[#This Row],[Session]]=B6,1,0)+IF(Table442466657277[[#This Row],[Pre or Post]]="Post",1,0)+IF(D6="Pre",1,0)=4,Table442466657277[[#This Row],[Post Total]]-K6,""),"")</f>
        <v/>
      </c>
      <c r="P7" s="5" t="b">
        <f>ISNUMBER(Table442466657277[[#This Row],[Change]])</f>
        <v>0</v>
      </c>
      <c r="Q7" s="5" t="str">
        <f>IF(E6="Yes",Table442466657277[[#This Row],[Change]],"")</f>
        <v/>
      </c>
      <c r="R7" s="5" t="str">
        <f>IF(E6="No",Table442466657277[[#This Row],[Change]],"")</f>
        <v/>
      </c>
      <c r="S7" s="5" t="b">
        <f>ISNUMBER(Table442466657277[[#This Row],[If Pre6 Yes]])</f>
        <v>0</v>
      </c>
      <c r="T7" s="5" t="b">
        <f>ISNUMBER(Table442466657277[[#This Row],[If Pre6 No]])</f>
        <v>0</v>
      </c>
    </row>
    <row r="8" spans="1:20">
      <c r="A8" s="2" t="s">
        <v>24</v>
      </c>
      <c r="B8" s="2" t="s">
        <v>30</v>
      </c>
      <c r="C8" s="1">
        <v>7</v>
      </c>
      <c r="D8" s="2" t="s">
        <v>16</v>
      </c>
      <c r="E8" s="6"/>
      <c r="F8" s="1">
        <v>6</v>
      </c>
      <c r="G8" s="1">
        <v>5</v>
      </c>
      <c r="H8" s="2" t="s">
        <v>9</v>
      </c>
      <c r="I8" s="5" t="str">
        <f>IF(IF(Table442466657277[[#This Row],[Pre or Post]]="Pre",1,0)+IF(ISNUMBER(Table442466657277[[#This Row],[Response]])=TRUE,1,0)=2,1,"")</f>
        <v/>
      </c>
      <c r="J8" s="5">
        <f>IF(IF(Table442466657277[[#This Row],[Pre or Post]]="Post",1,0)+IF(ISNUMBER(Table442466657277[[#This Row],[Response]])=TRUE,1,0)=2,1,"")</f>
        <v>1</v>
      </c>
      <c r="K8" s="6" t="str">
        <f>IF(IF(Table442466657277[[#This Row],[Pre or Post]]="Pre",1,0)+IF(ISNUMBER(Table442466657277[[#This Row],[Response]])=TRUE,1,0)=2,Table442466657277[[#This Row],[Response]],"")</f>
        <v/>
      </c>
      <c r="L8" s="6">
        <f>IF(IF(Table442466657277[[#This Row],[Pre or Post]]="Post",1,0)+IF(ISNUMBER(Table442466657277[[#This Row],[Response]])=TRUE,1,0)=2,Table442466657277[[#This Row],[Response]],"")</f>
        <v>5</v>
      </c>
      <c r="M8" s="5" t="str">
        <f>IF(IF(ISNUMBER(K8),1,0)+IF(ISNUMBER(L9),1,0)=2,IF(IF(C9=C8,1,0)+IF(B9=B8,1,0)+IF(D9="Post",1,0)+IF(D8="Pre",1,0)=4,Table442466657277[[#This Row],[Pre Total]],""),"")</f>
        <v/>
      </c>
      <c r="N8" s="5" t="str">
        <f>IF(IF(ISNUMBER(K7),1,0)+IF(ISNUMBER(Table442466657277[[#This Row],[Post Total]]),1,0)=2,IF(IF(Table442466657277[[#This Row],[Student Number]]=C7,1,0)+IF(Table442466657277[[#This Row],[Session]]=B7,1,0)+IF(Table442466657277[[#This Row],[Pre or Post]]="Post",1,0)+IF(D7="Pre",1,0)=4,Table442466657277[[#This Row],[Post Total]],""),"")</f>
        <v/>
      </c>
      <c r="O8" s="5" t="str">
        <f>IF(IF(ISNUMBER(K7),1,0)+IF(ISNUMBER(Table442466657277[[#This Row],[Post Total]]),1,0)=2,IF(IF(Table442466657277[[#This Row],[Student Number]]=C7,1,0)+IF(Table442466657277[[#This Row],[Session]]=B7,1,0)+IF(Table442466657277[[#This Row],[Pre or Post]]="Post",1,0)+IF(D7="Pre",1,0)=4,Table442466657277[[#This Row],[Post Total]]-K7,""),"")</f>
        <v/>
      </c>
      <c r="P8" s="5" t="b">
        <f>ISNUMBER(Table442466657277[[#This Row],[Change]])</f>
        <v>0</v>
      </c>
      <c r="Q8" s="5" t="str">
        <f>IF(E7="Yes",Table442466657277[[#This Row],[Change]],"")</f>
        <v/>
      </c>
      <c r="R8" s="5" t="str">
        <f>IF(E7="No",Table442466657277[[#This Row],[Change]],"")</f>
        <v/>
      </c>
      <c r="S8" s="5" t="b">
        <f>ISNUMBER(Table442466657277[[#This Row],[If Pre6 Yes]])</f>
        <v>0</v>
      </c>
      <c r="T8" s="5" t="b">
        <f>ISNUMBER(Table442466657277[[#This Row],[If Pre6 No]])</f>
        <v>0</v>
      </c>
    </row>
    <row r="9" spans="1:20">
      <c r="A9" s="2" t="s">
        <v>24</v>
      </c>
      <c r="B9" s="2" t="s">
        <v>30</v>
      </c>
      <c r="C9" s="1">
        <v>8</v>
      </c>
      <c r="D9" s="2" t="s">
        <v>16</v>
      </c>
      <c r="E9" s="6"/>
      <c r="F9" s="1">
        <v>6</v>
      </c>
      <c r="G9" s="1">
        <v>4</v>
      </c>
      <c r="H9" s="2" t="s">
        <v>9</v>
      </c>
      <c r="I9" s="6" t="str">
        <f>IF(IF(Table442466657277[[#This Row],[Pre or Post]]="Pre",1,0)+IF(ISNUMBER(Table442466657277[[#This Row],[Response]])=TRUE,1,0)=2,1,"")</f>
        <v/>
      </c>
      <c r="J9" s="6">
        <f>IF(IF(Table442466657277[[#This Row],[Pre or Post]]="Post",1,0)+IF(ISNUMBER(Table442466657277[[#This Row],[Response]])=TRUE,1,0)=2,1,"")</f>
        <v>1</v>
      </c>
      <c r="K9" s="6" t="str">
        <f>IF(IF(Table442466657277[[#This Row],[Pre or Post]]="Pre",1,0)+IF(ISNUMBER(Table442466657277[[#This Row],[Response]])=TRUE,1,0)=2,Table442466657277[[#This Row],[Response]],"")</f>
        <v/>
      </c>
      <c r="L9" s="6">
        <f>IF(IF(Table442466657277[[#This Row],[Pre or Post]]="Post",1,0)+IF(ISNUMBER(Table442466657277[[#This Row],[Response]])=TRUE,1,0)=2,Table442466657277[[#This Row],[Response]],"")</f>
        <v>4</v>
      </c>
      <c r="M9" s="6" t="str">
        <f>IF(IF(ISNUMBER(K9),1,0)+IF(ISNUMBER(L10),1,0)=2,IF(IF(C10=C9,1,0)+IF(B10=B9,1,0)+IF(D10="Post",1,0)+IF(D9="Pre",1,0)=4,Table442466657277[[#This Row],[Pre Total]],""),"")</f>
        <v/>
      </c>
      <c r="N9" s="6" t="str">
        <f>IF(IF(ISNUMBER(K8),1,0)+IF(ISNUMBER(Table442466657277[[#This Row],[Post Total]]),1,0)=2,IF(IF(Table442466657277[[#This Row],[Student Number]]=C8,1,0)+IF(Table442466657277[[#This Row],[Session]]=B8,1,0)+IF(Table442466657277[[#This Row],[Pre or Post]]="Post",1,0)+IF(D8="Pre",1,0)=4,Table442466657277[[#This Row],[Post Total]],""),"")</f>
        <v/>
      </c>
      <c r="O9" s="6" t="str">
        <f>IF(IF(ISNUMBER(K8),1,0)+IF(ISNUMBER(Table442466657277[[#This Row],[Post Total]]),1,0)=2,IF(IF(Table442466657277[[#This Row],[Student Number]]=C8,1,0)+IF(Table442466657277[[#This Row],[Session]]=B8,1,0)+IF(Table442466657277[[#This Row],[Pre or Post]]="Post",1,0)+IF(D8="Pre",1,0)=4,Table442466657277[[#This Row],[Post Total]]-K8,""),"")</f>
        <v/>
      </c>
      <c r="P9" s="6" t="b">
        <f>ISNUMBER(Table442466657277[[#This Row],[Change]])</f>
        <v>0</v>
      </c>
      <c r="Q9" s="5" t="str">
        <f>IF(E8="Yes",Table442466657277[[#This Row],[Change]],"")</f>
        <v/>
      </c>
      <c r="R9" s="5" t="str">
        <f>IF(E8="No",Table442466657277[[#This Row],[Change]],"")</f>
        <v/>
      </c>
      <c r="S9" s="5" t="b">
        <f>ISNUMBER(Table442466657277[[#This Row],[If Pre6 Yes]])</f>
        <v>0</v>
      </c>
      <c r="T9" s="5" t="b">
        <f>ISNUMBER(Table442466657277[[#This Row],[If Pre6 No]])</f>
        <v>0</v>
      </c>
    </row>
    <row r="10" spans="1:20">
      <c r="A10" s="2" t="s">
        <v>24</v>
      </c>
      <c r="B10" s="2" t="s">
        <v>30</v>
      </c>
      <c r="C10" s="1">
        <v>9</v>
      </c>
      <c r="D10" s="2" t="s">
        <v>16</v>
      </c>
      <c r="E10" s="6"/>
      <c r="F10" s="1">
        <v>6</v>
      </c>
      <c r="G10" s="1">
        <v>5</v>
      </c>
      <c r="H10" s="2" t="s">
        <v>9</v>
      </c>
      <c r="I10" s="5" t="str">
        <f>IF(IF(Table442466657277[[#This Row],[Pre or Post]]="Pre",1,0)+IF(ISNUMBER(Table442466657277[[#This Row],[Response]])=TRUE,1,0)=2,1,"")</f>
        <v/>
      </c>
      <c r="J10" s="5">
        <f>IF(IF(Table442466657277[[#This Row],[Pre or Post]]="Post",1,0)+IF(ISNUMBER(Table442466657277[[#This Row],[Response]])=TRUE,1,0)=2,1,"")</f>
        <v>1</v>
      </c>
      <c r="K10" s="6" t="str">
        <f>IF(IF(Table442466657277[[#This Row],[Pre or Post]]="Pre",1,0)+IF(ISNUMBER(Table442466657277[[#This Row],[Response]])=TRUE,1,0)=2,Table442466657277[[#This Row],[Response]],"")</f>
        <v/>
      </c>
      <c r="L10" s="6">
        <f>IF(IF(Table442466657277[[#This Row],[Pre or Post]]="Post",1,0)+IF(ISNUMBER(Table442466657277[[#This Row],[Response]])=TRUE,1,0)=2,Table442466657277[[#This Row],[Response]],"")</f>
        <v>5</v>
      </c>
      <c r="M10" s="5" t="str">
        <f>IF(IF(ISNUMBER(K10),1,0)+IF(ISNUMBER(L11),1,0)=2,IF(IF(C11=C10,1,0)+IF(B11=B10,1,0)+IF(D11="Post",1,0)+IF(D10="Pre",1,0)=4,Table442466657277[[#This Row],[Pre Total]],""),"")</f>
        <v/>
      </c>
      <c r="N10" s="5" t="str">
        <f>IF(IF(ISNUMBER(K9),1,0)+IF(ISNUMBER(Table442466657277[[#This Row],[Post Total]]),1,0)=2,IF(IF(Table442466657277[[#This Row],[Student Number]]=C9,1,0)+IF(Table442466657277[[#This Row],[Session]]=B9,1,0)+IF(Table442466657277[[#This Row],[Pre or Post]]="Post",1,0)+IF(D9="Pre",1,0)=4,Table442466657277[[#This Row],[Post Total]],""),"")</f>
        <v/>
      </c>
      <c r="O10" s="5" t="str">
        <f>IF(IF(ISNUMBER(K9),1,0)+IF(ISNUMBER(Table442466657277[[#This Row],[Post Total]]),1,0)=2,IF(IF(Table442466657277[[#This Row],[Student Number]]=C9,1,0)+IF(Table442466657277[[#This Row],[Session]]=B9,1,0)+IF(Table442466657277[[#This Row],[Pre or Post]]="Post",1,0)+IF(D9="Pre",1,0)=4,Table442466657277[[#This Row],[Post Total]]-K9,""),"")</f>
        <v/>
      </c>
      <c r="P10" s="5" t="b">
        <f>ISNUMBER(Table442466657277[[#This Row],[Change]])</f>
        <v>0</v>
      </c>
      <c r="Q10" s="5" t="str">
        <f>IF(E9="Yes",Table442466657277[[#This Row],[Change]],"")</f>
        <v/>
      </c>
      <c r="R10" s="5" t="str">
        <f>IF(E9="No",Table442466657277[[#This Row],[Change]],"")</f>
        <v/>
      </c>
      <c r="S10" s="5" t="b">
        <f>ISNUMBER(Table442466657277[[#This Row],[If Pre6 Yes]])</f>
        <v>0</v>
      </c>
      <c r="T10" s="5" t="b">
        <f>ISNUMBER(Table442466657277[[#This Row],[If Pre6 No]])</f>
        <v>0</v>
      </c>
    </row>
    <row r="11" spans="1:20">
      <c r="A11" s="2" t="s">
        <v>24</v>
      </c>
      <c r="B11" s="2" t="s">
        <v>30</v>
      </c>
      <c r="C11" s="1">
        <v>10</v>
      </c>
      <c r="D11" s="2" t="s">
        <v>16</v>
      </c>
      <c r="E11" s="6"/>
      <c r="F11" s="1">
        <v>6</v>
      </c>
      <c r="G11" s="1">
        <v>5</v>
      </c>
      <c r="H11" s="2" t="s">
        <v>9</v>
      </c>
      <c r="I11" s="5" t="str">
        <f>IF(IF(Table442466657277[[#This Row],[Pre or Post]]="Pre",1,0)+IF(ISNUMBER(Table442466657277[[#This Row],[Response]])=TRUE,1,0)=2,1,"")</f>
        <v/>
      </c>
      <c r="J11" s="5">
        <f>IF(IF(Table442466657277[[#This Row],[Pre or Post]]="Post",1,0)+IF(ISNUMBER(Table442466657277[[#This Row],[Response]])=TRUE,1,0)=2,1,"")</f>
        <v>1</v>
      </c>
      <c r="K11" s="6" t="str">
        <f>IF(IF(Table442466657277[[#This Row],[Pre or Post]]="Pre",1,0)+IF(ISNUMBER(Table442466657277[[#This Row],[Response]])=TRUE,1,0)=2,Table442466657277[[#This Row],[Response]],"")</f>
        <v/>
      </c>
      <c r="L11" s="6">
        <f>IF(IF(Table442466657277[[#This Row],[Pre or Post]]="Post",1,0)+IF(ISNUMBER(Table442466657277[[#This Row],[Response]])=TRUE,1,0)=2,Table442466657277[[#This Row],[Response]],"")</f>
        <v>5</v>
      </c>
      <c r="M11" s="5" t="str">
        <f>IF(IF(ISNUMBER(K11),1,0)+IF(ISNUMBER(L12),1,0)=2,IF(IF(C12=C11,1,0)+IF(B12=B11,1,0)+IF(D12="Post",1,0)+IF(D11="Pre",1,0)=4,Table442466657277[[#This Row],[Pre Total]],""),"")</f>
        <v/>
      </c>
      <c r="N11" s="5" t="str">
        <f>IF(IF(ISNUMBER(K10),1,0)+IF(ISNUMBER(Table442466657277[[#This Row],[Post Total]]),1,0)=2,IF(IF(Table442466657277[[#This Row],[Student Number]]=C10,1,0)+IF(Table442466657277[[#This Row],[Session]]=B10,1,0)+IF(Table442466657277[[#This Row],[Pre or Post]]="Post",1,0)+IF(D10="Pre",1,0)=4,Table442466657277[[#This Row],[Post Total]],""),"")</f>
        <v/>
      </c>
      <c r="O11" s="5" t="str">
        <f>IF(IF(ISNUMBER(K10),1,0)+IF(ISNUMBER(Table442466657277[[#This Row],[Post Total]]),1,0)=2,IF(IF(Table442466657277[[#This Row],[Student Number]]=C10,1,0)+IF(Table442466657277[[#This Row],[Session]]=B10,1,0)+IF(Table442466657277[[#This Row],[Pre or Post]]="Post",1,0)+IF(D10="Pre",1,0)=4,Table442466657277[[#This Row],[Post Total]]-K10,""),"")</f>
        <v/>
      </c>
      <c r="P11" s="5" t="b">
        <f>ISNUMBER(Table442466657277[[#This Row],[Change]])</f>
        <v>0</v>
      </c>
      <c r="Q11" s="5" t="str">
        <f>IF(E10="Yes",Table442466657277[[#This Row],[Change]],"")</f>
        <v/>
      </c>
      <c r="R11" s="5" t="str">
        <f>IF(E10="No",Table442466657277[[#This Row],[Change]],"")</f>
        <v/>
      </c>
      <c r="S11" s="5" t="b">
        <f>ISNUMBER(Table442466657277[[#This Row],[If Pre6 Yes]])</f>
        <v>0</v>
      </c>
      <c r="T11" s="5" t="b">
        <f>ISNUMBER(Table442466657277[[#This Row],[If Pre6 No]])</f>
        <v>0</v>
      </c>
    </row>
    <row r="12" spans="1:20">
      <c r="A12" s="2" t="s">
        <v>24</v>
      </c>
      <c r="B12" s="2" t="s">
        <v>30</v>
      </c>
      <c r="C12" s="1">
        <v>11</v>
      </c>
      <c r="D12" s="2" t="s">
        <v>16</v>
      </c>
      <c r="E12" s="6"/>
      <c r="F12" s="1">
        <v>6</v>
      </c>
      <c r="G12" s="1">
        <v>3</v>
      </c>
      <c r="H12" s="2" t="s">
        <v>9</v>
      </c>
      <c r="I12" s="5" t="str">
        <f>IF(IF(Table442466657277[[#This Row],[Pre or Post]]="Pre",1,0)+IF(ISNUMBER(Table442466657277[[#This Row],[Response]])=TRUE,1,0)=2,1,"")</f>
        <v/>
      </c>
      <c r="J12" s="5">
        <f>IF(IF(Table442466657277[[#This Row],[Pre or Post]]="Post",1,0)+IF(ISNUMBER(Table442466657277[[#This Row],[Response]])=TRUE,1,0)=2,1,"")</f>
        <v>1</v>
      </c>
      <c r="K12" s="6" t="str">
        <f>IF(IF(Table442466657277[[#This Row],[Pre or Post]]="Pre",1,0)+IF(ISNUMBER(Table442466657277[[#This Row],[Response]])=TRUE,1,0)=2,Table442466657277[[#This Row],[Response]],"")</f>
        <v/>
      </c>
      <c r="L12" s="6">
        <f>IF(IF(Table442466657277[[#This Row],[Pre or Post]]="Post",1,0)+IF(ISNUMBER(Table442466657277[[#This Row],[Response]])=TRUE,1,0)=2,Table442466657277[[#This Row],[Response]],"")</f>
        <v>3</v>
      </c>
      <c r="M12" s="5" t="str">
        <f>IF(IF(ISNUMBER(K12),1,0)+IF(ISNUMBER(L13),1,0)=2,IF(IF(C13=C12,1,0)+IF(B13=B12,1,0)+IF(D13="Post",1,0)+IF(D12="Pre",1,0)=4,Table442466657277[[#This Row],[Pre Total]],""),"")</f>
        <v/>
      </c>
      <c r="N12" s="5" t="str">
        <f>IF(IF(ISNUMBER(K11),1,0)+IF(ISNUMBER(Table442466657277[[#This Row],[Post Total]]),1,0)=2,IF(IF(Table442466657277[[#This Row],[Student Number]]=C11,1,0)+IF(Table442466657277[[#This Row],[Session]]=B11,1,0)+IF(Table442466657277[[#This Row],[Pre or Post]]="Post",1,0)+IF(D11="Pre",1,0)=4,Table442466657277[[#This Row],[Post Total]],""),"")</f>
        <v/>
      </c>
      <c r="O12" s="5" t="str">
        <f>IF(IF(ISNUMBER(K11),1,0)+IF(ISNUMBER(Table442466657277[[#This Row],[Post Total]]),1,0)=2,IF(IF(Table442466657277[[#This Row],[Student Number]]=C11,1,0)+IF(Table442466657277[[#This Row],[Session]]=B11,1,0)+IF(Table442466657277[[#This Row],[Pre or Post]]="Post",1,0)+IF(D11="Pre",1,0)=4,Table442466657277[[#This Row],[Post Total]]-K11,""),"")</f>
        <v/>
      </c>
      <c r="P12" s="5" t="b">
        <f>ISNUMBER(Table442466657277[[#This Row],[Change]])</f>
        <v>0</v>
      </c>
      <c r="Q12" s="5" t="str">
        <f>IF(E11="Yes",Table442466657277[[#This Row],[Change]],"")</f>
        <v/>
      </c>
      <c r="R12" s="5" t="str">
        <f>IF(E11="No",Table442466657277[[#This Row],[Change]],"")</f>
        <v/>
      </c>
      <c r="S12" s="5" t="b">
        <f>ISNUMBER(Table442466657277[[#This Row],[If Pre6 Yes]])</f>
        <v>0</v>
      </c>
      <c r="T12" s="5" t="b">
        <f>ISNUMBER(Table442466657277[[#This Row],[If Pre6 No]])</f>
        <v>0</v>
      </c>
    </row>
    <row r="13" spans="1:20">
      <c r="A13" s="2" t="s">
        <v>24</v>
      </c>
      <c r="B13" s="2" t="s">
        <v>30</v>
      </c>
      <c r="C13" s="1">
        <v>12</v>
      </c>
      <c r="D13" s="2" t="s">
        <v>16</v>
      </c>
      <c r="E13" s="6"/>
      <c r="F13" s="1">
        <v>6</v>
      </c>
      <c r="G13" s="1">
        <v>5</v>
      </c>
      <c r="H13" s="2" t="s">
        <v>9</v>
      </c>
      <c r="I13" s="5" t="str">
        <f>IF(IF(Table442466657277[[#This Row],[Pre or Post]]="Pre",1,0)+IF(ISNUMBER(Table442466657277[[#This Row],[Response]])=TRUE,1,0)=2,1,"")</f>
        <v/>
      </c>
      <c r="J13" s="5">
        <f>IF(IF(Table442466657277[[#This Row],[Pre or Post]]="Post",1,0)+IF(ISNUMBER(Table442466657277[[#This Row],[Response]])=TRUE,1,0)=2,1,"")</f>
        <v>1</v>
      </c>
      <c r="K13" s="6" t="str">
        <f>IF(IF(Table442466657277[[#This Row],[Pre or Post]]="Pre",1,0)+IF(ISNUMBER(Table442466657277[[#This Row],[Response]])=TRUE,1,0)=2,Table442466657277[[#This Row],[Response]],"")</f>
        <v/>
      </c>
      <c r="L13" s="6">
        <f>IF(IF(Table442466657277[[#This Row],[Pre or Post]]="Post",1,0)+IF(ISNUMBER(Table442466657277[[#This Row],[Response]])=TRUE,1,0)=2,Table442466657277[[#This Row],[Response]],"")</f>
        <v>5</v>
      </c>
      <c r="M13" s="5" t="str">
        <f>IF(IF(ISNUMBER(K13),1,0)+IF(ISNUMBER(L14),1,0)=2,IF(IF(C14=C13,1,0)+IF(B14=B13,1,0)+IF(D14="Post",1,0)+IF(D13="Pre",1,0)=4,Table442466657277[[#This Row],[Pre Total]],""),"")</f>
        <v/>
      </c>
      <c r="N13" s="5" t="str">
        <f>IF(IF(ISNUMBER(K12),1,0)+IF(ISNUMBER(Table442466657277[[#This Row],[Post Total]]),1,0)=2,IF(IF(Table442466657277[[#This Row],[Student Number]]=C12,1,0)+IF(Table442466657277[[#This Row],[Session]]=B12,1,0)+IF(Table442466657277[[#This Row],[Pre or Post]]="Post",1,0)+IF(D12="Pre",1,0)=4,Table442466657277[[#This Row],[Post Total]],""),"")</f>
        <v/>
      </c>
      <c r="O13" s="5" t="str">
        <f>IF(IF(ISNUMBER(K12),1,0)+IF(ISNUMBER(Table442466657277[[#This Row],[Post Total]]),1,0)=2,IF(IF(Table442466657277[[#This Row],[Student Number]]=C12,1,0)+IF(Table442466657277[[#This Row],[Session]]=B12,1,0)+IF(Table442466657277[[#This Row],[Pre or Post]]="Post",1,0)+IF(D12="Pre",1,0)=4,Table442466657277[[#This Row],[Post Total]]-K12,""),"")</f>
        <v/>
      </c>
      <c r="P13" s="5" t="b">
        <f>ISNUMBER(Table442466657277[[#This Row],[Change]])</f>
        <v>0</v>
      </c>
      <c r="Q13" s="5" t="str">
        <f>IF(E12="Yes",Table442466657277[[#This Row],[Change]],"")</f>
        <v/>
      </c>
      <c r="R13" s="5" t="str">
        <f>IF(E12="No",Table442466657277[[#This Row],[Change]],"")</f>
        <v/>
      </c>
      <c r="S13" s="5" t="b">
        <f>ISNUMBER(Table442466657277[[#This Row],[If Pre6 Yes]])</f>
        <v>0</v>
      </c>
      <c r="T13" s="5" t="b">
        <f>ISNUMBER(Table442466657277[[#This Row],[If Pre6 No]])</f>
        <v>0</v>
      </c>
    </row>
    <row r="14" spans="1:20">
      <c r="A14" s="2" t="s">
        <v>24</v>
      </c>
      <c r="B14" s="2" t="s">
        <v>30</v>
      </c>
      <c r="C14" s="1">
        <v>13</v>
      </c>
      <c r="D14" s="2" t="s">
        <v>16</v>
      </c>
      <c r="E14" s="6"/>
      <c r="F14" s="1">
        <v>6</v>
      </c>
      <c r="G14" s="1">
        <v>3</v>
      </c>
      <c r="H14" s="2" t="s">
        <v>9</v>
      </c>
      <c r="I14" s="5" t="str">
        <f>IF(IF(Table442466657277[[#This Row],[Pre or Post]]="Pre",1,0)+IF(ISNUMBER(Table442466657277[[#This Row],[Response]])=TRUE,1,0)=2,1,"")</f>
        <v/>
      </c>
      <c r="J14" s="5">
        <f>IF(IF(Table442466657277[[#This Row],[Pre or Post]]="Post",1,0)+IF(ISNUMBER(Table442466657277[[#This Row],[Response]])=TRUE,1,0)=2,1,"")</f>
        <v>1</v>
      </c>
      <c r="K14" s="6" t="str">
        <f>IF(IF(Table442466657277[[#This Row],[Pre or Post]]="Pre",1,0)+IF(ISNUMBER(Table442466657277[[#This Row],[Response]])=TRUE,1,0)=2,Table442466657277[[#This Row],[Response]],"")</f>
        <v/>
      </c>
      <c r="L14" s="6">
        <f>IF(IF(Table442466657277[[#This Row],[Pre or Post]]="Post",1,0)+IF(ISNUMBER(Table442466657277[[#This Row],[Response]])=TRUE,1,0)=2,Table442466657277[[#This Row],[Response]],"")</f>
        <v>3</v>
      </c>
      <c r="M14" s="5" t="str">
        <f>IF(IF(ISNUMBER(K14),1,0)+IF(ISNUMBER(L15),1,0)=2,IF(IF(C15=C14,1,0)+IF(B15=B14,1,0)+IF(D15="Post",1,0)+IF(D14="Pre",1,0)=4,Table442466657277[[#This Row],[Pre Total]],""),"")</f>
        <v/>
      </c>
      <c r="N14" s="5" t="str">
        <f>IF(IF(ISNUMBER(K13),1,0)+IF(ISNUMBER(Table442466657277[[#This Row],[Post Total]]),1,0)=2,IF(IF(Table442466657277[[#This Row],[Student Number]]=C13,1,0)+IF(Table442466657277[[#This Row],[Session]]=B13,1,0)+IF(Table442466657277[[#This Row],[Pre or Post]]="Post",1,0)+IF(D13="Pre",1,0)=4,Table442466657277[[#This Row],[Post Total]],""),"")</f>
        <v/>
      </c>
      <c r="O14" s="5" t="str">
        <f>IF(IF(ISNUMBER(K13),1,0)+IF(ISNUMBER(Table442466657277[[#This Row],[Post Total]]),1,0)=2,IF(IF(Table442466657277[[#This Row],[Student Number]]=C13,1,0)+IF(Table442466657277[[#This Row],[Session]]=B13,1,0)+IF(Table442466657277[[#This Row],[Pre or Post]]="Post",1,0)+IF(D13="Pre",1,0)=4,Table442466657277[[#This Row],[Post Total]]-K13,""),"")</f>
        <v/>
      </c>
      <c r="P14" s="5" t="b">
        <f>ISNUMBER(Table442466657277[[#This Row],[Change]])</f>
        <v>0</v>
      </c>
      <c r="Q14" s="5" t="str">
        <f>IF(E13="Yes",Table442466657277[[#This Row],[Change]],"")</f>
        <v/>
      </c>
      <c r="R14" s="5" t="str">
        <f>IF(E13="No",Table442466657277[[#This Row],[Change]],"")</f>
        <v/>
      </c>
      <c r="S14" s="5" t="b">
        <f>ISNUMBER(Table442466657277[[#This Row],[If Pre6 Yes]])</f>
        <v>0</v>
      </c>
      <c r="T14" s="5" t="b">
        <f>ISNUMBER(Table442466657277[[#This Row],[If Pre6 No]])</f>
        <v>0</v>
      </c>
    </row>
    <row r="15" spans="1:20">
      <c r="A15" s="2" t="s">
        <v>24</v>
      </c>
      <c r="B15" s="2" t="s">
        <v>30</v>
      </c>
      <c r="C15" s="1">
        <v>14</v>
      </c>
      <c r="D15" s="2" t="s">
        <v>16</v>
      </c>
      <c r="E15" s="6"/>
      <c r="F15" s="1">
        <v>6</v>
      </c>
      <c r="G15" s="1">
        <v>4</v>
      </c>
      <c r="H15" s="2" t="s">
        <v>9</v>
      </c>
      <c r="I15" s="5" t="str">
        <f>IF(IF(Table442466657277[[#This Row],[Pre or Post]]="Pre",1,0)+IF(ISNUMBER(Table442466657277[[#This Row],[Response]])=TRUE,1,0)=2,1,"")</f>
        <v/>
      </c>
      <c r="J15" s="5">
        <f>IF(IF(Table442466657277[[#This Row],[Pre or Post]]="Post",1,0)+IF(ISNUMBER(Table442466657277[[#This Row],[Response]])=TRUE,1,0)=2,1,"")</f>
        <v>1</v>
      </c>
      <c r="K15" s="6" t="str">
        <f>IF(IF(Table442466657277[[#This Row],[Pre or Post]]="Pre",1,0)+IF(ISNUMBER(Table442466657277[[#This Row],[Response]])=TRUE,1,0)=2,Table442466657277[[#This Row],[Response]],"")</f>
        <v/>
      </c>
      <c r="L15" s="6">
        <f>IF(IF(Table442466657277[[#This Row],[Pre or Post]]="Post",1,0)+IF(ISNUMBER(Table442466657277[[#This Row],[Response]])=TRUE,1,0)=2,Table442466657277[[#This Row],[Response]],"")</f>
        <v>4</v>
      </c>
      <c r="M15" s="5" t="str">
        <f>IF(IF(ISNUMBER(K15),1,0)+IF(ISNUMBER(L16),1,0)=2,IF(IF(C16=C15,1,0)+IF(B16=B15,1,0)+IF(D16="Post",1,0)+IF(D15="Pre",1,0)=4,Table442466657277[[#This Row],[Pre Total]],""),"")</f>
        <v/>
      </c>
      <c r="N15" s="5" t="str">
        <f>IF(IF(ISNUMBER(K14),1,0)+IF(ISNUMBER(Table442466657277[[#This Row],[Post Total]]),1,0)=2,IF(IF(Table442466657277[[#This Row],[Student Number]]=C14,1,0)+IF(Table442466657277[[#This Row],[Session]]=B14,1,0)+IF(Table442466657277[[#This Row],[Pre or Post]]="Post",1,0)+IF(D14="Pre",1,0)=4,Table442466657277[[#This Row],[Post Total]],""),"")</f>
        <v/>
      </c>
      <c r="O15" s="5" t="str">
        <f>IF(IF(ISNUMBER(K14),1,0)+IF(ISNUMBER(Table442466657277[[#This Row],[Post Total]]),1,0)=2,IF(IF(Table442466657277[[#This Row],[Student Number]]=C14,1,0)+IF(Table442466657277[[#This Row],[Session]]=B14,1,0)+IF(Table442466657277[[#This Row],[Pre or Post]]="Post",1,0)+IF(D14="Pre",1,0)=4,Table442466657277[[#This Row],[Post Total]]-K14,""),"")</f>
        <v/>
      </c>
      <c r="P15" s="5" t="b">
        <f>ISNUMBER(Table442466657277[[#This Row],[Change]])</f>
        <v>0</v>
      </c>
      <c r="Q15" s="5" t="str">
        <f>IF(E14="Yes",Table442466657277[[#This Row],[Change]],"")</f>
        <v/>
      </c>
      <c r="R15" s="5" t="str">
        <f>IF(E14="No",Table442466657277[[#This Row],[Change]],"")</f>
        <v/>
      </c>
      <c r="S15" s="5" t="b">
        <f>ISNUMBER(Table442466657277[[#This Row],[If Pre6 Yes]])</f>
        <v>0</v>
      </c>
      <c r="T15" s="5" t="b">
        <f>ISNUMBER(Table442466657277[[#This Row],[If Pre6 No]])</f>
        <v>0</v>
      </c>
    </row>
    <row r="16" spans="1:20">
      <c r="A16" s="2" t="s">
        <v>24</v>
      </c>
      <c r="B16" s="2" t="s">
        <v>30</v>
      </c>
      <c r="C16" s="1">
        <v>15</v>
      </c>
      <c r="D16" s="2" t="s">
        <v>16</v>
      </c>
      <c r="E16" s="6"/>
      <c r="F16" s="1">
        <v>6</v>
      </c>
      <c r="G16" s="1">
        <v>3</v>
      </c>
      <c r="H16" s="2" t="s">
        <v>9</v>
      </c>
      <c r="I16" s="5" t="str">
        <f>IF(IF(Table442466657277[[#This Row],[Pre or Post]]="Pre",1,0)+IF(ISNUMBER(Table442466657277[[#This Row],[Response]])=TRUE,1,0)=2,1,"")</f>
        <v/>
      </c>
      <c r="J16" s="5">
        <f>IF(IF(Table442466657277[[#This Row],[Pre or Post]]="Post",1,0)+IF(ISNUMBER(Table442466657277[[#This Row],[Response]])=TRUE,1,0)=2,1,"")</f>
        <v>1</v>
      </c>
      <c r="K16" s="6" t="str">
        <f>IF(IF(Table442466657277[[#This Row],[Pre or Post]]="Pre",1,0)+IF(ISNUMBER(Table442466657277[[#This Row],[Response]])=TRUE,1,0)=2,Table442466657277[[#This Row],[Response]],"")</f>
        <v/>
      </c>
      <c r="L16" s="6">
        <f>IF(IF(Table442466657277[[#This Row],[Pre or Post]]="Post",1,0)+IF(ISNUMBER(Table442466657277[[#This Row],[Response]])=TRUE,1,0)=2,Table442466657277[[#This Row],[Response]],"")</f>
        <v>3</v>
      </c>
      <c r="M16" s="5" t="str">
        <f>IF(IF(ISNUMBER(K16),1,0)+IF(ISNUMBER(L17),1,0)=2,IF(IF(C17=C16,1,0)+IF(B17=B16,1,0)+IF(D17="Post",1,0)+IF(D16="Pre",1,0)=4,Table442466657277[[#This Row],[Pre Total]],""),"")</f>
        <v/>
      </c>
      <c r="N16" s="5" t="str">
        <f>IF(IF(ISNUMBER(K15),1,0)+IF(ISNUMBER(Table442466657277[[#This Row],[Post Total]]),1,0)=2,IF(IF(Table442466657277[[#This Row],[Student Number]]=C15,1,0)+IF(Table442466657277[[#This Row],[Session]]=B15,1,0)+IF(Table442466657277[[#This Row],[Pre or Post]]="Post",1,0)+IF(D15="Pre",1,0)=4,Table442466657277[[#This Row],[Post Total]],""),"")</f>
        <v/>
      </c>
      <c r="O16" s="5" t="str">
        <f>IF(IF(ISNUMBER(K15),1,0)+IF(ISNUMBER(Table442466657277[[#This Row],[Post Total]]),1,0)=2,IF(IF(Table442466657277[[#This Row],[Student Number]]=C15,1,0)+IF(Table442466657277[[#This Row],[Session]]=B15,1,0)+IF(Table442466657277[[#This Row],[Pre or Post]]="Post",1,0)+IF(D15="Pre",1,0)=4,Table442466657277[[#This Row],[Post Total]]-K15,""),"")</f>
        <v/>
      </c>
      <c r="P16" s="5" t="b">
        <f>ISNUMBER(Table442466657277[[#This Row],[Change]])</f>
        <v>0</v>
      </c>
      <c r="Q16" s="5" t="str">
        <f>IF(E15="Yes",Table442466657277[[#This Row],[Change]],"")</f>
        <v/>
      </c>
      <c r="R16" s="5" t="str">
        <f>IF(E15="No",Table442466657277[[#This Row],[Change]],"")</f>
        <v/>
      </c>
      <c r="S16" s="5" t="b">
        <f>ISNUMBER(Table442466657277[[#This Row],[If Pre6 Yes]])</f>
        <v>0</v>
      </c>
      <c r="T16" s="5" t="b">
        <f>ISNUMBER(Table442466657277[[#This Row],[If Pre6 No]])</f>
        <v>0</v>
      </c>
    </row>
    <row r="17" spans="1:20">
      <c r="A17" s="2" t="s">
        <v>24</v>
      </c>
      <c r="B17" s="2" t="s">
        <v>30</v>
      </c>
      <c r="C17" s="1">
        <v>16</v>
      </c>
      <c r="D17" s="2" t="s">
        <v>16</v>
      </c>
      <c r="E17" s="6"/>
      <c r="F17" s="1">
        <v>6</v>
      </c>
      <c r="G17" s="1">
        <v>5</v>
      </c>
      <c r="H17" s="2" t="s">
        <v>9</v>
      </c>
      <c r="I17" s="6" t="str">
        <f>IF(IF(Table442466657277[[#This Row],[Pre or Post]]="Pre",1,0)+IF(ISNUMBER(Table442466657277[[#This Row],[Response]])=TRUE,1,0)=2,1,"")</f>
        <v/>
      </c>
      <c r="J17" s="6">
        <f>IF(IF(Table442466657277[[#This Row],[Pre or Post]]="Post",1,0)+IF(ISNUMBER(Table442466657277[[#This Row],[Response]])=TRUE,1,0)=2,1,"")</f>
        <v>1</v>
      </c>
      <c r="K17" s="6" t="str">
        <f>IF(IF(Table442466657277[[#This Row],[Pre or Post]]="Pre",1,0)+IF(ISNUMBER(Table442466657277[[#This Row],[Response]])=TRUE,1,0)=2,Table442466657277[[#This Row],[Response]],"")</f>
        <v/>
      </c>
      <c r="L17" s="6">
        <f>IF(IF(Table442466657277[[#This Row],[Pre or Post]]="Post",1,0)+IF(ISNUMBER(Table442466657277[[#This Row],[Response]])=TRUE,1,0)=2,Table442466657277[[#This Row],[Response]],"")</f>
        <v>5</v>
      </c>
      <c r="M17" s="6" t="str">
        <f>IF(IF(ISNUMBER(K17),1,0)+IF(ISNUMBER(L18),1,0)=2,IF(IF(C18=C17,1,0)+IF(B18=B17,1,0)+IF(D18="Post",1,0)+IF(D17="Pre",1,0)=4,Table442466657277[[#This Row],[Pre Total]],""),"")</f>
        <v/>
      </c>
      <c r="N17" s="6" t="str">
        <f>IF(IF(ISNUMBER(K16),1,0)+IF(ISNUMBER(Table442466657277[[#This Row],[Post Total]]),1,0)=2,IF(IF(Table442466657277[[#This Row],[Student Number]]=C16,1,0)+IF(Table442466657277[[#This Row],[Session]]=B16,1,0)+IF(Table442466657277[[#This Row],[Pre or Post]]="Post",1,0)+IF(D16="Pre",1,0)=4,Table442466657277[[#This Row],[Post Total]],""),"")</f>
        <v/>
      </c>
      <c r="O17" s="6" t="str">
        <f>IF(IF(ISNUMBER(K16),1,0)+IF(ISNUMBER(Table442466657277[[#This Row],[Post Total]]),1,0)=2,IF(IF(Table442466657277[[#This Row],[Student Number]]=C16,1,0)+IF(Table442466657277[[#This Row],[Session]]=B16,1,0)+IF(Table442466657277[[#This Row],[Pre or Post]]="Post",1,0)+IF(D16="Pre",1,0)=4,Table442466657277[[#This Row],[Post Total]]-K16,""),"")</f>
        <v/>
      </c>
      <c r="P17" s="6" t="b">
        <f>ISNUMBER(Table442466657277[[#This Row],[Change]])</f>
        <v>0</v>
      </c>
      <c r="Q17" s="5" t="str">
        <f>IF(E16="Yes",Table442466657277[[#This Row],[Change]],"")</f>
        <v/>
      </c>
      <c r="R17" s="5" t="str">
        <f>IF(E16="No",Table442466657277[[#This Row],[Change]],"")</f>
        <v/>
      </c>
      <c r="S17" s="5" t="b">
        <f>ISNUMBER(Table442466657277[[#This Row],[If Pre6 Yes]])</f>
        <v>0</v>
      </c>
      <c r="T17" s="5" t="b">
        <f>ISNUMBER(Table442466657277[[#This Row],[If Pre6 No]])</f>
        <v>0</v>
      </c>
    </row>
    <row r="18" spans="1:20">
      <c r="A18" s="2" t="s">
        <v>24</v>
      </c>
      <c r="B18" s="2" t="s">
        <v>30</v>
      </c>
      <c r="C18" s="1">
        <v>17</v>
      </c>
      <c r="D18" s="2" t="s">
        <v>16</v>
      </c>
      <c r="E18" s="6"/>
      <c r="F18" s="1">
        <v>6</v>
      </c>
      <c r="G18" s="1">
        <v>4</v>
      </c>
      <c r="H18" s="2" t="s">
        <v>9</v>
      </c>
      <c r="I18" s="5" t="str">
        <f>IF(IF(Table442466657277[[#This Row],[Pre or Post]]="Pre",1,0)+IF(ISNUMBER(Table442466657277[[#This Row],[Response]])=TRUE,1,0)=2,1,"")</f>
        <v/>
      </c>
      <c r="J18" s="5">
        <f>IF(IF(Table442466657277[[#This Row],[Pre or Post]]="Post",1,0)+IF(ISNUMBER(Table442466657277[[#This Row],[Response]])=TRUE,1,0)=2,1,"")</f>
        <v>1</v>
      </c>
      <c r="K18" s="6" t="str">
        <f>IF(IF(Table442466657277[[#This Row],[Pre or Post]]="Pre",1,0)+IF(ISNUMBER(Table442466657277[[#This Row],[Response]])=TRUE,1,0)=2,Table442466657277[[#This Row],[Response]],"")</f>
        <v/>
      </c>
      <c r="L18" s="6">
        <f>IF(IF(Table442466657277[[#This Row],[Pre or Post]]="Post",1,0)+IF(ISNUMBER(Table442466657277[[#This Row],[Response]])=TRUE,1,0)=2,Table442466657277[[#This Row],[Response]],"")</f>
        <v>4</v>
      </c>
      <c r="M18" s="5" t="str">
        <f>IF(IF(ISNUMBER(K18),1,0)+IF(ISNUMBER(L19),1,0)=2,IF(IF(C19=C18,1,0)+IF(B19=B18,1,0)+IF(D19="Post",1,0)+IF(D18="Pre",1,0)=4,Table442466657277[[#This Row],[Pre Total]],""),"")</f>
        <v/>
      </c>
      <c r="N18" s="5" t="str">
        <f>IF(IF(ISNUMBER(K17),1,0)+IF(ISNUMBER(Table442466657277[[#This Row],[Post Total]]),1,0)=2,IF(IF(Table442466657277[[#This Row],[Student Number]]=C17,1,0)+IF(Table442466657277[[#This Row],[Session]]=B17,1,0)+IF(Table442466657277[[#This Row],[Pre or Post]]="Post",1,0)+IF(D17="Pre",1,0)=4,Table442466657277[[#This Row],[Post Total]],""),"")</f>
        <v/>
      </c>
      <c r="O18" s="5" t="str">
        <f>IF(IF(ISNUMBER(K17),1,0)+IF(ISNUMBER(Table442466657277[[#This Row],[Post Total]]),1,0)=2,IF(IF(Table442466657277[[#This Row],[Student Number]]=C17,1,0)+IF(Table442466657277[[#This Row],[Session]]=B17,1,0)+IF(Table442466657277[[#This Row],[Pre or Post]]="Post",1,0)+IF(D17="Pre",1,0)=4,Table442466657277[[#This Row],[Post Total]]-K17,""),"")</f>
        <v/>
      </c>
      <c r="P18" s="5" t="b">
        <f>ISNUMBER(Table442466657277[[#This Row],[Change]])</f>
        <v>0</v>
      </c>
      <c r="Q18" s="5" t="str">
        <f>IF(E17="Yes",Table442466657277[[#This Row],[Change]],"")</f>
        <v/>
      </c>
      <c r="R18" s="5" t="str">
        <f>IF(E17="No",Table442466657277[[#This Row],[Change]],"")</f>
        <v/>
      </c>
      <c r="S18" s="5" t="b">
        <f>ISNUMBER(Table442466657277[[#This Row],[If Pre6 Yes]])</f>
        <v>0</v>
      </c>
      <c r="T18" s="5" t="b">
        <f>ISNUMBER(Table442466657277[[#This Row],[If Pre6 No]])</f>
        <v>0</v>
      </c>
    </row>
    <row r="19" spans="1:20">
      <c r="A19" s="2" t="s">
        <v>24</v>
      </c>
      <c r="B19" s="2" t="s">
        <v>30</v>
      </c>
      <c r="C19" s="1">
        <v>18</v>
      </c>
      <c r="D19" s="2" t="s">
        <v>16</v>
      </c>
      <c r="E19" s="6"/>
      <c r="F19" s="1">
        <v>6</v>
      </c>
      <c r="G19" s="1">
        <v>3</v>
      </c>
      <c r="H19" s="2" t="s">
        <v>9</v>
      </c>
      <c r="I19" s="5" t="str">
        <f>IF(IF(Table442466657277[[#This Row],[Pre or Post]]="Pre",1,0)+IF(ISNUMBER(Table442466657277[[#This Row],[Response]])=TRUE,1,0)=2,1,"")</f>
        <v/>
      </c>
      <c r="J19" s="5">
        <f>IF(IF(Table442466657277[[#This Row],[Pre or Post]]="Post",1,0)+IF(ISNUMBER(Table442466657277[[#This Row],[Response]])=TRUE,1,0)=2,1,"")</f>
        <v>1</v>
      </c>
      <c r="K19" s="6" t="str">
        <f>IF(IF(Table442466657277[[#This Row],[Pre or Post]]="Pre",1,0)+IF(ISNUMBER(Table442466657277[[#This Row],[Response]])=TRUE,1,0)=2,Table442466657277[[#This Row],[Response]],"")</f>
        <v/>
      </c>
      <c r="L19" s="6">
        <f>IF(IF(Table442466657277[[#This Row],[Pre or Post]]="Post",1,0)+IF(ISNUMBER(Table442466657277[[#This Row],[Response]])=TRUE,1,0)=2,Table442466657277[[#This Row],[Response]],"")</f>
        <v>3</v>
      </c>
      <c r="M19" s="5" t="str">
        <f>IF(IF(ISNUMBER(K19),1,0)+IF(ISNUMBER(L20),1,0)=2,IF(IF(C20=C19,1,0)+IF(B20=B19,1,0)+IF(D20="Post",1,0)+IF(D19="Pre",1,0)=4,Table442466657277[[#This Row],[Pre Total]],""),"")</f>
        <v/>
      </c>
      <c r="N19" s="5" t="str">
        <f>IF(IF(ISNUMBER(K18),1,0)+IF(ISNUMBER(Table442466657277[[#This Row],[Post Total]]),1,0)=2,IF(IF(Table442466657277[[#This Row],[Student Number]]=C18,1,0)+IF(Table442466657277[[#This Row],[Session]]=B18,1,0)+IF(Table442466657277[[#This Row],[Pre or Post]]="Post",1,0)+IF(D18="Pre",1,0)=4,Table442466657277[[#This Row],[Post Total]],""),"")</f>
        <v/>
      </c>
      <c r="O19" s="5" t="str">
        <f>IF(IF(ISNUMBER(K18),1,0)+IF(ISNUMBER(Table442466657277[[#This Row],[Post Total]]),1,0)=2,IF(IF(Table442466657277[[#This Row],[Student Number]]=C18,1,0)+IF(Table442466657277[[#This Row],[Session]]=B18,1,0)+IF(Table442466657277[[#This Row],[Pre or Post]]="Post",1,0)+IF(D18="Pre",1,0)=4,Table442466657277[[#This Row],[Post Total]]-K18,""),"")</f>
        <v/>
      </c>
      <c r="P19" s="5" t="b">
        <f>ISNUMBER(Table442466657277[[#This Row],[Change]])</f>
        <v>0</v>
      </c>
      <c r="Q19" s="5" t="str">
        <f>IF(E18="Yes",Table442466657277[[#This Row],[Change]],"")</f>
        <v/>
      </c>
      <c r="R19" s="5" t="str">
        <f>IF(E18="No",Table442466657277[[#This Row],[Change]],"")</f>
        <v/>
      </c>
      <c r="S19" s="5" t="b">
        <f>ISNUMBER(Table442466657277[[#This Row],[If Pre6 Yes]])</f>
        <v>0</v>
      </c>
      <c r="T19" s="5" t="b">
        <f>ISNUMBER(Table442466657277[[#This Row],[If Pre6 No]])</f>
        <v>0</v>
      </c>
    </row>
    <row r="20" spans="1:20">
      <c r="A20" s="2" t="s">
        <v>24</v>
      </c>
      <c r="B20" s="2" t="s">
        <v>30</v>
      </c>
      <c r="C20" s="2">
        <v>19</v>
      </c>
      <c r="D20" s="2" t="s">
        <v>16</v>
      </c>
      <c r="E20" s="6"/>
      <c r="F20" s="1">
        <v>6</v>
      </c>
      <c r="G20" s="1">
        <v>3</v>
      </c>
      <c r="H20" s="2" t="s">
        <v>9</v>
      </c>
      <c r="I20" s="5" t="str">
        <f>IF(IF(Table442466657277[[#This Row],[Pre or Post]]="Pre",1,0)+IF(ISNUMBER(Table442466657277[[#This Row],[Response]])=TRUE,1,0)=2,1,"")</f>
        <v/>
      </c>
      <c r="J20" s="5">
        <f>IF(IF(Table442466657277[[#This Row],[Pre or Post]]="Post",1,0)+IF(ISNUMBER(Table442466657277[[#This Row],[Response]])=TRUE,1,0)=2,1,"")</f>
        <v>1</v>
      </c>
      <c r="K20" s="6" t="str">
        <f>IF(IF(Table442466657277[[#This Row],[Pre or Post]]="Pre",1,0)+IF(ISNUMBER(Table442466657277[[#This Row],[Response]])=TRUE,1,0)=2,Table442466657277[[#This Row],[Response]],"")</f>
        <v/>
      </c>
      <c r="L20" s="6">
        <f>IF(IF(Table442466657277[[#This Row],[Pre or Post]]="Post",1,0)+IF(ISNUMBER(Table442466657277[[#This Row],[Response]])=TRUE,1,0)=2,Table442466657277[[#This Row],[Response]],"")</f>
        <v>3</v>
      </c>
      <c r="M20" s="5" t="str">
        <f>IF(IF(ISNUMBER(K20),1,0)+IF(ISNUMBER(L21),1,0)=2,IF(IF(C21=C20,1,0)+IF(B21=B20,1,0)+IF(D21="Post",1,0)+IF(D20="Pre",1,0)=4,Table442466657277[[#This Row],[Pre Total]],""),"")</f>
        <v/>
      </c>
      <c r="N20" s="5" t="str">
        <f>IF(IF(ISNUMBER(K19),1,0)+IF(ISNUMBER(Table442466657277[[#This Row],[Post Total]]),1,0)=2,IF(IF(Table442466657277[[#This Row],[Student Number]]=C19,1,0)+IF(Table442466657277[[#This Row],[Session]]=B19,1,0)+IF(Table442466657277[[#This Row],[Pre or Post]]="Post",1,0)+IF(D19="Pre",1,0)=4,Table442466657277[[#This Row],[Post Total]],""),"")</f>
        <v/>
      </c>
      <c r="O20" s="5" t="str">
        <f>IF(IF(ISNUMBER(K19),1,0)+IF(ISNUMBER(Table442466657277[[#This Row],[Post Total]]),1,0)=2,IF(IF(Table442466657277[[#This Row],[Student Number]]=C19,1,0)+IF(Table442466657277[[#This Row],[Session]]=B19,1,0)+IF(Table442466657277[[#This Row],[Pre or Post]]="Post",1,0)+IF(D19="Pre",1,0)=4,Table442466657277[[#This Row],[Post Total]]-K19,""),"")</f>
        <v/>
      </c>
      <c r="P20" s="5" t="b">
        <f>ISNUMBER(Table442466657277[[#This Row],[Change]])</f>
        <v>0</v>
      </c>
      <c r="Q20" s="5" t="str">
        <f>IF(E19="Yes",Table442466657277[[#This Row],[Change]],"")</f>
        <v/>
      </c>
      <c r="R20" s="5" t="str">
        <f>IF(E19="No",Table442466657277[[#This Row],[Change]],"")</f>
        <v/>
      </c>
      <c r="S20" s="5" t="b">
        <f>ISNUMBER(Table442466657277[[#This Row],[If Pre6 Yes]])</f>
        <v>0</v>
      </c>
      <c r="T20" s="5" t="b">
        <f>ISNUMBER(Table442466657277[[#This Row],[If Pre6 No]])</f>
        <v>0</v>
      </c>
    </row>
    <row r="21" spans="1:20">
      <c r="A21" s="1" t="s">
        <v>24</v>
      </c>
      <c r="B21" s="1" t="s">
        <v>23</v>
      </c>
      <c r="C21" s="1">
        <v>1</v>
      </c>
      <c r="D21" s="1" t="s">
        <v>6</v>
      </c>
      <c r="E21" s="5" t="s">
        <v>8</v>
      </c>
      <c r="F21" s="1">
        <v>10</v>
      </c>
      <c r="G21" s="1">
        <v>4</v>
      </c>
      <c r="H21" s="1" t="s">
        <v>8</v>
      </c>
      <c r="I21" s="5">
        <f>IF(IF(Table442466657277[[#This Row],[Pre or Post]]="Pre",1,0)+IF(ISNUMBER(Table442466657277[[#This Row],[Response]])=TRUE,1,0)=2,1,"")</f>
        <v>1</v>
      </c>
      <c r="J21" s="5" t="str">
        <f>IF(IF(Table442466657277[[#This Row],[Pre or Post]]="Post",1,0)+IF(ISNUMBER(Table442466657277[[#This Row],[Response]])=TRUE,1,0)=2,1,"")</f>
        <v/>
      </c>
      <c r="K21" s="6">
        <f>IF(IF(Table442466657277[[#This Row],[Pre or Post]]="Pre",1,0)+IF(ISNUMBER(Table442466657277[[#This Row],[Response]])=TRUE,1,0)=2,Table442466657277[[#This Row],[Response]],"")</f>
        <v>4</v>
      </c>
      <c r="L21" s="6" t="str">
        <f>IF(IF(Table442466657277[[#This Row],[Pre or Post]]="Post",1,0)+IF(ISNUMBER(Table442466657277[[#This Row],[Response]])=TRUE,1,0)=2,Table442466657277[[#This Row],[Response]],"")</f>
        <v/>
      </c>
      <c r="M21" s="5">
        <f>IF(IF(ISNUMBER(K21),1,0)+IF(ISNUMBER(L22),1,0)=2,IF(IF(C22=C21,1,0)+IF(B22=B21,1,0)+IF(D22="Post",1,0)+IF(D21="Pre",1,0)=4,Table442466657277[[#This Row],[Pre Total]],""),"")</f>
        <v>4</v>
      </c>
      <c r="N21" s="5" t="str">
        <f>IF(IF(ISNUMBER(K20),1,0)+IF(ISNUMBER(Table442466657277[[#This Row],[Post Total]]),1,0)=2,IF(IF(Table442466657277[[#This Row],[Student Number]]=C20,1,0)+IF(Table442466657277[[#This Row],[Session]]=B20,1,0)+IF(Table442466657277[[#This Row],[Pre or Post]]="Post",1,0)+IF(D20="Pre",1,0)=4,Table442466657277[[#This Row],[Post Total]],""),"")</f>
        <v/>
      </c>
      <c r="O21" s="5" t="str">
        <f>IF(IF(ISNUMBER(K20),1,0)+IF(ISNUMBER(Table442466657277[[#This Row],[Post Total]]),1,0)=2,IF(IF(Table442466657277[[#This Row],[Student Number]]=C20,1,0)+IF(Table442466657277[[#This Row],[Session]]=B20,1,0)+IF(Table442466657277[[#This Row],[Pre or Post]]="Post",1,0)+IF(D20="Pre",1,0)=4,Table442466657277[[#This Row],[Post Total]]-K20,""),"")</f>
        <v/>
      </c>
      <c r="P21" s="5" t="b">
        <f>ISNUMBER(Table442466657277[[#This Row],[Change]])</f>
        <v>0</v>
      </c>
      <c r="Q21" s="5" t="str">
        <f>IF(E20="Yes",Table442466657277[[#This Row],[Change]],"")</f>
        <v/>
      </c>
      <c r="R21" s="5" t="str">
        <f>IF(E20="No",Table442466657277[[#This Row],[Change]],"")</f>
        <v/>
      </c>
      <c r="S21" s="5" t="b">
        <f>ISNUMBER(Table442466657277[[#This Row],[If Pre6 Yes]])</f>
        <v>0</v>
      </c>
      <c r="T21" s="5" t="b">
        <f>ISNUMBER(Table442466657277[[#This Row],[If Pre6 No]])</f>
        <v>0</v>
      </c>
    </row>
    <row r="22" spans="1:20">
      <c r="A22" s="1" t="s">
        <v>24</v>
      </c>
      <c r="B22" s="1" t="s">
        <v>23</v>
      </c>
      <c r="C22" s="1">
        <v>1</v>
      </c>
      <c r="D22" s="1" t="s">
        <v>16</v>
      </c>
      <c r="E22" s="5"/>
      <c r="F22" s="1">
        <v>6</v>
      </c>
      <c r="G22" s="1">
        <v>3</v>
      </c>
      <c r="H22" s="1" t="s">
        <v>8</v>
      </c>
      <c r="I22" s="6" t="str">
        <f>IF(IF(Table442466657277[[#This Row],[Pre or Post]]="Pre",1,0)+IF(ISNUMBER(Table442466657277[[#This Row],[Response]])=TRUE,1,0)=2,1,"")</f>
        <v/>
      </c>
      <c r="J22" s="6">
        <f>IF(IF(Table442466657277[[#This Row],[Pre or Post]]="Post",1,0)+IF(ISNUMBER(Table442466657277[[#This Row],[Response]])=TRUE,1,0)=2,1,"")</f>
        <v>1</v>
      </c>
      <c r="K22" s="6" t="str">
        <f>IF(IF(Table442466657277[[#This Row],[Pre or Post]]="Pre",1,0)+IF(ISNUMBER(Table442466657277[[#This Row],[Response]])=TRUE,1,0)=2,Table442466657277[[#This Row],[Response]],"")</f>
        <v/>
      </c>
      <c r="L22" s="6">
        <f>IF(IF(Table442466657277[[#This Row],[Pre or Post]]="Post",1,0)+IF(ISNUMBER(Table442466657277[[#This Row],[Response]])=TRUE,1,0)=2,Table442466657277[[#This Row],[Response]],"")</f>
        <v>3</v>
      </c>
      <c r="M22" s="6" t="str">
        <f>IF(IF(ISNUMBER(K22),1,0)+IF(ISNUMBER(L23),1,0)=2,IF(IF(C23=C22,1,0)+IF(B23=B22,1,0)+IF(D23="Post",1,0)+IF(D22="Pre",1,0)=4,Table442466657277[[#This Row],[Pre Total]],""),"")</f>
        <v/>
      </c>
      <c r="N22" s="6">
        <f>IF(IF(ISNUMBER(K21),1,0)+IF(ISNUMBER(Table442466657277[[#This Row],[Post Total]]),1,0)=2,IF(IF(Table442466657277[[#This Row],[Student Number]]=C21,1,0)+IF(Table442466657277[[#This Row],[Session]]=B21,1,0)+IF(Table442466657277[[#This Row],[Pre or Post]]="Post",1,0)+IF(D21="Pre",1,0)=4,Table442466657277[[#This Row],[Post Total]],""),"")</f>
        <v>3</v>
      </c>
      <c r="O22" s="6">
        <f>IF(IF(ISNUMBER(K21),1,0)+IF(ISNUMBER(Table442466657277[[#This Row],[Post Total]]),1,0)=2,IF(IF(Table442466657277[[#This Row],[Student Number]]=C21,1,0)+IF(Table442466657277[[#This Row],[Session]]=B21,1,0)+IF(Table442466657277[[#This Row],[Pre or Post]]="Post",1,0)+IF(D21="Pre",1,0)=4,Table442466657277[[#This Row],[Post Total]]-K21,""),"")</f>
        <v>-1</v>
      </c>
      <c r="P22" s="6" t="b">
        <f>ISNUMBER(Table442466657277[[#This Row],[Change]])</f>
        <v>1</v>
      </c>
      <c r="Q22" s="5">
        <f>IF(E21="Yes",Table442466657277[[#This Row],[Change]],"")</f>
        <v>-1</v>
      </c>
      <c r="R22" s="5" t="str">
        <f>IF(E21="No",Table442466657277[[#This Row],[Change]],"")</f>
        <v/>
      </c>
      <c r="S22" s="5" t="b">
        <f>ISNUMBER(Table442466657277[[#This Row],[If Pre6 Yes]])</f>
        <v>1</v>
      </c>
      <c r="T22" s="5" t="b">
        <f>ISNUMBER(Table442466657277[[#This Row],[If Pre6 No]])</f>
        <v>0</v>
      </c>
    </row>
    <row r="23" spans="1:20">
      <c r="A23" s="1" t="s">
        <v>24</v>
      </c>
      <c r="B23" s="1" t="s">
        <v>23</v>
      </c>
      <c r="C23" s="1">
        <v>2</v>
      </c>
      <c r="D23" s="1" t="s">
        <v>6</v>
      </c>
      <c r="E23" s="5" t="s">
        <v>8</v>
      </c>
      <c r="F23" s="1">
        <v>10</v>
      </c>
      <c r="G23" s="1">
        <v>1</v>
      </c>
      <c r="H23" s="1" t="s">
        <v>8</v>
      </c>
      <c r="I23" s="5">
        <f>IF(IF(Table442466657277[[#This Row],[Pre or Post]]="Pre",1,0)+IF(ISNUMBER(Table442466657277[[#This Row],[Response]])=TRUE,1,0)=2,1,"")</f>
        <v>1</v>
      </c>
      <c r="J23" s="5" t="str">
        <f>IF(IF(Table442466657277[[#This Row],[Pre or Post]]="Post",1,0)+IF(ISNUMBER(Table442466657277[[#This Row],[Response]])=TRUE,1,0)=2,1,"")</f>
        <v/>
      </c>
      <c r="K23" s="6">
        <f>IF(IF(Table442466657277[[#This Row],[Pre or Post]]="Pre",1,0)+IF(ISNUMBER(Table442466657277[[#This Row],[Response]])=TRUE,1,0)=2,Table442466657277[[#This Row],[Response]],"")</f>
        <v>1</v>
      </c>
      <c r="L23" s="6" t="str">
        <f>IF(IF(Table442466657277[[#This Row],[Pre or Post]]="Post",1,0)+IF(ISNUMBER(Table442466657277[[#This Row],[Response]])=TRUE,1,0)=2,Table442466657277[[#This Row],[Response]],"")</f>
        <v/>
      </c>
      <c r="M23" s="5">
        <f>IF(IF(ISNUMBER(K23),1,0)+IF(ISNUMBER(L24),1,0)=2,IF(IF(C24=C23,1,0)+IF(B24=B23,1,0)+IF(D24="Post",1,0)+IF(D23="Pre",1,0)=4,Table442466657277[[#This Row],[Pre Total]],""),"")</f>
        <v>1</v>
      </c>
      <c r="N23" s="5" t="str">
        <f>IF(IF(ISNUMBER(K22),1,0)+IF(ISNUMBER(Table442466657277[[#This Row],[Post Total]]),1,0)=2,IF(IF(Table442466657277[[#This Row],[Student Number]]=C22,1,0)+IF(Table442466657277[[#This Row],[Session]]=B22,1,0)+IF(Table442466657277[[#This Row],[Pre or Post]]="Post",1,0)+IF(D22="Pre",1,0)=4,Table442466657277[[#This Row],[Post Total]],""),"")</f>
        <v/>
      </c>
      <c r="O23" s="5" t="str">
        <f>IF(IF(ISNUMBER(K22),1,0)+IF(ISNUMBER(Table442466657277[[#This Row],[Post Total]]),1,0)=2,IF(IF(Table442466657277[[#This Row],[Student Number]]=C22,1,0)+IF(Table442466657277[[#This Row],[Session]]=B22,1,0)+IF(Table442466657277[[#This Row],[Pre or Post]]="Post",1,0)+IF(D22="Pre",1,0)=4,Table442466657277[[#This Row],[Post Total]]-K22,""),"")</f>
        <v/>
      </c>
      <c r="P23" s="5" t="b">
        <f>ISNUMBER(Table442466657277[[#This Row],[Change]])</f>
        <v>0</v>
      </c>
      <c r="Q23" s="5" t="str">
        <f>IF(E22="Yes",Table442466657277[[#This Row],[Change]],"")</f>
        <v/>
      </c>
      <c r="R23" s="5" t="str">
        <f>IF(E22="No",Table442466657277[[#This Row],[Change]],"")</f>
        <v/>
      </c>
      <c r="S23" s="5" t="b">
        <f>ISNUMBER(Table442466657277[[#This Row],[If Pre6 Yes]])</f>
        <v>0</v>
      </c>
      <c r="T23" s="5" t="b">
        <f>ISNUMBER(Table442466657277[[#This Row],[If Pre6 No]])</f>
        <v>0</v>
      </c>
    </row>
    <row r="24" spans="1:20">
      <c r="A24" s="1" t="s">
        <v>24</v>
      </c>
      <c r="B24" s="1" t="s">
        <v>23</v>
      </c>
      <c r="C24" s="1">
        <v>2</v>
      </c>
      <c r="D24" s="1" t="s">
        <v>16</v>
      </c>
      <c r="E24" s="5"/>
      <c r="F24" s="1">
        <v>6</v>
      </c>
      <c r="G24" s="1">
        <v>5</v>
      </c>
      <c r="H24" s="1" t="s">
        <v>8</v>
      </c>
      <c r="I24" s="6" t="str">
        <f>IF(IF(Table442466657277[[#This Row],[Pre or Post]]="Pre",1,0)+IF(ISNUMBER(Table442466657277[[#This Row],[Response]])=TRUE,1,0)=2,1,"")</f>
        <v/>
      </c>
      <c r="J24" s="6">
        <f>IF(IF(Table442466657277[[#This Row],[Pre or Post]]="Post",1,0)+IF(ISNUMBER(Table442466657277[[#This Row],[Response]])=TRUE,1,0)=2,1,"")</f>
        <v>1</v>
      </c>
      <c r="K24" s="6" t="str">
        <f>IF(IF(Table442466657277[[#This Row],[Pre or Post]]="Pre",1,0)+IF(ISNUMBER(Table442466657277[[#This Row],[Response]])=TRUE,1,0)=2,Table442466657277[[#This Row],[Response]],"")</f>
        <v/>
      </c>
      <c r="L24" s="6">
        <f>IF(IF(Table442466657277[[#This Row],[Pre or Post]]="Post",1,0)+IF(ISNUMBER(Table442466657277[[#This Row],[Response]])=TRUE,1,0)=2,Table442466657277[[#This Row],[Response]],"")</f>
        <v>5</v>
      </c>
      <c r="M24" s="6" t="str">
        <f>IF(IF(ISNUMBER(K24),1,0)+IF(ISNUMBER(L25),1,0)=2,IF(IF(C25=C24,1,0)+IF(B25=B24,1,0)+IF(D25="Post",1,0)+IF(D24="Pre",1,0)=4,Table442466657277[[#This Row],[Pre Total]],""),"")</f>
        <v/>
      </c>
      <c r="N24" s="6">
        <f>IF(IF(ISNUMBER(K23),1,0)+IF(ISNUMBER(Table442466657277[[#This Row],[Post Total]]),1,0)=2,IF(IF(Table442466657277[[#This Row],[Student Number]]=C23,1,0)+IF(Table442466657277[[#This Row],[Session]]=B23,1,0)+IF(Table442466657277[[#This Row],[Pre or Post]]="Post",1,0)+IF(D23="Pre",1,0)=4,Table442466657277[[#This Row],[Post Total]],""),"")</f>
        <v>5</v>
      </c>
      <c r="O24" s="6">
        <f>IF(IF(ISNUMBER(K23),1,0)+IF(ISNUMBER(Table442466657277[[#This Row],[Post Total]]),1,0)=2,IF(IF(Table442466657277[[#This Row],[Student Number]]=C23,1,0)+IF(Table442466657277[[#This Row],[Session]]=B23,1,0)+IF(Table442466657277[[#This Row],[Pre or Post]]="Post",1,0)+IF(D23="Pre",1,0)=4,Table442466657277[[#This Row],[Post Total]]-K23,""),"")</f>
        <v>4</v>
      </c>
      <c r="P24" s="6" t="b">
        <f>ISNUMBER(Table442466657277[[#This Row],[Change]])</f>
        <v>1</v>
      </c>
      <c r="Q24" s="5">
        <f>IF(E23="Yes",Table442466657277[[#This Row],[Change]],"")</f>
        <v>4</v>
      </c>
      <c r="R24" s="5" t="str">
        <f>IF(E23="No",Table442466657277[[#This Row],[Change]],"")</f>
        <v/>
      </c>
      <c r="S24" s="5" t="b">
        <f>ISNUMBER(Table442466657277[[#This Row],[If Pre6 Yes]])</f>
        <v>1</v>
      </c>
      <c r="T24" s="5" t="b">
        <f>ISNUMBER(Table442466657277[[#This Row],[If Pre6 No]])</f>
        <v>0</v>
      </c>
    </row>
    <row r="25" spans="1:20">
      <c r="A25" s="1" t="s">
        <v>24</v>
      </c>
      <c r="B25" s="1" t="s">
        <v>23</v>
      </c>
      <c r="C25" s="1">
        <v>3</v>
      </c>
      <c r="D25" s="1" t="s">
        <v>6</v>
      </c>
      <c r="E25" s="5" t="s">
        <v>9</v>
      </c>
      <c r="F25" s="1">
        <v>10</v>
      </c>
      <c r="G25" s="1">
        <v>3</v>
      </c>
      <c r="H25" s="1" t="s">
        <v>8</v>
      </c>
      <c r="I25" s="5">
        <f>IF(IF(Table442466657277[[#This Row],[Pre or Post]]="Pre",1,0)+IF(ISNUMBER(Table442466657277[[#This Row],[Response]])=TRUE,1,0)=2,1,"")</f>
        <v>1</v>
      </c>
      <c r="J25" s="5" t="str">
        <f>IF(IF(Table442466657277[[#This Row],[Pre or Post]]="Post",1,0)+IF(ISNUMBER(Table442466657277[[#This Row],[Response]])=TRUE,1,0)=2,1,"")</f>
        <v/>
      </c>
      <c r="K25" s="6">
        <f>IF(IF(Table442466657277[[#This Row],[Pre or Post]]="Pre",1,0)+IF(ISNUMBER(Table442466657277[[#This Row],[Response]])=TRUE,1,0)=2,Table442466657277[[#This Row],[Response]],"")</f>
        <v>3</v>
      </c>
      <c r="L25" s="6" t="str">
        <f>IF(IF(Table442466657277[[#This Row],[Pre or Post]]="Post",1,0)+IF(ISNUMBER(Table442466657277[[#This Row],[Response]])=TRUE,1,0)=2,Table442466657277[[#This Row],[Response]],"")</f>
        <v/>
      </c>
      <c r="M25" s="5">
        <f>IF(IF(ISNUMBER(K25),1,0)+IF(ISNUMBER(L26),1,0)=2,IF(IF(C26=C25,1,0)+IF(B26=B25,1,0)+IF(D26="Post",1,0)+IF(D25="Pre",1,0)=4,Table442466657277[[#This Row],[Pre Total]],""),"")</f>
        <v>3</v>
      </c>
      <c r="N25" s="5" t="str">
        <f>IF(IF(ISNUMBER(K24),1,0)+IF(ISNUMBER(Table442466657277[[#This Row],[Post Total]]),1,0)=2,IF(IF(Table442466657277[[#This Row],[Student Number]]=C24,1,0)+IF(Table442466657277[[#This Row],[Session]]=B24,1,0)+IF(Table442466657277[[#This Row],[Pre or Post]]="Post",1,0)+IF(D24="Pre",1,0)=4,Table442466657277[[#This Row],[Post Total]],""),"")</f>
        <v/>
      </c>
      <c r="O25" s="5" t="str">
        <f>IF(IF(ISNUMBER(K24),1,0)+IF(ISNUMBER(Table442466657277[[#This Row],[Post Total]]),1,0)=2,IF(IF(Table442466657277[[#This Row],[Student Number]]=C24,1,0)+IF(Table442466657277[[#This Row],[Session]]=B24,1,0)+IF(Table442466657277[[#This Row],[Pre or Post]]="Post",1,0)+IF(D24="Pre",1,0)=4,Table442466657277[[#This Row],[Post Total]]-K24,""),"")</f>
        <v/>
      </c>
      <c r="P25" s="5" t="b">
        <f>ISNUMBER(Table442466657277[[#This Row],[Change]])</f>
        <v>0</v>
      </c>
      <c r="Q25" s="5" t="str">
        <f>IF(E24="Yes",Table442466657277[[#This Row],[Change]],"")</f>
        <v/>
      </c>
      <c r="R25" s="5" t="str">
        <f>IF(E24="No",Table442466657277[[#This Row],[Change]],"")</f>
        <v/>
      </c>
      <c r="S25" s="5" t="b">
        <f>ISNUMBER(Table442466657277[[#This Row],[If Pre6 Yes]])</f>
        <v>0</v>
      </c>
      <c r="T25" s="5" t="b">
        <f>ISNUMBER(Table442466657277[[#This Row],[If Pre6 No]])</f>
        <v>0</v>
      </c>
    </row>
    <row r="26" spans="1:20">
      <c r="A26" s="1" t="s">
        <v>24</v>
      </c>
      <c r="B26" s="1" t="s">
        <v>23</v>
      </c>
      <c r="C26" s="1">
        <v>3</v>
      </c>
      <c r="D26" s="1" t="s">
        <v>16</v>
      </c>
      <c r="E26" s="5"/>
      <c r="F26" s="1">
        <v>6</v>
      </c>
      <c r="G26" s="1">
        <v>5</v>
      </c>
      <c r="H26" s="1" t="s">
        <v>8</v>
      </c>
      <c r="I26" s="5" t="str">
        <f>IF(IF(Table442466657277[[#This Row],[Pre or Post]]="Pre",1,0)+IF(ISNUMBER(Table442466657277[[#This Row],[Response]])=TRUE,1,0)=2,1,"")</f>
        <v/>
      </c>
      <c r="J26" s="5">
        <f>IF(IF(Table442466657277[[#This Row],[Pre or Post]]="Post",1,0)+IF(ISNUMBER(Table442466657277[[#This Row],[Response]])=TRUE,1,0)=2,1,"")</f>
        <v>1</v>
      </c>
      <c r="K26" s="6" t="str">
        <f>IF(IF(Table442466657277[[#This Row],[Pre or Post]]="Pre",1,0)+IF(ISNUMBER(Table442466657277[[#This Row],[Response]])=TRUE,1,0)=2,Table442466657277[[#This Row],[Response]],"")</f>
        <v/>
      </c>
      <c r="L26" s="6">
        <f>IF(IF(Table442466657277[[#This Row],[Pre or Post]]="Post",1,0)+IF(ISNUMBER(Table442466657277[[#This Row],[Response]])=TRUE,1,0)=2,Table442466657277[[#This Row],[Response]],"")</f>
        <v>5</v>
      </c>
      <c r="M26" s="5" t="str">
        <f>IF(IF(ISNUMBER(K26),1,0)+IF(ISNUMBER(L27),1,0)=2,IF(IF(C27=C26,1,0)+IF(B27=B26,1,0)+IF(D27="Post",1,0)+IF(D26="Pre",1,0)=4,Table442466657277[[#This Row],[Pre Total]],""),"")</f>
        <v/>
      </c>
      <c r="N26" s="5">
        <f>IF(IF(ISNUMBER(K25),1,0)+IF(ISNUMBER(Table442466657277[[#This Row],[Post Total]]),1,0)=2,IF(IF(Table442466657277[[#This Row],[Student Number]]=C25,1,0)+IF(Table442466657277[[#This Row],[Session]]=B25,1,0)+IF(Table442466657277[[#This Row],[Pre or Post]]="Post",1,0)+IF(D25="Pre",1,0)=4,Table442466657277[[#This Row],[Post Total]],""),"")</f>
        <v>5</v>
      </c>
      <c r="O26" s="5">
        <f>IF(IF(ISNUMBER(K25),1,0)+IF(ISNUMBER(Table442466657277[[#This Row],[Post Total]]),1,0)=2,IF(IF(Table442466657277[[#This Row],[Student Number]]=C25,1,0)+IF(Table442466657277[[#This Row],[Session]]=B25,1,0)+IF(Table442466657277[[#This Row],[Pre or Post]]="Post",1,0)+IF(D25="Pre",1,0)=4,Table442466657277[[#This Row],[Post Total]]-K25,""),"")</f>
        <v>2</v>
      </c>
      <c r="P26" s="5" t="b">
        <f>ISNUMBER(Table442466657277[[#This Row],[Change]])</f>
        <v>1</v>
      </c>
      <c r="Q26" s="5" t="str">
        <f>IF(E25="Yes",Table442466657277[[#This Row],[Change]],"")</f>
        <v/>
      </c>
      <c r="R26" s="5">
        <f>IF(E25="No",Table442466657277[[#This Row],[Change]],"")</f>
        <v>2</v>
      </c>
      <c r="S26" s="5" t="b">
        <f>ISNUMBER(Table442466657277[[#This Row],[If Pre6 Yes]])</f>
        <v>0</v>
      </c>
      <c r="T26" s="5" t="b">
        <f>ISNUMBER(Table442466657277[[#This Row],[If Pre6 No]])</f>
        <v>1</v>
      </c>
    </row>
    <row r="27" spans="1:20">
      <c r="A27" s="1" t="s">
        <v>24</v>
      </c>
      <c r="B27" s="1" t="s">
        <v>23</v>
      </c>
      <c r="C27" s="1">
        <v>4</v>
      </c>
      <c r="D27" s="1" t="s">
        <v>6</v>
      </c>
      <c r="E27" s="5" t="s">
        <v>9</v>
      </c>
      <c r="F27" s="1">
        <v>10</v>
      </c>
      <c r="G27" s="1">
        <v>2</v>
      </c>
      <c r="H27" s="1" t="s">
        <v>8</v>
      </c>
      <c r="I27" s="6">
        <f>IF(IF(Table442466657277[[#This Row],[Pre or Post]]="Pre",1,0)+IF(ISNUMBER(Table442466657277[[#This Row],[Response]])=TRUE,1,0)=2,1,"")</f>
        <v>1</v>
      </c>
      <c r="J27" s="6" t="str">
        <f>IF(IF(Table442466657277[[#This Row],[Pre or Post]]="Post",1,0)+IF(ISNUMBER(Table442466657277[[#This Row],[Response]])=TRUE,1,0)=2,1,"")</f>
        <v/>
      </c>
      <c r="K27" s="6">
        <f>IF(IF(Table442466657277[[#This Row],[Pre or Post]]="Pre",1,0)+IF(ISNUMBER(Table442466657277[[#This Row],[Response]])=TRUE,1,0)=2,Table442466657277[[#This Row],[Response]],"")</f>
        <v>2</v>
      </c>
      <c r="L27" s="6" t="str">
        <f>IF(IF(Table442466657277[[#This Row],[Pre or Post]]="Post",1,0)+IF(ISNUMBER(Table442466657277[[#This Row],[Response]])=TRUE,1,0)=2,Table442466657277[[#This Row],[Response]],"")</f>
        <v/>
      </c>
      <c r="M27" s="6">
        <f>IF(IF(ISNUMBER(K27),1,0)+IF(ISNUMBER(L28),1,0)=2,IF(IF(C28=C27,1,0)+IF(B28=B27,1,0)+IF(D28="Post",1,0)+IF(D27="Pre",1,0)=4,Table442466657277[[#This Row],[Pre Total]],""),"")</f>
        <v>2</v>
      </c>
      <c r="N27" s="6" t="str">
        <f>IF(IF(ISNUMBER(K26),1,0)+IF(ISNUMBER(Table442466657277[[#This Row],[Post Total]]),1,0)=2,IF(IF(Table442466657277[[#This Row],[Student Number]]=C26,1,0)+IF(Table442466657277[[#This Row],[Session]]=B26,1,0)+IF(Table442466657277[[#This Row],[Pre or Post]]="Post",1,0)+IF(D26="Pre",1,0)=4,Table442466657277[[#This Row],[Post Total]],""),"")</f>
        <v/>
      </c>
      <c r="O27" s="6" t="str">
        <f>IF(IF(ISNUMBER(K26),1,0)+IF(ISNUMBER(Table442466657277[[#This Row],[Post Total]]),1,0)=2,IF(IF(Table442466657277[[#This Row],[Student Number]]=C26,1,0)+IF(Table442466657277[[#This Row],[Session]]=B26,1,0)+IF(Table442466657277[[#This Row],[Pre or Post]]="Post",1,0)+IF(D26="Pre",1,0)=4,Table442466657277[[#This Row],[Post Total]]-K26,""),"")</f>
        <v/>
      </c>
      <c r="P27" s="6" t="b">
        <f>ISNUMBER(Table442466657277[[#This Row],[Change]])</f>
        <v>0</v>
      </c>
      <c r="Q27" s="5" t="str">
        <f>IF(E26="Yes",Table442466657277[[#This Row],[Change]],"")</f>
        <v/>
      </c>
      <c r="R27" s="5" t="str">
        <f>IF(E26="No",Table442466657277[[#This Row],[Change]],"")</f>
        <v/>
      </c>
      <c r="S27" s="5" t="b">
        <f>ISNUMBER(Table442466657277[[#This Row],[If Pre6 Yes]])</f>
        <v>0</v>
      </c>
      <c r="T27" s="5" t="b">
        <f>ISNUMBER(Table442466657277[[#This Row],[If Pre6 No]])</f>
        <v>0</v>
      </c>
    </row>
    <row r="28" spans="1:20">
      <c r="A28" s="1" t="s">
        <v>24</v>
      </c>
      <c r="B28" s="1" t="s">
        <v>23</v>
      </c>
      <c r="C28" s="1">
        <v>4</v>
      </c>
      <c r="D28" s="1" t="s">
        <v>16</v>
      </c>
      <c r="E28" s="5"/>
      <c r="F28" s="1">
        <v>6</v>
      </c>
      <c r="G28" s="1">
        <v>5</v>
      </c>
      <c r="H28" s="1" t="s">
        <v>8</v>
      </c>
      <c r="I28" s="5" t="str">
        <f>IF(IF(Table442466657277[[#This Row],[Pre or Post]]="Pre",1,0)+IF(ISNUMBER(Table442466657277[[#This Row],[Response]])=TRUE,1,0)=2,1,"")</f>
        <v/>
      </c>
      <c r="J28" s="5">
        <f>IF(IF(Table442466657277[[#This Row],[Pre or Post]]="Post",1,0)+IF(ISNUMBER(Table442466657277[[#This Row],[Response]])=TRUE,1,0)=2,1,"")</f>
        <v>1</v>
      </c>
      <c r="K28" s="6" t="str">
        <f>IF(IF(Table442466657277[[#This Row],[Pre or Post]]="Pre",1,0)+IF(ISNUMBER(Table442466657277[[#This Row],[Response]])=TRUE,1,0)=2,Table442466657277[[#This Row],[Response]],"")</f>
        <v/>
      </c>
      <c r="L28" s="6">
        <f>IF(IF(Table442466657277[[#This Row],[Pre or Post]]="Post",1,0)+IF(ISNUMBER(Table442466657277[[#This Row],[Response]])=TRUE,1,0)=2,Table442466657277[[#This Row],[Response]],"")</f>
        <v>5</v>
      </c>
      <c r="M28" s="5" t="str">
        <f>IF(IF(ISNUMBER(K28),1,0)+IF(ISNUMBER(L29),1,0)=2,IF(IF(C29=C28,1,0)+IF(B29=B28,1,0)+IF(D29="Post",1,0)+IF(D28="Pre",1,0)=4,Table442466657277[[#This Row],[Pre Total]],""),"")</f>
        <v/>
      </c>
      <c r="N28" s="5">
        <f>IF(IF(ISNUMBER(K27),1,0)+IF(ISNUMBER(Table442466657277[[#This Row],[Post Total]]),1,0)=2,IF(IF(Table442466657277[[#This Row],[Student Number]]=C27,1,0)+IF(Table442466657277[[#This Row],[Session]]=B27,1,0)+IF(Table442466657277[[#This Row],[Pre or Post]]="Post",1,0)+IF(D27="Pre",1,0)=4,Table442466657277[[#This Row],[Post Total]],""),"")</f>
        <v>5</v>
      </c>
      <c r="O28" s="5">
        <f>IF(IF(ISNUMBER(K27),1,0)+IF(ISNUMBER(Table442466657277[[#This Row],[Post Total]]),1,0)=2,IF(IF(Table442466657277[[#This Row],[Student Number]]=C27,1,0)+IF(Table442466657277[[#This Row],[Session]]=B27,1,0)+IF(Table442466657277[[#This Row],[Pre or Post]]="Post",1,0)+IF(D27="Pre",1,0)=4,Table442466657277[[#This Row],[Post Total]]-K27,""),"")</f>
        <v>3</v>
      </c>
      <c r="P28" s="5" t="b">
        <f>ISNUMBER(Table442466657277[[#This Row],[Change]])</f>
        <v>1</v>
      </c>
      <c r="Q28" s="5" t="str">
        <f>IF(E27="Yes",Table442466657277[[#This Row],[Change]],"")</f>
        <v/>
      </c>
      <c r="R28" s="5">
        <f>IF(E27="No",Table442466657277[[#This Row],[Change]],"")</f>
        <v>3</v>
      </c>
      <c r="S28" s="5" t="b">
        <f>ISNUMBER(Table442466657277[[#This Row],[If Pre6 Yes]])</f>
        <v>0</v>
      </c>
      <c r="T28" s="5" t="b">
        <f>ISNUMBER(Table442466657277[[#This Row],[If Pre6 No]])</f>
        <v>1</v>
      </c>
    </row>
    <row r="29" spans="1:20">
      <c r="A29" s="1" t="s">
        <v>24</v>
      </c>
      <c r="B29" s="1" t="s">
        <v>23</v>
      </c>
      <c r="C29" s="1">
        <v>5</v>
      </c>
      <c r="D29" s="1" t="s">
        <v>6</v>
      </c>
      <c r="E29" s="5" t="s">
        <v>8</v>
      </c>
      <c r="F29" s="1">
        <v>10</v>
      </c>
      <c r="G29" s="1">
        <v>1</v>
      </c>
      <c r="H29" s="1" t="s">
        <v>8</v>
      </c>
      <c r="I29" s="6">
        <f>IF(IF(Table442466657277[[#This Row],[Pre or Post]]="Pre",1,0)+IF(ISNUMBER(Table442466657277[[#This Row],[Response]])=TRUE,1,0)=2,1,"")</f>
        <v>1</v>
      </c>
      <c r="J29" s="6" t="str">
        <f>IF(IF(Table442466657277[[#This Row],[Pre or Post]]="Post",1,0)+IF(ISNUMBER(Table442466657277[[#This Row],[Response]])=TRUE,1,0)=2,1,"")</f>
        <v/>
      </c>
      <c r="K29" s="6">
        <f>IF(IF(Table442466657277[[#This Row],[Pre or Post]]="Pre",1,0)+IF(ISNUMBER(Table442466657277[[#This Row],[Response]])=TRUE,1,0)=2,Table442466657277[[#This Row],[Response]],"")</f>
        <v>1</v>
      </c>
      <c r="L29" s="6" t="str">
        <f>IF(IF(Table442466657277[[#This Row],[Pre or Post]]="Post",1,0)+IF(ISNUMBER(Table442466657277[[#This Row],[Response]])=TRUE,1,0)=2,Table442466657277[[#This Row],[Response]],"")</f>
        <v/>
      </c>
      <c r="M29" s="6">
        <f>IF(IF(ISNUMBER(K29),1,0)+IF(ISNUMBER(L30),1,0)=2,IF(IF(C30=C29,1,0)+IF(B30=B29,1,0)+IF(D30="Post",1,0)+IF(D29="Pre",1,0)=4,Table442466657277[[#This Row],[Pre Total]],""),"")</f>
        <v>1</v>
      </c>
      <c r="N29" s="6" t="str">
        <f>IF(IF(ISNUMBER(K28),1,0)+IF(ISNUMBER(Table442466657277[[#This Row],[Post Total]]),1,0)=2,IF(IF(Table442466657277[[#This Row],[Student Number]]=C28,1,0)+IF(Table442466657277[[#This Row],[Session]]=B28,1,0)+IF(Table442466657277[[#This Row],[Pre or Post]]="Post",1,0)+IF(D28="Pre",1,0)=4,Table442466657277[[#This Row],[Post Total]],""),"")</f>
        <v/>
      </c>
      <c r="O29" s="6" t="str">
        <f>IF(IF(ISNUMBER(K28),1,0)+IF(ISNUMBER(Table442466657277[[#This Row],[Post Total]]),1,0)=2,IF(IF(Table442466657277[[#This Row],[Student Number]]=C28,1,0)+IF(Table442466657277[[#This Row],[Session]]=B28,1,0)+IF(Table442466657277[[#This Row],[Pre or Post]]="Post",1,0)+IF(D28="Pre",1,0)=4,Table442466657277[[#This Row],[Post Total]]-K28,""),"")</f>
        <v/>
      </c>
      <c r="P29" s="6" t="b">
        <f>ISNUMBER(Table442466657277[[#This Row],[Change]])</f>
        <v>0</v>
      </c>
      <c r="Q29" s="5" t="str">
        <f>IF(E28="Yes",Table442466657277[[#This Row],[Change]],"")</f>
        <v/>
      </c>
      <c r="R29" s="5" t="str">
        <f>IF(E28="No",Table442466657277[[#This Row],[Change]],"")</f>
        <v/>
      </c>
      <c r="S29" s="5" t="b">
        <f>ISNUMBER(Table442466657277[[#This Row],[If Pre6 Yes]])</f>
        <v>0</v>
      </c>
      <c r="T29" s="5" t="b">
        <f>ISNUMBER(Table442466657277[[#This Row],[If Pre6 No]])</f>
        <v>0</v>
      </c>
    </row>
    <row r="30" spans="1:20">
      <c r="A30" s="1" t="s">
        <v>24</v>
      </c>
      <c r="B30" s="1" t="s">
        <v>23</v>
      </c>
      <c r="C30" s="1">
        <v>5</v>
      </c>
      <c r="D30" s="1" t="s">
        <v>16</v>
      </c>
      <c r="E30" s="5"/>
      <c r="F30" s="1">
        <v>6</v>
      </c>
      <c r="G30" s="1">
        <v>4</v>
      </c>
      <c r="H30" s="1" t="s">
        <v>8</v>
      </c>
      <c r="I30" s="6" t="str">
        <f>IF(IF(Table442466657277[[#This Row],[Pre or Post]]="Pre",1,0)+IF(ISNUMBER(Table442466657277[[#This Row],[Response]])=TRUE,1,0)=2,1,"")</f>
        <v/>
      </c>
      <c r="J30" s="6">
        <f>IF(IF(Table442466657277[[#This Row],[Pre or Post]]="Post",1,0)+IF(ISNUMBER(Table442466657277[[#This Row],[Response]])=TRUE,1,0)=2,1,"")</f>
        <v>1</v>
      </c>
      <c r="K30" s="6" t="str">
        <f>IF(IF(Table442466657277[[#This Row],[Pre or Post]]="Pre",1,0)+IF(ISNUMBER(Table442466657277[[#This Row],[Response]])=TRUE,1,0)=2,Table442466657277[[#This Row],[Response]],"")</f>
        <v/>
      </c>
      <c r="L30" s="6">
        <f>IF(IF(Table442466657277[[#This Row],[Pre or Post]]="Post",1,0)+IF(ISNUMBER(Table442466657277[[#This Row],[Response]])=TRUE,1,0)=2,Table442466657277[[#This Row],[Response]],"")</f>
        <v>4</v>
      </c>
      <c r="M30" s="6" t="str">
        <f>IF(IF(ISNUMBER(K30),1,0)+IF(ISNUMBER(L31),1,0)=2,IF(IF(C31=C30,1,0)+IF(B31=B30,1,0)+IF(D31="Post",1,0)+IF(D30="Pre",1,0)=4,Table442466657277[[#This Row],[Pre Total]],""),"")</f>
        <v/>
      </c>
      <c r="N30" s="6">
        <f>IF(IF(ISNUMBER(K29),1,0)+IF(ISNUMBER(Table442466657277[[#This Row],[Post Total]]),1,0)=2,IF(IF(Table442466657277[[#This Row],[Student Number]]=C29,1,0)+IF(Table442466657277[[#This Row],[Session]]=B29,1,0)+IF(Table442466657277[[#This Row],[Pre or Post]]="Post",1,0)+IF(D29="Pre",1,0)=4,Table442466657277[[#This Row],[Post Total]],""),"")</f>
        <v>4</v>
      </c>
      <c r="O30" s="6">
        <f>IF(IF(ISNUMBER(K29),1,0)+IF(ISNUMBER(Table442466657277[[#This Row],[Post Total]]),1,0)=2,IF(IF(Table442466657277[[#This Row],[Student Number]]=C29,1,0)+IF(Table442466657277[[#This Row],[Session]]=B29,1,0)+IF(Table442466657277[[#This Row],[Pre or Post]]="Post",1,0)+IF(D29="Pre",1,0)=4,Table442466657277[[#This Row],[Post Total]]-K29,""),"")</f>
        <v>3</v>
      </c>
      <c r="P30" s="6" t="b">
        <f>ISNUMBER(Table442466657277[[#This Row],[Change]])</f>
        <v>1</v>
      </c>
      <c r="Q30" s="5">
        <f>IF(E29="Yes",Table442466657277[[#This Row],[Change]],"")</f>
        <v>3</v>
      </c>
      <c r="R30" s="5" t="str">
        <f>IF(E29="No",Table442466657277[[#This Row],[Change]],"")</f>
        <v/>
      </c>
      <c r="S30" s="5" t="b">
        <f>ISNUMBER(Table442466657277[[#This Row],[If Pre6 Yes]])</f>
        <v>1</v>
      </c>
      <c r="T30" s="5" t="b">
        <f>ISNUMBER(Table442466657277[[#This Row],[If Pre6 No]])</f>
        <v>0</v>
      </c>
    </row>
    <row r="31" spans="1:20">
      <c r="A31" s="1" t="s">
        <v>24</v>
      </c>
      <c r="B31" s="1" t="s">
        <v>23</v>
      </c>
      <c r="C31" s="1">
        <v>6</v>
      </c>
      <c r="D31" s="1" t="s">
        <v>6</v>
      </c>
      <c r="E31" s="5" t="s">
        <v>8</v>
      </c>
      <c r="F31" s="1">
        <v>10</v>
      </c>
      <c r="G31" s="1">
        <v>3</v>
      </c>
      <c r="H31" s="1" t="s">
        <v>8</v>
      </c>
      <c r="I31" s="6">
        <f>IF(IF(Table442466657277[[#This Row],[Pre or Post]]="Pre",1,0)+IF(ISNUMBER(Table442466657277[[#This Row],[Response]])=TRUE,1,0)=2,1,"")</f>
        <v>1</v>
      </c>
      <c r="J31" s="6" t="str">
        <f>IF(IF(Table442466657277[[#This Row],[Pre or Post]]="Post",1,0)+IF(ISNUMBER(Table442466657277[[#This Row],[Response]])=TRUE,1,0)=2,1,"")</f>
        <v/>
      </c>
      <c r="K31" s="6">
        <f>IF(IF(Table442466657277[[#This Row],[Pre or Post]]="Pre",1,0)+IF(ISNUMBER(Table442466657277[[#This Row],[Response]])=TRUE,1,0)=2,Table442466657277[[#This Row],[Response]],"")</f>
        <v>3</v>
      </c>
      <c r="L31" s="6" t="str">
        <f>IF(IF(Table442466657277[[#This Row],[Pre or Post]]="Post",1,0)+IF(ISNUMBER(Table442466657277[[#This Row],[Response]])=TRUE,1,0)=2,Table442466657277[[#This Row],[Response]],"")</f>
        <v/>
      </c>
      <c r="M31" s="6">
        <f>IF(IF(ISNUMBER(K31),1,0)+IF(ISNUMBER(L32),1,0)=2,IF(IF(C32=C31,1,0)+IF(B32=B31,1,0)+IF(D32="Post",1,0)+IF(D31="Pre",1,0)=4,Table442466657277[[#This Row],[Pre Total]],""),"")</f>
        <v>3</v>
      </c>
      <c r="N31" s="6" t="str">
        <f>IF(IF(ISNUMBER(K30),1,0)+IF(ISNUMBER(Table442466657277[[#This Row],[Post Total]]),1,0)=2,IF(IF(Table442466657277[[#This Row],[Student Number]]=C30,1,0)+IF(Table442466657277[[#This Row],[Session]]=B30,1,0)+IF(Table442466657277[[#This Row],[Pre or Post]]="Post",1,0)+IF(D30="Pre",1,0)=4,Table442466657277[[#This Row],[Post Total]],""),"")</f>
        <v/>
      </c>
      <c r="O31" s="6" t="str">
        <f>IF(IF(ISNUMBER(K30),1,0)+IF(ISNUMBER(Table442466657277[[#This Row],[Post Total]]),1,0)=2,IF(IF(Table442466657277[[#This Row],[Student Number]]=C30,1,0)+IF(Table442466657277[[#This Row],[Session]]=B30,1,0)+IF(Table442466657277[[#This Row],[Pre or Post]]="Post",1,0)+IF(D30="Pre",1,0)=4,Table442466657277[[#This Row],[Post Total]]-K30,""),"")</f>
        <v/>
      </c>
      <c r="P31" s="6" t="b">
        <f>ISNUMBER(Table442466657277[[#This Row],[Change]])</f>
        <v>0</v>
      </c>
      <c r="Q31" s="5" t="str">
        <f>IF(E30="Yes",Table442466657277[[#This Row],[Change]],"")</f>
        <v/>
      </c>
      <c r="R31" s="5" t="str">
        <f>IF(E30="No",Table442466657277[[#This Row],[Change]],"")</f>
        <v/>
      </c>
      <c r="S31" s="5" t="b">
        <f>ISNUMBER(Table442466657277[[#This Row],[If Pre6 Yes]])</f>
        <v>0</v>
      </c>
      <c r="T31" s="5" t="b">
        <f>ISNUMBER(Table442466657277[[#This Row],[If Pre6 No]])</f>
        <v>0</v>
      </c>
    </row>
    <row r="32" spans="1:20">
      <c r="A32" s="1" t="s">
        <v>24</v>
      </c>
      <c r="B32" s="1" t="s">
        <v>23</v>
      </c>
      <c r="C32" s="1">
        <v>6</v>
      </c>
      <c r="D32" s="1" t="s">
        <v>16</v>
      </c>
      <c r="E32" s="5"/>
      <c r="F32" s="1">
        <v>6</v>
      </c>
      <c r="G32" s="1">
        <v>4</v>
      </c>
      <c r="H32" s="1" t="s">
        <v>8</v>
      </c>
      <c r="I32" s="6" t="str">
        <f>IF(IF(Table442466657277[[#This Row],[Pre or Post]]="Pre",1,0)+IF(ISNUMBER(Table442466657277[[#This Row],[Response]])=TRUE,1,0)=2,1,"")</f>
        <v/>
      </c>
      <c r="J32" s="6">
        <f>IF(IF(Table442466657277[[#This Row],[Pre or Post]]="Post",1,0)+IF(ISNUMBER(Table442466657277[[#This Row],[Response]])=TRUE,1,0)=2,1,"")</f>
        <v>1</v>
      </c>
      <c r="K32" s="6" t="str">
        <f>IF(IF(Table442466657277[[#This Row],[Pre or Post]]="Pre",1,0)+IF(ISNUMBER(Table442466657277[[#This Row],[Response]])=TRUE,1,0)=2,Table442466657277[[#This Row],[Response]],"")</f>
        <v/>
      </c>
      <c r="L32" s="6">
        <f>IF(IF(Table442466657277[[#This Row],[Pre or Post]]="Post",1,0)+IF(ISNUMBER(Table442466657277[[#This Row],[Response]])=TRUE,1,0)=2,Table442466657277[[#This Row],[Response]],"")</f>
        <v>4</v>
      </c>
      <c r="M32" s="6" t="str">
        <f>IF(IF(ISNUMBER(K32),1,0)+IF(ISNUMBER(L33),1,0)=2,IF(IF(C33=C32,1,0)+IF(B33=B32,1,0)+IF(D33="Post",1,0)+IF(D32="Pre",1,0)=4,Table442466657277[[#This Row],[Pre Total]],""),"")</f>
        <v/>
      </c>
      <c r="N32" s="6">
        <f>IF(IF(ISNUMBER(K31),1,0)+IF(ISNUMBER(Table442466657277[[#This Row],[Post Total]]),1,0)=2,IF(IF(Table442466657277[[#This Row],[Student Number]]=C31,1,0)+IF(Table442466657277[[#This Row],[Session]]=B31,1,0)+IF(Table442466657277[[#This Row],[Pre or Post]]="Post",1,0)+IF(D31="Pre",1,0)=4,Table442466657277[[#This Row],[Post Total]],""),"")</f>
        <v>4</v>
      </c>
      <c r="O32" s="6">
        <f>IF(IF(ISNUMBER(K31),1,0)+IF(ISNUMBER(Table442466657277[[#This Row],[Post Total]]),1,0)=2,IF(IF(Table442466657277[[#This Row],[Student Number]]=C31,1,0)+IF(Table442466657277[[#This Row],[Session]]=B31,1,0)+IF(Table442466657277[[#This Row],[Pre or Post]]="Post",1,0)+IF(D31="Pre",1,0)=4,Table442466657277[[#This Row],[Post Total]]-K31,""),"")</f>
        <v>1</v>
      </c>
      <c r="P32" s="6" t="b">
        <f>ISNUMBER(Table442466657277[[#This Row],[Change]])</f>
        <v>1</v>
      </c>
      <c r="Q32" s="5">
        <f>IF(E31="Yes",Table442466657277[[#This Row],[Change]],"")</f>
        <v>1</v>
      </c>
      <c r="R32" s="5" t="str">
        <f>IF(E31="No",Table442466657277[[#This Row],[Change]],"")</f>
        <v/>
      </c>
      <c r="S32" s="5" t="b">
        <f>ISNUMBER(Table442466657277[[#This Row],[If Pre6 Yes]])</f>
        <v>1</v>
      </c>
      <c r="T32" s="5" t="b">
        <f>ISNUMBER(Table442466657277[[#This Row],[If Pre6 No]])</f>
        <v>0</v>
      </c>
    </row>
    <row r="33" spans="1:20">
      <c r="A33" s="1" t="s">
        <v>24</v>
      </c>
      <c r="B33" s="1" t="s">
        <v>23</v>
      </c>
      <c r="C33" s="1">
        <v>7</v>
      </c>
      <c r="D33" s="1" t="s">
        <v>6</v>
      </c>
      <c r="E33" s="5" t="s">
        <v>8</v>
      </c>
      <c r="F33" s="1">
        <v>10</v>
      </c>
      <c r="G33" s="1">
        <v>1</v>
      </c>
      <c r="H33" s="1" t="s">
        <v>8</v>
      </c>
      <c r="I33" s="5">
        <f>IF(IF(Table442466657277[[#This Row],[Pre or Post]]="Pre",1,0)+IF(ISNUMBER(Table442466657277[[#This Row],[Response]])=TRUE,1,0)=2,1,"")</f>
        <v>1</v>
      </c>
      <c r="J33" s="5" t="str">
        <f>IF(IF(Table442466657277[[#This Row],[Pre or Post]]="Post",1,0)+IF(ISNUMBER(Table442466657277[[#This Row],[Response]])=TRUE,1,0)=2,1,"")</f>
        <v/>
      </c>
      <c r="K33" s="6">
        <f>IF(IF(Table442466657277[[#This Row],[Pre or Post]]="Pre",1,0)+IF(ISNUMBER(Table442466657277[[#This Row],[Response]])=TRUE,1,0)=2,Table442466657277[[#This Row],[Response]],"")</f>
        <v>1</v>
      </c>
      <c r="L33" s="6" t="str">
        <f>IF(IF(Table442466657277[[#This Row],[Pre or Post]]="Post",1,0)+IF(ISNUMBER(Table442466657277[[#This Row],[Response]])=TRUE,1,0)=2,Table442466657277[[#This Row],[Response]],"")</f>
        <v/>
      </c>
      <c r="M33" s="5">
        <f>IF(IF(ISNUMBER(K33),1,0)+IF(ISNUMBER(L34),1,0)=2,IF(IF(C34=C33,1,0)+IF(B34=B33,1,0)+IF(D34="Post",1,0)+IF(D33="Pre",1,0)=4,Table442466657277[[#This Row],[Pre Total]],""),"")</f>
        <v>1</v>
      </c>
      <c r="N33" s="5" t="str">
        <f>IF(IF(ISNUMBER(K32),1,0)+IF(ISNUMBER(Table442466657277[[#This Row],[Post Total]]),1,0)=2,IF(IF(Table442466657277[[#This Row],[Student Number]]=C32,1,0)+IF(Table442466657277[[#This Row],[Session]]=B32,1,0)+IF(Table442466657277[[#This Row],[Pre or Post]]="Post",1,0)+IF(D32="Pre",1,0)=4,Table442466657277[[#This Row],[Post Total]],""),"")</f>
        <v/>
      </c>
      <c r="O33" s="5" t="str">
        <f>IF(IF(ISNUMBER(K32),1,0)+IF(ISNUMBER(Table442466657277[[#This Row],[Post Total]]),1,0)=2,IF(IF(Table442466657277[[#This Row],[Student Number]]=C32,1,0)+IF(Table442466657277[[#This Row],[Session]]=B32,1,0)+IF(Table442466657277[[#This Row],[Pre or Post]]="Post",1,0)+IF(D32="Pre",1,0)=4,Table442466657277[[#This Row],[Post Total]]-K32,""),"")</f>
        <v/>
      </c>
      <c r="P33" s="5" t="b">
        <f>ISNUMBER(Table442466657277[[#This Row],[Change]])</f>
        <v>0</v>
      </c>
      <c r="Q33" s="5" t="str">
        <f>IF(E32="Yes",Table442466657277[[#This Row],[Change]],"")</f>
        <v/>
      </c>
      <c r="R33" s="5" t="str">
        <f>IF(E32="No",Table442466657277[[#This Row],[Change]],"")</f>
        <v/>
      </c>
      <c r="S33" s="5" t="b">
        <f>ISNUMBER(Table442466657277[[#This Row],[If Pre6 Yes]])</f>
        <v>0</v>
      </c>
      <c r="T33" s="5" t="b">
        <f>ISNUMBER(Table442466657277[[#This Row],[If Pre6 No]])</f>
        <v>0</v>
      </c>
    </row>
    <row r="34" spans="1:20">
      <c r="A34" s="1" t="s">
        <v>24</v>
      </c>
      <c r="B34" s="1" t="s">
        <v>23</v>
      </c>
      <c r="C34" s="1">
        <v>7</v>
      </c>
      <c r="D34" s="1" t="s">
        <v>16</v>
      </c>
      <c r="E34" s="5"/>
      <c r="F34" s="1">
        <v>6</v>
      </c>
      <c r="G34" s="1">
        <v>4</v>
      </c>
      <c r="H34" s="1" t="s">
        <v>8</v>
      </c>
      <c r="I34" s="5" t="str">
        <f>IF(IF(Table442466657277[[#This Row],[Pre or Post]]="Pre",1,0)+IF(ISNUMBER(Table442466657277[[#This Row],[Response]])=TRUE,1,0)=2,1,"")</f>
        <v/>
      </c>
      <c r="J34" s="5">
        <f>IF(IF(Table442466657277[[#This Row],[Pre or Post]]="Post",1,0)+IF(ISNUMBER(Table442466657277[[#This Row],[Response]])=TRUE,1,0)=2,1,"")</f>
        <v>1</v>
      </c>
      <c r="K34" s="6" t="str">
        <f>IF(IF(Table442466657277[[#This Row],[Pre or Post]]="Pre",1,0)+IF(ISNUMBER(Table442466657277[[#This Row],[Response]])=TRUE,1,0)=2,Table442466657277[[#This Row],[Response]],"")</f>
        <v/>
      </c>
      <c r="L34" s="6">
        <f>IF(IF(Table442466657277[[#This Row],[Pre or Post]]="Post",1,0)+IF(ISNUMBER(Table442466657277[[#This Row],[Response]])=TRUE,1,0)=2,Table442466657277[[#This Row],[Response]],"")</f>
        <v>4</v>
      </c>
      <c r="M34" s="5" t="str">
        <f>IF(IF(ISNUMBER(K34),1,0)+IF(ISNUMBER(L35),1,0)=2,IF(IF(C35=C34,1,0)+IF(B35=B34,1,0)+IF(D35="Post",1,0)+IF(D34="Pre",1,0)=4,Table442466657277[[#This Row],[Pre Total]],""),"")</f>
        <v/>
      </c>
      <c r="N34" s="5">
        <f>IF(IF(ISNUMBER(K33),1,0)+IF(ISNUMBER(Table442466657277[[#This Row],[Post Total]]),1,0)=2,IF(IF(Table442466657277[[#This Row],[Student Number]]=C33,1,0)+IF(Table442466657277[[#This Row],[Session]]=B33,1,0)+IF(Table442466657277[[#This Row],[Pre or Post]]="Post",1,0)+IF(D33="Pre",1,0)=4,Table442466657277[[#This Row],[Post Total]],""),"")</f>
        <v>4</v>
      </c>
      <c r="O34" s="5">
        <f>IF(IF(ISNUMBER(K33),1,0)+IF(ISNUMBER(Table442466657277[[#This Row],[Post Total]]),1,0)=2,IF(IF(Table442466657277[[#This Row],[Student Number]]=C33,1,0)+IF(Table442466657277[[#This Row],[Session]]=B33,1,0)+IF(Table442466657277[[#This Row],[Pre or Post]]="Post",1,0)+IF(D33="Pre",1,0)=4,Table442466657277[[#This Row],[Post Total]]-K33,""),"")</f>
        <v>3</v>
      </c>
      <c r="P34" s="5" t="b">
        <f>ISNUMBER(Table442466657277[[#This Row],[Change]])</f>
        <v>1</v>
      </c>
      <c r="Q34" s="5">
        <f>IF(E33="Yes",Table442466657277[[#This Row],[Change]],"")</f>
        <v>3</v>
      </c>
      <c r="R34" s="5" t="str">
        <f>IF(E33="No",Table442466657277[[#This Row],[Change]],"")</f>
        <v/>
      </c>
      <c r="S34" s="5" t="b">
        <f>ISNUMBER(Table442466657277[[#This Row],[If Pre6 Yes]])</f>
        <v>1</v>
      </c>
      <c r="T34" s="5" t="b">
        <f>ISNUMBER(Table442466657277[[#This Row],[If Pre6 No]])</f>
        <v>0</v>
      </c>
    </row>
    <row r="35" spans="1:20">
      <c r="A35" s="1" t="s">
        <v>24</v>
      </c>
      <c r="B35" s="1" t="s">
        <v>23</v>
      </c>
      <c r="C35" s="1">
        <v>8</v>
      </c>
      <c r="D35" s="1" t="s">
        <v>6</v>
      </c>
      <c r="E35" s="5" t="s">
        <v>8</v>
      </c>
      <c r="F35" s="1">
        <v>10</v>
      </c>
      <c r="G35" s="1">
        <v>3</v>
      </c>
      <c r="H35" s="1" t="s">
        <v>8</v>
      </c>
      <c r="I35" s="5">
        <f>IF(IF(Table442466657277[[#This Row],[Pre or Post]]="Pre",1,0)+IF(ISNUMBER(Table442466657277[[#This Row],[Response]])=TRUE,1,0)=2,1,"")</f>
        <v>1</v>
      </c>
      <c r="J35" s="5" t="str">
        <f>IF(IF(Table442466657277[[#This Row],[Pre or Post]]="Post",1,0)+IF(ISNUMBER(Table442466657277[[#This Row],[Response]])=TRUE,1,0)=2,1,"")</f>
        <v/>
      </c>
      <c r="K35" s="6">
        <f>IF(IF(Table442466657277[[#This Row],[Pre or Post]]="Pre",1,0)+IF(ISNUMBER(Table442466657277[[#This Row],[Response]])=TRUE,1,0)=2,Table442466657277[[#This Row],[Response]],"")</f>
        <v>3</v>
      </c>
      <c r="L35" s="6" t="str">
        <f>IF(IF(Table442466657277[[#This Row],[Pre or Post]]="Post",1,0)+IF(ISNUMBER(Table442466657277[[#This Row],[Response]])=TRUE,1,0)=2,Table442466657277[[#This Row],[Response]],"")</f>
        <v/>
      </c>
      <c r="M35" s="5">
        <f>IF(IF(ISNUMBER(K35),1,0)+IF(ISNUMBER(L36),1,0)=2,IF(IF(C36=C35,1,0)+IF(B36=B35,1,0)+IF(D36="Post",1,0)+IF(D35="Pre",1,0)=4,Table442466657277[[#This Row],[Pre Total]],""),"")</f>
        <v>3</v>
      </c>
      <c r="N35" s="5" t="str">
        <f>IF(IF(ISNUMBER(K34),1,0)+IF(ISNUMBER(Table442466657277[[#This Row],[Post Total]]),1,0)=2,IF(IF(Table442466657277[[#This Row],[Student Number]]=C34,1,0)+IF(Table442466657277[[#This Row],[Session]]=B34,1,0)+IF(Table442466657277[[#This Row],[Pre or Post]]="Post",1,0)+IF(D34="Pre",1,0)=4,Table442466657277[[#This Row],[Post Total]],""),"")</f>
        <v/>
      </c>
      <c r="O35" s="5" t="str">
        <f>IF(IF(ISNUMBER(K34),1,0)+IF(ISNUMBER(Table442466657277[[#This Row],[Post Total]]),1,0)=2,IF(IF(Table442466657277[[#This Row],[Student Number]]=C34,1,0)+IF(Table442466657277[[#This Row],[Session]]=B34,1,0)+IF(Table442466657277[[#This Row],[Pre or Post]]="Post",1,0)+IF(D34="Pre",1,0)=4,Table442466657277[[#This Row],[Post Total]]-K34,""),"")</f>
        <v/>
      </c>
      <c r="P35" s="5" t="b">
        <f>ISNUMBER(Table442466657277[[#This Row],[Change]])</f>
        <v>0</v>
      </c>
      <c r="Q35" s="5" t="str">
        <f>IF(E34="Yes",Table442466657277[[#This Row],[Change]],"")</f>
        <v/>
      </c>
      <c r="R35" s="5" t="str">
        <f>IF(E34="No",Table442466657277[[#This Row],[Change]],"")</f>
        <v/>
      </c>
      <c r="S35" s="5" t="b">
        <f>ISNUMBER(Table442466657277[[#This Row],[If Pre6 Yes]])</f>
        <v>0</v>
      </c>
      <c r="T35" s="5" t="b">
        <f>ISNUMBER(Table442466657277[[#This Row],[If Pre6 No]])</f>
        <v>0</v>
      </c>
    </row>
    <row r="36" spans="1:20">
      <c r="A36" s="1" t="s">
        <v>24</v>
      </c>
      <c r="B36" s="1" t="s">
        <v>23</v>
      </c>
      <c r="C36" s="1">
        <v>8</v>
      </c>
      <c r="D36" s="1" t="s">
        <v>16</v>
      </c>
      <c r="E36" s="5"/>
      <c r="F36" s="1">
        <v>6</v>
      </c>
      <c r="G36" s="1">
        <v>3</v>
      </c>
      <c r="H36" s="1" t="s">
        <v>8</v>
      </c>
      <c r="I36" s="5" t="str">
        <f>IF(IF(Table442466657277[[#This Row],[Pre or Post]]="Pre",1,0)+IF(ISNUMBER(Table442466657277[[#This Row],[Response]])=TRUE,1,0)=2,1,"")</f>
        <v/>
      </c>
      <c r="J36" s="5">
        <f>IF(IF(Table442466657277[[#This Row],[Pre or Post]]="Post",1,0)+IF(ISNUMBER(Table442466657277[[#This Row],[Response]])=TRUE,1,0)=2,1,"")</f>
        <v>1</v>
      </c>
      <c r="K36" s="6" t="str">
        <f>IF(IF(Table442466657277[[#This Row],[Pre or Post]]="Pre",1,0)+IF(ISNUMBER(Table442466657277[[#This Row],[Response]])=TRUE,1,0)=2,Table442466657277[[#This Row],[Response]],"")</f>
        <v/>
      </c>
      <c r="L36" s="6">
        <f>IF(IF(Table442466657277[[#This Row],[Pre or Post]]="Post",1,0)+IF(ISNUMBER(Table442466657277[[#This Row],[Response]])=TRUE,1,0)=2,Table442466657277[[#This Row],[Response]],"")</f>
        <v>3</v>
      </c>
      <c r="M36" s="5" t="str">
        <f>IF(IF(ISNUMBER(K36),1,0)+IF(ISNUMBER(L37),1,0)=2,IF(IF(C37=C36,1,0)+IF(B37=B36,1,0)+IF(D37="Post",1,0)+IF(D36="Pre",1,0)=4,Table442466657277[[#This Row],[Pre Total]],""),"")</f>
        <v/>
      </c>
      <c r="N36" s="5">
        <f>IF(IF(ISNUMBER(K35),1,0)+IF(ISNUMBER(Table442466657277[[#This Row],[Post Total]]),1,0)=2,IF(IF(Table442466657277[[#This Row],[Student Number]]=C35,1,0)+IF(Table442466657277[[#This Row],[Session]]=B35,1,0)+IF(Table442466657277[[#This Row],[Pre or Post]]="Post",1,0)+IF(D35="Pre",1,0)=4,Table442466657277[[#This Row],[Post Total]],""),"")</f>
        <v>3</v>
      </c>
      <c r="O36" s="5">
        <f>IF(IF(ISNUMBER(K35),1,0)+IF(ISNUMBER(Table442466657277[[#This Row],[Post Total]]),1,0)=2,IF(IF(Table442466657277[[#This Row],[Student Number]]=C35,1,0)+IF(Table442466657277[[#This Row],[Session]]=B35,1,0)+IF(Table442466657277[[#This Row],[Pre or Post]]="Post",1,0)+IF(D35="Pre",1,0)=4,Table442466657277[[#This Row],[Post Total]]-K35,""),"")</f>
        <v>0</v>
      </c>
      <c r="P36" s="5" t="b">
        <f>ISNUMBER(Table442466657277[[#This Row],[Change]])</f>
        <v>1</v>
      </c>
      <c r="Q36" s="5">
        <f>IF(E35="Yes",Table442466657277[[#This Row],[Change]],"")</f>
        <v>0</v>
      </c>
      <c r="R36" s="5" t="str">
        <f>IF(E35="No",Table442466657277[[#This Row],[Change]],"")</f>
        <v/>
      </c>
      <c r="S36" s="5" t="b">
        <f>ISNUMBER(Table442466657277[[#This Row],[If Pre6 Yes]])</f>
        <v>1</v>
      </c>
      <c r="T36" s="5" t="b">
        <f>ISNUMBER(Table442466657277[[#This Row],[If Pre6 No]])</f>
        <v>0</v>
      </c>
    </row>
    <row r="37" spans="1:20">
      <c r="A37" s="1" t="s">
        <v>24</v>
      </c>
      <c r="B37" s="1" t="s">
        <v>23</v>
      </c>
      <c r="C37" s="1">
        <v>9</v>
      </c>
      <c r="D37" s="1" t="s">
        <v>6</v>
      </c>
      <c r="E37" s="5" t="s">
        <v>8</v>
      </c>
      <c r="F37" s="1">
        <v>10</v>
      </c>
      <c r="G37" s="1">
        <v>3</v>
      </c>
      <c r="H37" s="1" t="s">
        <v>8</v>
      </c>
      <c r="I37" s="6">
        <f>IF(IF(Table442466657277[[#This Row],[Pre or Post]]="Pre",1,0)+IF(ISNUMBER(Table442466657277[[#This Row],[Response]])=TRUE,1,0)=2,1,"")</f>
        <v>1</v>
      </c>
      <c r="J37" s="6" t="str">
        <f>IF(IF(Table442466657277[[#This Row],[Pre or Post]]="Post",1,0)+IF(ISNUMBER(Table442466657277[[#This Row],[Response]])=TRUE,1,0)=2,1,"")</f>
        <v/>
      </c>
      <c r="K37" s="6">
        <f>IF(IF(Table442466657277[[#This Row],[Pre or Post]]="Pre",1,0)+IF(ISNUMBER(Table442466657277[[#This Row],[Response]])=TRUE,1,0)=2,Table442466657277[[#This Row],[Response]],"")</f>
        <v>3</v>
      </c>
      <c r="L37" s="6" t="str">
        <f>IF(IF(Table442466657277[[#This Row],[Pre or Post]]="Post",1,0)+IF(ISNUMBER(Table442466657277[[#This Row],[Response]])=TRUE,1,0)=2,Table442466657277[[#This Row],[Response]],"")</f>
        <v/>
      </c>
      <c r="M37" s="6">
        <f>IF(IF(ISNUMBER(K37),1,0)+IF(ISNUMBER(L38),1,0)=2,IF(IF(C38=C37,1,0)+IF(B38=B37,1,0)+IF(D38="Post",1,0)+IF(D37="Pre",1,0)=4,Table442466657277[[#This Row],[Pre Total]],""),"")</f>
        <v>3</v>
      </c>
      <c r="N37" s="6" t="str">
        <f>IF(IF(ISNUMBER(K36),1,0)+IF(ISNUMBER(Table442466657277[[#This Row],[Post Total]]),1,0)=2,IF(IF(Table442466657277[[#This Row],[Student Number]]=C36,1,0)+IF(Table442466657277[[#This Row],[Session]]=B36,1,0)+IF(Table442466657277[[#This Row],[Pre or Post]]="Post",1,0)+IF(D36="Pre",1,0)=4,Table442466657277[[#This Row],[Post Total]],""),"")</f>
        <v/>
      </c>
      <c r="O37" s="6" t="str">
        <f>IF(IF(ISNUMBER(K36),1,0)+IF(ISNUMBER(Table442466657277[[#This Row],[Post Total]]),1,0)=2,IF(IF(Table442466657277[[#This Row],[Student Number]]=C36,1,0)+IF(Table442466657277[[#This Row],[Session]]=B36,1,0)+IF(Table442466657277[[#This Row],[Pre or Post]]="Post",1,0)+IF(D36="Pre",1,0)=4,Table442466657277[[#This Row],[Post Total]]-K36,""),"")</f>
        <v/>
      </c>
      <c r="P37" s="6" t="b">
        <f>ISNUMBER(Table442466657277[[#This Row],[Change]])</f>
        <v>0</v>
      </c>
      <c r="Q37" s="5" t="str">
        <f>IF(E36="Yes",Table442466657277[[#This Row],[Change]],"")</f>
        <v/>
      </c>
      <c r="R37" s="5" t="str">
        <f>IF(E36="No",Table442466657277[[#This Row],[Change]],"")</f>
        <v/>
      </c>
      <c r="S37" s="5" t="b">
        <f>ISNUMBER(Table442466657277[[#This Row],[If Pre6 Yes]])</f>
        <v>0</v>
      </c>
      <c r="T37" s="5" t="b">
        <f>ISNUMBER(Table442466657277[[#This Row],[If Pre6 No]])</f>
        <v>0</v>
      </c>
    </row>
    <row r="38" spans="1:20">
      <c r="A38" s="1" t="s">
        <v>24</v>
      </c>
      <c r="B38" s="1" t="s">
        <v>23</v>
      </c>
      <c r="C38" s="1">
        <v>9</v>
      </c>
      <c r="D38" s="1" t="s">
        <v>16</v>
      </c>
      <c r="E38" s="5"/>
      <c r="F38" s="1">
        <v>6</v>
      </c>
      <c r="G38" s="1">
        <v>3</v>
      </c>
      <c r="H38" s="1" t="s">
        <v>8</v>
      </c>
      <c r="I38" s="6" t="str">
        <f>IF(IF(Table442466657277[[#This Row],[Pre or Post]]="Pre",1,0)+IF(ISNUMBER(Table442466657277[[#This Row],[Response]])=TRUE,1,0)=2,1,"")</f>
        <v/>
      </c>
      <c r="J38" s="6">
        <f>IF(IF(Table442466657277[[#This Row],[Pre or Post]]="Post",1,0)+IF(ISNUMBER(Table442466657277[[#This Row],[Response]])=TRUE,1,0)=2,1,"")</f>
        <v>1</v>
      </c>
      <c r="K38" s="6" t="str">
        <f>IF(IF(Table442466657277[[#This Row],[Pre or Post]]="Pre",1,0)+IF(ISNUMBER(Table442466657277[[#This Row],[Response]])=TRUE,1,0)=2,Table442466657277[[#This Row],[Response]],"")</f>
        <v/>
      </c>
      <c r="L38" s="6">
        <f>IF(IF(Table442466657277[[#This Row],[Pre or Post]]="Post",1,0)+IF(ISNUMBER(Table442466657277[[#This Row],[Response]])=TRUE,1,0)=2,Table442466657277[[#This Row],[Response]],"")</f>
        <v>3</v>
      </c>
      <c r="M38" s="6" t="str">
        <f>IF(IF(ISNUMBER(K38),1,0)+IF(ISNUMBER(L39),1,0)=2,IF(IF(C39=C38,1,0)+IF(B39=B38,1,0)+IF(D39="Post",1,0)+IF(D38="Pre",1,0)=4,Table442466657277[[#This Row],[Pre Total]],""),"")</f>
        <v/>
      </c>
      <c r="N38" s="6">
        <f>IF(IF(ISNUMBER(K37),1,0)+IF(ISNUMBER(Table442466657277[[#This Row],[Post Total]]),1,0)=2,IF(IF(Table442466657277[[#This Row],[Student Number]]=C37,1,0)+IF(Table442466657277[[#This Row],[Session]]=B37,1,0)+IF(Table442466657277[[#This Row],[Pre or Post]]="Post",1,0)+IF(D37="Pre",1,0)=4,Table442466657277[[#This Row],[Post Total]],""),"")</f>
        <v>3</v>
      </c>
      <c r="O38" s="6">
        <f>IF(IF(ISNUMBER(K37),1,0)+IF(ISNUMBER(Table442466657277[[#This Row],[Post Total]]),1,0)=2,IF(IF(Table442466657277[[#This Row],[Student Number]]=C37,1,0)+IF(Table442466657277[[#This Row],[Session]]=B37,1,0)+IF(Table442466657277[[#This Row],[Pre or Post]]="Post",1,0)+IF(D37="Pre",1,0)=4,Table442466657277[[#This Row],[Post Total]]-K37,""),"")</f>
        <v>0</v>
      </c>
      <c r="P38" s="6" t="b">
        <f>ISNUMBER(Table442466657277[[#This Row],[Change]])</f>
        <v>1</v>
      </c>
      <c r="Q38" s="5">
        <f>IF(E37="Yes",Table442466657277[[#This Row],[Change]],"")</f>
        <v>0</v>
      </c>
      <c r="R38" s="5" t="str">
        <f>IF(E37="No",Table442466657277[[#This Row],[Change]],"")</f>
        <v/>
      </c>
      <c r="S38" s="5" t="b">
        <f>ISNUMBER(Table442466657277[[#This Row],[If Pre6 Yes]])</f>
        <v>1</v>
      </c>
      <c r="T38" s="5" t="b">
        <f>ISNUMBER(Table442466657277[[#This Row],[If Pre6 No]])</f>
        <v>0</v>
      </c>
    </row>
    <row r="39" spans="1:20">
      <c r="A39" s="1" t="s">
        <v>24</v>
      </c>
      <c r="B39" s="1" t="s">
        <v>23</v>
      </c>
      <c r="C39" s="1">
        <v>10</v>
      </c>
      <c r="D39" s="1" t="s">
        <v>6</v>
      </c>
      <c r="E39" s="5" t="s">
        <v>8</v>
      </c>
      <c r="F39" s="1">
        <v>10</v>
      </c>
      <c r="G39" s="1">
        <v>2</v>
      </c>
      <c r="H39" s="1" t="s">
        <v>8</v>
      </c>
      <c r="I39" s="6">
        <f>IF(IF(Table442466657277[[#This Row],[Pre or Post]]="Pre",1,0)+IF(ISNUMBER(Table442466657277[[#This Row],[Response]])=TRUE,1,0)=2,1,"")</f>
        <v>1</v>
      </c>
      <c r="J39" s="6" t="str">
        <f>IF(IF(Table442466657277[[#This Row],[Pre or Post]]="Post",1,0)+IF(ISNUMBER(Table442466657277[[#This Row],[Response]])=TRUE,1,0)=2,1,"")</f>
        <v/>
      </c>
      <c r="K39" s="6">
        <f>IF(IF(Table442466657277[[#This Row],[Pre or Post]]="Pre",1,0)+IF(ISNUMBER(Table442466657277[[#This Row],[Response]])=TRUE,1,0)=2,Table442466657277[[#This Row],[Response]],"")</f>
        <v>2</v>
      </c>
      <c r="L39" s="6" t="str">
        <f>IF(IF(Table442466657277[[#This Row],[Pre or Post]]="Post",1,0)+IF(ISNUMBER(Table442466657277[[#This Row],[Response]])=TRUE,1,0)=2,Table442466657277[[#This Row],[Response]],"")</f>
        <v/>
      </c>
      <c r="M39" s="6">
        <f>IF(IF(ISNUMBER(K39),1,0)+IF(ISNUMBER(L40),1,0)=2,IF(IF(C40=C39,1,0)+IF(B40=B39,1,0)+IF(D40="Post",1,0)+IF(D39="Pre",1,0)=4,Table442466657277[[#This Row],[Pre Total]],""),"")</f>
        <v>2</v>
      </c>
      <c r="N39" s="6" t="str">
        <f>IF(IF(ISNUMBER(K38),1,0)+IF(ISNUMBER(Table442466657277[[#This Row],[Post Total]]),1,0)=2,IF(IF(Table442466657277[[#This Row],[Student Number]]=C38,1,0)+IF(Table442466657277[[#This Row],[Session]]=B38,1,0)+IF(Table442466657277[[#This Row],[Pre or Post]]="Post",1,0)+IF(D38="Pre",1,0)=4,Table442466657277[[#This Row],[Post Total]],""),"")</f>
        <v/>
      </c>
      <c r="O39" s="6" t="str">
        <f>IF(IF(ISNUMBER(K38),1,0)+IF(ISNUMBER(Table442466657277[[#This Row],[Post Total]]),1,0)=2,IF(IF(Table442466657277[[#This Row],[Student Number]]=C38,1,0)+IF(Table442466657277[[#This Row],[Session]]=B38,1,0)+IF(Table442466657277[[#This Row],[Pre or Post]]="Post",1,0)+IF(D38="Pre",1,0)=4,Table442466657277[[#This Row],[Post Total]]-K38,""),"")</f>
        <v/>
      </c>
      <c r="P39" s="6" t="b">
        <f>ISNUMBER(Table442466657277[[#This Row],[Change]])</f>
        <v>0</v>
      </c>
      <c r="Q39" s="5" t="str">
        <f>IF(E38="Yes",Table442466657277[[#This Row],[Change]],"")</f>
        <v/>
      </c>
      <c r="R39" s="5" t="str">
        <f>IF(E38="No",Table442466657277[[#This Row],[Change]],"")</f>
        <v/>
      </c>
      <c r="S39" s="5" t="b">
        <f>ISNUMBER(Table442466657277[[#This Row],[If Pre6 Yes]])</f>
        <v>0</v>
      </c>
      <c r="T39" s="5" t="b">
        <f>ISNUMBER(Table442466657277[[#This Row],[If Pre6 No]])</f>
        <v>0</v>
      </c>
    </row>
    <row r="40" spans="1:20">
      <c r="A40" s="1" t="s">
        <v>24</v>
      </c>
      <c r="B40" s="1" t="s">
        <v>23</v>
      </c>
      <c r="C40" s="1">
        <v>10</v>
      </c>
      <c r="D40" s="1" t="s">
        <v>16</v>
      </c>
      <c r="E40" s="5"/>
      <c r="F40" s="1">
        <v>6</v>
      </c>
      <c r="G40" s="1">
        <v>5</v>
      </c>
      <c r="H40" s="1" t="s">
        <v>8</v>
      </c>
      <c r="I40" s="5" t="str">
        <f>IF(IF(Table442466657277[[#This Row],[Pre or Post]]="Pre",1,0)+IF(ISNUMBER(Table442466657277[[#This Row],[Response]])=TRUE,1,0)=2,1,"")</f>
        <v/>
      </c>
      <c r="J40" s="5">
        <f>IF(IF(Table442466657277[[#This Row],[Pre or Post]]="Post",1,0)+IF(ISNUMBER(Table442466657277[[#This Row],[Response]])=TRUE,1,0)=2,1,"")</f>
        <v>1</v>
      </c>
      <c r="K40" s="6" t="str">
        <f>IF(IF(Table442466657277[[#This Row],[Pre or Post]]="Pre",1,0)+IF(ISNUMBER(Table442466657277[[#This Row],[Response]])=TRUE,1,0)=2,Table442466657277[[#This Row],[Response]],"")</f>
        <v/>
      </c>
      <c r="L40" s="6">
        <f>IF(IF(Table442466657277[[#This Row],[Pre or Post]]="Post",1,0)+IF(ISNUMBER(Table442466657277[[#This Row],[Response]])=TRUE,1,0)=2,Table442466657277[[#This Row],[Response]],"")</f>
        <v>5</v>
      </c>
      <c r="M40" s="5" t="str">
        <f>IF(IF(ISNUMBER(K40),1,0)+IF(ISNUMBER(L41),1,0)=2,IF(IF(C41=C40,1,0)+IF(B41=B40,1,0)+IF(D41="Post",1,0)+IF(D40="Pre",1,0)=4,Table442466657277[[#This Row],[Pre Total]],""),"")</f>
        <v/>
      </c>
      <c r="N40" s="5">
        <f>IF(IF(ISNUMBER(K39),1,0)+IF(ISNUMBER(Table442466657277[[#This Row],[Post Total]]),1,0)=2,IF(IF(Table442466657277[[#This Row],[Student Number]]=C39,1,0)+IF(Table442466657277[[#This Row],[Session]]=B39,1,0)+IF(Table442466657277[[#This Row],[Pre or Post]]="Post",1,0)+IF(D39="Pre",1,0)=4,Table442466657277[[#This Row],[Post Total]],""),"")</f>
        <v>5</v>
      </c>
      <c r="O40" s="5">
        <f>IF(IF(ISNUMBER(K39),1,0)+IF(ISNUMBER(Table442466657277[[#This Row],[Post Total]]),1,0)=2,IF(IF(Table442466657277[[#This Row],[Student Number]]=C39,1,0)+IF(Table442466657277[[#This Row],[Session]]=B39,1,0)+IF(Table442466657277[[#This Row],[Pre or Post]]="Post",1,0)+IF(D39="Pre",1,0)=4,Table442466657277[[#This Row],[Post Total]]-K39,""),"")</f>
        <v>3</v>
      </c>
      <c r="P40" s="5" t="b">
        <f>ISNUMBER(Table442466657277[[#This Row],[Change]])</f>
        <v>1</v>
      </c>
      <c r="Q40" s="5">
        <f>IF(E39="Yes",Table442466657277[[#This Row],[Change]],"")</f>
        <v>3</v>
      </c>
      <c r="R40" s="5" t="str">
        <f>IF(E39="No",Table442466657277[[#This Row],[Change]],"")</f>
        <v/>
      </c>
      <c r="S40" s="5" t="b">
        <f>ISNUMBER(Table442466657277[[#This Row],[If Pre6 Yes]])</f>
        <v>1</v>
      </c>
      <c r="T40" s="5" t="b">
        <f>ISNUMBER(Table442466657277[[#This Row],[If Pre6 No]])</f>
        <v>0</v>
      </c>
    </row>
    <row r="41" spans="1:20">
      <c r="A41" s="1" t="s">
        <v>24</v>
      </c>
      <c r="B41" s="1" t="s">
        <v>23</v>
      </c>
      <c r="C41" s="1">
        <v>11</v>
      </c>
      <c r="D41" s="1" t="s">
        <v>6</v>
      </c>
      <c r="E41" s="5" t="s">
        <v>8</v>
      </c>
      <c r="F41" s="1">
        <v>10</v>
      </c>
      <c r="G41" s="1">
        <v>2</v>
      </c>
      <c r="H41" s="1" t="s">
        <v>8</v>
      </c>
      <c r="I41" s="5">
        <f>IF(IF(Table442466657277[[#This Row],[Pre or Post]]="Pre",1,0)+IF(ISNUMBER(Table442466657277[[#This Row],[Response]])=TRUE,1,0)=2,1,"")</f>
        <v>1</v>
      </c>
      <c r="J41" s="5" t="str">
        <f>IF(IF(Table442466657277[[#This Row],[Pre or Post]]="Post",1,0)+IF(ISNUMBER(Table442466657277[[#This Row],[Response]])=TRUE,1,0)=2,1,"")</f>
        <v/>
      </c>
      <c r="K41" s="6">
        <f>IF(IF(Table442466657277[[#This Row],[Pre or Post]]="Pre",1,0)+IF(ISNUMBER(Table442466657277[[#This Row],[Response]])=TRUE,1,0)=2,Table442466657277[[#This Row],[Response]],"")</f>
        <v>2</v>
      </c>
      <c r="L41" s="6" t="str">
        <f>IF(IF(Table442466657277[[#This Row],[Pre or Post]]="Post",1,0)+IF(ISNUMBER(Table442466657277[[#This Row],[Response]])=TRUE,1,0)=2,Table442466657277[[#This Row],[Response]],"")</f>
        <v/>
      </c>
      <c r="M41" s="5">
        <f>IF(IF(ISNUMBER(K41),1,0)+IF(ISNUMBER(L42),1,0)=2,IF(IF(C42=C41,1,0)+IF(B42=B41,1,0)+IF(D42="Post",1,0)+IF(D41="Pre",1,0)=4,Table442466657277[[#This Row],[Pre Total]],""),"")</f>
        <v>2</v>
      </c>
      <c r="N41" s="5" t="str">
        <f>IF(IF(ISNUMBER(K40),1,0)+IF(ISNUMBER(Table442466657277[[#This Row],[Post Total]]),1,0)=2,IF(IF(Table442466657277[[#This Row],[Student Number]]=C40,1,0)+IF(Table442466657277[[#This Row],[Session]]=B40,1,0)+IF(Table442466657277[[#This Row],[Pre or Post]]="Post",1,0)+IF(D40="Pre",1,0)=4,Table442466657277[[#This Row],[Post Total]],""),"")</f>
        <v/>
      </c>
      <c r="O41" s="5" t="str">
        <f>IF(IF(ISNUMBER(K40),1,0)+IF(ISNUMBER(Table442466657277[[#This Row],[Post Total]]),1,0)=2,IF(IF(Table442466657277[[#This Row],[Student Number]]=C40,1,0)+IF(Table442466657277[[#This Row],[Session]]=B40,1,0)+IF(Table442466657277[[#This Row],[Pre or Post]]="Post",1,0)+IF(D40="Pre",1,0)=4,Table442466657277[[#This Row],[Post Total]]-K40,""),"")</f>
        <v/>
      </c>
      <c r="P41" s="5" t="b">
        <f>ISNUMBER(Table442466657277[[#This Row],[Change]])</f>
        <v>0</v>
      </c>
      <c r="Q41" s="5" t="str">
        <f>IF(E40="Yes",Table442466657277[[#This Row],[Change]],"")</f>
        <v/>
      </c>
      <c r="R41" s="5" t="str">
        <f>IF(E40="No",Table442466657277[[#This Row],[Change]],"")</f>
        <v/>
      </c>
      <c r="S41" s="5" t="b">
        <f>ISNUMBER(Table442466657277[[#This Row],[If Pre6 Yes]])</f>
        <v>0</v>
      </c>
      <c r="T41" s="5" t="b">
        <f>ISNUMBER(Table442466657277[[#This Row],[If Pre6 No]])</f>
        <v>0</v>
      </c>
    </row>
    <row r="42" spans="1:20">
      <c r="A42" s="1" t="s">
        <v>24</v>
      </c>
      <c r="B42" s="1" t="s">
        <v>23</v>
      </c>
      <c r="C42" s="1">
        <v>11</v>
      </c>
      <c r="D42" s="1" t="s">
        <v>16</v>
      </c>
      <c r="E42" s="5"/>
      <c r="F42" s="1">
        <v>6</v>
      </c>
      <c r="G42" s="1">
        <v>5</v>
      </c>
      <c r="H42" s="1" t="s">
        <v>8</v>
      </c>
      <c r="I42" s="5" t="str">
        <f>IF(IF(Table442466657277[[#This Row],[Pre or Post]]="Pre",1,0)+IF(ISNUMBER(Table442466657277[[#This Row],[Response]])=TRUE,1,0)=2,1,"")</f>
        <v/>
      </c>
      <c r="J42" s="5">
        <f>IF(IF(Table442466657277[[#This Row],[Pre or Post]]="Post",1,0)+IF(ISNUMBER(Table442466657277[[#This Row],[Response]])=TRUE,1,0)=2,1,"")</f>
        <v>1</v>
      </c>
      <c r="K42" s="6" t="str">
        <f>IF(IF(Table442466657277[[#This Row],[Pre or Post]]="Pre",1,0)+IF(ISNUMBER(Table442466657277[[#This Row],[Response]])=TRUE,1,0)=2,Table442466657277[[#This Row],[Response]],"")</f>
        <v/>
      </c>
      <c r="L42" s="6">
        <f>IF(IF(Table442466657277[[#This Row],[Pre or Post]]="Post",1,0)+IF(ISNUMBER(Table442466657277[[#This Row],[Response]])=TRUE,1,0)=2,Table442466657277[[#This Row],[Response]],"")</f>
        <v>5</v>
      </c>
      <c r="M42" s="5" t="str">
        <f>IF(IF(ISNUMBER(K42),1,0)+IF(ISNUMBER(L43),1,0)=2,IF(IF(C43=C42,1,0)+IF(B43=B42,1,0)+IF(D43="Post",1,0)+IF(D42="Pre",1,0)=4,Table442466657277[[#This Row],[Pre Total]],""),"")</f>
        <v/>
      </c>
      <c r="N42" s="5">
        <f>IF(IF(ISNUMBER(K41),1,0)+IF(ISNUMBER(Table442466657277[[#This Row],[Post Total]]),1,0)=2,IF(IF(Table442466657277[[#This Row],[Student Number]]=C41,1,0)+IF(Table442466657277[[#This Row],[Session]]=B41,1,0)+IF(Table442466657277[[#This Row],[Pre or Post]]="Post",1,0)+IF(D41="Pre",1,0)=4,Table442466657277[[#This Row],[Post Total]],""),"")</f>
        <v>5</v>
      </c>
      <c r="O42" s="5">
        <f>IF(IF(ISNUMBER(K41),1,0)+IF(ISNUMBER(Table442466657277[[#This Row],[Post Total]]),1,0)=2,IF(IF(Table442466657277[[#This Row],[Student Number]]=C41,1,0)+IF(Table442466657277[[#This Row],[Session]]=B41,1,0)+IF(Table442466657277[[#This Row],[Pre or Post]]="Post",1,0)+IF(D41="Pre",1,0)=4,Table442466657277[[#This Row],[Post Total]]-K41,""),"")</f>
        <v>3</v>
      </c>
      <c r="P42" s="5" t="b">
        <f>ISNUMBER(Table442466657277[[#This Row],[Change]])</f>
        <v>1</v>
      </c>
      <c r="Q42" s="5">
        <f>IF(E41="Yes",Table442466657277[[#This Row],[Change]],"")</f>
        <v>3</v>
      </c>
      <c r="R42" s="5" t="str">
        <f>IF(E41="No",Table442466657277[[#This Row],[Change]],"")</f>
        <v/>
      </c>
      <c r="S42" s="5" t="b">
        <f>ISNUMBER(Table442466657277[[#This Row],[If Pre6 Yes]])</f>
        <v>1</v>
      </c>
      <c r="T42" s="5" t="b">
        <f>ISNUMBER(Table442466657277[[#This Row],[If Pre6 No]])</f>
        <v>0</v>
      </c>
    </row>
    <row r="43" spans="1:20">
      <c r="A43" s="1" t="s">
        <v>24</v>
      </c>
      <c r="B43" s="1" t="s">
        <v>23</v>
      </c>
      <c r="C43" s="1">
        <v>12</v>
      </c>
      <c r="D43" s="1" t="s">
        <v>6</v>
      </c>
      <c r="E43" s="5" t="s">
        <v>8</v>
      </c>
      <c r="F43" s="1">
        <v>10</v>
      </c>
      <c r="G43" s="1">
        <v>2</v>
      </c>
      <c r="H43" s="1" t="s">
        <v>8</v>
      </c>
      <c r="I43" s="5">
        <f>IF(IF(Table442466657277[[#This Row],[Pre or Post]]="Pre",1,0)+IF(ISNUMBER(Table442466657277[[#This Row],[Response]])=TRUE,1,0)=2,1,"")</f>
        <v>1</v>
      </c>
      <c r="J43" s="5" t="str">
        <f>IF(IF(Table442466657277[[#This Row],[Pre or Post]]="Post",1,0)+IF(ISNUMBER(Table442466657277[[#This Row],[Response]])=TRUE,1,0)=2,1,"")</f>
        <v/>
      </c>
      <c r="K43" s="6">
        <f>IF(IF(Table442466657277[[#This Row],[Pre or Post]]="Pre",1,0)+IF(ISNUMBER(Table442466657277[[#This Row],[Response]])=TRUE,1,0)=2,Table442466657277[[#This Row],[Response]],"")</f>
        <v>2</v>
      </c>
      <c r="L43" s="6" t="str">
        <f>IF(IF(Table442466657277[[#This Row],[Pre or Post]]="Post",1,0)+IF(ISNUMBER(Table442466657277[[#This Row],[Response]])=TRUE,1,0)=2,Table442466657277[[#This Row],[Response]],"")</f>
        <v/>
      </c>
      <c r="M43" s="5">
        <f>IF(IF(ISNUMBER(K43),1,0)+IF(ISNUMBER(L44),1,0)=2,IF(IF(C44=C43,1,0)+IF(B44=B43,1,0)+IF(D44="Post",1,0)+IF(D43="Pre",1,0)=4,Table442466657277[[#This Row],[Pre Total]],""),"")</f>
        <v>2</v>
      </c>
      <c r="N43" s="5" t="str">
        <f>IF(IF(ISNUMBER(K42),1,0)+IF(ISNUMBER(Table442466657277[[#This Row],[Post Total]]),1,0)=2,IF(IF(Table442466657277[[#This Row],[Student Number]]=C42,1,0)+IF(Table442466657277[[#This Row],[Session]]=B42,1,0)+IF(Table442466657277[[#This Row],[Pre or Post]]="Post",1,0)+IF(D42="Pre",1,0)=4,Table442466657277[[#This Row],[Post Total]],""),"")</f>
        <v/>
      </c>
      <c r="O43" s="5" t="str">
        <f>IF(IF(ISNUMBER(K42),1,0)+IF(ISNUMBER(Table442466657277[[#This Row],[Post Total]]),1,0)=2,IF(IF(Table442466657277[[#This Row],[Student Number]]=C42,1,0)+IF(Table442466657277[[#This Row],[Session]]=B42,1,0)+IF(Table442466657277[[#This Row],[Pre or Post]]="Post",1,0)+IF(D42="Pre",1,0)=4,Table442466657277[[#This Row],[Post Total]]-K42,""),"")</f>
        <v/>
      </c>
      <c r="P43" s="5" t="b">
        <f>ISNUMBER(Table442466657277[[#This Row],[Change]])</f>
        <v>0</v>
      </c>
      <c r="Q43" s="5" t="str">
        <f>IF(E42="Yes",Table442466657277[[#This Row],[Change]],"")</f>
        <v/>
      </c>
      <c r="R43" s="5" t="str">
        <f>IF(E42="No",Table442466657277[[#This Row],[Change]],"")</f>
        <v/>
      </c>
      <c r="S43" s="5" t="b">
        <f>ISNUMBER(Table442466657277[[#This Row],[If Pre6 Yes]])</f>
        <v>0</v>
      </c>
      <c r="T43" s="5" t="b">
        <f>ISNUMBER(Table442466657277[[#This Row],[If Pre6 No]])</f>
        <v>0</v>
      </c>
    </row>
    <row r="44" spans="1:20">
      <c r="A44" s="1" t="s">
        <v>24</v>
      </c>
      <c r="B44" s="1" t="s">
        <v>23</v>
      </c>
      <c r="C44" s="1">
        <v>12</v>
      </c>
      <c r="D44" s="1" t="s">
        <v>16</v>
      </c>
      <c r="E44" s="5"/>
      <c r="F44" s="1">
        <v>6</v>
      </c>
      <c r="G44" s="1">
        <v>5</v>
      </c>
      <c r="H44" s="1" t="s">
        <v>8</v>
      </c>
      <c r="I44" s="5" t="str">
        <f>IF(IF(Table442466657277[[#This Row],[Pre or Post]]="Pre",1,0)+IF(ISNUMBER(Table442466657277[[#This Row],[Response]])=TRUE,1,0)=2,1,"")</f>
        <v/>
      </c>
      <c r="J44" s="5">
        <f>IF(IF(Table442466657277[[#This Row],[Pre or Post]]="Post",1,0)+IF(ISNUMBER(Table442466657277[[#This Row],[Response]])=TRUE,1,0)=2,1,"")</f>
        <v>1</v>
      </c>
      <c r="K44" s="6" t="str">
        <f>IF(IF(Table442466657277[[#This Row],[Pre or Post]]="Pre",1,0)+IF(ISNUMBER(Table442466657277[[#This Row],[Response]])=TRUE,1,0)=2,Table442466657277[[#This Row],[Response]],"")</f>
        <v/>
      </c>
      <c r="L44" s="6">
        <f>IF(IF(Table442466657277[[#This Row],[Pre or Post]]="Post",1,0)+IF(ISNUMBER(Table442466657277[[#This Row],[Response]])=TRUE,1,0)=2,Table442466657277[[#This Row],[Response]],"")</f>
        <v>5</v>
      </c>
      <c r="M44" s="5" t="str">
        <f>IF(IF(ISNUMBER(K44),1,0)+IF(ISNUMBER(L45),1,0)=2,IF(IF(C45=C44,1,0)+IF(B45=B44,1,0)+IF(D45="Post",1,0)+IF(D44="Pre",1,0)=4,Table442466657277[[#This Row],[Pre Total]],""),"")</f>
        <v/>
      </c>
      <c r="N44" s="5">
        <f>IF(IF(ISNUMBER(K43),1,0)+IF(ISNUMBER(Table442466657277[[#This Row],[Post Total]]),1,0)=2,IF(IF(Table442466657277[[#This Row],[Student Number]]=C43,1,0)+IF(Table442466657277[[#This Row],[Session]]=B43,1,0)+IF(Table442466657277[[#This Row],[Pre or Post]]="Post",1,0)+IF(D43="Pre",1,0)=4,Table442466657277[[#This Row],[Post Total]],""),"")</f>
        <v>5</v>
      </c>
      <c r="O44" s="5">
        <f>IF(IF(ISNUMBER(K43),1,0)+IF(ISNUMBER(Table442466657277[[#This Row],[Post Total]]),1,0)=2,IF(IF(Table442466657277[[#This Row],[Student Number]]=C43,1,0)+IF(Table442466657277[[#This Row],[Session]]=B43,1,0)+IF(Table442466657277[[#This Row],[Pre or Post]]="Post",1,0)+IF(D43="Pre",1,0)=4,Table442466657277[[#This Row],[Post Total]]-K43,""),"")</f>
        <v>3</v>
      </c>
      <c r="P44" s="5" t="b">
        <f>ISNUMBER(Table442466657277[[#This Row],[Change]])</f>
        <v>1</v>
      </c>
      <c r="Q44" s="5">
        <f>IF(E43="Yes",Table442466657277[[#This Row],[Change]],"")</f>
        <v>3</v>
      </c>
      <c r="R44" s="5" t="str">
        <f>IF(E43="No",Table442466657277[[#This Row],[Change]],"")</f>
        <v/>
      </c>
      <c r="S44" s="5" t="b">
        <f>ISNUMBER(Table442466657277[[#This Row],[If Pre6 Yes]])</f>
        <v>1</v>
      </c>
      <c r="T44" s="5" t="b">
        <f>ISNUMBER(Table442466657277[[#This Row],[If Pre6 No]])</f>
        <v>0</v>
      </c>
    </row>
    <row r="45" spans="1:20">
      <c r="A45" s="1" t="s">
        <v>24</v>
      </c>
      <c r="B45" s="1" t="s">
        <v>23</v>
      </c>
      <c r="C45" s="1">
        <v>13</v>
      </c>
      <c r="D45" s="1" t="s">
        <v>6</v>
      </c>
      <c r="E45" s="5" t="s">
        <v>8</v>
      </c>
      <c r="F45" s="1">
        <v>10</v>
      </c>
      <c r="G45" s="1">
        <v>2</v>
      </c>
      <c r="H45" s="1" t="s">
        <v>8</v>
      </c>
      <c r="I45" s="6">
        <f>IF(IF(Table442466657277[[#This Row],[Pre or Post]]="Pre",1,0)+IF(ISNUMBER(Table442466657277[[#This Row],[Response]])=TRUE,1,0)=2,1,"")</f>
        <v>1</v>
      </c>
      <c r="J45" s="6" t="str">
        <f>IF(IF(Table442466657277[[#This Row],[Pre or Post]]="Post",1,0)+IF(ISNUMBER(Table442466657277[[#This Row],[Response]])=TRUE,1,0)=2,1,"")</f>
        <v/>
      </c>
      <c r="K45" s="6">
        <f>IF(IF(Table442466657277[[#This Row],[Pre or Post]]="Pre",1,0)+IF(ISNUMBER(Table442466657277[[#This Row],[Response]])=TRUE,1,0)=2,Table442466657277[[#This Row],[Response]],"")</f>
        <v>2</v>
      </c>
      <c r="L45" s="6" t="str">
        <f>IF(IF(Table442466657277[[#This Row],[Pre or Post]]="Post",1,0)+IF(ISNUMBER(Table442466657277[[#This Row],[Response]])=TRUE,1,0)=2,Table442466657277[[#This Row],[Response]],"")</f>
        <v/>
      </c>
      <c r="M45" s="6">
        <f>IF(IF(ISNUMBER(K45),1,0)+IF(ISNUMBER(L46),1,0)=2,IF(IF(C46=C45,1,0)+IF(B46=B45,1,0)+IF(D46="Post",1,0)+IF(D45="Pre",1,0)=4,Table442466657277[[#This Row],[Pre Total]],""),"")</f>
        <v>2</v>
      </c>
      <c r="N45" s="6" t="str">
        <f>IF(IF(ISNUMBER(K44),1,0)+IF(ISNUMBER(Table442466657277[[#This Row],[Post Total]]),1,0)=2,IF(IF(Table442466657277[[#This Row],[Student Number]]=C44,1,0)+IF(Table442466657277[[#This Row],[Session]]=B44,1,0)+IF(Table442466657277[[#This Row],[Pre or Post]]="Post",1,0)+IF(D44="Pre",1,0)=4,Table442466657277[[#This Row],[Post Total]],""),"")</f>
        <v/>
      </c>
      <c r="O45" s="6" t="str">
        <f>IF(IF(ISNUMBER(K44),1,0)+IF(ISNUMBER(Table442466657277[[#This Row],[Post Total]]),1,0)=2,IF(IF(Table442466657277[[#This Row],[Student Number]]=C44,1,0)+IF(Table442466657277[[#This Row],[Session]]=B44,1,0)+IF(Table442466657277[[#This Row],[Pre or Post]]="Post",1,0)+IF(D44="Pre",1,0)=4,Table442466657277[[#This Row],[Post Total]]-K44,""),"")</f>
        <v/>
      </c>
      <c r="P45" s="6" t="b">
        <f>ISNUMBER(Table442466657277[[#This Row],[Change]])</f>
        <v>0</v>
      </c>
      <c r="Q45" s="5" t="str">
        <f>IF(E44="Yes",Table442466657277[[#This Row],[Change]],"")</f>
        <v/>
      </c>
      <c r="R45" s="5" t="str">
        <f>IF(E44="No",Table442466657277[[#This Row],[Change]],"")</f>
        <v/>
      </c>
      <c r="S45" s="5" t="b">
        <f>ISNUMBER(Table442466657277[[#This Row],[If Pre6 Yes]])</f>
        <v>0</v>
      </c>
      <c r="T45" s="5" t="b">
        <f>ISNUMBER(Table442466657277[[#This Row],[If Pre6 No]])</f>
        <v>0</v>
      </c>
    </row>
    <row r="46" spans="1:20">
      <c r="A46" s="1" t="s">
        <v>24</v>
      </c>
      <c r="B46" s="1" t="s">
        <v>23</v>
      </c>
      <c r="C46" s="1">
        <v>13</v>
      </c>
      <c r="D46" s="1" t="s">
        <v>16</v>
      </c>
      <c r="E46" s="5"/>
      <c r="F46" s="1">
        <v>6</v>
      </c>
      <c r="G46" s="1">
        <v>5</v>
      </c>
      <c r="H46" s="1" t="s">
        <v>8</v>
      </c>
      <c r="I46" s="5" t="str">
        <f>IF(IF(Table442466657277[[#This Row],[Pre or Post]]="Pre",1,0)+IF(ISNUMBER(Table442466657277[[#This Row],[Response]])=TRUE,1,0)=2,1,"")</f>
        <v/>
      </c>
      <c r="J46" s="5">
        <f>IF(IF(Table442466657277[[#This Row],[Pre or Post]]="Post",1,0)+IF(ISNUMBER(Table442466657277[[#This Row],[Response]])=TRUE,1,0)=2,1,"")</f>
        <v>1</v>
      </c>
      <c r="K46" s="6" t="str">
        <f>IF(IF(Table442466657277[[#This Row],[Pre or Post]]="Pre",1,0)+IF(ISNUMBER(Table442466657277[[#This Row],[Response]])=TRUE,1,0)=2,Table442466657277[[#This Row],[Response]],"")</f>
        <v/>
      </c>
      <c r="L46" s="6">
        <f>IF(IF(Table442466657277[[#This Row],[Pre or Post]]="Post",1,0)+IF(ISNUMBER(Table442466657277[[#This Row],[Response]])=TRUE,1,0)=2,Table442466657277[[#This Row],[Response]],"")</f>
        <v>5</v>
      </c>
      <c r="M46" s="5" t="str">
        <f>IF(IF(ISNUMBER(K46),1,0)+IF(ISNUMBER(L47),1,0)=2,IF(IF(C47=C46,1,0)+IF(B47=B46,1,0)+IF(D47="Post",1,0)+IF(D46="Pre",1,0)=4,Table442466657277[[#This Row],[Pre Total]],""),"")</f>
        <v/>
      </c>
      <c r="N46" s="5">
        <f>IF(IF(ISNUMBER(K45),1,0)+IF(ISNUMBER(Table442466657277[[#This Row],[Post Total]]),1,0)=2,IF(IF(Table442466657277[[#This Row],[Student Number]]=C45,1,0)+IF(Table442466657277[[#This Row],[Session]]=B45,1,0)+IF(Table442466657277[[#This Row],[Pre or Post]]="Post",1,0)+IF(D45="Pre",1,0)=4,Table442466657277[[#This Row],[Post Total]],""),"")</f>
        <v>5</v>
      </c>
      <c r="O46" s="5">
        <f>IF(IF(ISNUMBER(K45),1,0)+IF(ISNUMBER(Table442466657277[[#This Row],[Post Total]]),1,0)=2,IF(IF(Table442466657277[[#This Row],[Student Number]]=C45,1,0)+IF(Table442466657277[[#This Row],[Session]]=B45,1,0)+IF(Table442466657277[[#This Row],[Pre or Post]]="Post",1,0)+IF(D45="Pre",1,0)=4,Table442466657277[[#This Row],[Post Total]]-K45,""),"")</f>
        <v>3</v>
      </c>
      <c r="P46" s="5" t="b">
        <f>ISNUMBER(Table442466657277[[#This Row],[Change]])</f>
        <v>1</v>
      </c>
      <c r="Q46" s="5">
        <f>IF(E45="Yes",Table442466657277[[#This Row],[Change]],"")</f>
        <v>3</v>
      </c>
      <c r="R46" s="5" t="str">
        <f>IF(E45="No",Table442466657277[[#This Row],[Change]],"")</f>
        <v/>
      </c>
      <c r="S46" s="5" t="b">
        <f>ISNUMBER(Table442466657277[[#This Row],[If Pre6 Yes]])</f>
        <v>1</v>
      </c>
      <c r="T46" s="5" t="b">
        <f>ISNUMBER(Table442466657277[[#This Row],[If Pre6 No]])</f>
        <v>0</v>
      </c>
    </row>
    <row r="47" spans="1:20">
      <c r="A47" s="1" t="s">
        <v>24</v>
      </c>
      <c r="B47" s="1" t="s">
        <v>23</v>
      </c>
      <c r="C47" s="1">
        <v>14</v>
      </c>
      <c r="D47" s="1" t="s">
        <v>6</v>
      </c>
      <c r="E47" s="5" t="s">
        <v>8</v>
      </c>
      <c r="F47" s="1">
        <v>10</v>
      </c>
      <c r="G47" s="1">
        <v>1</v>
      </c>
      <c r="H47" s="1" t="s">
        <v>8</v>
      </c>
      <c r="I47" s="6">
        <f>IF(IF(Table442466657277[[#This Row],[Pre or Post]]="Pre",1,0)+IF(ISNUMBER(Table442466657277[[#This Row],[Response]])=TRUE,1,0)=2,1,"")</f>
        <v>1</v>
      </c>
      <c r="J47" s="6" t="str">
        <f>IF(IF(Table442466657277[[#This Row],[Pre or Post]]="Post",1,0)+IF(ISNUMBER(Table442466657277[[#This Row],[Response]])=TRUE,1,0)=2,1,"")</f>
        <v/>
      </c>
      <c r="K47" s="6">
        <f>IF(IF(Table442466657277[[#This Row],[Pre or Post]]="Pre",1,0)+IF(ISNUMBER(Table442466657277[[#This Row],[Response]])=TRUE,1,0)=2,Table442466657277[[#This Row],[Response]],"")</f>
        <v>1</v>
      </c>
      <c r="L47" s="6" t="str">
        <f>IF(IF(Table442466657277[[#This Row],[Pre or Post]]="Post",1,0)+IF(ISNUMBER(Table442466657277[[#This Row],[Response]])=TRUE,1,0)=2,Table442466657277[[#This Row],[Response]],"")</f>
        <v/>
      </c>
      <c r="M47" s="6">
        <f>IF(IF(ISNUMBER(K47),1,0)+IF(ISNUMBER(L48),1,0)=2,IF(IF(C48=C47,1,0)+IF(B48=B47,1,0)+IF(D48="Post",1,0)+IF(D47="Pre",1,0)=4,Table442466657277[[#This Row],[Pre Total]],""),"")</f>
        <v>1</v>
      </c>
      <c r="N47" s="6" t="str">
        <f>IF(IF(ISNUMBER(K46),1,0)+IF(ISNUMBER(Table442466657277[[#This Row],[Post Total]]),1,0)=2,IF(IF(Table442466657277[[#This Row],[Student Number]]=C46,1,0)+IF(Table442466657277[[#This Row],[Session]]=B46,1,0)+IF(Table442466657277[[#This Row],[Pre or Post]]="Post",1,0)+IF(D46="Pre",1,0)=4,Table442466657277[[#This Row],[Post Total]],""),"")</f>
        <v/>
      </c>
      <c r="O47" s="6" t="str">
        <f>IF(IF(ISNUMBER(K46),1,0)+IF(ISNUMBER(Table442466657277[[#This Row],[Post Total]]),1,0)=2,IF(IF(Table442466657277[[#This Row],[Student Number]]=C46,1,0)+IF(Table442466657277[[#This Row],[Session]]=B46,1,0)+IF(Table442466657277[[#This Row],[Pre or Post]]="Post",1,0)+IF(D46="Pre",1,0)=4,Table442466657277[[#This Row],[Post Total]]-K46,""),"")</f>
        <v/>
      </c>
      <c r="P47" s="6" t="b">
        <f>ISNUMBER(Table442466657277[[#This Row],[Change]])</f>
        <v>0</v>
      </c>
      <c r="Q47" s="5" t="str">
        <f>IF(E46="Yes",Table442466657277[[#This Row],[Change]],"")</f>
        <v/>
      </c>
      <c r="R47" s="5" t="str">
        <f>IF(E46="No",Table442466657277[[#This Row],[Change]],"")</f>
        <v/>
      </c>
      <c r="S47" s="5" t="b">
        <f>ISNUMBER(Table442466657277[[#This Row],[If Pre6 Yes]])</f>
        <v>0</v>
      </c>
      <c r="T47" s="5" t="b">
        <f>ISNUMBER(Table442466657277[[#This Row],[If Pre6 No]])</f>
        <v>0</v>
      </c>
    </row>
    <row r="48" spans="1:20">
      <c r="A48" s="1" t="s">
        <v>24</v>
      </c>
      <c r="B48" s="1" t="s">
        <v>23</v>
      </c>
      <c r="C48" s="1">
        <v>14</v>
      </c>
      <c r="D48" s="1" t="s">
        <v>16</v>
      </c>
      <c r="E48" s="5"/>
      <c r="F48" s="1">
        <v>6</v>
      </c>
      <c r="G48" s="1">
        <v>4</v>
      </c>
      <c r="H48" s="1" t="s">
        <v>8</v>
      </c>
      <c r="I48" s="6" t="str">
        <f>IF(IF(Table442466657277[[#This Row],[Pre or Post]]="Pre",1,0)+IF(ISNUMBER(Table442466657277[[#This Row],[Response]])=TRUE,1,0)=2,1,"")</f>
        <v/>
      </c>
      <c r="J48" s="6">
        <f>IF(IF(Table442466657277[[#This Row],[Pre or Post]]="Post",1,0)+IF(ISNUMBER(Table442466657277[[#This Row],[Response]])=TRUE,1,0)=2,1,"")</f>
        <v>1</v>
      </c>
      <c r="K48" s="6" t="str">
        <f>IF(IF(Table442466657277[[#This Row],[Pre or Post]]="Pre",1,0)+IF(ISNUMBER(Table442466657277[[#This Row],[Response]])=TRUE,1,0)=2,Table442466657277[[#This Row],[Response]],"")</f>
        <v/>
      </c>
      <c r="L48" s="6">
        <f>IF(IF(Table442466657277[[#This Row],[Pre or Post]]="Post",1,0)+IF(ISNUMBER(Table442466657277[[#This Row],[Response]])=TRUE,1,0)=2,Table442466657277[[#This Row],[Response]],"")</f>
        <v>4</v>
      </c>
      <c r="M48" s="6" t="str">
        <f>IF(IF(ISNUMBER(K48),1,0)+IF(ISNUMBER(L49),1,0)=2,IF(IF(C49=C48,1,0)+IF(B49=B48,1,0)+IF(D49="Post",1,0)+IF(D48="Pre",1,0)=4,Table442466657277[[#This Row],[Pre Total]],""),"")</f>
        <v/>
      </c>
      <c r="N48" s="6">
        <f>IF(IF(ISNUMBER(K47),1,0)+IF(ISNUMBER(Table442466657277[[#This Row],[Post Total]]),1,0)=2,IF(IF(Table442466657277[[#This Row],[Student Number]]=C47,1,0)+IF(Table442466657277[[#This Row],[Session]]=B47,1,0)+IF(Table442466657277[[#This Row],[Pre or Post]]="Post",1,0)+IF(D47="Pre",1,0)=4,Table442466657277[[#This Row],[Post Total]],""),"")</f>
        <v>4</v>
      </c>
      <c r="O48" s="6">
        <f>IF(IF(ISNUMBER(K47),1,0)+IF(ISNUMBER(Table442466657277[[#This Row],[Post Total]]),1,0)=2,IF(IF(Table442466657277[[#This Row],[Student Number]]=C47,1,0)+IF(Table442466657277[[#This Row],[Session]]=B47,1,0)+IF(Table442466657277[[#This Row],[Pre or Post]]="Post",1,0)+IF(D47="Pre",1,0)=4,Table442466657277[[#This Row],[Post Total]]-K47,""),"")</f>
        <v>3</v>
      </c>
      <c r="P48" s="6" t="b">
        <f>ISNUMBER(Table442466657277[[#This Row],[Change]])</f>
        <v>1</v>
      </c>
      <c r="Q48" s="5">
        <f>IF(E47="Yes",Table442466657277[[#This Row],[Change]],"")</f>
        <v>3</v>
      </c>
      <c r="R48" s="5" t="str">
        <f>IF(E47="No",Table442466657277[[#This Row],[Change]],"")</f>
        <v/>
      </c>
      <c r="S48" s="5" t="b">
        <f>ISNUMBER(Table442466657277[[#This Row],[If Pre6 Yes]])</f>
        <v>1</v>
      </c>
      <c r="T48" s="5" t="b">
        <f>ISNUMBER(Table442466657277[[#This Row],[If Pre6 No]])</f>
        <v>0</v>
      </c>
    </row>
    <row r="49" spans="1:20">
      <c r="A49" s="1" t="s">
        <v>24</v>
      </c>
      <c r="B49" s="1" t="s">
        <v>23</v>
      </c>
      <c r="C49" s="1">
        <v>15</v>
      </c>
      <c r="D49" s="1" t="s">
        <v>6</v>
      </c>
      <c r="E49" s="5" t="s">
        <v>8</v>
      </c>
      <c r="F49" s="1">
        <v>10</v>
      </c>
      <c r="G49" s="1">
        <v>2</v>
      </c>
      <c r="H49" s="1" t="s">
        <v>8</v>
      </c>
      <c r="I49" s="5">
        <f>IF(IF(Table442466657277[[#This Row],[Pre or Post]]="Pre",1,0)+IF(ISNUMBER(Table442466657277[[#This Row],[Response]])=TRUE,1,0)=2,1,"")</f>
        <v>1</v>
      </c>
      <c r="J49" s="5" t="str">
        <f>IF(IF(Table442466657277[[#This Row],[Pre or Post]]="Post",1,0)+IF(ISNUMBER(Table442466657277[[#This Row],[Response]])=TRUE,1,0)=2,1,"")</f>
        <v/>
      </c>
      <c r="K49" s="6">
        <f>IF(IF(Table442466657277[[#This Row],[Pre or Post]]="Pre",1,0)+IF(ISNUMBER(Table442466657277[[#This Row],[Response]])=TRUE,1,0)=2,Table442466657277[[#This Row],[Response]],"")</f>
        <v>2</v>
      </c>
      <c r="L49" s="6" t="str">
        <f>IF(IF(Table442466657277[[#This Row],[Pre or Post]]="Post",1,0)+IF(ISNUMBER(Table442466657277[[#This Row],[Response]])=TRUE,1,0)=2,Table442466657277[[#This Row],[Response]],"")</f>
        <v/>
      </c>
      <c r="M49" s="5">
        <f>IF(IF(ISNUMBER(K49),1,0)+IF(ISNUMBER(L50),1,0)=2,IF(IF(C50=C49,1,0)+IF(B50=B49,1,0)+IF(D50="Post",1,0)+IF(D49="Pre",1,0)=4,Table442466657277[[#This Row],[Pre Total]],""),"")</f>
        <v>2</v>
      </c>
      <c r="N49" s="5" t="str">
        <f>IF(IF(ISNUMBER(K48),1,0)+IF(ISNUMBER(Table442466657277[[#This Row],[Post Total]]),1,0)=2,IF(IF(Table442466657277[[#This Row],[Student Number]]=C48,1,0)+IF(Table442466657277[[#This Row],[Session]]=B48,1,0)+IF(Table442466657277[[#This Row],[Pre or Post]]="Post",1,0)+IF(D48="Pre",1,0)=4,Table442466657277[[#This Row],[Post Total]],""),"")</f>
        <v/>
      </c>
      <c r="O49" s="5" t="str">
        <f>IF(IF(ISNUMBER(K48),1,0)+IF(ISNUMBER(Table442466657277[[#This Row],[Post Total]]),1,0)=2,IF(IF(Table442466657277[[#This Row],[Student Number]]=C48,1,0)+IF(Table442466657277[[#This Row],[Session]]=B48,1,0)+IF(Table442466657277[[#This Row],[Pre or Post]]="Post",1,0)+IF(D48="Pre",1,0)=4,Table442466657277[[#This Row],[Post Total]]-K48,""),"")</f>
        <v/>
      </c>
      <c r="P49" s="5" t="b">
        <f>ISNUMBER(Table442466657277[[#This Row],[Change]])</f>
        <v>0</v>
      </c>
      <c r="Q49" s="5" t="str">
        <f>IF(E48="Yes",Table442466657277[[#This Row],[Change]],"")</f>
        <v/>
      </c>
      <c r="R49" s="5" t="str">
        <f>IF(E48="No",Table442466657277[[#This Row],[Change]],"")</f>
        <v/>
      </c>
      <c r="S49" s="5" t="b">
        <f>ISNUMBER(Table442466657277[[#This Row],[If Pre6 Yes]])</f>
        <v>0</v>
      </c>
      <c r="T49" s="5" t="b">
        <f>ISNUMBER(Table442466657277[[#This Row],[If Pre6 No]])</f>
        <v>0</v>
      </c>
    </row>
    <row r="50" spans="1:20">
      <c r="A50" s="1" t="s">
        <v>24</v>
      </c>
      <c r="B50" s="1" t="s">
        <v>23</v>
      </c>
      <c r="C50" s="1">
        <v>15</v>
      </c>
      <c r="D50" s="1" t="s">
        <v>16</v>
      </c>
      <c r="E50" s="5"/>
      <c r="F50" s="1">
        <v>6</v>
      </c>
      <c r="G50" s="1">
        <v>5</v>
      </c>
      <c r="H50" s="1" t="s">
        <v>8</v>
      </c>
      <c r="I50" s="5" t="str">
        <f>IF(IF(Table442466657277[[#This Row],[Pre or Post]]="Pre",1,0)+IF(ISNUMBER(Table442466657277[[#This Row],[Response]])=TRUE,1,0)=2,1,"")</f>
        <v/>
      </c>
      <c r="J50" s="5">
        <f>IF(IF(Table442466657277[[#This Row],[Pre or Post]]="Post",1,0)+IF(ISNUMBER(Table442466657277[[#This Row],[Response]])=TRUE,1,0)=2,1,"")</f>
        <v>1</v>
      </c>
      <c r="K50" s="6" t="str">
        <f>IF(IF(Table442466657277[[#This Row],[Pre or Post]]="Pre",1,0)+IF(ISNUMBER(Table442466657277[[#This Row],[Response]])=TRUE,1,0)=2,Table442466657277[[#This Row],[Response]],"")</f>
        <v/>
      </c>
      <c r="L50" s="6">
        <f>IF(IF(Table442466657277[[#This Row],[Pre or Post]]="Post",1,0)+IF(ISNUMBER(Table442466657277[[#This Row],[Response]])=TRUE,1,0)=2,Table442466657277[[#This Row],[Response]],"")</f>
        <v>5</v>
      </c>
      <c r="M50" s="5" t="str">
        <f>IF(IF(ISNUMBER(K50),1,0)+IF(ISNUMBER(L51),1,0)=2,IF(IF(C51=C50,1,0)+IF(B51=B50,1,0)+IF(D51="Post",1,0)+IF(D50="Pre",1,0)=4,Table442466657277[[#This Row],[Pre Total]],""),"")</f>
        <v/>
      </c>
      <c r="N50" s="5">
        <f>IF(IF(ISNUMBER(K49),1,0)+IF(ISNUMBER(Table442466657277[[#This Row],[Post Total]]),1,0)=2,IF(IF(Table442466657277[[#This Row],[Student Number]]=C49,1,0)+IF(Table442466657277[[#This Row],[Session]]=B49,1,0)+IF(Table442466657277[[#This Row],[Pre or Post]]="Post",1,0)+IF(D49="Pre",1,0)=4,Table442466657277[[#This Row],[Post Total]],""),"")</f>
        <v>5</v>
      </c>
      <c r="O50" s="5">
        <f>IF(IF(ISNUMBER(K49),1,0)+IF(ISNUMBER(Table442466657277[[#This Row],[Post Total]]),1,0)=2,IF(IF(Table442466657277[[#This Row],[Student Number]]=C49,1,0)+IF(Table442466657277[[#This Row],[Session]]=B49,1,0)+IF(Table442466657277[[#This Row],[Pre or Post]]="Post",1,0)+IF(D49="Pre",1,0)=4,Table442466657277[[#This Row],[Post Total]]-K49,""),"")</f>
        <v>3</v>
      </c>
      <c r="P50" s="5" t="b">
        <f>ISNUMBER(Table442466657277[[#This Row],[Change]])</f>
        <v>1</v>
      </c>
      <c r="Q50" s="5">
        <f>IF(E49="Yes",Table442466657277[[#This Row],[Change]],"")</f>
        <v>3</v>
      </c>
      <c r="R50" s="5" t="str">
        <f>IF(E49="No",Table442466657277[[#This Row],[Change]],"")</f>
        <v/>
      </c>
      <c r="S50" s="5" t="b">
        <f>ISNUMBER(Table442466657277[[#This Row],[If Pre6 Yes]])</f>
        <v>1</v>
      </c>
      <c r="T50" s="5" t="b">
        <f>ISNUMBER(Table442466657277[[#This Row],[If Pre6 No]])</f>
        <v>0</v>
      </c>
    </row>
    <row r="51" spans="1:20">
      <c r="A51" s="1" t="s">
        <v>24</v>
      </c>
      <c r="B51" s="1" t="s">
        <v>23</v>
      </c>
      <c r="C51" s="1">
        <v>16</v>
      </c>
      <c r="D51" s="1" t="s">
        <v>6</v>
      </c>
      <c r="E51" s="5" t="s">
        <v>8</v>
      </c>
      <c r="F51" s="1">
        <v>10</v>
      </c>
      <c r="G51" s="1">
        <v>2</v>
      </c>
      <c r="H51" s="1" t="s">
        <v>8</v>
      </c>
      <c r="I51" s="5">
        <f>IF(IF(Table442466657277[[#This Row],[Pre or Post]]="Pre",1,0)+IF(ISNUMBER(Table442466657277[[#This Row],[Response]])=TRUE,1,0)=2,1,"")</f>
        <v>1</v>
      </c>
      <c r="J51" s="5" t="str">
        <f>IF(IF(Table442466657277[[#This Row],[Pre or Post]]="Post",1,0)+IF(ISNUMBER(Table442466657277[[#This Row],[Response]])=TRUE,1,0)=2,1,"")</f>
        <v/>
      </c>
      <c r="K51" s="6">
        <f>IF(IF(Table442466657277[[#This Row],[Pre or Post]]="Pre",1,0)+IF(ISNUMBER(Table442466657277[[#This Row],[Response]])=TRUE,1,0)=2,Table442466657277[[#This Row],[Response]],"")</f>
        <v>2</v>
      </c>
      <c r="L51" s="6" t="str">
        <f>IF(IF(Table442466657277[[#This Row],[Pre or Post]]="Post",1,0)+IF(ISNUMBER(Table442466657277[[#This Row],[Response]])=TRUE,1,0)=2,Table442466657277[[#This Row],[Response]],"")</f>
        <v/>
      </c>
      <c r="M51" s="5">
        <f>IF(IF(ISNUMBER(K51),1,0)+IF(ISNUMBER(L52),1,0)=2,IF(IF(C52=C51,1,0)+IF(B52=B51,1,0)+IF(D52="Post",1,0)+IF(D51="Pre",1,0)=4,Table442466657277[[#This Row],[Pre Total]],""),"")</f>
        <v>2</v>
      </c>
      <c r="N51" s="5" t="str">
        <f>IF(IF(ISNUMBER(K50),1,0)+IF(ISNUMBER(Table442466657277[[#This Row],[Post Total]]),1,0)=2,IF(IF(Table442466657277[[#This Row],[Student Number]]=C50,1,0)+IF(Table442466657277[[#This Row],[Session]]=B50,1,0)+IF(Table442466657277[[#This Row],[Pre or Post]]="Post",1,0)+IF(D50="Pre",1,0)=4,Table442466657277[[#This Row],[Post Total]],""),"")</f>
        <v/>
      </c>
      <c r="O51" s="5" t="str">
        <f>IF(IF(ISNUMBER(K50),1,0)+IF(ISNUMBER(Table442466657277[[#This Row],[Post Total]]),1,0)=2,IF(IF(Table442466657277[[#This Row],[Student Number]]=C50,1,0)+IF(Table442466657277[[#This Row],[Session]]=B50,1,0)+IF(Table442466657277[[#This Row],[Pre or Post]]="Post",1,0)+IF(D50="Pre",1,0)=4,Table442466657277[[#This Row],[Post Total]]-K50,""),"")</f>
        <v/>
      </c>
      <c r="P51" s="5" t="b">
        <f>ISNUMBER(Table442466657277[[#This Row],[Change]])</f>
        <v>0</v>
      </c>
      <c r="Q51" s="5" t="str">
        <f>IF(E50="Yes",Table442466657277[[#This Row],[Change]],"")</f>
        <v/>
      </c>
      <c r="R51" s="5" t="str">
        <f>IF(E50="No",Table442466657277[[#This Row],[Change]],"")</f>
        <v/>
      </c>
      <c r="S51" s="5" t="b">
        <f>ISNUMBER(Table442466657277[[#This Row],[If Pre6 Yes]])</f>
        <v>0</v>
      </c>
      <c r="T51" s="5" t="b">
        <f>ISNUMBER(Table442466657277[[#This Row],[If Pre6 No]])</f>
        <v>0</v>
      </c>
    </row>
    <row r="52" spans="1:20">
      <c r="A52" s="1" t="s">
        <v>24</v>
      </c>
      <c r="B52" s="1" t="s">
        <v>23</v>
      </c>
      <c r="C52" s="1">
        <v>16</v>
      </c>
      <c r="D52" s="1" t="s">
        <v>16</v>
      </c>
      <c r="E52" s="5"/>
      <c r="F52" s="1">
        <v>6</v>
      </c>
      <c r="G52" s="1">
        <v>3</v>
      </c>
      <c r="H52" s="1" t="s">
        <v>8</v>
      </c>
      <c r="I52" s="6" t="str">
        <f>IF(IF(Table442466657277[[#This Row],[Pre or Post]]="Pre",1,0)+IF(ISNUMBER(Table442466657277[[#This Row],[Response]])=TRUE,1,0)=2,1,"")</f>
        <v/>
      </c>
      <c r="J52" s="6">
        <f>IF(IF(Table442466657277[[#This Row],[Pre or Post]]="Post",1,0)+IF(ISNUMBER(Table442466657277[[#This Row],[Response]])=TRUE,1,0)=2,1,"")</f>
        <v>1</v>
      </c>
      <c r="K52" s="6" t="str">
        <f>IF(IF(Table442466657277[[#This Row],[Pre or Post]]="Pre",1,0)+IF(ISNUMBER(Table442466657277[[#This Row],[Response]])=TRUE,1,0)=2,Table442466657277[[#This Row],[Response]],"")</f>
        <v/>
      </c>
      <c r="L52" s="6">
        <f>IF(IF(Table442466657277[[#This Row],[Pre or Post]]="Post",1,0)+IF(ISNUMBER(Table442466657277[[#This Row],[Response]])=TRUE,1,0)=2,Table442466657277[[#This Row],[Response]],"")</f>
        <v>3</v>
      </c>
      <c r="M52" s="6" t="str">
        <f>IF(IF(ISNUMBER(K52),1,0)+IF(ISNUMBER(L53),1,0)=2,IF(IF(C53=C52,1,0)+IF(B53=B52,1,0)+IF(D53="Post",1,0)+IF(D52="Pre",1,0)=4,Table442466657277[[#This Row],[Pre Total]],""),"")</f>
        <v/>
      </c>
      <c r="N52" s="6">
        <f>IF(IF(ISNUMBER(K51),1,0)+IF(ISNUMBER(Table442466657277[[#This Row],[Post Total]]),1,0)=2,IF(IF(Table442466657277[[#This Row],[Student Number]]=C51,1,0)+IF(Table442466657277[[#This Row],[Session]]=B51,1,0)+IF(Table442466657277[[#This Row],[Pre or Post]]="Post",1,0)+IF(D51="Pre",1,0)=4,Table442466657277[[#This Row],[Post Total]],""),"")</f>
        <v>3</v>
      </c>
      <c r="O52" s="6">
        <f>IF(IF(ISNUMBER(K51),1,0)+IF(ISNUMBER(Table442466657277[[#This Row],[Post Total]]),1,0)=2,IF(IF(Table442466657277[[#This Row],[Student Number]]=C51,1,0)+IF(Table442466657277[[#This Row],[Session]]=B51,1,0)+IF(Table442466657277[[#This Row],[Pre or Post]]="Post",1,0)+IF(D51="Pre",1,0)=4,Table442466657277[[#This Row],[Post Total]]-K51,""),"")</f>
        <v>1</v>
      </c>
      <c r="P52" s="6" t="b">
        <f>ISNUMBER(Table442466657277[[#This Row],[Change]])</f>
        <v>1</v>
      </c>
      <c r="Q52" s="5">
        <f>IF(E51="Yes",Table442466657277[[#This Row],[Change]],"")</f>
        <v>1</v>
      </c>
      <c r="R52" s="5" t="str">
        <f>IF(E51="No",Table442466657277[[#This Row],[Change]],"")</f>
        <v/>
      </c>
      <c r="S52" s="5" t="b">
        <f>ISNUMBER(Table442466657277[[#This Row],[If Pre6 Yes]])</f>
        <v>1</v>
      </c>
      <c r="T52" s="5" t="b">
        <f>ISNUMBER(Table442466657277[[#This Row],[If Pre6 No]])</f>
        <v>0</v>
      </c>
    </row>
    <row r="53" spans="1:20">
      <c r="A53" s="1" t="s">
        <v>24</v>
      </c>
      <c r="B53" s="1" t="s">
        <v>25</v>
      </c>
      <c r="C53" s="1">
        <v>1</v>
      </c>
      <c r="D53" s="1" t="s">
        <v>6</v>
      </c>
      <c r="E53" s="5" t="s">
        <v>8</v>
      </c>
      <c r="F53" s="1">
        <v>10</v>
      </c>
      <c r="G53" s="1">
        <v>4</v>
      </c>
      <c r="H53" s="1" t="s">
        <v>8</v>
      </c>
      <c r="I53" s="6">
        <f>IF(IF(Table442466657277[[#This Row],[Pre or Post]]="Pre",1,0)+IF(ISNUMBER(Table442466657277[[#This Row],[Response]])=TRUE,1,0)=2,1,"")</f>
        <v>1</v>
      </c>
      <c r="J53" s="6" t="str">
        <f>IF(IF(Table442466657277[[#This Row],[Pre or Post]]="Post",1,0)+IF(ISNUMBER(Table442466657277[[#This Row],[Response]])=TRUE,1,0)=2,1,"")</f>
        <v/>
      </c>
      <c r="K53" s="6">
        <f>IF(IF(Table442466657277[[#This Row],[Pre or Post]]="Pre",1,0)+IF(ISNUMBER(Table442466657277[[#This Row],[Response]])=TRUE,1,0)=2,Table442466657277[[#This Row],[Response]],"")</f>
        <v>4</v>
      </c>
      <c r="L53" s="6" t="str">
        <f>IF(IF(Table442466657277[[#This Row],[Pre or Post]]="Post",1,0)+IF(ISNUMBER(Table442466657277[[#This Row],[Response]])=TRUE,1,0)=2,Table442466657277[[#This Row],[Response]],"")</f>
        <v/>
      </c>
      <c r="M53" s="6">
        <f>IF(IF(ISNUMBER(K53),1,0)+IF(ISNUMBER(L54),1,0)=2,IF(IF(C54=C53,1,0)+IF(B54=B53,1,0)+IF(D54="Post",1,0)+IF(D53="Pre",1,0)=4,Table442466657277[[#This Row],[Pre Total]],""),"")</f>
        <v>4</v>
      </c>
      <c r="N53" s="6" t="str">
        <f>IF(IF(ISNUMBER(K52),1,0)+IF(ISNUMBER(Table442466657277[[#This Row],[Post Total]]),1,0)=2,IF(IF(Table442466657277[[#This Row],[Student Number]]=C52,1,0)+IF(Table442466657277[[#This Row],[Session]]=B52,1,0)+IF(Table442466657277[[#This Row],[Pre or Post]]="Post",1,0)+IF(D52="Pre",1,0)=4,Table442466657277[[#This Row],[Post Total]],""),"")</f>
        <v/>
      </c>
      <c r="O53" s="6" t="str">
        <f>IF(IF(ISNUMBER(K52),1,0)+IF(ISNUMBER(Table442466657277[[#This Row],[Post Total]]),1,0)=2,IF(IF(Table442466657277[[#This Row],[Student Number]]=C52,1,0)+IF(Table442466657277[[#This Row],[Session]]=B52,1,0)+IF(Table442466657277[[#This Row],[Pre or Post]]="Post",1,0)+IF(D52="Pre",1,0)=4,Table442466657277[[#This Row],[Post Total]]-K52,""),"")</f>
        <v/>
      </c>
      <c r="P53" s="6" t="b">
        <f>ISNUMBER(Table442466657277[[#This Row],[Change]])</f>
        <v>0</v>
      </c>
      <c r="Q53" s="5" t="str">
        <f>IF(E52="Yes",Table442466657277[[#This Row],[Change]],"")</f>
        <v/>
      </c>
      <c r="R53" s="5" t="str">
        <f>IF(E52="No",Table442466657277[[#This Row],[Change]],"")</f>
        <v/>
      </c>
      <c r="S53" s="5" t="b">
        <f>ISNUMBER(Table442466657277[[#This Row],[If Pre6 Yes]])</f>
        <v>0</v>
      </c>
      <c r="T53" s="5" t="b">
        <f>ISNUMBER(Table442466657277[[#This Row],[If Pre6 No]])</f>
        <v>0</v>
      </c>
    </row>
    <row r="54" spans="1:20">
      <c r="A54" s="1" t="s">
        <v>24</v>
      </c>
      <c r="B54" s="1" t="s">
        <v>25</v>
      </c>
      <c r="C54" s="1">
        <v>1</v>
      </c>
      <c r="D54" s="1" t="s">
        <v>16</v>
      </c>
      <c r="E54" s="5"/>
      <c r="F54" s="1">
        <v>6</v>
      </c>
      <c r="G54" s="1">
        <v>4</v>
      </c>
      <c r="H54" s="2" t="s">
        <v>8</v>
      </c>
      <c r="I54" s="5" t="str">
        <f>IF(IF(Table442466657277[[#This Row],[Pre or Post]]="Pre",1,0)+IF(ISNUMBER(Table442466657277[[#This Row],[Response]])=TRUE,1,0)=2,1,"")</f>
        <v/>
      </c>
      <c r="J54" s="5">
        <f>IF(IF(Table442466657277[[#This Row],[Pre or Post]]="Post",1,0)+IF(ISNUMBER(Table442466657277[[#This Row],[Response]])=TRUE,1,0)=2,1,"")</f>
        <v>1</v>
      </c>
      <c r="K54" s="6" t="str">
        <f>IF(IF(Table442466657277[[#This Row],[Pre or Post]]="Pre",1,0)+IF(ISNUMBER(Table442466657277[[#This Row],[Response]])=TRUE,1,0)=2,Table442466657277[[#This Row],[Response]],"")</f>
        <v/>
      </c>
      <c r="L54" s="6">
        <f>IF(IF(Table442466657277[[#This Row],[Pre or Post]]="Post",1,0)+IF(ISNUMBER(Table442466657277[[#This Row],[Response]])=TRUE,1,0)=2,Table442466657277[[#This Row],[Response]],"")</f>
        <v>4</v>
      </c>
      <c r="M54" s="5" t="str">
        <f>IF(IF(ISNUMBER(K54),1,0)+IF(ISNUMBER(L55),1,0)=2,IF(IF(C55=C54,1,0)+IF(B55=B54,1,0)+IF(D55="Post",1,0)+IF(D54="Pre",1,0)=4,Table442466657277[[#This Row],[Pre Total]],""),"")</f>
        <v/>
      </c>
      <c r="N54" s="5">
        <f>IF(IF(ISNUMBER(K53),1,0)+IF(ISNUMBER(Table442466657277[[#This Row],[Post Total]]),1,0)=2,IF(IF(Table442466657277[[#This Row],[Student Number]]=C53,1,0)+IF(Table442466657277[[#This Row],[Session]]=B53,1,0)+IF(Table442466657277[[#This Row],[Pre or Post]]="Post",1,0)+IF(D53="Pre",1,0)=4,Table442466657277[[#This Row],[Post Total]],""),"")</f>
        <v>4</v>
      </c>
      <c r="O54" s="5">
        <f>IF(IF(ISNUMBER(K53),1,0)+IF(ISNUMBER(Table442466657277[[#This Row],[Post Total]]),1,0)=2,IF(IF(Table442466657277[[#This Row],[Student Number]]=C53,1,0)+IF(Table442466657277[[#This Row],[Session]]=B53,1,0)+IF(Table442466657277[[#This Row],[Pre or Post]]="Post",1,0)+IF(D53="Pre",1,0)=4,Table442466657277[[#This Row],[Post Total]]-K53,""),"")</f>
        <v>0</v>
      </c>
      <c r="P54" s="5" t="b">
        <f>ISNUMBER(Table442466657277[[#This Row],[Change]])</f>
        <v>1</v>
      </c>
      <c r="Q54" s="5">
        <f>IF(E53="Yes",Table442466657277[[#This Row],[Change]],"")</f>
        <v>0</v>
      </c>
      <c r="R54" s="5" t="str">
        <f>IF(E53="No",Table442466657277[[#This Row],[Change]],"")</f>
        <v/>
      </c>
      <c r="S54" s="5" t="b">
        <f>ISNUMBER(Table442466657277[[#This Row],[If Pre6 Yes]])</f>
        <v>1</v>
      </c>
      <c r="T54" s="5" t="b">
        <f>ISNUMBER(Table442466657277[[#This Row],[If Pre6 No]])</f>
        <v>0</v>
      </c>
    </row>
    <row r="55" spans="1:20">
      <c r="A55" s="1" t="s">
        <v>24</v>
      </c>
      <c r="B55" s="1" t="s">
        <v>25</v>
      </c>
      <c r="C55" s="1">
        <v>2</v>
      </c>
      <c r="D55" s="1" t="s">
        <v>6</v>
      </c>
      <c r="E55" s="5" t="s">
        <v>8</v>
      </c>
      <c r="F55" s="1">
        <v>10</v>
      </c>
      <c r="G55" s="1">
        <v>2</v>
      </c>
      <c r="H55" s="1" t="s">
        <v>8</v>
      </c>
      <c r="I55" s="6">
        <f>IF(IF(Table442466657277[[#This Row],[Pre or Post]]="Pre",1,0)+IF(ISNUMBER(Table442466657277[[#This Row],[Response]])=TRUE,1,0)=2,1,"")</f>
        <v>1</v>
      </c>
      <c r="J55" s="6" t="str">
        <f>IF(IF(Table442466657277[[#This Row],[Pre or Post]]="Post",1,0)+IF(ISNUMBER(Table442466657277[[#This Row],[Response]])=TRUE,1,0)=2,1,"")</f>
        <v/>
      </c>
      <c r="K55" s="6">
        <f>IF(IF(Table442466657277[[#This Row],[Pre or Post]]="Pre",1,0)+IF(ISNUMBER(Table442466657277[[#This Row],[Response]])=TRUE,1,0)=2,Table442466657277[[#This Row],[Response]],"")</f>
        <v>2</v>
      </c>
      <c r="L55" s="6" t="str">
        <f>IF(IF(Table442466657277[[#This Row],[Pre or Post]]="Post",1,0)+IF(ISNUMBER(Table442466657277[[#This Row],[Response]])=TRUE,1,0)=2,Table442466657277[[#This Row],[Response]],"")</f>
        <v/>
      </c>
      <c r="M55" s="6">
        <f>IF(IF(ISNUMBER(K55),1,0)+IF(ISNUMBER(L56),1,0)=2,IF(IF(C56=C55,1,0)+IF(B56=B55,1,0)+IF(D56="Post",1,0)+IF(D55="Pre",1,0)=4,Table442466657277[[#This Row],[Pre Total]],""),"")</f>
        <v>2</v>
      </c>
      <c r="N55" s="6" t="str">
        <f>IF(IF(ISNUMBER(K54),1,0)+IF(ISNUMBER(Table442466657277[[#This Row],[Post Total]]),1,0)=2,IF(IF(Table442466657277[[#This Row],[Student Number]]=C54,1,0)+IF(Table442466657277[[#This Row],[Session]]=B54,1,0)+IF(Table442466657277[[#This Row],[Pre or Post]]="Post",1,0)+IF(D54="Pre",1,0)=4,Table442466657277[[#This Row],[Post Total]],""),"")</f>
        <v/>
      </c>
      <c r="O55" s="6" t="str">
        <f>IF(IF(ISNUMBER(K54),1,0)+IF(ISNUMBER(Table442466657277[[#This Row],[Post Total]]),1,0)=2,IF(IF(Table442466657277[[#This Row],[Student Number]]=C54,1,0)+IF(Table442466657277[[#This Row],[Session]]=B54,1,0)+IF(Table442466657277[[#This Row],[Pre or Post]]="Post",1,0)+IF(D54="Pre",1,0)=4,Table442466657277[[#This Row],[Post Total]]-K54,""),"")</f>
        <v/>
      </c>
      <c r="P55" s="6" t="b">
        <f>ISNUMBER(Table442466657277[[#This Row],[Change]])</f>
        <v>0</v>
      </c>
      <c r="Q55" s="5" t="str">
        <f>IF(E54="Yes",Table442466657277[[#This Row],[Change]],"")</f>
        <v/>
      </c>
      <c r="R55" s="5" t="str">
        <f>IF(E54="No",Table442466657277[[#This Row],[Change]],"")</f>
        <v/>
      </c>
      <c r="S55" s="5" t="b">
        <f>ISNUMBER(Table442466657277[[#This Row],[If Pre6 Yes]])</f>
        <v>0</v>
      </c>
      <c r="T55" s="5" t="b">
        <f>ISNUMBER(Table442466657277[[#This Row],[If Pre6 No]])</f>
        <v>0</v>
      </c>
    </row>
    <row r="56" spans="1:20">
      <c r="A56" s="1" t="s">
        <v>24</v>
      </c>
      <c r="B56" s="1" t="s">
        <v>25</v>
      </c>
      <c r="C56" s="1">
        <v>2</v>
      </c>
      <c r="D56" s="1" t="s">
        <v>16</v>
      </c>
      <c r="E56" s="5"/>
      <c r="F56" s="1">
        <v>6</v>
      </c>
      <c r="G56" s="1">
        <v>3</v>
      </c>
      <c r="H56" s="2" t="s">
        <v>8</v>
      </c>
      <c r="I56" s="5" t="str">
        <f>IF(IF(Table442466657277[[#This Row],[Pre or Post]]="Pre",1,0)+IF(ISNUMBER(Table442466657277[[#This Row],[Response]])=TRUE,1,0)=2,1,"")</f>
        <v/>
      </c>
      <c r="J56" s="5">
        <f>IF(IF(Table442466657277[[#This Row],[Pre or Post]]="Post",1,0)+IF(ISNUMBER(Table442466657277[[#This Row],[Response]])=TRUE,1,0)=2,1,"")</f>
        <v>1</v>
      </c>
      <c r="K56" s="6" t="str">
        <f>IF(IF(Table442466657277[[#This Row],[Pre or Post]]="Pre",1,0)+IF(ISNUMBER(Table442466657277[[#This Row],[Response]])=TRUE,1,0)=2,Table442466657277[[#This Row],[Response]],"")</f>
        <v/>
      </c>
      <c r="L56" s="6">
        <f>IF(IF(Table442466657277[[#This Row],[Pre or Post]]="Post",1,0)+IF(ISNUMBER(Table442466657277[[#This Row],[Response]])=TRUE,1,0)=2,Table442466657277[[#This Row],[Response]],"")</f>
        <v>3</v>
      </c>
      <c r="M56" s="5" t="str">
        <f>IF(IF(ISNUMBER(K56),1,0)+IF(ISNUMBER(L57),1,0)=2,IF(IF(C57=C56,1,0)+IF(B57=B56,1,0)+IF(D57="Post",1,0)+IF(D56="Pre",1,0)=4,Table442466657277[[#This Row],[Pre Total]],""),"")</f>
        <v/>
      </c>
      <c r="N56" s="5">
        <f>IF(IF(ISNUMBER(K55),1,0)+IF(ISNUMBER(Table442466657277[[#This Row],[Post Total]]),1,0)=2,IF(IF(Table442466657277[[#This Row],[Student Number]]=C55,1,0)+IF(Table442466657277[[#This Row],[Session]]=B55,1,0)+IF(Table442466657277[[#This Row],[Pre or Post]]="Post",1,0)+IF(D55="Pre",1,0)=4,Table442466657277[[#This Row],[Post Total]],""),"")</f>
        <v>3</v>
      </c>
      <c r="O56" s="5">
        <f>IF(IF(ISNUMBER(K55),1,0)+IF(ISNUMBER(Table442466657277[[#This Row],[Post Total]]),1,0)=2,IF(IF(Table442466657277[[#This Row],[Student Number]]=C55,1,0)+IF(Table442466657277[[#This Row],[Session]]=B55,1,0)+IF(Table442466657277[[#This Row],[Pre or Post]]="Post",1,0)+IF(D55="Pre",1,0)=4,Table442466657277[[#This Row],[Post Total]]-K55,""),"")</f>
        <v>1</v>
      </c>
      <c r="P56" s="5" t="b">
        <f>ISNUMBER(Table442466657277[[#This Row],[Change]])</f>
        <v>1</v>
      </c>
      <c r="Q56" s="5">
        <f>IF(E55="Yes",Table442466657277[[#This Row],[Change]],"")</f>
        <v>1</v>
      </c>
      <c r="R56" s="5" t="str">
        <f>IF(E55="No",Table442466657277[[#This Row],[Change]],"")</f>
        <v/>
      </c>
      <c r="S56" s="5" t="b">
        <f>ISNUMBER(Table442466657277[[#This Row],[If Pre6 Yes]])</f>
        <v>1</v>
      </c>
      <c r="T56" s="5" t="b">
        <f>ISNUMBER(Table442466657277[[#This Row],[If Pre6 No]])</f>
        <v>0</v>
      </c>
    </row>
    <row r="57" spans="1:20">
      <c r="A57" s="1" t="s">
        <v>24</v>
      </c>
      <c r="B57" s="1" t="s">
        <v>25</v>
      </c>
      <c r="C57" s="1">
        <v>3</v>
      </c>
      <c r="D57" s="1" t="s">
        <v>6</v>
      </c>
      <c r="E57" s="5" t="s">
        <v>8</v>
      </c>
      <c r="F57" s="1">
        <v>10</v>
      </c>
      <c r="G57" s="1">
        <v>3</v>
      </c>
      <c r="H57" s="1" t="s">
        <v>8</v>
      </c>
      <c r="I57" s="5">
        <f>IF(IF(Table442466657277[[#This Row],[Pre or Post]]="Pre",1,0)+IF(ISNUMBER(Table442466657277[[#This Row],[Response]])=TRUE,1,0)=2,1,"")</f>
        <v>1</v>
      </c>
      <c r="J57" s="5" t="str">
        <f>IF(IF(Table442466657277[[#This Row],[Pre or Post]]="Post",1,0)+IF(ISNUMBER(Table442466657277[[#This Row],[Response]])=TRUE,1,0)=2,1,"")</f>
        <v/>
      </c>
      <c r="K57" s="6">
        <f>IF(IF(Table442466657277[[#This Row],[Pre or Post]]="Pre",1,0)+IF(ISNUMBER(Table442466657277[[#This Row],[Response]])=TRUE,1,0)=2,Table442466657277[[#This Row],[Response]],"")</f>
        <v>3</v>
      </c>
      <c r="L57" s="6" t="str">
        <f>IF(IF(Table442466657277[[#This Row],[Pre or Post]]="Post",1,0)+IF(ISNUMBER(Table442466657277[[#This Row],[Response]])=TRUE,1,0)=2,Table442466657277[[#This Row],[Response]],"")</f>
        <v/>
      </c>
      <c r="M57" s="5">
        <f>IF(IF(ISNUMBER(K57),1,0)+IF(ISNUMBER(L58),1,0)=2,IF(IF(C58=C57,1,0)+IF(B58=B57,1,0)+IF(D58="Post",1,0)+IF(D57="Pre",1,0)=4,Table442466657277[[#This Row],[Pre Total]],""),"")</f>
        <v>3</v>
      </c>
      <c r="N57" s="5" t="str">
        <f>IF(IF(ISNUMBER(K56),1,0)+IF(ISNUMBER(Table442466657277[[#This Row],[Post Total]]),1,0)=2,IF(IF(Table442466657277[[#This Row],[Student Number]]=C56,1,0)+IF(Table442466657277[[#This Row],[Session]]=B56,1,0)+IF(Table442466657277[[#This Row],[Pre or Post]]="Post",1,0)+IF(D56="Pre",1,0)=4,Table442466657277[[#This Row],[Post Total]],""),"")</f>
        <v/>
      </c>
      <c r="O57" s="5" t="str">
        <f>IF(IF(ISNUMBER(K56),1,0)+IF(ISNUMBER(Table442466657277[[#This Row],[Post Total]]),1,0)=2,IF(IF(Table442466657277[[#This Row],[Student Number]]=C56,1,0)+IF(Table442466657277[[#This Row],[Session]]=B56,1,0)+IF(Table442466657277[[#This Row],[Pre or Post]]="Post",1,0)+IF(D56="Pre",1,0)=4,Table442466657277[[#This Row],[Post Total]]-K56,""),"")</f>
        <v/>
      </c>
      <c r="P57" s="5" t="b">
        <f>ISNUMBER(Table442466657277[[#This Row],[Change]])</f>
        <v>0</v>
      </c>
      <c r="Q57" s="5" t="str">
        <f>IF(E56="Yes",Table442466657277[[#This Row],[Change]],"")</f>
        <v/>
      </c>
      <c r="R57" s="5" t="str">
        <f>IF(E56="No",Table442466657277[[#This Row],[Change]],"")</f>
        <v/>
      </c>
      <c r="S57" s="5" t="b">
        <f>ISNUMBER(Table442466657277[[#This Row],[If Pre6 Yes]])</f>
        <v>0</v>
      </c>
      <c r="T57" s="5" t="b">
        <f>ISNUMBER(Table442466657277[[#This Row],[If Pre6 No]])</f>
        <v>0</v>
      </c>
    </row>
    <row r="58" spans="1:20">
      <c r="A58" s="1" t="s">
        <v>24</v>
      </c>
      <c r="B58" s="1" t="s">
        <v>25</v>
      </c>
      <c r="C58" s="1">
        <v>3</v>
      </c>
      <c r="D58" s="1" t="s">
        <v>16</v>
      </c>
      <c r="E58" s="5"/>
      <c r="F58" s="1">
        <v>6</v>
      </c>
      <c r="G58" s="1">
        <v>4</v>
      </c>
      <c r="H58" s="2" t="s">
        <v>8</v>
      </c>
      <c r="I58" s="5" t="str">
        <f>IF(IF(Table442466657277[[#This Row],[Pre or Post]]="Pre",1,0)+IF(ISNUMBER(Table442466657277[[#This Row],[Response]])=TRUE,1,0)=2,1,"")</f>
        <v/>
      </c>
      <c r="J58" s="5">
        <f>IF(IF(Table442466657277[[#This Row],[Pre or Post]]="Post",1,0)+IF(ISNUMBER(Table442466657277[[#This Row],[Response]])=TRUE,1,0)=2,1,"")</f>
        <v>1</v>
      </c>
      <c r="K58" s="6" t="str">
        <f>IF(IF(Table442466657277[[#This Row],[Pre or Post]]="Pre",1,0)+IF(ISNUMBER(Table442466657277[[#This Row],[Response]])=TRUE,1,0)=2,Table442466657277[[#This Row],[Response]],"")</f>
        <v/>
      </c>
      <c r="L58" s="6">
        <f>IF(IF(Table442466657277[[#This Row],[Pre or Post]]="Post",1,0)+IF(ISNUMBER(Table442466657277[[#This Row],[Response]])=TRUE,1,0)=2,Table442466657277[[#This Row],[Response]],"")</f>
        <v>4</v>
      </c>
      <c r="M58" s="5" t="str">
        <f>IF(IF(ISNUMBER(K58),1,0)+IF(ISNUMBER(L59),1,0)=2,IF(IF(C59=C58,1,0)+IF(B59=B58,1,0)+IF(D59="Post",1,0)+IF(D58="Pre",1,0)=4,Table442466657277[[#This Row],[Pre Total]],""),"")</f>
        <v/>
      </c>
      <c r="N58" s="5">
        <f>IF(IF(ISNUMBER(K57),1,0)+IF(ISNUMBER(Table442466657277[[#This Row],[Post Total]]),1,0)=2,IF(IF(Table442466657277[[#This Row],[Student Number]]=C57,1,0)+IF(Table442466657277[[#This Row],[Session]]=B57,1,0)+IF(Table442466657277[[#This Row],[Pre or Post]]="Post",1,0)+IF(D57="Pre",1,0)=4,Table442466657277[[#This Row],[Post Total]],""),"")</f>
        <v>4</v>
      </c>
      <c r="O58" s="5">
        <f>IF(IF(ISNUMBER(K57),1,0)+IF(ISNUMBER(Table442466657277[[#This Row],[Post Total]]),1,0)=2,IF(IF(Table442466657277[[#This Row],[Student Number]]=C57,1,0)+IF(Table442466657277[[#This Row],[Session]]=B57,1,0)+IF(Table442466657277[[#This Row],[Pre or Post]]="Post",1,0)+IF(D57="Pre",1,0)=4,Table442466657277[[#This Row],[Post Total]]-K57,""),"")</f>
        <v>1</v>
      </c>
      <c r="P58" s="5" t="b">
        <f>ISNUMBER(Table442466657277[[#This Row],[Change]])</f>
        <v>1</v>
      </c>
      <c r="Q58" s="5">
        <f>IF(E57="Yes",Table442466657277[[#This Row],[Change]],"")</f>
        <v>1</v>
      </c>
      <c r="R58" s="5" t="str">
        <f>IF(E57="No",Table442466657277[[#This Row],[Change]],"")</f>
        <v/>
      </c>
      <c r="S58" s="5" t="b">
        <f>ISNUMBER(Table442466657277[[#This Row],[If Pre6 Yes]])</f>
        <v>1</v>
      </c>
      <c r="T58" s="5" t="b">
        <f>ISNUMBER(Table442466657277[[#This Row],[If Pre6 No]])</f>
        <v>0</v>
      </c>
    </row>
    <row r="59" spans="1:20">
      <c r="A59" s="1" t="s">
        <v>24</v>
      </c>
      <c r="B59" s="1" t="s">
        <v>25</v>
      </c>
      <c r="C59" s="1">
        <v>4</v>
      </c>
      <c r="D59" s="1" t="s">
        <v>6</v>
      </c>
      <c r="E59" s="5" t="s">
        <v>8</v>
      </c>
      <c r="F59" s="1">
        <v>10</v>
      </c>
      <c r="G59" s="1">
        <v>2</v>
      </c>
      <c r="H59" s="1" t="s">
        <v>8</v>
      </c>
      <c r="I59" s="5">
        <f>IF(IF(Table442466657277[[#This Row],[Pre or Post]]="Pre",1,0)+IF(ISNUMBER(Table442466657277[[#This Row],[Response]])=TRUE,1,0)=2,1,"")</f>
        <v>1</v>
      </c>
      <c r="J59" s="5" t="str">
        <f>IF(IF(Table442466657277[[#This Row],[Pre or Post]]="Post",1,0)+IF(ISNUMBER(Table442466657277[[#This Row],[Response]])=TRUE,1,0)=2,1,"")</f>
        <v/>
      </c>
      <c r="K59" s="6">
        <f>IF(IF(Table442466657277[[#This Row],[Pre or Post]]="Pre",1,0)+IF(ISNUMBER(Table442466657277[[#This Row],[Response]])=TRUE,1,0)=2,Table442466657277[[#This Row],[Response]],"")</f>
        <v>2</v>
      </c>
      <c r="L59" s="6" t="str">
        <f>IF(IF(Table442466657277[[#This Row],[Pre or Post]]="Post",1,0)+IF(ISNUMBER(Table442466657277[[#This Row],[Response]])=TRUE,1,0)=2,Table442466657277[[#This Row],[Response]],"")</f>
        <v/>
      </c>
      <c r="M59" s="5">
        <f>IF(IF(ISNUMBER(K59),1,0)+IF(ISNUMBER(L60),1,0)=2,IF(IF(C60=C59,1,0)+IF(B60=B59,1,0)+IF(D60="Post",1,0)+IF(D59="Pre",1,0)=4,Table442466657277[[#This Row],[Pre Total]],""),"")</f>
        <v>2</v>
      </c>
      <c r="N59" s="5" t="str">
        <f>IF(IF(ISNUMBER(K58),1,0)+IF(ISNUMBER(Table442466657277[[#This Row],[Post Total]]),1,0)=2,IF(IF(Table442466657277[[#This Row],[Student Number]]=C58,1,0)+IF(Table442466657277[[#This Row],[Session]]=B58,1,0)+IF(Table442466657277[[#This Row],[Pre or Post]]="Post",1,0)+IF(D58="Pre",1,0)=4,Table442466657277[[#This Row],[Post Total]],""),"")</f>
        <v/>
      </c>
      <c r="O59" s="5" t="str">
        <f>IF(IF(ISNUMBER(K58),1,0)+IF(ISNUMBER(Table442466657277[[#This Row],[Post Total]]),1,0)=2,IF(IF(Table442466657277[[#This Row],[Student Number]]=C58,1,0)+IF(Table442466657277[[#This Row],[Session]]=B58,1,0)+IF(Table442466657277[[#This Row],[Pre or Post]]="Post",1,0)+IF(D58="Pre",1,0)=4,Table442466657277[[#This Row],[Post Total]]-K58,""),"")</f>
        <v/>
      </c>
      <c r="P59" s="5" t="b">
        <f>ISNUMBER(Table442466657277[[#This Row],[Change]])</f>
        <v>0</v>
      </c>
      <c r="Q59" s="5" t="str">
        <f>IF(E58="Yes",Table442466657277[[#This Row],[Change]],"")</f>
        <v/>
      </c>
      <c r="R59" s="5" t="str">
        <f>IF(E58="No",Table442466657277[[#This Row],[Change]],"")</f>
        <v/>
      </c>
      <c r="S59" s="5" t="b">
        <f>ISNUMBER(Table442466657277[[#This Row],[If Pre6 Yes]])</f>
        <v>0</v>
      </c>
      <c r="T59" s="5" t="b">
        <f>ISNUMBER(Table442466657277[[#This Row],[If Pre6 No]])</f>
        <v>0</v>
      </c>
    </row>
    <row r="60" spans="1:20">
      <c r="A60" s="1" t="s">
        <v>24</v>
      </c>
      <c r="B60" s="1" t="s">
        <v>25</v>
      </c>
      <c r="C60" s="1">
        <v>4</v>
      </c>
      <c r="D60" s="1" t="s">
        <v>16</v>
      </c>
      <c r="E60" s="5"/>
      <c r="F60" s="1">
        <v>6</v>
      </c>
      <c r="G60" s="1">
        <v>2</v>
      </c>
      <c r="H60" s="2" t="s">
        <v>8</v>
      </c>
      <c r="I60" s="5" t="str">
        <f>IF(IF(Table442466657277[[#This Row],[Pre or Post]]="Pre",1,0)+IF(ISNUMBER(Table442466657277[[#This Row],[Response]])=TRUE,1,0)=2,1,"")</f>
        <v/>
      </c>
      <c r="J60" s="5">
        <f>IF(IF(Table442466657277[[#This Row],[Pre or Post]]="Post",1,0)+IF(ISNUMBER(Table442466657277[[#This Row],[Response]])=TRUE,1,0)=2,1,"")</f>
        <v>1</v>
      </c>
      <c r="K60" s="6" t="str">
        <f>IF(IF(Table442466657277[[#This Row],[Pre or Post]]="Pre",1,0)+IF(ISNUMBER(Table442466657277[[#This Row],[Response]])=TRUE,1,0)=2,Table442466657277[[#This Row],[Response]],"")</f>
        <v/>
      </c>
      <c r="L60" s="6">
        <f>IF(IF(Table442466657277[[#This Row],[Pre or Post]]="Post",1,0)+IF(ISNUMBER(Table442466657277[[#This Row],[Response]])=TRUE,1,0)=2,Table442466657277[[#This Row],[Response]],"")</f>
        <v>2</v>
      </c>
      <c r="M60" s="5" t="str">
        <f>IF(IF(ISNUMBER(K60),1,0)+IF(ISNUMBER(L61),1,0)=2,IF(IF(C61=C60,1,0)+IF(B61=B60,1,0)+IF(D61="Post",1,0)+IF(D60="Pre",1,0)=4,Table442466657277[[#This Row],[Pre Total]],""),"")</f>
        <v/>
      </c>
      <c r="N60" s="5">
        <f>IF(IF(ISNUMBER(K59),1,0)+IF(ISNUMBER(Table442466657277[[#This Row],[Post Total]]),1,0)=2,IF(IF(Table442466657277[[#This Row],[Student Number]]=C59,1,0)+IF(Table442466657277[[#This Row],[Session]]=B59,1,0)+IF(Table442466657277[[#This Row],[Pre or Post]]="Post",1,0)+IF(D59="Pre",1,0)=4,Table442466657277[[#This Row],[Post Total]],""),"")</f>
        <v>2</v>
      </c>
      <c r="O60" s="5">
        <f>IF(IF(ISNUMBER(K59),1,0)+IF(ISNUMBER(Table442466657277[[#This Row],[Post Total]]),1,0)=2,IF(IF(Table442466657277[[#This Row],[Student Number]]=C59,1,0)+IF(Table442466657277[[#This Row],[Session]]=B59,1,0)+IF(Table442466657277[[#This Row],[Pre or Post]]="Post",1,0)+IF(D59="Pre",1,0)=4,Table442466657277[[#This Row],[Post Total]]-K59,""),"")</f>
        <v>0</v>
      </c>
      <c r="P60" s="5" t="b">
        <f>ISNUMBER(Table442466657277[[#This Row],[Change]])</f>
        <v>1</v>
      </c>
      <c r="Q60" s="5">
        <f>IF(E59="Yes",Table442466657277[[#This Row],[Change]],"")</f>
        <v>0</v>
      </c>
      <c r="R60" s="5" t="str">
        <f>IF(E59="No",Table442466657277[[#This Row],[Change]],"")</f>
        <v/>
      </c>
      <c r="S60" s="5" t="b">
        <f>ISNUMBER(Table442466657277[[#This Row],[If Pre6 Yes]])</f>
        <v>1</v>
      </c>
      <c r="T60" s="5" t="b">
        <f>ISNUMBER(Table442466657277[[#This Row],[If Pre6 No]])</f>
        <v>0</v>
      </c>
    </row>
    <row r="61" spans="1:20">
      <c r="A61" s="1" t="s">
        <v>24</v>
      </c>
      <c r="B61" s="1" t="s">
        <v>25</v>
      </c>
      <c r="C61" s="1">
        <v>5</v>
      </c>
      <c r="D61" s="1" t="s">
        <v>6</v>
      </c>
      <c r="E61" s="5" t="s">
        <v>8</v>
      </c>
      <c r="F61" s="1">
        <v>10</v>
      </c>
      <c r="G61" s="1">
        <v>2</v>
      </c>
      <c r="H61" s="1" t="s">
        <v>8</v>
      </c>
      <c r="I61" s="6">
        <f>IF(IF(Table442466657277[[#This Row],[Pre or Post]]="Pre",1,0)+IF(ISNUMBER(Table442466657277[[#This Row],[Response]])=TRUE,1,0)=2,1,"")</f>
        <v>1</v>
      </c>
      <c r="J61" s="6" t="str">
        <f>IF(IF(Table442466657277[[#This Row],[Pre or Post]]="Post",1,0)+IF(ISNUMBER(Table442466657277[[#This Row],[Response]])=TRUE,1,0)=2,1,"")</f>
        <v/>
      </c>
      <c r="K61" s="6">
        <f>IF(IF(Table442466657277[[#This Row],[Pre or Post]]="Pre",1,0)+IF(ISNUMBER(Table442466657277[[#This Row],[Response]])=TRUE,1,0)=2,Table442466657277[[#This Row],[Response]],"")</f>
        <v>2</v>
      </c>
      <c r="L61" s="6" t="str">
        <f>IF(IF(Table442466657277[[#This Row],[Pre or Post]]="Post",1,0)+IF(ISNUMBER(Table442466657277[[#This Row],[Response]])=TRUE,1,0)=2,Table442466657277[[#This Row],[Response]],"")</f>
        <v/>
      </c>
      <c r="M61" s="6">
        <f>IF(IF(ISNUMBER(K61),1,0)+IF(ISNUMBER(L62),1,0)=2,IF(IF(C62=C61,1,0)+IF(B62=B61,1,0)+IF(D62="Post",1,0)+IF(D61="Pre",1,0)=4,Table442466657277[[#This Row],[Pre Total]],""),"")</f>
        <v>2</v>
      </c>
      <c r="N61" s="6" t="str">
        <f>IF(IF(ISNUMBER(K60),1,0)+IF(ISNUMBER(Table442466657277[[#This Row],[Post Total]]),1,0)=2,IF(IF(Table442466657277[[#This Row],[Student Number]]=C60,1,0)+IF(Table442466657277[[#This Row],[Session]]=B60,1,0)+IF(Table442466657277[[#This Row],[Pre or Post]]="Post",1,0)+IF(D60="Pre",1,0)=4,Table442466657277[[#This Row],[Post Total]],""),"")</f>
        <v/>
      </c>
      <c r="O61" s="6" t="str">
        <f>IF(IF(ISNUMBER(K60),1,0)+IF(ISNUMBER(Table442466657277[[#This Row],[Post Total]]),1,0)=2,IF(IF(Table442466657277[[#This Row],[Student Number]]=C60,1,0)+IF(Table442466657277[[#This Row],[Session]]=B60,1,0)+IF(Table442466657277[[#This Row],[Pre or Post]]="Post",1,0)+IF(D60="Pre",1,0)=4,Table442466657277[[#This Row],[Post Total]]-K60,""),"")</f>
        <v/>
      </c>
      <c r="P61" s="6" t="b">
        <f>ISNUMBER(Table442466657277[[#This Row],[Change]])</f>
        <v>0</v>
      </c>
      <c r="Q61" s="5" t="str">
        <f>IF(E60="Yes",Table442466657277[[#This Row],[Change]],"")</f>
        <v/>
      </c>
      <c r="R61" s="5" t="str">
        <f>IF(E60="No",Table442466657277[[#This Row],[Change]],"")</f>
        <v/>
      </c>
      <c r="S61" s="5" t="b">
        <f>ISNUMBER(Table442466657277[[#This Row],[If Pre6 Yes]])</f>
        <v>0</v>
      </c>
      <c r="T61" s="5" t="b">
        <f>ISNUMBER(Table442466657277[[#This Row],[If Pre6 No]])</f>
        <v>0</v>
      </c>
    </row>
    <row r="62" spans="1:20">
      <c r="A62" s="1" t="s">
        <v>24</v>
      </c>
      <c r="B62" s="1" t="s">
        <v>25</v>
      </c>
      <c r="C62" s="1">
        <v>5</v>
      </c>
      <c r="D62" s="1" t="s">
        <v>16</v>
      </c>
      <c r="E62" s="5"/>
      <c r="F62" s="1">
        <v>6</v>
      </c>
      <c r="G62" s="1">
        <v>4</v>
      </c>
      <c r="H62" s="2" t="s">
        <v>8</v>
      </c>
      <c r="I62" s="5" t="str">
        <f>IF(IF(Table442466657277[[#This Row],[Pre or Post]]="Pre",1,0)+IF(ISNUMBER(Table442466657277[[#This Row],[Response]])=TRUE,1,0)=2,1,"")</f>
        <v/>
      </c>
      <c r="J62" s="5">
        <f>IF(IF(Table442466657277[[#This Row],[Pre or Post]]="Post",1,0)+IF(ISNUMBER(Table442466657277[[#This Row],[Response]])=TRUE,1,0)=2,1,"")</f>
        <v>1</v>
      </c>
      <c r="K62" s="6" t="str">
        <f>IF(IF(Table442466657277[[#This Row],[Pre or Post]]="Pre",1,0)+IF(ISNUMBER(Table442466657277[[#This Row],[Response]])=TRUE,1,0)=2,Table442466657277[[#This Row],[Response]],"")</f>
        <v/>
      </c>
      <c r="L62" s="6">
        <f>IF(IF(Table442466657277[[#This Row],[Pre or Post]]="Post",1,0)+IF(ISNUMBER(Table442466657277[[#This Row],[Response]])=TRUE,1,0)=2,Table442466657277[[#This Row],[Response]],"")</f>
        <v>4</v>
      </c>
      <c r="M62" s="5" t="str">
        <f>IF(IF(ISNUMBER(K62),1,0)+IF(ISNUMBER(L63),1,0)=2,IF(IF(C63=C62,1,0)+IF(B63=B62,1,0)+IF(D63="Post",1,0)+IF(D62="Pre",1,0)=4,Table442466657277[[#This Row],[Pre Total]],""),"")</f>
        <v/>
      </c>
      <c r="N62" s="5">
        <f>IF(IF(ISNUMBER(K61),1,0)+IF(ISNUMBER(Table442466657277[[#This Row],[Post Total]]),1,0)=2,IF(IF(Table442466657277[[#This Row],[Student Number]]=C61,1,0)+IF(Table442466657277[[#This Row],[Session]]=B61,1,0)+IF(Table442466657277[[#This Row],[Pre or Post]]="Post",1,0)+IF(D61="Pre",1,0)=4,Table442466657277[[#This Row],[Post Total]],""),"")</f>
        <v>4</v>
      </c>
      <c r="O62" s="5">
        <f>IF(IF(ISNUMBER(K61),1,0)+IF(ISNUMBER(Table442466657277[[#This Row],[Post Total]]),1,0)=2,IF(IF(Table442466657277[[#This Row],[Student Number]]=C61,1,0)+IF(Table442466657277[[#This Row],[Session]]=B61,1,0)+IF(Table442466657277[[#This Row],[Pre or Post]]="Post",1,0)+IF(D61="Pre",1,0)=4,Table442466657277[[#This Row],[Post Total]]-K61,""),"")</f>
        <v>2</v>
      </c>
      <c r="P62" s="5" t="b">
        <f>ISNUMBER(Table442466657277[[#This Row],[Change]])</f>
        <v>1</v>
      </c>
      <c r="Q62" s="5">
        <f>IF(E61="Yes",Table442466657277[[#This Row],[Change]],"")</f>
        <v>2</v>
      </c>
      <c r="R62" s="5" t="str">
        <f>IF(E61="No",Table442466657277[[#This Row],[Change]],"")</f>
        <v/>
      </c>
      <c r="S62" s="5" t="b">
        <f>ISNUMBER(Table442466657277[[#This Row],[If Pre6 Yes]])</f>
        <v>1</v>
      </c>
      <c r="T62" s="5" t="b">
        <f>ISNUMBER(Table442466657277[[#This Row],[If Pre6 No]])</f>
        <v>0</v>
      </c>
    </row>
    <row r="63" spans="1:20">
      <c r="A63" s="1" t="s">
        <v>24</v>
      </c>
      <c r="B63" s="1" t="s">
        <v>25</v>
      </c>
      <c r="C63" s="1">
        <v>6</v>
      </c>
      <c r="D63" s="1" t="s">
        <v>6</v>
      </c>
      <c r="E63" s="5" t="s">
        <v>8</v>
      </c>
      <c r="F63" s="1">
        <v>10</v>
      </c>
      <c r="G63" s="1">
        <v>4</v>
      </c>
      <c r="H63" s="1" t="s">
        <v>8</v>
      </c>
      <c r="I63" s="6">
        <f>IF(IF(Table442466657277[[#This Row],[Pre or Post]]="Pre",1,0)+IF(ISNUMBER(Table442466657277[[#This Row],[Response]])=TRUE,1,0)=2,1,"")</f>
        <v>1</v>
      </c>
      <c r="J63" s="6" t="str">
        <f>IF(IF(Table442466657277[[#This Row],[Pre or Post]]="Post",1,0)+IF(ISNUMBER(Table442466657277[[#This Row],[Response]])=TRUE,1,0)=2,1,"")</f>
        <v/>
      </c>
      <c r="K63" s="6">
        <f>IF(IF(Table442466657277[[#This Row],[Pre or Post]]="Pre",1,0)+IF(ISNUMBER(Table442466657277[[#This Row],[Response]])=TRUE,1,0)=2,Table442466657277[[#This Row],[Response]],"")</f>
        <v>4</v>
      </c>
      <c r="L63" s="6" t="str">
        <f>IF(IF(Table442466657277[[#This Row],[Pre or Post]]="Post",1,0)+IF(ISNUMBER(Table442466657277[[#This Row],[Response]])=TRUE,1,0)=2,Table442466657277[[#This Row],[Response]],"")</f>
        <v/>
      </c>
      <c r="M63" s="6">
        <f>IF(IF(ISNUMBER(K63),1,0)+IF(ISNUMBER(L64),1,0)=2,IF(IF(C64=C63,1,0)+IF(B64=B63,1,0)+IF(D64="Post",1,0)+IF(D63="Pre",1,0)=4,Table442466657277[[#This Row],[Pre Total]],""),"")</f>
        <v>4</v>
      </c>
      <c r="N63" s="6" t="str">
        <f>IF(IF(ISNUMBER(K62),1,0)+IF(ISNUMBER(Table442466657277[[#This Row],[Post Total]]),1,0)=2,IF(IF(Table442466657277[[#This Row],[Student Number]]=C62,1,0)+IF(Table442466657277[[#This Row],[Session]]=B62,1,0)+IF(Table442466657277[[#This Row],[Pre or Post]]="Post",1,0)+IF(D62="Pre",1,0)=4,Table442466657277[[#This Row],[Post Total]],""),"")</f>
        <v/>
      </c>
      <c r="O63" s="6" t="str">
        <f>IF(IF(ISNUMBER(K62),1,0)+IF(ISNUMBER(Table442466657277[[#This Row],[Post Total]]),1,0)=2,IF(IF(Table442466657277[[#This Row],[Student Number]]=C62,1,0)+IF(Table442466657277[[#This Row],[Session]]=B62,1,0)+IF(Table442466657277[[#This Row],[Pre or Post]]="Post",1,0)+IF(D62="Pre",1,0)=4,Table442466657277[[#This Row],[Post Total]]-K62,""),"")</f>
        <v/>
      </c>
      <c r="P63" s="6" t="b">
        <f>ISNUMBER(Table442466657277[[#This Row],[Change]])</f>
        <v>0</v>
      </c>
      <c r="Q63" s="5" t="str">
        <f>IF(E62="Yes",Table442466657277[[#This Row],[Change]],"")</f>
        <v/>
      </c>
      <c r="R63" s="5" t="str">
        <f>IF(E62="No",Table442466657277[[#This Row],[Change]],"")</f>
        <v/>
      </c>
      <c r="S63" s="5" t="b">
        <f>ISNUMBER(Table442466657277[[#This Row],[If Pre6 Yes]])</f>
        <v>0</v>
      </c>
      <c r="T63" s="5" t="b">
        <f>ISNUMBER(Table442466657277[[#This Row],[If Pre6 No]])</f>
        <v>0</v>
      </c>
    </row>
    <row r="64" spans="1:20">
      <c r="A64" s="1" t="s">
        <v>24</v>
      </c>
      <c r="B64" s="1" t="s">
        <v>25</v>
      </c>
      <c r="C64" s="1">
        <v>6</v>
      </c>
      <c r="D64" s="1" t="s">
        <v>16</v>
      </c>
      <c r="E64" s="5"/>
      <c r="F64" s="1">
        <v>6</v>
      </c>
      <c r="G64" s="1">
        <v>4</v>
      </c>
      <c r="H64" s="2" t="s">
        <v>8</v>
      </c>
      <c r="I64" s="5" t="str">
        <f>IF(IF(Table442466657277[[#This Row],[Pre or Post]]="Pre",1,0)+IF(ISNUMBER(Table442466657277[[#This Row],[Response]])=TRUE,1,0)=2,1,"")</f>
        <v/>
      </c>
      <c r="J64" s="5">
        <f>IF(IF(Table442466657277[[#This Row],[Pre or Post]]="Post",1,0)+IF(ISNUMBER(Table442466657277[[#This Row],[Response]])=TRUE,1,0)=2,1,"")</f>
        <v>1</v>
      </c>
      <c r="K64" s="6" t="str">
        <f>IF(IF(Table442466657277[[#This Row],[Pre or Post]]="Pre",1,0)+IF(ISNUMBER(Table442466657277[[#This Row],[Response]])=TRUE,1,0)=2,Table442466657277[[#This Row],[Response]],"")</f>
        <v/>
      </c>
      <c r="L64" s="6">
        <f>IF(IF(Table442466657277[[#This Row],[Pre or Post]]="Post",1,0)+IF(ISNUMBER(Table442466657277[[#This Row],[Response]])=TRUE,1,0)=2,Table442466657277[[#This Row],[Response]],"")</f>
        <v>4</v>
      </c>
      <c r="M64" s="5" t="str">
        <f>IF(IF(ISNUMBER(K64),1,0)+IF(ISNUMBER(L65),1,0)=2,IF(IF(C65=C64,1,0)+IF(B65=B64,1,0)+IF(D65="Post",1,0)+IF(D64="Pre",1,0)=4,Table442466657277[[#This Row],[Pre Total]],""),"")</f>
        <v/>
      </c>
      <c r="N64" s="5">
        <f>IF(IF(ISNUMBER(K63),1,0)+IF(ISNUMBER(Table442466657277[[#This Row],[Post Total]]),1,0)=2,IF(IF(Table442466657277[[#This Row],[Student Number]]=C63,1,0)+IF(Table442466657277[[#This Row],[Session]]=B63,1,0)+IF(Table442466657277[[#This Row],[Pre or Post]]="Post",1,0)+IF(D63="Pre",1,0)=4,Table442466657277[[#This Row],[Post Total]],""),"")</f>
        <v>4</v>
      </c>
      <c r="O64" s="5">
        <f>IF(IF(ISNUMBER(K63),1,0)+IF(ISNUMBER(Table442466657277[[#This Row],[Post Total]]),1,0)=2,IF(IF(Table442466657277[[#This Row],[Student Number]]=C63,1,0)+IF(Table442466657277[[#This Row],[Session]]=B63,1,0)+IF(Table442466657277[[#This Row],[Pre or Post]]="Post",1,0)+IF(D63="Pre",1,0)=4,Table442466657277[[#This Row],[Post Total]]-K63,""),"")</f>
        <v>0</v>
      </c>
      <c r="P64" s="5" t="b">
        <f>ISNUMBER(Table442466657277[[#This Row],[Change]])</f>
        <v>1</v>
      </c>
      <c r="Q64" s="5">
        <f>IF(E63="Yes",Table442466657277[[#This Row],[Change]],"")</f>
        <v>0</v>
      </c>
      <c r="R64" s="5" t="str">
        <f>IF(E63="No",Table442466657277[[#This Row],[Change]],"")</f>
        <v/>
      </c>
      <c r="S64" s="5" t="b">
        <f>ISNUMBER(Table442466657277[[#This Row],[If Pre6 Yes]])</f>
        <v>1</v>
      </c>
      <c r="T64" s="5" t="b">
        <f>ISNUMBER(Table442466657277[[#This Row],[If Pre6 No]])</f>
        <v>0</v>
      </c>
    </row>
    <row r="65" spans="1:20">
      <c r="A65" s="1" t="s">
        <v>24</v>
      </c>
      <c r="B65" s="1" t="s">
        <v>25</v>
      </c>
      <c r="C65" s="1">
        <v>7</v>
      </c>
      <c r="D65" s="1" t="s">
        <v>6</v>
      </c>
      <c r="E65" s="5" t="s">
        <v>8</v>
      </c>
      <c r="F65" s="1">
        <v>10</v>
      </c>
      <c r="G65" s="1">
        <v>3</v>
      </c>
      <c r="H65" s="1" t="s">
        <v>8</v>
      </c>
      <c r="I65" s="6">
        <f>IF(IF(Table442466657277[[#This Row],[Pre or Post]]="Pre",1,0)+IF(ISNUMBER(Table442466657277[[#This Row],[Response]])=TRUE,1,0)=2,1,"")</f>
        <v>1</v>
      </c>
      <c r="J65" s="6" t="str">
        <f>IF(IF(Table442466657277[[#This Row],[Pre or Post]]="Post",1,0)+IF(ISNUMBER(Table442466657277[[#This Row],[Response]])=TRUE,1,0)=2,1,"")</f>
        <v/>
      </c>
      <c r="K65" s="6">
        <f>IF(IF(Table442466657277[[#This Row],[Pre or Post]]="Pre",1,0)+IF(ISNUMBER(Table442466657277[[#This Row],[Response]])=TRUE,1,0)=2,Table442466657277[[#This Row],[Response]],"")</f>
        <v>3</v>
      </c>
      <c r="L65" s="6" t="str">
        <f>IF(IF(Table442466657277[[#This Row],[Pre or Post]]="Post",1,0)+IF(ISNUMBER(Table442466657277[[#This Row],[Response]])=TRUE,1,0)=2,Table442466657277[[#This Row],[Response]],"")</f>
        <v/>
      </c>
      <c r="M65" s="6">
        <f>IF(IF(ISNUMBER(K65),1,0)+IF(ISNUMBER(L66),1,0)=2,IF(IF(C66=C65,1,0)+IF(B66=B65,1,0)+IF(D66="Post",1,0)+IF(D65="Pre",1,0)=4,Table442466657277[[#This Row],[Pre Total]],""),"")</f>
        <v>3</v>
      </c>
      <c r="N65" s="6" t="str">
        <f>IF(IF(ISNUMBER(K64),1,0)+IF(ISNUMBER(Table442466657277[[#This Row],[Post Total]]),1,0)=2,IF(IF(Table442466657277[[#This Row],[Student Number]]=C64,1,0)+IF(Table442466657277[[#This Row],[Session]]=B64,1,0)+IF(Table442466657277[[#This Row],[Pre or Post]]="Post",1,0)+IF(D64="Pre",1,0)=4,Table442466657277[[#This Row],[Post Total]],""),"")</f>
        <v/>
      </c>
      <c r="O65" s="6" t="str">
        <f>IF(IF(ISNUMBER(K64),1,0)+IF(ISNUMBER(Table442466657277[[#This Row],[Post Total]]),1,0)=2,IF(IF(Table442466657277[[#This Row],[Student Number]]=C64,1,0)+IF(Table442466657277[[#This Row],[Session]]=B64,1,0)+IF(Table442466657277[[#This Row],[Pre or Post]]="Post",1,0)+IF(D64="Pre",1,0)=4,Table442466657277[[#This Row],[Post Total]]-K64,""),"")</f>
        <v/>
      </c>
      <c r="P65" s="6" t="b">
        <f>ISNUMBER(Table442466657277[[#This Row],[Change]])</f>
        <v>0</v>
      </c>
      <c r="Q65" s="5" t="str">
        <f>IF(E64="Yes",Table442466657277[[#This Row],[Change]],"")</f>
        <v/>
      </c>
      <c r="R65" s="5" t="str">
        <f>IF(E64="No",Table442466657277[[#This Row],[Change]],"")</f>
        <v/>
      </c>
      <c r="S65" s="5" t="b">
        <f>ISNUMBER(Table442466657277[[#This Row],[If Pre6 Yes]])</f>
        <v>0</v>
      </c>
      <c r="T65" s="5" t="b">
        <f>ISNUMBER(Table442466657277[[#This Row],[If Pre6 No]])</f>
        <v>0</v>
      </c>
    </row>
    <row r="66" spans="1:20">
      <c r="A66" s="1" t="s">
        <v>24</v>
      </c>
      <c r="B66" s="1" t="s">
        <v>25</v>
      </c>
      <c r="C66" s="1">
        <v>7</v>
      </c>
      <c r="D66" s="1" t="s">
        <v>16</v>
      </c>
      <c r="E66" s="5"/>
      <c r="F66" s="1">
        <v>6</v>
      </c>
      <c r="G66" s="1">
        <v>3</v>
      </c>
      <c r="H66" s="2" t="s">
        <v>8</v>
      </c>
      <c r="I66" s="6" t="str">
        <f>IF(IF(Table442466657277[[#This Row],[Pre or Post]]="Pre",1,0)+IF(ISNUMBER(Table442466657277[[#This Row],[Response]])=TRUE,1,0)=2,1,"")</f>
        <v/>
      </c>
      <c r="J66" s="6">
        <f>IF(IF(Table442466657277[[#This Row],[Pre or Post]]="Post",1,0)+IF(ISNUMBER(Table442466657277[[#This Row],[Response]])=TRUE,1,0)=2,1,"")</f>
        <v>1</v>
      </c>
      <c r="K66" s="6" t="str">
        <f>IF(IF(Table442466657277[[#This Row],[Pre or Post]]="Pre",1,0)+IF(ISNUMBER(Table442466657277[[#This Row],[Response]])=TRUE,1,0)=2,Table442466657277[[#This Row],[Response]],"")</f>
        <v/>
      </c>
      <c r="L66" s="6">
        <f>IF(IF(Table442466657277[[#This Row],[Pre or Post]]="Post",1,0)+IF(ISNUMBER(Table442466657277[[#This Row],[Response]])=TRUE,1,0)=2,Table442466657277[[#This Row],[Response]],"")</f>
        <v>3</v>
      </c>
      <c r="M66" s="6" t="str">
        <f>IF(IF(ISNUMBER(K66),1,0)+IF(ISNUMBER(L67),1,0)=2,IF(IF(C67=C66,1,0)+IF(B67=B66,1,0)+IF(D67="Post",1,0)+IF(D66="Pre",1,0)=4,Table442466657277[[#This Row],[Pre Total]],""),"")</f>
        <v/>
      </c>
      <c r="N66" s="6">
        <f>IF(IF(ISNUMBER(K65),1,0)+IF(ISNUMBER(Table442466657277[[#This Row],[Post Total]]),1,0)=2,IF(IF(Table442466657277[[#This Row],[Student Number]]=C65,1,0)+IF(Table442466657277[[#This Row],[Session]]=B65,1,0)+IF(Table442466657277[[#This Row],[Pre or Post]]="Post",1,0)+IF(D65="Pre",1,0)=4,Table442466657277[[#This Row],[Post Total]],""),"")</f>
        <v>3</v>
      </c>
      <c r="O66" s="6">
        <f>IF(IF(ISNUMBER(K65),1,0)+IF(ISNUMBER(Table442466657277[[#This Row],[Post Total]]),1,0)=2,IF(IF(Table442466657277[[#This Row],[Student Number]]=C65,1,0)+IF(Table442466657277[[#This Row],[Session]]=B65,1,0)+IF(Table442466657277[[#This Row],[Pre or Post]]="Post",1,0)+IF(D65="Pre",1,0)=4,Table442466657277[[#This Row],[Post Total]]-K65,""),"")</f>
        <v>0</v>
      </c>
      <c r="P66" s="6" t="b">
        <f>ISNUMBER(Table442466657277[[#This Row],[Change]])</f>
        <v>1</v>
      </c>
      <c r="Q66" s="5">
        <f>IF(E65="Yes",Table442466657277[[#This Row],[Change]],"")</f>
        <v>0</v>
      </c>
      <c r="R66" s="5" t="str">
        <f>IF(E65="No",Table442466657277[[#This Row],[Change]],"")</f>
        <v/>
      </c>
      <c r="S66" s="5" t="b">
        <f>ISNUMBER(Table442466657277[[#This Row],[If Pre6 Yes]])</f>
        <v>1</v>
      </c>
      <c r="T66" s="5" t="b">
        <f>ISNUMBER(Table442466657277[[#This Row],[If Pre6 No]])</f>
        <v>0</v>
      </c>
    </row>
    <row r="67" spans="1:20">
      <c r="A67" s="1" t="s">
        <v>24</v>
      </c>
      <c r="B67" s="1" t="s">
        <v>25</v>
      </c>
      <c r="C67" s="1">
        <v>8</v>
      </c>
      <c r="D67" s="1" t="s">
        <v>6</v>
      </c>
      <c r="E67" s="5" t="s">
        <v>8</v>
      </c>
      <c r="F67" s="1">
        <v>10</v>
      </c>
      <c r="G67" s="1">
        <v>2</v>
      </c>
      <c r="H67" s="1" t="s">
        <v>8</v>
      </c>
      <c r="I67" s="5">
        <f>IF(IF(Table442466657277[[#This Row],[Pre or Post]]="Pre",1,0)+IF(ISNUMBER(Table442466657277[[#This Row],[Response]])=TRUE,1,0)=2,1,"")</f>
        <v>1</v>
      </c>
      <c r="J67" s="5" t="str">
        <f>IF(IF(Table442466657277[[#This Row],[Pre or Post]]="Post",1,0)+IF(ISNUMBER(Table442466657277[[#This Row],[Response]])=TRUE,1,0)=2,1,"")</f>
        <v/>
      </c>
      <c r="K67" s="6">
        <f>IF(IF(Table442466657277[[#This Row],[Pre or Post]]="Pre",1,0)+IF(ISNUMBER(Table442466657277[[#This Row],[Response]])=TRUE,1,0)=2,Table442466657277[[#This Row],[Response]],"")</f>
        <v>2</v>
      </c>
      <c r="L67" s="6" t="str">
        <f>IF(IF(Table442466657277[[#This Row],[Pre or Post]]="Post",1,0)+IF(ISNUMBER(Table442466657277[[#This Row],[Response]])=TRUE,1,0)=2,Table442466657277[[#This Row],[Response]],"")</f>
        <v/>
      </c>
      <c r="M67" s="5">
        <f>IF(IF(ISNUMBER(K67),1,0)+IF(ISNUMBER(L68),1,0)=2,IF(IF(C68=C67,1,0)+IF(B68=B67,1,0)+IF(D68="Post",1,0)+IF(D67="Pre",1,0)=4,Table442466657277[[#This Row],[Pre Total]],""),"")</f>
        <v>2</v>
      </c>
      <c r="N67" s="5" t="str">
        <f>IF(IF(ISNUMBER(K66),1,0)+IF(ISNUMBER(Table442466657277[[#This Row],[Post Total]]),1,0)=2,IF(IF(Table442466657277[[#This Row],[Student Number]]=C66,1,0)+IF(Table442466657277[[#This Row],[Session]]=B66,1,0)+IF(Table442466657277[[#This Row],[Pre or Post]]="Post",1,0)+IF(D66="Pre",1,0)=4,Table442466657277[[#This Row],[Post Total]],""),"")</f>
        <v/>
      </c>
      <c r="O67" s="5" t="str">
        <f>IF(IF(ISNUMBER(K66),1,0)+IF(ISNUMBER(Table442466657277[[#This Row],[Post Total]]),1,0)=2,IF(IF(Table442466657277[[#This Row],[Student Number]]=C66,1,0)+IF(Table442466657277[[#This Row],[Session]]=B66,1,0)+IF(Table442466657277[[#This Row],[Pre or Post]]="Post",1,0)+IF(D66="Pre",1,0)=4,Table442466657277[[#This Row],[Post Total]]-K66,""),"")</f>
        <v/>
      </c>
      <c r="P67" s="5" t="b">
        <f>ISNUMBER(Table442466657277[[#This Row],[Change]])</f>
        <v>0</v>
      </c>
      <c r="Q67" s="5" t="str">
        <f>IF(E66="Yes",Table442466657277[[#This Row],[Change]],"")</f>
        <v/>
      </c>
      <c r="R67" s="5" t="str">
        <f>IF(E66="No",Table442466657277[[#This Row],[Change]],"")</f>
        <v/>
      </c>
      <c r="S67" s="5" t="b">
        <f>ISNUMBER(Table442466657277[[#This Row],[If Pre6 Yes]])</f>
        <v>0</v>
      </c>
      <c r="T67" s="5" t="b">
        <f>ISNUMBER(Table442466657277[[#This Row],[If Pre6 No]])</f>
        <v>0</v>
      </c>
    </row>
    <row r="68" spans="1:20">
      <c r="A68" s="1" t="s">
        <v>24</v>
      </c>
      <c r="B68" s="1" t="s">
        <v>25</v>
      </c>
      <c r="C68" s="1">
        <v>8</v>
      </c>
      <c r="D68" s="1" t="s">
        <v>16</v>
      </c>
      <c r="E68" s="5"/>
      <c r="F68" s="1">
        <v>6</v>
      </c>
      <c r="G68" s="1">
        <v>4</v>
      </c>
      <c r="H68" s="2" t="s">
        <v>8</v>
      </c>
      <c r="I68" s="5" t="str">
        <f>IF(IF(Table442466657277[[#This Row],[Pre or Post]]="Pre",1,0)+IF(ISNUMBER(Table442466657277[[#This Row],[Response]])=TRUE,1,0)=2,1,"")</f>
        <v/>
      </c>
      <c r="J68" s="5">
        <f>IF(IF(Table442466657277[[#This Row],[Pre or Post]]="Post",1,0)+IF(ISNUMBER(Table442466657277[[#This Row],[Response]])=TRUE,1,0)=2,1,"")</f>
        <v>1</v>
      </c>
      <c r="K68" s="6" t="str">
        <f>IF(IF(Table442466657277[[#This Row],[Pre or Post]]="Pre",1,0)+IF(ISNUMBER(Table442466657277[[#This Row],[Response]])=TRUE,1,0)=2,Table442466657277[[#This Row],[Response]],"")</f>
        <v/>
      </c>
      <c r="L68" s="6">
        <f>IF(IF(Table442466657277[[#This Row],[Pre or Post]]="Post",1,0)+IF(ISNUMBER(Table442466657277[[#This Row],[Response]])=TRUE,1,0)=2,Table442466657277[[#This Row],[Response]],"")</f>
        <v>4</v>
      </c>
      <c r="M68" s="5" t="str">
        <f>IF(IF(ISNUMBER(K68),1,0)+IF(ISNUMBER(L69),1,0)=2,IF(IF(C69=C68,1,0)+IF(B69=B68,1,0)+IF(D69="Post",1,0)+IF(D68="Pre",1,0)=4,Table442466657277[[#This Row],[Pre Total]],""),"")</f>
        <v/>
      </c>
      <c r="N68" s="5">
        <f>IF(IF(ISNUMBER(K67),1,0)+IF(ISNUMBER(Table442466657277[[#This Row],[Post Total]]),1,0)=2,IF(IF(Table442466657277[[#This Row],[Student Number]]=C67,1,0)+IF(Table442466657277[[#This Row],[Session]]=B67,1,0)+IF(Table442466657277[[#This Row],[Pre or Post]]="Post",1,0)+IF(D67="Pre",1,0)=4,Table442466657277[[#This Row],[Post Total]],""),"")</f>
        <v>4</v>
      </c>
      <c r="O68" s="5">
        <f>IF(IF(ISNUMBER(K67),1,0)+IF(ISNUMBER(Table442466657277[[#This Row],[Post Total]]),1,0)=2,IF(IF(Table442466657277[[#This Row],[Student Number]]=C67,1,0)+IF(Table442466657277[[#This Row],[Session]]=B67,1,0)+IF(Table442466657277[[#This Row],[Pre or Post]]="Post",1,0)+IF(D67="Pre",1,0)=4,Table442466657277[[#This Row],[Post Total]]-K67,""),"")</f>
        <v>2</v>
      </c>
      <c r="P68" s="5" t="b">
        <f>ISNUMBER(Table442466657277[[#This Row],[Change]])</f>
        <v>1</v>
      </c>
      <c r="Q68" s="5">
        <f>IF(E67="Yes",Table442466657277[[#This Row],[Change]],"")</f>
        <v>2</v>
      </c>
      <c r="R68" s="5" t="str">
        <f>IF(E67="No",Table442466657277[[#This Row],[Change]],"")</f>
        <v/>
      </c>
      <c r="S68" s="5" t="b">
        <f>ISNUMBER(Table442466657277[[#This Row],[If Pre6 Yes]])</f>
        <v>1</v>
      </c>
      <c r="T68" s="5" t="b">
        <f>ISNUMBER(Table442466657277[[#This Row],[If Pre6 No]])</f>
        <v>0</v>
      </c>
    </row>
    <row r="69" spans="1:20">
      <c r="A69" s="1" t="s">
        <v>24</v>
      </c>
      <c r="B69" s="1" t="s">
        <v>25</v>
      </c>
      <c r="C69" s="1">
        <v>9</v>
      </c>
      <c r="D69" s="1" t="s">
        <v>6</v>
      </c>
      <c r="E69" s="5" t="s">
        <v>8</v>
      </c>
      <c r="F69" s="1">
        <v>10</v>
      </c>
      <c r="G69" s="1">
        <v>1</v>
      </c>
      <c r="H69" s="1" t="s">
        <v>8</v>
      </c>
      <c r="I69" s="5">
        <f>IF(IF(Table442466657277[[#This Row],[Pre or Post]]="Pre",1,0)+IF(ISNUMBER(Table442466657277[[#This Row],[Response]])=TRUE,1,0)=2,1,"")</f>
        <v>1</v>
      </c>
      <c r="J69" s="5" t="str">
        <f>IF(IF(Table442466657277[[#This Row],[Pre or Post]]="Post",1,0)+IF(ISNUMBER(Table442466657277[[#This Row],[Response]])=TRUE,1,0)=2,1,"")</f>
        <v/>
      </c>
      <c r="K69" s="6">
        <f>IF(IF(Table442466657277[[#This Row],[Pre or Post]]="Pre",1,0)+IF(ISNUMBER(Table442466657277[[#This Row],[Response]])=TRUE,1,0)=2,Table442466657277[[#This Row],[Response]],"")</f>
        <v>1</v>
      </c>
      <c r="L69" s="6" t="str">
        <f>IF(IF(Table442466657277[[#This Row],[Pre or Post]]="Post",1,0)+IF(ISNUMBER(Table442466657277[[#This Row],[Response]])=TRUE,1,0)=2,Table442466657277[[#This Row],[Response]],"")</f>
        <v/>
      </c>
      <c r="M69" s="5">
        <f>IF(IF(ISNUMBER(K69),1,0)+IF(ISNUMBER(L70),1,0)=2,IF(IF(C70=C69,1,0)+IF(B70=B69,1,0)+IF(D70="Post",1,0)+IF(D69="Pre",1,0)=4,Table442466657277[[#This Row],[Pre Total]],""),"")</f>
        <v>1</v>
      </c>
      <c r="N69" s="5" t="str">
        <f>IF(IF(ISNUMBER(K68),1,0)+IF(ISNUMBER(Table442466657277[[#This Row],[Post Total]]),1,0)=2,IF(IF(Table442466657277[[#This Row],[Student Number]]=C68,1,0)+IF(Table442466657277[[#This Row],[Session]]=B68,1,0)+IF(Table442466657277[[#This Row],[Pre or Post]]="Post",1,0)+IF(D68="Pre",1,0)=4,Table442466657277[[#This Row],[Post Total]],""),"")</f>
        <v/>
      </c>
      <c r="O69" s="5" t="str">
        <f>IF(IF(ISNUMBER(K68),1,0)+IF(ISNUMBER(Table442466657277[[#This Row],[Post Total]]),1,0)=2,IF(IF(Table442466657277[[#This Row],[Student Number]]=C68,1,0)+IF(Table442466657277[[#This Row],[Session]]=B68,1,0)+IF(Table442466657277[[#This Row],[Pre or Post]]="Post",1,0)+IF(D68="Pre",1,0)=4,Table442466657277[[#This Row],[Post Total]]-K68,""),"")</f>
        <v/>
      </c>
      <c r="P69" s="5" t="b">
        <f>ISNUMBER(Table442466657277[[#This Row],[Change]])</f>
        <v>0</v>
      </c>
      <c r="Q69" s="5" t="str">
        <f>IF(E68="Yes",Table442466657277[[#This Row],[Change]],"")</f>
        <v/>
      </c>
      <c r="R69" s="5" t="str">
        <f>IF(E68="No",Table442466657277[[#This Row],[Change]],"")</f>
        <v/>
      </c>
      <c r="S69" s="5" t="b">
        <f>ISNUMBER(Table442466657277[[#This Row],[If Pre6 Yes]])</f>
        <v>0</v>
      </c>
      <c r="T69" s="5" t="b">
        <f>ISNUMBER(Table442466657277[[#This Row],[If Pre6 No]])</f>
        <v>0</v>
      </c>
    </row>
    <row r="70" spans="1:20">
      <c r="A70" s="1" t="s">
        <v>24</v>
      </c>
      <c r="B70" s="1" t="s">
        <v>25</v>
      </c>
      <c r="C70" s="1">
        <v>9</v>
      </c>
      <c r="D70" s="1" t="s">
        <v>16</v>
      </c>
      <c r="E70" s="5"/>
      <c r="F70" s="1">
        <v>6</v>
      </c>
      <c r="G70" s="1">
        <v>5</v>
      </c>
      <c r="H70" s="2" t="s">
        <v>8</v>
      </c>
      <c r="I70" s="5" t="str">
        <f>IF(IF(Table442466657277[[#This Row],[Pre or Post]]="Pre",1,0)+IF(ISNUMBER(Table442466657277[[#This Row],[Response]])=TRUE,1,0)=2,1,"")</f>
        <v/>
      </c>
      <c r="J70" s="5">
        <f>IF(IF(Table442466657277[[#This Row],[Pre or Post]]="Post",1,0)+IF(ISNUMBER(Table442466657277[[#This Row],[Response]])=TRUE,1,0)=2,1,"")</f>
        <v>1</v>
      </c>
      <c r="K70" s="6" t="str">
        <f>IF(IF(Table442466657277[[#This Row],[Pre or Post]]="Pre",1,0)+IF(ISNUMBER(Table442466657277[[#This Row],[Response]])=TRUE,1,0)=2,Table442466657277[[#This Row],[Response]],"")</f>
        <v/>
      </c>
      <c r="L70" s="6">
        <f>IF(IF(Table442466657277[[#This Row],[Pre or Post]]="Post",1,0)+IF(ISNUMBER(Table442466657277[[#This Row],[Response]])=TRUE,1,0)=2,Table442466657277[[#This Row],[Response]],"")</f>
        <v>5</v>
      </c>
      <c r="M70" s="5" t="str">
        <f>IF(IF(ISNUMBER(K70),1,0)+IF(ISNUMBER(L71),1,0)=2,IF(IF(C71=C70,1,0)+IF(B71=B70,1,0)+IF(D71="Post",1,0)+IF(D70="Pre",1,0)=4,Table442466657277[[#This Row],[Pre Total]],""),"")</f>
        <v/>
      </c>
      <c r="N70" s="5">
        <f>IF(IF(ISNUMBER(K69),1,0)+IF(ISNUMBER(Table442466657277[[#This Row],[Post Total]]),1,0)=2,IF(IF(Table442466657277[[#This Row],[Student Number]]=C69,1,0)+IF(Table442466657277[[#This Row],[Session]]=B69,1,0)+IF(Table442466657277[[#This Row],[Pre or Post]]="Post",1,0)+IF(D69="Pre",1,0)=4,Table442466657277[[#This Row],[Post Total]],""),"")</f>
        <v>5</v>
      </c>
      <c r="O70" s="5">
        <f>IF(IF(ISNUMBER(K69),1,0)+IF(ISNUMBER(Table442466657277[[#This Row],[Post Total]]),1,0)=2,IF(IF(Table442466657277[[#This Row],[Student Number]]=C69,1,0)+IF(Table442466657277[[#This Row],[Session]]=B69,1,0)+IF(Table442466657277[[#This Row],[Pre or Post]]="Post",1,0)+IF(D69="Pre",1,0)=4,Table442466657277[[#This Row],[Post Total]]-K69,""),"")</f>
        <v>4</v>
      </c>
      <c r="P70" s="5" t="b">
        <f>ISNUMBER(Table442466657277[[#This Row],[Change]])</f>
        <v>1</v>
      </c>
      <c r="Q70" s="5">
        <f>IF(E69="Yes",Table442466657277[[#This Row],[Change]],"")</f>
        <v>4</v>
      </c>
      <c r="R70" s="5" t="str">
        <f>IF(E69="No",Table442466657277[[#This Row],[Change]],"")</f>
        <v/>
      </c>
      <c r="S70" s="5" t="b">
        <f>ISNUMBER(Table442466657277[[#This Row],[If Pre6 Yes]])</f>
        <v>1</v>
      </c>
      <c r="T70" s="5" t="b">
        <f>ISNUMBER(Table442466657277[[#This Row],[If Pre6 No]])</f>
        <v>0</v>
      </c>
    </row>
    <row r="71" spans="1:20">
      <c r="A71" s="1" t="s">
        <v>24</v>
      </c>
      <c r="B71" s="1" t="s">
        <v>25</v>
      </c>
      <c r="C71" s="1">
        <v>10</v>
      </c>
      <c r="D71" s="1" t="s">
        <v>6</v>
      </c>
      <c r="E71" s="5" t="s">
        <v>8</v>
      </c>
      <c r="F71" s="1">
        <v>10</v>
      </c>
      <c r="G71" s="1">
        <v>1</v>
      </c>
      <c r="H71" s="1" t="s">
        <v>8</v>
      </c>
      <c r="I71" s="6">
        <f>IF(IF(Table442466657277[[#This Row],[Pre or Post]]="Pre",1,0)+IF(ISNUMBER(Table442466657277[[#This Row],[Response]])=TRUE,1,0)=2,1,"")</f>
        <v>1</v>
      </c>
      <c r="J71" s="6" t="str">
        <f>IF(IF(Table442466657277[[#This Row],[Pre or Post]]="Post",1,0)+IF(ISNUMBER(Table442466657277[[#This Row],[Response]])=TRUE,1,0)=2,1,"")</f>
        <v/>
      </c>
      <c r="K71" s="6">
        <f>IF(IF(Table442466657277[[#This Row],[Pre or Post]]="Pre",1,0)+IF(ISNUMBER(Table442466657277[[#This Row],[Response]])=TRUE,1,0)=2,Table442466657277[[#This Row],[Response]],"")</f>
        <v>1</v>
      </c>
      <c r="L71" s="6" t="str">
        <f>IF(IF(Table442466657277[[#This Row],[Pre or Post]]="Post",1,0)+IF(ISNUMBER(Table442466657277[[#This Row],[Response]])=TRUE,1,0)=2,Table442466657277[[#This Row],[Response]],"")</f>
        <v/>
      </c>
      <c r="M71" s="6" t="str">
        <f>IF(IF(ISNUMBER(K71),1,0)+IF(ISNUMBER(L72),1,0)=2,IF(IF(C72=C71,1,0)+IF(B72=B71,1,0)+IF(D72="Post",1,0)+IF(D71="Pre",1,0)=4,Table442466657277[[#This Row],[Pre Total]],""),"")</f>
        <v/>
      </c>
      <c r="N71" s="6" t="str">
        <f>IF(IF(ISNUMBER(K70),1,0)+IF(ISNUMBER(Table442466657277[[#This Row],[Post Total]]),1,0)=2,IF(IF(Table442466657277[[#This Row],[Student Number]]=C70,1,0)+IF(Table442466657277[[#This Row],[Session]]=B70,1,0)+IF(Table442466657277[[#This Row],[Pre or Post]]="Post",1,0)+IF(D70="Pre",1,0)=4,Table442466657277[[#This Row],[Post Total]],""),"")</f>
        <v/>
      </c>
      <c r="O71" s="6" t="str">
        <f>IF(IF(ISNUMBER(K70),1,0)+IF(ISNUMBER(Table442466657277[[#This Row],[Post Total]]),1,0)=2,IF(IF(Table442466657277[[#This Row],[Student Number]]=C70,1,0)+IF(Table442466657277[[#This Row],[Session]]=B70,1,0)+IF(Table442466657277[[#This Row],[Pre or Post]]="Post",1,0)+IF(D70="Pre",1,0)=4,Table442466657277[[#This Row],[Post Total]]-K70,""),"")</f>
        <v/>
      </c>
      <c r="P71" s="6" t="b">
        <f>ISNUMBER(Table442466657277[[#This Row],[Change]])</f>
        <v>0</v>
      </c>
      <c r="Q71" s="5" t="str">
        <f>IF(E70="Yes",Table442466657277[[#This Row],[Change]],"")</f>
        <v/>
      </c>
      <c r="R71" s="5" t="str">
        <f>IF(E70="No",Table442466657277[[#This Row],[Change]],"")</f>
        <v/>
      </c>
      <c r="S71" s="5" t="b">
        <f>ISNUMBER(Table442466657277[[#This Row],[If Pre6 Yes]])</f>
        <v>0</v>
      </c>
      <c r="T71" s="5" t="b">
        <f>ISNUMBER(Table442466657277[[#This Row],[If Pre6 No]])</f>
        <v>0</v>
      </c>
    </row>
    <row r="72" spans="1:20">
      <c r="A72" s="1" t="s">
        <v>24</v>
      </c>
      <c r="B72" s="1" t="s">
        <v>25</v>
      </c>
      <c r="C72" s="1">
        <v>10</v>
      </c>
      <c r="D72" s="1" t="s">
        <v>16</v>
      </c>
      <c r="E72" s="5"/>
      <c r="F72" s="1">
        <v>6</v>
      </c>
      <c r="H72" s="2" t="s">
        <v>8</v>
      </c>
      <c r="I72" s="5" t="str">
        <f>IF(IF(Table442466657277[[#This Row],[Pre or Post]]="Pre",1,0)+IF(ISNUMBER(Table442466657277[[#This Row],[Response]])=TRUE,1,0)=2,1,"")</f>
        <v/>
      </c>
      <c r="J72" s="5" t="str">
        <f>IF(IF(Table442466657277[[#This Row],[Pre or Post]]="Post",1,0)+IF(ISNUMBER(Table442466657277[[#This Row],[Response]])=TRUE,1,0)=2,1,"")</f>
        <v/>
      </c>
      <c r="K72" s="6" t="str">
        <f>IF(IF(Table442466657277[[#This Row],[Pre or Post]]="Pre",1,0)+IF(ISNUMBER(Table442466657277[[#This Row],[Response]])=TRUE,1,0)=2,Table442466657277[[#This Row],[Response]],"")</f>
        <v/>
      </c>
      <c r="L72" s="6" t="str">
        <f>IF(IF(Table442466657277[[#This Row],[Pre or Post]]="Post",1,0)+IF(ISNUMBER(Table442466657277[[#This Row],[Response]])=TRUE,1,0)=2,Table442466657277[[#This Row],[Response]],"")</f>
        <v/>
      </c>
      <c r="M72" s="5" t="str">
        <f>IF(IF(ISNUMBER(K72),1,0)+IF(ISNUMBER(L73),1,0)=2,IF(IF(C73=C72,1,0)+IF(B73=B72,1,0)+IF(D73="Post",1,0)+IF(D72="Pre",1,0)=4,Table442466657277[[#This Row],[Pre Total]],""),"")</f>
        <v/>
      </c>
      <c r="N72" s="5" t="str">
        <f>IF(IF(ISNUMBER(K71),1,0)+IF(ISNUMBER(Table442466657277[[#This Row],[Post Total]]),1,0)=2,IF(IF(Table442466657277[[#This Row],[Student Number]]=C71,1,0)+IF(Table442466657277[[#This Row],[Session]]=B71,1,0)+IF(Table442466657277[[#This Row],[Pre or Post]]="Post",1,0)+IF(D71="Pre",1,0)=4,Table442466657277[[#This Row],[Post Total]],""),"")</f>
        <v/>
      </c>
      <c r="O72" s="5" t="str">
        <f>IF(IF(ISNUMBER(K71),1,0)+IF(ISNUMBER(Table442466657277[[#This Row],[Post Total]]),1,0)=2,IF(IF(Table442466657277[[#This Row],[Student Number]]=C71,1,0)+IF(Table442466657277[[#This Row],[Session]]=B71,1,0)+IF(Table442466657277[[#This Row],[Pre or Post]]="Post",1,0)+IF(D71="Pre",1,0)=4,Table442466657277[[#This Row],[Post Total]]-K71,""),"")</f>
        <v/>
      </c>
      <c r="P72" s="5" t="b">
        <f>ISNUMBER(Table442466657277[[#This Row],[Change]])</f>
        <v>0</v>
      </c>
      <c r="Q72" s="5" t="str">
        <f>IF(E71="Yes",Table442466657277[[#This Row],[Change]],"")</f>
        <v/>
      </c>
      <c r="R72" s="5" t="str">
        <f>IF(E71="No",Table442466657277[[#This Row],[Change]],"")</f>
        <v/>
      </c>
      <c r="S72" s="5" t="b">
        <f>ISNUMBER(Table442466657277[[#This Row],[If Pre6 Yes]])</f>
        <v>0</v>
      </c>
      <c r="T72" s="5" t="b">
        <f>ISNUMBER(Table442466657277[[#This Row],[If Pre6 No]])</f>
        <v>0</v>
      </c>
    </row>
    <row r="73" spans="1:20">
      <c r="A73" s="1" t="s">
        <v>24</v>
      </c>
      <c r="B73" s="1" t="s">
        <v>25</v>
      </c>
      <c r="C73" s="1">
        <v>11</v>
      </c>
      <c r="D73" s="1" t="s">
        <v>6</v>
      </c>
      <c r="E73" s="5" t="s">
        <v>8</v>
      </c>
      <c r="F73" s="1">
        <v>10</v>
      </c>
      <c r="G73" s="1">
        <v>3</v>
      </c>
      <c r="H73" s="1" t="s">
        <v>8</v>
      </c>
      <c r="I73" s="5">
        <f>IF(IF(Table442466657277[[#This Row],[Pre or Post]]="Pre",1,0)+IF(ISNUMBER(Table442466657277[[#This Row],[Response]])=TRUE,1,0)=2,1,"")</f>
        <v>1</v>
      </c>
      <c r="J73" s="5" t="str">
        <f>IF(IF(Table442466657277[[#This Row],[Pre or Post]]="Post",1,0)+IF(ISNUMBER(Table442466657277[[#This Row],[Response]])=TRUE,1,0)=2,1,"")</f>
        <v/>
      </c>
      <c r="K73" s="6">
        <f>IF(IF(Table442466657277[[#This Row],[Pre or Post]]="Pre",1,0)+IF(ISNUMBER(Table442466657277[[#This Row],[Response]])=TRUE,1,0)=2,Table442466657277[[#This Row],[Response]],"")</f>
        <v>3</v>
      </c>
      <c r="L73" s="6" t="str">
        <f>IF(IF(Table442466657277[[#This Row],[Pre or Post]]="Post",1,0)+IF(ISNUMBER(Table442466657277[[#This Row],[Response]])=TRUE,1,0)=2,Table442466657277[[#This Row],[Response]],"")</f>
        <v/>
      </c>
      <c r="M73" s="5">
        <f>IF(IF(ISNUMBER(K73),1,0)+IF(ISNUMBER(L74),1,0)=2,IF(IF(C74=C73,1,0)+IF(B74=B73,1,0)+IF(D74="Post",1,0)+IF(D73="Pre",1,0)=4,Table442466657277[[#This Row],[Pre Total]],""),"")</f>
        <v>3</v>
      </c>
      <c r="N73" s="5" t="str">
        <f>IF(IF(ISNUMBER(K72),1,0)+IF(ISNUMBER(Table442466657277[[#This Row],[Post Total]]),1,0)=2,IF(IF(Table442466657277[[#This Row],[Student Number]]=C72,1,0)+IF(Table442466657277[[#This Row],[Session]]=B72,1,0)+IF(Table442466657277[[#This Row],[Pre or Post]]="Post",1,0)+IF(D72="Pre",1,0)=4,Table442466657277[[#This Row],[Post Total]],""),"")</f>
        <v/>
      </c>
      <c r="O73" s="5" t="str">
        <f>IF(IF(ISNUMBER(K72),1,0)+IF(ISNUMBER(Table442466657277[[#This Row],[Post Total]]),1,0)=2,IF(IF(Table442466657277[[#This Row],[Student Number]]=C72,1,0)+IF(Table442466657277[[#This Row],[Session]]=B72,1,0)+IF(Table442466657277[[#This Row],[Pre or Post]]="Post",1,0)+IF(D72="Pre",1,0)=4,Table442466657277[[#This Row],[Post Total]]-K72,""),"")</f>
        <v/>
      </c>
      <c r="P73" s="5" t="b">
        <f>ISNUMBER(Table442466657277[[#This Row],[Change]])</f>
        <v>0</v>
      </c>
      <c r="Q73" s="5" t="str">
        <f>IF(E72="Yes",Table442466657277[[#This Row],[Change]],"")</f>
        <v/>
      </c>
      <c r="R73" s="5" t="str">
        <f>IF(E72="No",Table442466657277[[#This Row],[Change]],"")</f>
        <v/>
      </c>
      <c r="S73" s="5" t="b">
        <f>ISNUMBER(Table442466657277[[#This Row],[If Pre6 Yes]])</f>
        <v>0</v>
      </c>
      <c r="T73" s="5" t="b">
        <f>ISNUMBER(Table442466657277[[#This Row],[If Pre6 No]])</f>
        <v>0</v>
      </c>
    </row>
    <row r="74" spans="1:20">
      <c r="A74" s="1" t="s">
        <v>24</v>
      </c>
      <c r="B74" s="1" t="s">
        <v>25</v>
      </c>
      <c r="C74" s="1">
        <v>11</v>
      </c>
      <c r="D74" s="1" t="s">
        <v>16</v>
      </c>
      <c r="E74" s="5"/>
      <c r="F74" s="1">
        <v>6</v>
      </c>
      <c r="G74" s="1">
        <v>3</v>
      </c>
      <c r="H74" s="2" t="s">
        <v>8</v>
      </c>
      <c r="I74" s="5" t="str">
        <f>IF(IF(Table442466657277[[#This Row],[Pre or Post]]="Pre",1,0)+IF(ISNUMBER(Table442466657277[[#This Row],[Response]])=TRUE,1,0)=2,1,"")</f>
        <v/>
      </c>
      <c r="J74" s="5">
        <f>IF(IF(Table442466657277[[#This Row],[Pre or Post]]="Post",1,0)+IF(ISNUMBER(Table442466657277[[#This Row],[Response]])=TRUE,1,0)=2,1,"")</f>
        <v>1</v>
      </c>
      <c r="K74" s="6" t="str">
        <f>IF(IF(Table442466657277[[#This Row],[Pre or Post]]="Pre",1,0)+IF(ISNUMBER(Table442466657277[[#This Row],[Response]])=TRUE,1,0)=2,Table442466657277[[#This Row],[Response]],"")</f>
        <v/>
      </c>
      <c r="L74" s="6">
        <f>IF(IF(Table442466657277[[#This Row],[Pre or Post]]="Post",1,0)+IF(ISNUMBER(Table442466657277[[#This Row],[Response]])=TRUE,1,0)=2,Table442466657277[[#This Row],[Response]],"")</f>
        <v>3</v>
      </c>
      <c r="M74" s="5" t="str">
        <f>IF(IF(ISNUMBER(K74),1,0)+IF(ISNUMBER(L75),1,0)=2,IF(IF(C75=C74,1,0)+IF(B75=B74,1,0)+IF(D75="Post",1,0)+IF(D74="Pre",1,0)=4,Table442466657277[[#This Row],[Pre Total]],""),"")</f>
        <v/>
      </c>
      <c r="N74" s="5">
        <f>IF(IF(ISNUMBER(K73),1,0)+IF(ISNUMBER(Table442466657277[[#This Row],[Post Total]]),1,0)=2,IF(IF(Table442466657277[[#This Row],[Student Number]]=C73,1,0)+IF(Table442466657277[[#This Row],[Session]]=B73,1,0)+IF(Table442466657277[[#This Row],[Pre or Post]]="Post",1,0)+IF(D73="Pre",1,0)=4,Table442466657277[[#This Row],[Post Total]],""),"")</f>
        <v>3</v>
      </c>
      <c r="O74" s="5">
        <f>IF(IF(ISNUMBER(K73),1,0)+IF(ISNUMBER(Table442466657277[[#This Row],[Post Total]]),1,0)=2,IF(IF(Table442466657277[[#This Row],[Student Number]]=C73,1,0)+IF(Table442466657277[[#This Row],[Session]]=B73,1,0)+IF(Table442466657277[[#This Row],[Pre or Post]]="Post",1,0)+IF(D73="Pre",1,0)=4,Table442466657277[[#This Row],[Post Total]]-K73,""),"")</f>
        <v>0</v>
      </c>
      <c r="P74" s="5" t="b">
        <f>ISNUMBER(Table442466657277[[#This Row],[Change]])</f>
        <v>1</v>
      </c>
      <c r="Q74" s="5">
        <f>IF(E73="Yes",Table442466657277[[#This Row],[Change]],"")</f>
        <v>0</v>
      </c>
      <c r="R74" s="5" t="str">
        <f>IF(E73="No",Table442466657277[[#This Row],[Change]],"")</f>
        <v/>
      </c>
      <c r="S74" s="5" t="b">
        <f>ISNUMBER(Table442466657277[[#This Row],[If Pre6 Yes]])</f>
        <v>1</v>
      </c>
      <c r="T74" s="5" t="b">
        <f>ISNUMBER(Table442466657277[[#This Row],[If Pre6 No]])</f>
        <v>0</v>
      </c>
    </row>
    <row r="75" spans="1:20">
      <c r="A75" s="1" t="s">
        <v>24</v>
      </c>
      <c r="B75" s="1" t="s">
        <v>25</v>
      </c>
      <c r="C75" s="1">
        <v>12</v>
      </c>
      <c r="D75" s="1" t="s">
        <v>6</v>
      </c>
      <c r="E75" s="5" t="s">
        <v>8</v>
      </c>
      <c r="F75" s="1">
        <v>10</v>
      </c>
      <c r="G75" s="1">
        <v>4</v>
      </c>
      <c r="H75" s="1" t="s">
        <v>8</v>
      </c>
      <c r="I75" s="5">
        <f>IF(IF(Table442466657277[[#This Row],[Pre or Post]]="Pre",1,0)+IF(ISNUMBER(Table442466657277[[#This Row],[Response]])=TRUE,1,0)=2,1,"")</f>
        <v>1</v>
      </c>
      <c r="J75" s="5" t="str">
        <f>IF(IF(Table442466657277[[#This Row],[Pre or Post]]="Post",1,0)+IF(ISNUMBER(Table442466657277[[#This Row],[Response]])=TRUE,1,0)=2,1,"")</f>
        <v/>
      </c>
      <c r="K75" s="6">
        <f>IF(IF(Table442466657277[[#This Row],[Pre or Post]]="Pre",1,0)+IF(ISNUMBER(Table442466657277[[#This Row],[Response]])=TRUE,1,0)=2,Table442466657277[[#This Row],[Response]],"")</f>
        <v>4</v>
      </c>
      <c r="L75" s="6" t="str">
        <f>IF(IF(Table442466657277[[#This Row],[Pre or Post]]="Post",1,0)+IF(ISNUMBER(Table442466657277[[#This Row],[Response]])=TRUE,1,0)=2,Table442466657277[[#This Row],[Response]],"")</f>
        <v/>
      </c>
      <c r="M75" s="5">
        <f>IF(IF(ISNUMBER(K75),1,0)+IF(ISNUMBER(L76),1,0)=2,IF(IF(C76=C75,1,0)+IF(B76=B75,1,0)+IF(D76="Post",1,0)+IF(D75="Pre",1,0)=4,Table442466657277[[#This Row],[Pre Total]],""),"")</f>
        <v>4</v>
      </c>
      <c r="N75" s="5" t="str">
        <f>IF(IF(ISNUMBER(K74),1,0)+IF(ISNUMBER(Table442466657277[[#This Row],[Post Total]]),1,0)=2,IF(IF(Table442466657277[[#This Row],[Student Number]]=C74,1,0)+IF(Table442466657277[[#This Row],[Session]]=B74,1,0)+IF(Table442466657277[[#This Row],[Pre or Post]]="Post",1,0)+IF(D74="Pre",1,0)=4,Table442466657277[[#This Row],[Post Total]],""),"")</f>
        <v/>
      </c>
      <c r="O75" s="5" t="str">
        <f>IF(IF(ISNUMBER(K74),1,0)+IF(ISNUMBER(Table442466657277[[#This Row],[Post Total]]),1,0)=2,IF(IF(Table442466657277[[#This Row],[Student Number]]=C74,1,0)+IF(Table442466657277[[#This Row],[Session]]=B74,1,0)+IF(Table442466657277[[#This Row],[Pre or Post]]="Post",1,0)+IF(D74="Pre",1,0)=4,Table442466657277[[#This Row],[Post Total]]-K74,""),"")</f>
        <v/>
      </c>
      <c r="P75" s="5" t="b">
        <f>ISNUMBER(Table442466657277[[#This Row],[Change]])</f>
        <v>0</v>
      </c>
      <c r="Q75" s="5" t="str">
        <f>IF(E74="Yes",Table442466657277[[#This Row],[Change]],"")</f>
        <v/>
      </c>
      <c r="R75" s="5" t="str">
        <f>IF(E74="No",Table442466657277[[#This Row],[Change]],"")</f>
        <v/>
      </c>
      <c r="S75" s="5" t="b">
        <f>ISNUMBER(Table442466657277[[#This Row],[If Pre6 Yes]])</f>
        <v>0</v>
      </c>
      <c r="T75" s="5" t="b">
        <f>ISNUMBER(Table442466657277[[#This Row],[If Pre6 No]])</f>
        <v>0</v>
      </c>
    </row>
    <row r="76" spans="1:20">
      <c r="A76" s="1" t="s">
        <v>24</v>
      </c>
      <c r="B76" s="1" t="s">
        <v>25</v>
      </c>
      <c r="C76" s="1">
        <v>12</v>
      </c>
      <c r="D76" s="1" t="s">
        <v>16</v>
      </c>
      <c r="E76" s="5"/>
      <c r="F76" s="1">
        <v>6</v>
      </c>
      <c r="G76" s="1">
        <v>3</v>
      </c>
      <c r="H76" s="2" t="s">
        <v>8</v>
      </c>
      <c r="I76" s="5" t="str">
        <f>IF(IF(Table442466657277[[#This Row],[Pre or Post]]="Pre",1,0)+IF(ISNUMBER(Table442466657277[[#This Row],[Response]])=TRUE,1,0)=2,1,"")</f>
        <v/>
      </c>
      <c r="J76" s="5">
        <f>IF(IF(Table442466657277[[#This Row],[Pre or Post]]="Post",1,0)+IF(ISNUMBER(Table442466657277[[#This Row],[Response]])=TRUE,1,0)=2,1,"")</f>
        <v>1</v>
      </c>
      <c r="K76" s="6" t="str">
        <f>IF(IF(Table442466657277[[#This Row],[Pre or Post]]="Pre",1,0)+IF(ISNUMBER(Table442466657277[[#This Row],[Response]])=TRUE,1,0)=2,Table442466657277[[#This Row],[Response]],"")</f>
        <v/>
      </c>
      <c r="L76" s="6">
        <f>IF(IF(Table442466657277[[#This Row],[Pre or Post]]="Post",1,0)+IF(ISNUMBER(Table442466657277[[#This Row],[Response]])=TRUE,1,0)=2,Table442466657277[[#This Row],[Response]],"")</f>
        <v>3</v>
      </c>
      <c r="M76" s="5" t="str">
        <f>IF(IF(ISNUMBER(K76),1,0)+IF(ISNUMBER(L77),1,0)=2,IF(IF(C77=C76,1,0)+IF(B77=B76,1,0)+IF(D77="Post",1,0)+IF(D76="Pre",1,0)=4,Table442466657277[[#This Row],[Pre Total]],""),"")</f>
        <v/>
      </c>
      <c r="N76" s="5">
        <f>IF(IF(ISNUMBER(K75),1,0)+IF(ISNUMBER(Table442466657277[[#This Row],[Post Total]]),1,0)=2,IF(IF(Table442466657277[[#This Row],[Student Number]]=C75,1,0)+IF(Table442466657277[[#This Row],[Session]]=B75,1,0)+IF(Table442466657277[[#This Row],[Pre or Post]]="Post",1,0)+IF(D75="Pre",1,0)=4,Table442466657277[[#This Row],[Post Total]],""),"")</f>
        <v>3</v>
      </c>
      <c r="O76" s="5">
        <f>IF(IF(ISNUMBER(K75),1,0)+IF(ISNUMBER(Table442466657277[[#This Row],[Post Total]]),1,0)=2,IF(IF(Table442466657277[[#This Row],[Student Number]]=C75,1,0)+IF(Table442466657277[[#This Row],[Session]]=B75,1,0)+IF(Table442466657277[[#This Row],[Pre or Post]]="Post",1,0)+IF(D75="Pre",1,0)=4,Table442466657277[[#This Row],[Post Total]]-K75,""),"")</f>
        <v>-1</v>
      </c>
      <c r="P76" s="5" t="b">
        <f>ISNUMBER(Table442466657277[[#This Row],[Change]])</f>
        <v>1</v>
      </c>
      <c r="Q76" s="5">
        <f>IF(E75="Yes",Table442466657277[[#This Row],[Change]],"")</f>
        <v>-1</v>
      </c>
      <c r="R76" s="5" t="str">
        <f>IF(E75="No",Table442466657277[[#This Row],[Change]],"")</f>
        <v/>
      </c>
      <c r="S76" s="5" t="b">
        <f>ISNUMBER(Table442466657277[[#This Row],[If Pre6 Yes]])</f>
        <v>1</v>
      </c>
      <c r="T76" s="5" t="b">
        <f>ISNUMBER(Table442466657277[[#This Row],[If Pre6 No]])</f>
        <v>0</v>
      </c>
    </row>
    <row r="77" spans="1:20">
      <c r="A77" s="1" t="s">
        <v>24</v>
      </c>
      <c r="B77" s="1" t="s">
        <v>25</v>
      </c>
      <c r="C77" s="1">
        <v>13</v>
      </c>
      <c r="D77" s="1" t="s">
        <v>6</v>
      </c>
      <c r="E77" s="5" t="s">
        <v>8</v>
      </c>
      <c r="F77" s="1">
        <v>10</v>
      </c>
      <c r="G77" s="1">
        <v>2</v>
      </c>
      <c r="H77" s="1" t="s">
        <v>8</v>
      </c>
      <c r="I77" s="6">
        <f>IF(IF(Table442466657277[[#This Row],[Pre or Post]]="Pre",1,0)+IF(ISNUMBER(Table442466657277[[#This Row],[Response]])=TRUE,1,0)=2,1,"")</f>
        <v>1</v>
      </c>
      <c r="J77" s="6" t="str">
        <f>IF(IF(Table442466657277[[#This Row],[Pre or Post]]="Post",1,0)+IF(ISNUMBER(Table442466657277[[#This Row],[Response]])=TRUE,1,0)=2,1,"")</f>
        <v/>
      </c>
      <c r="K77" s="6">
        <f>IF(IF(Table442466657277[[#This Row],[Pre or Post]]="Pre",1,0)+IF(ISNUMBER(Table442466657277[[#This Row],[Response]])=TRUE,1,0)=2,Table442466657277[[#This Row],[Response]],"")</f>
        <v>2</v>
      </c>
      <c r="L77" s="6" t="str">
        <f>IF(IF(Table442466657277[[#This Row],[Pre or Post]]="Post",1,0)+IF(ISNUMBER(Table442466657277[[#This Row],[Response]])=TRUE,1,0)=2,Table442466657277[[#This Row],[Response]],"")</f>
        <v/>
      </c>
      <c r="M77" s="6">
        <f>IF(IF(ISNUMBER(K77),1,0)+IF(ISNUMBER(L78),1,0)=2,IF(IF(C78=C77,1,0)+IF(B78=B77,1,0)+IF(D78="Post",1,0)+IF(D77="Pre",1,0)=4,Table442466657277[[#This Row],[Pre Total]],""),"")</f>
        <v>2</v>
      </c>
      <c r="N77" s="6" t="str">
        <f>IF(IF(ISNUMBER(K76),1,0)+IF(ISNUMBER(Table442466657277[[#This Row],[Post Total]]),1,0)=2,IF(IF(Table442466657277[[#This Row],[Student Number]]=C76,1,0)+IF(Table442466657277[[#This Row],[Session]]=B76,1,0)+IF(Table442466657277[[#This Row],[Pre or Post]]="Post",1,0)+IF(D76="Pre",1,0)=4,Table442466657277[[#This Row],[Post Total]],""),"")</f>
        <v/>
      </c>
      <c r="O77" s="6" t="str">
        <f>IF(IF(ISNUMBER(K76),1,0)+IF(ISNUMBER(Table442466657277[[#This Row],[Post Total]]),1,0)=2,IF(IF(Table442466657277[[#This Row],[Student Number]]=C76,1,0)+IF(Table442466657277[[#This Row],[Session]]=B76,1,0)+IF(Table442466657277[[#This Row],[Pre or Post]]="Post",1,0)+IF(D76="Pre",1,0)=4,Table442466657277[[#This Row],[Post Total]]-K76,""),"")</f>
        <v/>
      </c>
      <c r="P77" s="6" t="b">
        <f>ISNUMBER(Table442466657277[[#This Row],[Change]])</f>
        <v>0</v>
      </c>
      <c r="Q77" s="5" t="str">
        <f>IF(E76="Yes",Table442466657277[[#This Row],[Change]],"")</f>
        <v/>
      </c>
      <c r="R77" s="5" t="str">
        <f>IF(E76="No",Table442466657277[[#This Row],[Change]],"")</f>
        <v/>
      </c>
      <c r="S77" s="5" t="b">
        <f>ISNUMBER(Table442466657277[[#This Row],[If Pre6 Yes]])</f>
        <v>0</v>
      </c>
      <c r="T77" s="5" t="b">
        <f>ISNUMBER(Table442466657277[[#This Row],[If Pre6 No]])</f>
        <v>0</v>
      </c>
    </row>
    <row r="78" spans="1:20">
      <c r="A78" s="1" t="s">
        <v>24</v>
      </c>
      <c r="B78" s="1" t="s">
        <v>25</v>
      </c>
      <c r="C78" s="1">
        <v>13</v>
      </c>
      <c r="D78" s="1" t="s">
        <v>16</v>
      </c>
      <c r="E78" s="5"/>
      <c r="F78" s="1">
        <v>6</v>
      </c>
      <c r="G78" s="1">
        <v>3</v>
      </c>
      <c r="H78" s="2" t="s">
        <v>8</v>
      </c>
      <c r="I78" s="6" t="str">
        <f>IF(IF(Table442466657277[[#This Row],[Pre or Post]]="Pre",1,0)+IF(ISNUMBER(Table442466657277[[#This Row],[Response]])=TRUE,1,0)=2,1,"")</f>
        <v/>
      </c>
      <c r="J78" s="6">
        <f>IF(IF(Table442466657277[[#This Row],[Pre or Post]]="Post",1,0)+IF(ISNUMBER(Table442466657277[[#This Row],[Response]])=TRUE,1,0)=2,1,"")</f>
        <v>1</v>
      </c>
      <c r="K78" s="6" t="str">
        <f>IF(IF(Table442466657277[[#This Row],[Pre or Post]]="Pre",1,0)+IF(ISNUMBER(Table442466657277[[#This Row],[Response]])=TRUE,1,0)=2,Table442466657277[[#This Row],[Response]],"")</f>
        <v/>
      </c>
      <c r="L78" s="6">
        <f>IF(IF(Table442466657277[[#This Row],[Pre or Post]]="Post",1,0)+IF(ISNUMBER(Table442466657277[[#This Row],[Response]])=TRUE,1,0)=2,Table442466657277[[#This Row],[Response]],"")</f>
        <v>3</v>
      </c>
      <c r="M78" s="6" t="str">
        <f>IF(IF(ISNUMBER(K78),1,0)+IF(ISNUMBER(L79),1,0)=2,IF(IF(C79=C78,1,0)+IF(B79=B78,1,0)+IF(D79="Post",1,0)+IF(D78="Pre",1,0)=4,Table442466657277[[#This Row],[Pre Total]],""),"")</f>
        <v/>
      </c>
      <c r="N78" s="6">
        <f>IF(IF(ISNUMBER(K77),1,0)+IF(ISNUMBER(Table442466657277[[#This Row],[Post Total]]),1,0)=2,IF(IF(Table442466657277[[#This Row],[Student Number]]=C77,1,0)+IF(Table442466657277[[#This Row],[Session]]=B77,1,0)+IF(Table442466657277[[#This Row],[Pre or Post]]="Post",1,0)+IF(D77="Pre",1,0)=4,Table442466657277[[#This Row],[Post Total]],""),"")</f>
        <v>3</v>
      </c>
      <c r="O78" s="6">
        <f>IF(IF(ISNUMBER(K77),1,0)+IF(ISNUMBER(Table442466657277[[#This Row],[Post Total]]),1,0)=2,IF(IF(Table442466657277[[#This Row],[Student Number]]=C77,1,0)+IF(Table442466657277[[#This Row],[Session]]=B77,1,0)+IF(Table442466657277[[#This Row],[Pre or Post]]="Post",1,0)+IF(D77="Pre",1,0)=4,Table442466657277[[#This Row],[Post Total]]-K77,""),"")</f>
        <v>1</v>
      </c>
      <c r="P78" s="6" t="b">
        <f>ISNUMBER(Table442466657277[[#This Row],[Change]])</f>
        <v>1</v>
      </c>
      <c r="Q78" s="5">
        <f>IF(E77="Yes",Table442466657277[[#This Row],[Change]],"")</f>
        <v>1</v>
      </c>
      <c r="R78" s="5" t="str">
        <f>IF(E77="No",Table442466657277[[#This Row],[Change]],"")</f>
        <v/>
      </c>
      <c r="S78" s="5" t="b">
        <f>ISNUMBER(Table442466657277[[#This Row],[If Pre6 Yes]])</f>
        <v>1</v>
      </c>
      <c r="T78" s="5" t="b">
        <f>ISNUMBER(Table442466657277[[#This Row],[If Pre6 No]])</f>
        <v>0</v>
      </c>
    </row>
    <row r="79" spans="1:20">
      <c r="A79" s="1" t="s">
        <v>24</v>
      </c>
      <c r="B79" s="1" t="s">
        <v>25</v>
      </c>
      <c r="C79" s="1">
        <v>14</v>
      </c>
      <c r="D79" s="1" t="s">
        <v>6</v>
      </c>
      <c r="E79" s="5" t="s">
        <v>8</v>
      </c>
      <c r="F79" s="1">
        <v>10</v>
      </c>
      <c r="G79" s="1">
        <v>3</v>
      </c>
      <c r="H79" s="1" t="s">
        <v>8</v>
      </c>
      <c r="I79" s="6">
        <f>IF(IF(Table442466657277[[#This Row],[Pre or Post]]="Pre",1,0)+IF(ISNUMBER(Table442466657277[[#This Row],[Response]])=TRUE,1,0)=2,1,"")</f>
        <v>1</v>
      </c>
      <c r="J79" s="6" t="str">
        <f>IF(IF(Table442466657277[[#This Row],[Pre or Post]]="Post",1,0)+IF(ISNUMBER(Table442466657277[[#This Row],[Response]])=TRUE,1,0)=2,1,"")</f>
        <v/>
      </c>
      <c r="K79" s="6">
        <f>IF(IF(Table442466657277[[#This Row],[Pre or Post]]="Pre",1,0)+IF(ISNUMBER(Table442466657277[[#This Row],[Response]])=TRUE,1,0)=2,Table442466657277[[#This Row],[Response]],"")</f>
        <v>3</v>
      </c>
      <c r="L79" s="6" t="str">
        <f>IF(IF(Table442466657277[[#This Row],[Pre or Post]]="Post",1,0)+IF(ISNUMBER(Table442466657277[[#This Row],[Response]])=TRUE,1,0)=2,Table442466657277[[#This Row],[Response]],"")</f>
        <v/>
      </c>
      <c r="M79" s="6">
        <f>IF(IF(ISNUMBER(K79),1,0)+IF(ISNUMBER(L80),1,0)=2,IF(IF(C80=C79,1,0)+IF(B80=B79,1,0)+IF(D80="Post",1,0)+IF(D79="Pre",1,0)=4,Table442466657277[[#This Row],[Pre Total]],""),"")</f>
        <v>3</v>
      </c>
      <c r="N79" s="6" t="str">
        <f>IF(IF(ISNUMBER(K78),1,0)+IF(ISNUMBER(Table442466657277[[#This Row],[Post Total]]),1,0)=2,IF(IF(Table442466657277[[#This Row],[Student Number]]=C78,1,0)+IF(Table442466657277[[#This Row],[Session]]=B78,1,0)+IF(Table442466657277[[#This Row],[Pre or Post]]="Post",1,0)+IF(D78="Pre",1,0)=4,Table442466657277[[#This Row],[Post Total]],""),"")</f>
        <v/>
      </c>
      <c r="O79" s="6" t="str">
        <f>IF(IF(ISNUMBER(K78),1,0)+IF(ISNUMBER(Table442466657277[[#This Row],[Post Total]]),1,0)=2,IF(IF(Table442466657277[[#This Row],[Student Number]]=C78,1,0)+IF(Table442466657277[[#This Row],[Session]]=B78,1,0)+IF(Table442466657277[[#This Row],[Pre or Post]]="Post",1,0)+IF(D78="Pre",1,0)=4,Table442466657277[[#This Row],[Post Total]]-K78,""),"")</f>
        <v/>
      </c>
      <c r="P79" s="6" t="b">
        <f>ISNUMBER(Table442466657277[[#This Row],[Change]])</f>
        <v>0</v>
      </c>
      <c r="Q79" s="5" t="str">
        <f>IF(E78="Yes",Table442466657277[[#This Row],[Change]],"")</f>
        <v/>
      </c>
      <c r="R79" s="5" t="str">
        <f>IF(E78="No",Table442466657277[[#This Row],[Change]],"")</f>
        <v/>
      </c>
      <c r="S79" s="5" t="b">
        <f>ISNUMBER(Table442466657277[[#This Row],[If Pre6 Yes]])</f>
        <v>0</v>
      </c>
      <c r="T79" s="5" t="b">
        <f>ISNUMBER(Table442466657277[[#This Row],[If Pre6 No]])</f>
        <v>0</v>
      </c>
    </row>
    <row r="80" spans="1:20">
      <c r="A80" s="1" t="s">
        <v>24</v>
      </c>
      <c r="B80" s="1" t="s">
        <v>25</v>
      </c>
      <c r="C80" s="1">
        <v>14</v>
      </c>
      <c r="D80" s="1" t="s">
        <v>16</v>
      </c>
      <c r="E80" s="5"/>
      <c r="F80" s="1">
        <v>6</v>
      </c>
      <c r="G80" s="1">
        <v>4</v>
      </c>
      <c r="H80" s="2" t="s">
        <v>8</v>
      </c>
      <c r="I80" s="6" t="str">
        <f>IF(IF(Table442466657277[[#This Row],[Pre or Post]]="Pre",1,0)+IF(ISNUMBER(Table442466657277[[#This Row],[Response]])=TRUE,1,0)=2,1,"")</f>
        <v/>
      </c>
      <c r="J80" s="6">
        <f>IF(IF(Table442466657277[[#This Row],[Pre or Post]]="Post",1,0)+IF(ISNUMBER(Table442466657277[[#This Row],[Response]])=TRUE,1,0)=2,1,"")</f>
        <v>1</v>
      </c>
      <c r="K80" s="6" t="str">
        <f>IF(IF(Table442466657277[[#This Row],[Pre or Post]]="Pre",1,0)+IF(ISNUMBER(Table442466657277[[#This Row],[Response]])=TRUE,1,0)=2,Table442466657277[[#This Row],[Response]],"")</f>
        <v/>
      </c>
      <c r="L80" s="6">
        <f>IF(IF(Table442466657277[[#This Row],[Pre or Post]]="Post",1,0)+IF(ISNUMBER(Table442466657277[[#This Row],[Response]])=TRUE,1,0)=2,Table442466657277[[#This Row],[Response]],"")</f>
        <v>4</v>
      </c>
      <c r="M80" s="6" t="str">
        <f>IF(IF(ISNUMBER(K80),1,0)+IF(ISNUMBER(L81),1,0)=2,IF(IF(C81=C80,1,0)+IF(B81=B80,1,0)+IF(D81="Post",1,0)+IF(D80="Pre",1,0)=4,Table442466657277[[#This Row],[Pre Total]],""),"")</f>
        <v/>
      </c>
      <c r="N80" s="6">
        <f>IF(IF(ISNUMBER(K79),1,0)+IF(ISNUMBER(Table442466657277[[#This Row],[Post Total]]),1,0)=2,IF(IF(Table442466657277[[#This Row],[Student Number]]=C79,1,0)+IF(Table442466657277[[#This Row],[Session]]=B79,1,0)+IF(Table442466657277[[#This Row],[Pre or Post]]="Post",1,0)+IF(D79="Pre",1,0)=4,Table442466657277[[#This Row],[Post Total]],""),"")</f>
        <v>4</v>
      </c>
      <c r="O80" s="6">
        <f>IF(IF(ISNUMBER(K79),1,0)+IF(ISNUMBER(Table442466657277[[#This Row],[Post Total]]),1,0)=2,IF(IF(Table442466657277[[#This Row],[Student Number]]=C79,1,0)+IF(Table442466657277[[#This Row],[Session]]=B79,1,0)+IF(Table442466657277[[#This Row],[Pre or Post]]="Post",1,0)+IF(D79="Pre",1,0)=4,Table442466657277[[#This Row],[Post Total]]-K79,""),"")</f>
        <v>1</v>
      </c>
      <c r="P80" s="6" t="b">
        <f>ISNUMBER(Table442466657277[[#This Row],[Change]])</f>
        <v>1</v>
      </c>
      <c r="Q80" s="5">
        <f>IF(E79="Yes",Table442466657277[[#This Row],[Change]],"")</f>
        <v>1</v>
      </c>
      <c r="R80" s="5" t="str">
        <f>IF(E79="No",Table442466657277[[#This Row],[Change]],"")</f>
        <v/>
      </c>
      <c r="S80" s="5" t="b">
        <f>ISNUMBER(Table442466657277[[#This Row],[If Pre6 Yes]])</f>
        <v>1</v>
      </c>
      <c r="T80" s="5" t="b">
        <f>ISNUMBER(Table442466657277[[#This Row],[If Pre6 No]])</f>
        <v>0</v>
      </c>
    </row>
    <row r="81" spans="1:20">
      <c r="A81" s="1" t="s">
        <v>24</v>
      </c>
      <c r="B81" s="1" t="s">
        <v>25</v>
      </c>
      <c r="C81" s="1">
        <v>15</v>
      </c>
      <c r="D81" s="1" t="s">
        <v>6</v>
      </c>
      <c r="E81" s="5" t="s">
        <v>8</v>
      </c>
      <c r="F81" s="1">
        <v>10</v>
      </c>
      <c r="G81" s="1">
        <v>2</v>
      </c>
      <c r="H81" s="2" t="s">
        <v>9</v>
      </c>
      <c r="I81" s="6">
        <f>IF(IF(Table442466657277[[#This Row],[Pre or Post]]="Pre",1,0)+IF(ISNUMBER(Table442466657277[[#This Row],[Response]])=TRUE,1,0)=2,1,"")</f>
        <v>1</v>
      </c>
      <c r="J81" s="6" t="str">
        <f>IF(IF(Table442466657277[[#This Row],[Pre or Post]]="Post",1,0)+IF(ISNUMBER(Table442466657277[[#This Row],[Response]])=TRUE,1,0)=2,1,"")</f>
        <v/>
      </c>
      <c r="K81" s="6">
        <f>IF(IF(Table442466657277[[#This Row],[Pre or Post]]="Pre",1,0)+IF(ISNUMBER(Table442466657277[[#This Row],[Response]])=TRUE,1,0)=2,Table442466657277[[#This Row],[Response]],"")</f>
        <v>2</v>
      </c>
      <c r="L81" s="6" t="str">
        <f>IF(IF(Table442466657277[[#This Row],[Pre or Post]]="Post",1,0)+IF(ISNUMBER(Table442466657277[[#This Row],[Response]])=TRUE,1,0)=2,Table442466657277[[#This Row],[Response]],"")</f>
        <v/>
      </c>
      <c r="M81" s="6" t="str">
        <f>IF(IF(ISNUMBER(K81),1,0)+IF(ISNUMBER(L82),1,0)=2,IF(IF(C82=C81,1,0)+IF(B82=B81,1,0)+IF(D82="Post",1,0)+IF(D81="Pre",1,0)=4,Table442466657277[[#This Row],[Pre Total]],""),"")</f>
        <v/>
      </c>
      <c r="N81" s="6" t="str">
        <f>IF(IF(ISNUMBER(K80),1,0)+IF(ISNUMBER(Table442466657277[[#This Row],[Post Total]]),1,0)=2,IF(IF(Table442466657277[[#This Row],[Student Number]]=C80,1,0)+IF(Table442466657277[[#This Row],[Session]]=B80,1,0)+IF(Table442466657277[[#This Row],[Pre or Post]]="Post",1,0)+IF(D80="Pre",1,0)=4,Table442466657277[[#This Row],[Post Total]],""),"")</f>
        <v/>
      </c>
      <c r="O81" s="6" t="str">
        <f>IF(IF(ISNUMBER(K80),1,0)+IF(ISNUMBER(Table442466657277[[#This Row],[Post Total]]),1,0)=2,IF(IF(Table442466657277[[#This Row],[Student Number]]=C80,1,0)+IF(Table442466657277[[#This Row],[Session]]=B80,1,0)+IF(Table442466657277[[#This Row],[Pre or Post]]="Post",1,0)+IF(D80="Pre",1,0)=4,Table442466657277[[#This Row],[Post Total]]-K80,""),"")</f>
        <v/>
      </c>
      <c r="P81" s="6" t="b">
        <f>ISNUMBER(Table442466657277[[#This Row],[Change]])</f>
        <v>0</v>
      </c>
      <c r="Q81" s="5" t="str">
        <f>IF(E80="Yes",Table442466657277[[#This Row],[Change]],"")</f>
        <v/>
      </c>
      <c r="R81" s="5" t="str">
        <f>IF(E80="No",Table442466657277[[#This Row],[Change]],"")</f>
        <v/>
      </c>
      <c r="S81" s="5" t="b">
        <f>ISNUMBER(Table442466657277[[#This Row],[If Pre6 Yes]])</f>
        <v>0</v>
      </c>
      <c r="T81" s="5" t="b">
        <f>ISNUMBER(Table442466657277[[#This Row],[If Pre6 No]])</f>
        <v>0</v>
      </c>
    </row>
    <row r="82" spans="1:20">
      <c r="A82" s="1" t="s">
        <v>24</v>
      </c>
      <c r="B82" s="1" t="s">
        <v>25</v>
      </c>
      <c r="C82" s="1">
        <v>16</v>
      </c>
      <c r="D82" s="1" t="s">
        <v>6</v>
      </c>
      <c r="E82" s="5" t="s">
        <v>8</v>
      </c>
      <c r="F82" s="1">
        <v>10</v>
      </c>
      <c r="G82" s="1">
        <v>4</v>
      </c>
      <c r="H82" s="2" t="s">
        <v>9</v>
      </c>
      <c r="I82" s="5">
        <f>IF(IF(Table442466657277[[#This Row],[Pre or Post]]="Pre",1,0)+IF(ISNUMBER(Table442466657277[[#This Row],[Response]])=TRUE,1,0)=2,1,"")</f>
        <v>1</v>
      </c>
      <c r="J82" s="5" t="str">
        <f>IF(IF(Table442466657277[[#This Row],[Pre or Post]]="Post",1,0)+IF(ISNUMBER(Table442466657277[[#This Row],[Response]])=TRUE,1,0)=2,1,"")</f>
        <v/>
      </c>
      <c r="K82" s="6">
        <f>IF(IF(Table442466657277[[#This Row],[Pre or Post]]="Pre",1,0)+IF(ISNUMBER(Table442466657277[[#This Row],[Response]])=TRUE,1,0)=2,Table442466657277[[#This Row],[Response]],"")</f>
        <v>4</v>
      </c>
      <c r="L82" s="6" t="str">
        <f>IF(IF(Table442466657277[[#This Row],[Pre or Post]]="Post",1,0)+IF(ISNUMBER(Table442466657277[[#This Row],[Response]])=TRUE,1,0)=2,Table442466657277[[#This Row],[Response]],"")</f>
        <v/>
      </c>
      <c r="M82" s="5" t="str">
        <f>IF(IF(ISNUMBER(K82),1,0)+IF(ISNUMBER(L83),1,0)=2,IF(IF(C83=C82,1,0)+IF(B83=B82,1,0)+IF(D83="Post",1,0)+IF(D82="Pre",1,0)=4,Table442466657277[[#This Row],[Pre Total]],""),"")</f>
        <v/>
      </c>
      <c r="N82" s="5" t="str">
        <f>IF(IF(ISNUMBER(K81),1,0)+IF(ISNUMBER(Table442466657277[[#This Row],[Post Total]]),1,0)=2,IF(IF(Table442466657277[[#This Row],[Student Number]]=C81,1,0)+IF(Table442466657277[[#This Row],[Session]]=B81,1,0)+IF(Table442466657277[[#This Row],[Pre or Post]]="Post",1,0)+IF(D81="Pre",1,0)=4,Table442466657277[[#This Row],[Post Total]],""),"")</f>
        <v/>
      </c>
      <c r="O82" s="5" t="str">
        <f>IF(IF(ISNUMBER(K81),1,0)+IF(ISNUMBER(Table442466657277[[#This Row],[Post Total]]),1,0)=2,IF(IF(Table442466657277[[#This Row],[Student Number]]=C81,1,0)+IF(Table442466657277[[#This Row],[Session]]=B81,1,0)+IF(Table442466657277[[#This Row],[Pre or Post]]="Post",1,0)+IF(D81="Pre",1,0)=4,Table442466657277[[#This Row],[Post Total]]-K81,""),"")</f>
        <v/>
      </c>
      <c r="P82" s="5" t="b">
        <f>ISNUMBER(Table442466657277[[#This Row],[Change]])</f>
        <v>0</v>
      </c>
      <c r="Q82" s="5" t="str">
        <f>IF(E81="Yes",Table442466657277[[#This Row],[Change]],"")</f>
        <v/>
      </c>
      <c r="R82" s="5" t="str">
        <f>IF(E81="No",Table442466657277[[#This Row],[Change]],"")</f>
        <v/>
      </c>
      <c r="S82" s="5" t="b">
        <f>ISNUMBER(Table442466657277[[#This Row],[If Pre6 Yes]])</f>
        <v>0</v>
      </c>
      <c r="T82" s="5" t="b">
        <f>ISNUMBER(Table442466657277[[#This Row],[If Pre6 No]])</f>
        <v>0</v>
      </c>
    </row>
    <row r="83" spans="1:20">
      <c r="A83" s="1" t="s">
        <v>24</v>
      </c>
      <c r="B83" s="1" t="s">
        <v>25</v>
      </c>
      <c r="C83" s="1">
        <v>17</v>
      </c>
      <c r="D83" s="1" t="s">
        <v>6</v>
      </c>
      <c r="E83" s="5" t="s">
        <v>8</v>
      </c>
      <c r="F83" s="1">
        <v>10</v>
      </c>
      <c r="G83" s="1">
        <v>3</v>
      </c>
      <c r="H83" s="2" t="s">
        <v>9</v>
      </c>
      <c r="I83" s="5">
        <f>IF(IF(Table442466657277[[#This Row],[Pre or Post]]="Pre",1,0)+IF(ISNUMBER(Table442466657277[[#This Row],[Response]])=TRUE,1,0)=2,1,"")</f>
        <v>1</v>
      </c>
      <c r="J83" s="5" t="str">
        <f>IF(IF(Table442466657277[[#This Row],[Pre or Post]]="Post",1,0)+IF(ISNUMBER(Table442466657277[[#This Row],[Response]])=TRUE,1,0)=2,1,"")</f>
        <v/>
      </c>
      <c r="K83" s="6">
        <f>IF(IF(Table442466657277[[#This Row],[Pre or Post]]="Pre",1,0)+IF(ISNUMBER(Table442466657277[[#This Row],[Response]])=TRUE,1,0)=2,Table442466657277[[#This Row],[Response]],"")</f>
        <v>3</v>
      </c>
      <c r="L83" s="6" t="str">
        <f>IF(IF(Table442466657277[[#This Row],[Pre or Post]]="Post",1,0)+IF(ISNUMBER(Table442466657277[[#This Row],[Response]])=TRUE,1,0)=2,Table442466657277[[#This Row],[Response]],"")</f>
        <v/>
      </c>
      <c r="M83" s="5" t="str">
        <f>IF(IF(ISNUMBER(K83),1,0)+IF(ISNUMBER(L84),1,0)=2,IF(IF(C84=C83,1,0)+IF(B84=B83,1,0)+IF(D84="Post",1,0)+IF(D83="Pre",1,0)=4,Table442466657277[[#This Row],[Pre Total]],""),"")</f>
        <v/>
      </c>
      <c r="N83" s="5" t="str">
        <f>IF(IF(ISNUMBER(K82),1,0)+IF(ISNUMBER(Table442466657277[[#This Row],[Post Total]]),1,0)=2,IF(IF(Table442466657277[[#This Row],[Student Number]]=C82,1,0)+IF(Table442466657277[[#This Row],[Session]]=B82,1,0)+IF(Table442466657277[[#This Row],[Pre or Post]]="Post",1,0)+IF(D82="Pre",1,0)=4,Table442466657277[[#This Row],[Post Total]],""),"")</f>
        <v/>
      </c>
      <c r="O83" s="5" t="str">
        <f>IF(IF(ISNUMBER(K82),1,0)+IF(ISNUMBER(Table442466657277[[#This Row],[Post Total]]),1,0)=2,IF(IF(Table442466657277[[#This Row],[Student Number]]=C82,1,0)+IF(Table442466657277[[#This Row],[Session]]=B82,1,0)+IF(Table442466657277[[#This Row],[Pre or Post]]="Post",1,0)+IF(D82="Pre",1,0)=4,Table442466657277[[#This Row],[Post Total]]-K82,""),"")</f>
        <v/>
      </c>
      <c r="P83" s="5" t="b">
        <f>ISNUMBER(Table442466657277[[#This Row],[Change]])</f>
        <v>0</v>
      </c>
      <c r="Q83" s="5" t="str">
        <f>IF(E82="Yes",Table442466657277[[#This Row],[Change]],"")</f>
        <v/>
      </c>
      <c r="R83" s="5" t="str">
        <f>IF(E82="No",Table442466657277[[#This Row],[Change]],"")</f>
        <v/>
      </c>
      <c r="S83" s="5" t="b">
        <f>ISNUMBER(Table442466657277[[#This Row],[If Pre6 Yes]])</f>
        <v>0</v>
      </c>
      <c r="T83" s="5" t="b">
        <f>ISNUMBER(Table442466657277[[#This Row],[If Pre6 No]])</f>
        <v>0</v>
      </c>
    </row>
    <row r="84" spans="1:20">
      <c r="A84" s="1" t="s">
        <v>24</v>
      </c>
      <c r="B84" s="1" t="s">
        <v>25</v>
      </c>
      <c r="C84" s="1">
        <v>18</v>
      </c>
      <c r="D84" s="1" t="s">
        <v>16</v>
      </c>
      <c r="E84" s="5"/>
      <c r="F84" s="1">
        <v>6</v>
      </c>
      <c r="G84" s="1">
        <v>2</v>
      </c>
      <c r="H84" s="2" t="s">
        <v>9</v>
      </c>
      <c r="I84" s="5" t="str">
        <f>IF(IF(Table442466657277[[#This Row],[Pre or Post]]="Pre",1,0)+IF(ISNUMBER(Table442466657277[[#This Row],[Response]])=TRUE,1,0)=2,1,"")</f>
        <v/>
      </c>
      <c r="J84" s="5">
        <f>IF(IF(Table442466657277[[#This Row],[Pre or Post]]="Post",1,0)+IF(ISNUMBER(Table442466657277[[#This Row],[Response]])=TRUE,1,0)=2,1,"")</f>
        <v>1</v>
      </c>
      <c r="K84" s="6" t="str">
        <f>IF(IF(Table442466657277[[#This Row],[Pre or Post]]="Pre",1,0)+IF(ISNUMBER(Table442466657277[[#This Row],[Response]])=TRUE,1,0)=2,Table442466657277[[#This Row],[Response]],"")</f>
        <v/>
      </c>
      <c r="L84" s="6">
        <f>IF(IF(Table442466657277[[#This Row],[Pre or Post]]="Post",1,0)+IF(ISNUMBER(Table442466657277[[#This Row],[Response]])=TRUE,1,0)=2,Table442466657277[[#This Row],[Response]],"")</f>
        <v>2</v>
      </c>
      <c r="M84" s="5" t="str">
        <f>IF(IF(ISNUMBER(K84),1,0)+IF(ISNUMBER(L85),1,0)=2,IF(IF(C85=C84,1,0)+IF(B85=B84,1,0)+IF(D85="Post",1,0)+IF(D84="Pre",1,0)=4,Table442466657277[[#This Row],[Pre Total]],""),"")</f>
        <v/>
      </c>
      <c r="N84" s="5" t="str">
        <f>IF(IF(ISNUMBER(K83),1,0)+IF(ISNUMBER(Table442466657277[[#This Row],[Post Total]]),1,0)=2,IF(IF(Table442466657277[[#This Row],[Student Number]]=C83,1,0)+IF(Table442466657277[[#This Row],[Session]]=B83,1,0)+IF(Table442466657277[[#This Row],[Pre or Post]]="Post",1,0)+IF(D83="Pre",1,0)=4,Table442466657277[[#This Row],[Post Total]],""),"")</f>
        <v/>
      </c>
      <c r="O84" s="5" t="str">
        <f>IF(IF(ISNUMBER(K83),1,0)+IF(ISNUMBER(Table442466657277[[#This Row],[Post Total]]),1,0)=2,IF(IF(Table442466657277[[#This Row],[Student Number]]=C83,1,0)+IF(Table442466657277[[#This Row],[Session]]=B83,1,0)+IF(Table442466657277[[#This Row],[Pre or Post]]="Post",1,0)+IF(D83="Pre",1,0)=4,Table442466657277[[#This Row],[Post Total]]-K83,""),"")</f>
        <v/>
      </c>
      <c r="P84" s="5" t="b">
        <f>ISNUMBER(Table442466657277[[#This Row],[Change]])</f>
        <v>0</v>
      </c>
      <c r="Q84" s="5" t="str">
        <f>IF(E83="Yes",Table442466657277[[#This Row],[Change]],"")</f>
        <v/>
      </c>
      <c r="R84" s="5" t="str">
        <f>IF(E83="No",Table442466657277[[#This Row],[Change]],"")</f>
        <v/>
      </c>
      <c r="S84" s="5" t="b">
        <f>ISNUMBER(Table442466657277[[#This Row],[If Pre6 Yes]])</f>
        <v>0</v>
      </c>
      <c r="T84" s="5" t="b">
        <f>ISNUMBER(Table442466657277[[#This Row],[If Pre6 No]])</f>
        <v>0</v>
      </c>
    </row>
    <row r="85" spans="1:20">
      <c r="A85" s="1" t="s">
        <v>24</v>
      </c>
      <c r="B85" s="1" t="s">
        <v>25</v>
      </c>
      <c r="C85" s="1">
        <v>19</v>
      </c>
      <c r="D85" s="1" t="s">
        <v>16</v>
      </c>
      <c r="E85" s="5"/>
      <c r="F85" s="1">
        <v>6</v>
      </c>
      <c r="G85" s="1">
        <v>5</v>
      </c>
      <c r="H85" s="2" t="s">
        <v>9</v>
      </c>
      <c r="I85" s="5" t="str">
        <f>IF(IF(Table442466657277[[#This Row],[Pre or Post]]="Pre",1,0)+IF(ISNUMBER(Table442466657277[[#This Row],[Response]])=TRUE,1,0)=2,1,"")</f>
        <v/>
      </c>
      <c r="J85" s="5">
        <f>IF(IF(Table442466657277[[#This Row],[Pre or Post]]="Post",1,0)+IF(ISNUMBER(Table442466657277[[#This Row],[Response]])=TRUE,1,0)=2,1,"")</f>
        <v>1</v>
      </c>
      <c r="K85" s="6" t="str">
        <f>IF(IF(Table442466657277[[#This Row],[Pre or Post]]="Pre",1,0)+IF(ISNUMBER(Table442466657277[[#This Row],[Response]])=TRUE,1,0)=2,Table442466657277[[#This Row],[Response]],"")</f>
        <v/>
      </c>
      <c r="L85" s="6">
        <f>IF(IF(Table442466657277[[#This Row],[Pre or Post]]="Post",1,0)+IF(ISNUMBER(Table442466657277[[#This Row],[Response]])=TRUE,1,0)=2,Table442466657277[[#This Row],[Response]],"")</f>
        <v>5</v>
      </c>
      <c r="M85" s="5" t="str">
        <f>IF(IF(ISNUMBER(K85),1,0)+IF(ISNUMBER(L86),1,0)=2,IF(IF(C86=C85,1,0)+IF(B86=B85,1,0)+IF(D86="Post",1,0)+IF(D85="Pre",1,0)=4,Table442466657277[[#This Row],[Pre Total]],""),"")</f>
        <v/>
      </c>
      <c r="N85" s="5" t="str">
        <f>IF(IF(ISNUMBER(K84),1,0)+IF(ISNUMBER(Table442466657277[[#This Row],[Post Total]]),1,0)=2,IF(IF(Table442466657277[[#This Row],[Student Number]]=C84,1,0)+IF(Table442466657277[[#This Row],[Session]]=B84,1,0)+IF(Table442466657277[[#This Row],[Pre or Post]]="Post",1,0)+IF(D84="Pre",1,0)=4,Table442466657277[[#This Row],[Post Total]],""),"")</f>
        <v/>
      </c>
      <c r="O85" s="5" t="str">
        <f>IF(IF(ISNUMBER(K84),1,0)+IF(ISNUMBER(Table442466657277[[#This Row],[Post Total]]),1,0)=2,IF(IF(Table442466657277[[#This Row],[Student Number]]=C84,1,0)+IF(Table442466657277[[#This Row],[Session]]=B84,1,0)+IF(Table442466657277[[#This Row],[Pre or Post]]="Post",1,0)+IF(D84="Pre",1,0)=4,Table442466657277[[#This Row],[Post Total]]-K84,""),"")</f>
        <v/>
      </c>
      <c r="P85" s="5" t="b">
        <f>ISNUMBER(Table442466657277[[#This Row],[Change]])</f>
        <v>0</v>
      </c>
      <c r="Q85" s="5" t="str">
        <f>IF(E84="Yes",Table442466657277[[#This Row],[Change]],"")</f>
        <v/>
      </c>
      <c r="R85" s="5" t="str">
        <f>IF(E84="No",Table442466657277[[#This Row],[Change]],"")</f>
        <v/>
      </c>
      <c r="S85" s="5" t="b">
        <f>ISNUMBER(Table442466657277[[#This Row],[If Pre6 Yes]])</f>
        <v>0</v>
      </c>
      <c r="T85" s="5" t="b">
        <f>ISNUMBER(Table442466657277[[#This Row],[If Pre6 No]])</f>
        <v>0</v>
      </c>
    </row>
    <row r="86" spans="1:20">
      <c r="A86" s="1" t="s">
        <v>24</v>
      </c>
      <c r="B86" s="1" t="s">
        <v>25</v>
      </c>
      <c r="C86" s="1">
        <v>20</v>
      </c>
      <c r="D86" s="1" t="s">
        <v>16</v>
      </c>
      <c r="E86" s="5"/>
      <c r="F86" s="1">
        <v>6</v>
      </c>
      <c r="G86" s="1">
        <v>3</v>
      </c>
      <c r="H86" s="2" t="s">
        <v>9</v>
      </c>
      <c r="I86" s="5" t="str">
        <f>IF(IF(Table442466657277[[#This Row],[Pre or Post]]="Pre",1,0)+IF(ISNUMBER(Table442466657277[[#This Row],[Response]])=TRUE,1,0)=2,1,"")</f>
        <v/>
      </c>
      <c r="J86" s="5">
        <f>IF(IF(Table442466657277[[#This Row],[Pre or Post]]="Post",1,0)+IF(ISNUMBER(Table442466657277[[#This Row],[Response]])=TRUE,1,0)=2,1,"")</f>
        <v>1</v>
      </c>
      <c r="K86" s="6" t="str">
        <f>IF(IF(Table442466657277[[#This Row],[Pre or Post]]="Pre",1,0)+IF(ISNUMBER(Table442466657277[[#This Row],[Response]])=TRUE,1,0)=2,Table442466657277[[#This Row],[Response]],"")</f>
        <v/>
      </c>
      <c r="L86" s="6">
        <f>IF(IF(Table442466657277[[#This Row],[Pre or Post]]="Post",1,0)+IF(ISNUMBER(Table442466657277[[#This Row],[Response]])=TRUE,1,0)=2,Table442466657277[[#This Row],[Response]],"")</f>
        <v>3</v>
      </c>
      <c r="M86" s="5" t="str">
        <f>IF(IF(ISNUMBER(K86),1,0)+IF(ISNUMBER(L87),1,0)=2,IF(IF(C87=C86,1,0)+IF(B87=B86,1,0)+IF(D87="Post",1,0)+IF(D86="Pre",1,0)=4,Table442466657277[[#This Row],[Pre Total]],""),"")</f>
        <v/>
      </c>
      <c r="N86" s="5" t="str">
        <f>IF(IF(ISNUMBER(K85),1,0)+IF(ISNUMBER(Table442466657277[[#This Row],[Post Total]]),1,0)=2,IF(IF(Table442466657277[[#This Row],[Student Number]]=C85,1,0)+IF(Table442466657277[[#This Row],[Session]]=B85,1,0)+IF(Table442466657277[[#This Row],[Pre or Post]]="Post",1,0)+IF(D85="Pre",1,0)=4,Table442466657277[[#This Row],[Post Total]],""),"")</f>
        <v/>
      </c>
      <c r="O86" s="5" t="str">
        <f>IF(IF(ISNUMBER(K85),1,0)+IF(ISNUMBER(Table442466657277[[#This Row],[Post Total]]),1,0)=2,IF(IF(Table442466657277[[#This Row],[Student Number]]=C85,1,0)+IF(Table442466657277[[#This Row],[Session]]=B85,1,0)+IF(Table442466657277[[#This Row],[Pre or Post]]="Post",1,0)+IF(D85="Pre",1,0)=4,Table442466657277[[#This Row],[Post Total]]-K85,""),"")</f>
        <v/>
      </c>
      <c r="P86" s="5" t="b">
        <f>ISNUMBER(Table442466657277[[#This Row],[Change]])</f>
        <v>0</v>
      </c>
      <c r="Q86" s="5" t="str">
        <f>IF(E85="Yes",Table442466657277[[#This Row],[Change]],"")</f>
        <v/>
      </c>
      <c r="R86" s="5" t="str">
        <f>IF(E85="No",Table442466657277[[#This Row],[Change]],"")</f>
        <v/>
      </c>
      <c r="S86" s="5" t="b">
        <f>ISNUMBER(Table442466657277[[#This Row],[If Pre6 Yes]])</f>
        <v>0</v>
      </c>
      <c r="T86" s="5" t="b">
        <f>ISNUMBER(Table442466657277[[#This Row],[If Pre6 No]])</f>
        <v>0</v>
      </c>
    </row>
    <row r="87" spans="1:20">
      <c r="A87" s="1" t="s">
        <v>24</v>
      </c>
      <c r="B87" s="1" t="s">
        <v>25</v>
      </c>
      <c r="C87" s="1">
        <v>21</v>
      </c>
      <c r="D87" s="1" t="s">
        <v>16</v>
      </c>
      <c r="E87" s="5"/>
      <c r="F87" s="1">
        <v>6</v>
      </c>
      <c r="G87" s="1">
        <v>1</v>
      </c>
      <c r="H87" s="2" t="s">
        <v>9</v>
      </c>
      <c r="I87" s="5" t="str">
        <f>IF(IF(Table442466657277[[#This Row],[Pre or Post]]="Pre",1,0)+IF(ISNUMBER(Table442466657277[[#This Row],[Response]])=TRUE,1,0)=2,1,"")</f>
        <v/>
      </c>
      <c r="J87" s="5">
        <f>IF(IF(Table442466657277[[#This Row],[Pre or Post]]="Post",1,0)+IF(ISNUMBER(Table442466657277[[#This Row],[Response]])=TRUE,1,0)=2,1,"")</f>
        <v>1</v>
      </c>
      <c r="K87" s="6" t="str">
        <f>IF(IF(Table442466657277[[#This Row],[Pre or Post]]="Pre",1,0)+IF(ISNUMBER(Table442466657277[[#This Row],[Response]])=TRUE,1,0)=2,Table442466657277[[#This Row],[Response]],"")</f>
        <v/>
      </c>
      <c r="L87" s="6">
        <f>IF(IF(Table442466657277[[#This Row],[Pre or Post]]="Post",1,0)+IF(ISNUMBER(Table442466657277[[#This Row],[Response]])=TRUE,1,0)=2,Table442466657277[[#This Row],[Response]],"")</f>
        <v>1</v>
      </c>
      <c r="M87" s="5" t="str">
        <f>IF(IF(ISNUMBER(K87),1,0)+IF(ISNUMBER(L88),1,0)=2,IF(IF(C88=C87,1,0)+IF(B88=B87,1,0)+IF(D88="Post",1,0)+IF(D87="Pre",1,0)=4,Table442466657277[[#This Row],[Pre Total]],""),"")</f>
        <v/>
      </c>
      <c r="N87" s="5" t="str">
        <f>IF(IF(ISNUMBER(K86),1,0)+IF(ISNUMBER(Table442466657277[[#This Row],[Post Total]]),1,0)=2,IF(IF(Table442466657277[[#This Row],[Student Number]]=C86,1,0)+IF(Table442466657277[[#This Row],[Session]]=B86,1,0)+IF(Table442466657277[[#This Row],[Pre or Post]]="Post",1,0)+IF(D86="Pre",1,0)=4,Table442466657277[[#This Row],[Post Total]],""),"")</f>
        <v/>
      </c>
      <c r="O87" s="5" t="str">
        <f>IF(IF(ISNUMBER(K86),1,0)+IF(ISNUMBER(Table442466657277[[#This Row],[Post Total]]),1,0)=2,IF(IF(Table442466657277[[#This Row],[Student Number]]=C86,1,0)+IF(Table442466657277[[#This Row],[Session]]=B86,1,0)+IF(Table442466657277[[#This Row],[Pre or Post]]="Post",1,0)+IF(D86="Pre",1,0)=4,Table442466657277[[#This Row],[Post Total]]-K86,""),"")</f>
        <v/>
      </c>
      <c r="P87" s="5" t="b">
        <f>ISNUMBER(Table442466657277[[#This Row],[Change]])</f>
        <v>0</v>
      </c>
      <c r="Q87" s="5" t="str">
        <f>IF(E86="Yes",Table442466657277[[#This Row],[Change]],"")</f>
        <v/>
      </c>
      <c r="R87" s="5" t="str">
        <f>IF(E86="No",Table442466657277[[#This Row],[Change]],"")</f>
        <v/>
      </c>
      <c r="S87" s="5" t="b">
        <f>ISNUMBER(Table442466657277[[#This Row],[If Pre6 Yes]])</f>
        <v>0</v>
      </c>
      <c r="T87" s="5" t="b">
        <f>ISNUMBER(Table442466657277[[#This Row],[If Pre6 No]])</f>
        <v>0</v>
      </c>
    </row>
    <row r="88" spans="1:20">
      <c r="A88" s="2" t="s">
        <v>24</v>
      </c>
      <c r="B88" s="2" t="s">
        <v>28</v>
      </c>
      <c r="C88" s="1">
        <v>1</v>
      </c>
      <c r="D88" s="1" t="s">
        <v>6</v>
      </c>
      <c r="E88" s="5" t="s">
        <v>8</v>
      </c>
      <c r="F88" s="1">
        <v>10</v>
      </c>
      <c r="G88" s="1">
        <v>1</v>
      </c>
      <c r="H88" s="2" t="s">
        <v>8</v>
      </c>
      <c r="I88" s="5">
        <f>IF(IF(Table442466657277[[#This Row],[Pre or Post]]="Pre",1,0)+IF(ISNUMBER(Table442466657277[[#This Row],[Response]])=TRUE,1,0)=2,1,"")</f>
        <v>1</v>
      </c>
      <c r="J88" s="5" t="str">
        <f>IF(IF(Table442466657277[[#This Row],[Pre or Post]]="Post",1,0)+IF(ISNUMBER(Table442466657277[[#This Row],[Response]])=TRUE,1,0)=2,1,"")</f>
        <v/>
      </c>
      <c r="K88" s="6">
        <f>IF(IF(Table442466657277[[#This Row],[Pre or Post]]="Pre",1,0)+IF(ISNUMBER(Table442466657277[[#This Row],[Response]])=TRUE,1,0)=2,Table442466657277[[#This Row],[Response]],"")</f>
        <v>1</v>
      </c>
      <c r="L88" s="6" t="str">
        <f>IF(IF(Table442466657277[[#This Row],[Pre or Post]]="Post",1,0)+IF(ISNUMBER(Table442466657277[[#This Row],[Response]])=TRUE,1,0)=2,Table442466657277[[#This Row],[Response]],"")</f>
        <v/>
      </c>
      <c r="M88" s="5">
        <f>IF(IF(ISNUMBER(K88),1,0)+IF(ISNUMBER(L89),1,0)=2,IF(IF(C89=C88,1,0)+IF(B89=B88,1,0)+IF(D89="Post",1,0)+IF(D88="Pre",1,0)=4,Table442466657277[[#This Row],[Pre Total]],""),"")</f>
        <v>1</v>
      </c>
      <c r="N88" s="5" t="str">
        <f>IF(IF(ISNUMBER(K87),1,0)+IF(ISNUMBER(Table442466657277[[#This Row],[Post Total]]),1,0)=2,IF(IF(Table442466657277[[#This Row],[Student Number]]=C87,1,0)+IF(Table442466657277[[#This Row],[Session]]=B87,1,0)+IF(Table442466657277[[#This Row],[Pre or Post]]="Post",1,0)+IF(D87="Pre",1,0)=4,Table442466657277[[#This Row],[Post Total]],""),"")</f>
        <v/>
      </c>
      <c r="O88" s="5" t="str">
        <f>IF(IF(ISNUMBER(K87),1,0)+IF(ISNUMBER(Table442466657277[[#This Row],[Post Total]]),1,0)=2,IF(IF(Table442466657277[[#This Row],[Student Number]]=C87,1,0)+IF(Table442466657277[[#This Row],[Session]]=B87,1,0)+IF(Table442466657277[[#This Row],[Pre or Post]]="Post",1,0)+IF(D87="Pre",1,0)=4,Table442466657277[[#This Row],[Post Total]]-K87,""),"")</f>
        <v/>
      </c>
      <c r="P88" s="5" t="b">
        <f>ISNUMBER(Table442466657277[[#This Row],[Change]])</f>
        <v>0</v>
      </c>
      <c r="Q88" s="5" t="str">
        <f>IF(E87="Yes",Table442466657277[[#This Row],[Change]],"")</f>
        <v/>
      </c>
      <c r="R88" s="5" t="str">
        <f>IF(E87="No",Table442466657277[[#This Row],[Change]],"")</f>
        <v/>
      </c>
      <c r="S88" s="5" t="b">
        <f>ISNUMBER(Table442466657277[[#This Row],[If Pre6 Yes]])</f>
        <v>0</v>
      </c>
      <c r="T88" s="5" t="b">
        <f>ISNUMBER(Table442466657277[[#This Row],[If Pre6 No]])</f>
        <v>0</v>
      </c>
    </row>
    <row r="89" spans="1:20">
      <c r="A89" s="2" t="s">
        <v>24</v>
      </c>
      <c r="B89" s="2" t="s">
        <v>28</v>
      </c>
      <c r="C89" s="1">
        <v>1</v>
      </c>
      <c r="D89" s="1" t="s">
        <v>16</v>
      </c>
      <c r="E89" s="5"/>
      <c r="F89" s="1">
        <v>6</v>
      </c>
      <c r="G89" s="2">
        <v>5</v>
      </c>
      <c r="H89" s="2" t="s">
        <v>8</v>
      </c>
      <c r="I89" s="5" t="str">
        <f>IF(IF(Table442466657277[[#This Row],[Pre or Post]]="Pre",1,0)+IF(ISNUMBER(Table442466657277[[#This Row],[Response]])=TRUE,1,0)=2,1,"")</f>
        <v/>
      </c>
      <c r="J89" s="5">
        <f>IF(IF(Table442466657277[[#This Row],[Pre or Post]]="Post",1,0)+IF(ISNUMBER(Table442466657277[[#This Row],[Response]])=TRUE,1,0)=2,1,"")</f>
        <v>1</v>
      </c>
      <c r="K89" s="6" t="str">
        <f>IF(IF(Table442466657277[[#This Row],[Pre or Post]]="Pre",1,0)+IF(ISNUMBER(Table442466657277[[#This Row],[Response]])=TRUE,1,0)=2,Table442466657277[[#This Row],[Response]],"")</f>
        <v/>
      </c>
      <c r="L89" s="6">
        <f>IF(IF(Table442466657277[[#This Row],[Pre or Post]]="Post",1,0)+IF(ISNUMBER(Table442466657277[[#This Row],[Response]])=TRUE,1,0)=2,Table442466657277[[#This Row],[Response]],"")</f>
        <v>5</v>
      </c>
      <c r="M89" s="5" t="str">
        <f>IF(IF(ISNUMBER(K89),1,0)+IF(ISNUMBER(L90),1,0)=2,IF(IF(C90=C89,1,0)+IF(B90=B89,1,0)+IF(D90="Post",1,0)+IF(D89="Pre",1,0)=4,Table442466657277[[#This Row],[Pre Total]],""),"")</f>
        <v/>
      </c>
      <c r="N89" s="5">
        <f>IF(IF(ISNUMBER(K88),1,0)+IF(ISNUMBER(Table442466657277[[#This Row],[Post Total]]),1,0)=2,IF(IF(Table442466657277[[#This Row],[Student Number]]=C88,1,0)+IF(Table442466657277[[#This Row],[Session]]=B88,1,0)+IF(Table442466657277[[#This Row],[Pre or Post]]="Post",1,0)+IF(D88="Pre",1,0)=4,Table442466657277[[#This Row],[Post Total]],""),"")</f>
        <v>5</v>
      </c>
      <c r="O89" s="5">
        <f>IF(IF(ISNUMBER(K88),1,0)+IF(ISNUMBER(Table442466657277[[#This Row],[Post Total]]),1,0)=2,IF(IF(Table442466657277[[#This Row],[Student Number]]=C88,1,0)+IF(Table442466657277[[#This Row],[Session]]=B88,1,0)+IF(Table442466657277[[#This Row],[Pre or Post]]="Post",1,0)+IF(D88="Pre",1,0)=4,Table442466657277[[#This Row],[Post Total]]-K88,""),"")</f>
        <v>4</v>
      </c>
      <c r="P89" s="5" t="b">
        <f>ISNUMBER(Table442466657277[[#This Row],[Change]])</f>
        <v>1</v>
      </c>
      <c r="Q89" s="5">
        <f>IF(E88="Yes",Table442466657277[[#This Row],[Change]],"")</f>
        <v>4</v>
      </c>
      <c r="R89" s="5" t="str">
        <f>IF(E88="No",Table442466657277[[#This Row],[Change]],"")</f>
        <v/>
      </c>
      <c r="S89" s="5" t="b">
        <f>ISNUMBER(Table442466657277[[#This Row],[If Pre6 Yes]])</f>
        <v>1</v>
      </c>
      <c r="T89" s="5" t="b">
        <f>ISNUMBER(Table442466657277[[#This Row],[If Pre6 No]])</f>
        <v>0</v>
      </c>
    </row>
    <row r="90" spans="1:20">
      <c r="A90" s="2" t="s">
        <v>24</v>
      </c>
      <c r="B90" s="2" t="s">
        <v>28</v>
      </c>
      <c r="C90" s="1">
        <v>2</v>
      </c>
      <c r="D90" s="1" t="s">
        <v>6</v>
      </c>
      <c r="E90" s="5" t="s">
        <v>8</v>
      </c>
      <c r="F90" s="1">
        <v>10</v>
      </c>
      <c r="G90" s="1">
        <v>2</v>
      </c>
      <c r="H90" s="2" t="s">
        <v>8</v>
      </c>
      <c r="I90" s="5">
        <f>IF(IF(Table442466657277[[#This Row],[Pre or Post]]="Pre",1,0)+IF(ISNUMBER(Table442466657277[[#This Row],[Response]])=TRUE,1,0)=2,1,"")</f>
        <v>1</v>
      </c>
      <c r="J90" s="5" t="str">
        <f>IF(IF(Table442466657277[[#This Row],[Pre or Post]]="Post",1,0)+IF(ISNUMBER(Table442466657277[[#This Row],[Response]])=TRUE,1,0)=2,1,"")</f>
        <v/>
      </c>
      <c r="K90" s="6">
        <f>IF(IF(Table442466657277[[#This Row],[Pre or Post]]="Pre",1,0)+IF(ISNUMBER(Table442466657277[[#This Row],[Response]])=TRUE,1,0)=2,Table442466657277[[#This Row],[Response]],"")</f>
        <v>2</v>
      </c>
      <c r="L90" s="6" t="str">
        <f>IF(IF(Table442466657277[[#This Row],[Pre or Post]]="Post",1,0)+IF(ISNUMBER(Table442466657277[[#This Row],[Response]])=TRUE,1,0)=2,Table442466657277[[#This Row],[Response]],"")</f>
        <v/>
      </c>
      <c r="M90" s="5">
        <f>IF(IF(ISNUMBER(K90),1,0)+IF(ISNUMBER(L91),1,0)=2,IF(IF(C91=C90,1,0)+IF(B91=B90,1,0)+IF(D91="Post",1,0)+IF(D90="Pre",1,0)=4,Table442466657277[[#This Row],[Pre Total]],""),"")</f>
        <v>2</v>
      </c>
      <c r="N90" s="5" t="str">
        <f>IF(IF(ISNUMBER(K89),1,0)+IF(ISNUMBER(Table442466657277[[#This Row],[Post Total]]),1,0)=2,IF(IF(Table442466657277[[#This Row],[Student Number]]=C89,1,0)+IF(Table442466657277[[#This Row],[Session]]=B89,1,0)+IF(Table442466657277[[#This Row],[Pre or Post]]="Post",1,0)+IF(D89="Pre",1,0)=4,Table442466657277[[#This Row],[Post Total]],""),"")</f>
        <v/>
      </c>
      <c r="O90" s="5" t="str">
        <f>IF(IF(ISNUMBER(K89),1,0)+IF(ISNUMBER(Table442466657277[[#This Row],[Post Total]]),1,0)=2,IF(IF(Table442466657277[[#This Row],[Student Number]]=C89,1,0)+IF(Table442466657277[[#This Row],[Session]]=B89,1,0)+IF(Table442466657277[[#This Row],[Pre or Post]]="Post",1,0)+IF(D89="Pre",1,0)=4,Table442466657277[[#This Row],[Post Total]]-K89,""),"")</f>
        <v/>
      </c>
      <c r="P90" s="5" t="b">
        <f>ISNUMBER(Table442466657277[[#This Row],[Change]])</f>
        <v>0</v>
      </c>
      <c r="Q90" s="5" t="str">
        <f>IF(E89="Yes",Table442466657277[[#This Row],[Change]],"")</f>
        <v/>
      </c>
      <c r="R90" s="5" t="str">
        <f>IF(E89="No",Table442466657277[[#This Row],[Change]],"")</f>
        <v/>
      </c>
      <c r="S90" s="5" t="b">
        <f>ISNUMBER(Table442466657277[[#This Row],[If Pre6 Yes]])</f>
        <v>0</v>
      </c>
      <c r="T90" s="5" t="b">
        <f>ISNUMBER(Table442466657277[[#This Row],[If Pre6 No]])</f>
        <v>0</v>
      </c>
    </row>
    <row r="91" spans="1:20">
      <c r="A91" s="2" t="s">
        <v>24</v>
      </c>
      <c r="B91" s="2" t="s">
        <v>28</v>
      </c>
      <c r="C91" s="1">
        <v>2</v>
      </c>
      <c r="D91" s="1" t="s">
        <v>16</v>
      </c>
      <c r="E91" s="5"/>
      <c r="F91" s="1">
        <v>6</v>
      </c>
      <c r="G91" s="2">
        <v>3</v>
      </c>
      <c r="H91" s="2" t="s">
        <v>8</v>
      </c>
      <c r="I91" s="6" t="str">
        <f>IF(IF(Table442466657277[[#This Row],[Pre or Post]]="Pre",1,0)+IF(ISNUMBER(Table442466657277[[#This Row],[Response]])=TRUE,1,0)=2,1,"")</f>
        <v/>
      </c>
      <c r="J91" s="6">
        <f>IF(IF(Table442466657277[[#This Row],[Pre or Post]]="Post",1,0)+IF(ISNUMBER(Table442466657277[[#This Row],[Response]])=TRUE,1,0)=2,1,"")</f>
        <v>1</v>
      </c>
      <c r="K91" s="6" t="str">
        <f>IF(IF(Table442466657277[[#This Row],[Pre or Post]]="Pre",1,0)+IF(ISNUMBER(Table442466657277[[#This Row],[Response]])=TRUE,1,0)=2,Table442466657277[[#This Row],[Response]],"")</f>
        <v/>
      </c>
      <c r="L91" s="6">
        <f>IF(IF(Table442466657277[[#This Row],[Pre or Post]]="Post",1,0)+IF(ISNUMBER(Table442466657277[[#This Row],[Response]])=TRUE,1,0)=2,Table442466657277[[#This Row],[Response]],"")</f>
        <v>3</v>
      </c>
      <c r="M91" s="6" t="str">
        <f>IF(IF(ISNUMBER(K91),1,0)+IF(ISNUMBER(L92),1,0)=2,IF(IF(C92=C91,1,0)+IF(B92=B91,1,0)+IF(D92="Post",1,0)+IF(D91="Pre",1,0)=4,Table442466657277[[#This Row],[Pre Total]],""),"")</f>
        <v/>
      </c>
      <c r="N91" s="6">
        <f>IF(IF(ISNUMBER(K90),1,0)+IF(ISNUMBER(Table442466657277[[#This Row],[Post Total]]),1,0)=2,IF(IF(Table442466657277[[#This Row],[Student Number]]=C90,1,0)+IF(Table442466657277[[#This Row],[Session]]=B90,1,0)+IF(Table442466657277[[#This Row],[Pre or Post]]="Post",1,0)+IF(D90="Pre",1,0)=4,Table442466657277[[#This Row],[Post Total]],""),"")</f>
        <v>3</v>
      </c>
      <c r="O91" s="6">
        <f>IF(IF(ISNUMBER(K90),1,0)+IF(ISNUMBER(Table442466657277[[#This Row],[Post Total]]),1,0)=2,IF(IF(Table442466657277[[#This Row],[Student Number]]=C90,1,0)+IF(Table442466657277[[#This Row],[Session]]=B90,1,0)+IF(Table442466657277[[#This Row],[Pre or Post]]="Post",1,0)+IF(D90="Pre",1,0)=4,Table442466657277[[#This Row],[Post Total]]-K90,""),"")</f>
        <v>1</v>
      </c>
      <c r="P91" s="6" t="b">
        <f>ISNUMBER(Table442466657277[[#This Row],[Change]])</f>
        <v>1</v>
      </c>
      <c r="Q91" s="5">
        <f>IF(E90="Yes",Table442466657277[[#This Row],[Change]],"")</f>
        <v>1</v>
      </c>
      <c r="R91" s="5" t="str">
        <f>IF(E90="No",Table442466657277[[#This Row],[Change]],"")</f>
        <v/>
      </c>
      <c r="S91" s="5" t="b">
        <f>ISNUMBER(Table442466657277[[#This Row],[If Pre6 Yes]])</f>
        <v>1</v>
      </c>
      <c r="T91" s="5" t="b">
        <f>ISNUMBER(Table442466657277[[#This Row],[If Pre6 No]])</f>
        <v>0</v>
      </c>
    </row>
    <row r="92" spans="1:20">
      <c r="A92" s="2" t="s">
        <v>24</v>
      </c>
      <c r="B92" s="2" t="s">
        <v>28</v>
      </c>
      <c r="C92" s="1">
        <v>3</v>
      </c>
      <c r="D92" s="1" t="s">
        <v>6</v>
      </c>
      <c r="E92" s="5" t="s">
        <v>8</v>
      </c>
      <c r="F92" s="1">
        <v>10</v>
      </c>
      <c r="G92" s="1">
        <v>2</v>
      </c>
      <c r="H92" s="2" t="s">
        <v>8</v>
      </c>
      <c r="I92" s="6">
        <f>IF(IF(Table442466657277[[#This Row],[Pre or Post]]="Pre",1,0)+IF(ISNUMBER(Table442466657277[[#This Row],[Response]])=TRUE,1,0)=2,1,"")</f>
        <v>1</v>
      </c>
      <c r="J92" s="6" t="str">
        <f>IF(IF(Table442466657277[[#This Row],[Pre or Post]]="Post",1,0)+IF(ISNUMBER(Table442466657277[[#This Row],[Response]])=TRUE,1,0)=2,1,"")</f>
        <v/>
      </c>
      <c r="K92" s="6">
        <f>IF(IF(Table442466657277[[#This Row],[Pre or Post]]="Pre",1,0)+IF(ISNUMBER(Table442466657277[[#This Row],[Response]])=TRUE,1,0)=2,Table442466657277[[#This Row],[Response]],"")</f>
        <v>2</v>
      </c>
      <c r="L92" s="6" t="str">
        <f>IF(IF(Table442466657277[[#This Row],[Pre or Post]]="Post",1,0)+IF(ISNUMBER(Table442466657277[[#This Row],[Response]])=TRUE,1,0)=2,Table442466657277[[#This Row],[Response]],"")</f>
        <v/>
      </c>
      <c r="M92" s="6">
        <f>IF(IF(ISNUMBER(K92),1,0)+IF(ISNUMBER(L93),1,0)=2,IF(IF(C93=C92,1,0)+IF(B93=B92,1,0)+IF(D93="Post",1,0)+IF(D92="Pre",1,0)=4,Table442466657277[[#This Row],[Pre Total]],""),"")</f>
        <v>2</v>
      </c>
      <c r="N92" s="6" t="str">
        <f>IF(IF(ISNUMBER(K91),1,0)+IF(ISNUMBER(Table442466657277[[#This Row],[Post Total]]),1,0)=2,IF(IF(Table442466657277[[#This Row],[Student Number]]=C91,1,0)+IF(Table442466657277[[#This Row],[Session]]=B91,1,0)+IF(Table442466657277[[#This Row],[Pre or Post]]="Post",1,0)+IF(D91="Pre",1,0)=4,Table442466657277[[#This Row],[Post Total]],""),"")</f>
        <v/>
      </c>
      <c r="O92" s="6" t="str">
        <f>IF(IF(ISNUMBER(K91),1,0)+IF(ISNUMBER(Table442466657277[[#This Row],[Post Total]]),1,0)=2,IF(IF(Table442466657277[[#This Row],[Student Number]]=C91,1,0)+IF(Table442466657277[[#This Row],[Session]]=B91,1,0)+IF(Table442466657277[[#This Row],[Pre or Post]]="Post",1,0)+IF(D91="Pre",1,0)=4,Table442466657277[[#This Row],[Post Total]]-K91,""),"")</f>
        <v/>
      </c>
      <c r="P92" s="6" t="b">
        <f>ISNUMBER(Table442466657277[[#This Row],[Change]])</f>
        <v>0</v>
      </c>
      <c r="Q92" s="5" t="str">
        <f>IF(E91="Yes",Table442466657277[[#This Row],[Change]],"")</f>
        <v/>
      </c>
      <c r="R92" s="5" t="str">
        <f>IF(E91="No",Table442466657277[[#This Row],[Change]],"")</f>
        <v/>
      </c>
      <c r="S92" s="5" t="b">
        <f>ISNUMBER(Table442466657277[[#This Row],[If Pre6 Yes]])</f>
        <v>0</v>
      </c>
      <c r="T92" s="5" t="b">
        <f>ISNUMBER(Table442466657277[[#This Row],[If Pre6 No]])</f>
        <v>0</v>
      </c>
    </row>
    <row r="93" spans="1:20">
      <c r="A93" s="2" t="s">
        <v>24</v>
      </c>
      <c r="B93" s="2" t="s">
        <v>28</v>
      </c>
      <c r="C93" s="1">
        <v>3</v>
      </c>
      <c r="D93" s="1" t="s">
        <v>16</v>
      </c>
      <c r="E93" s="5"/>
      <c r="F93" s="1">
        <v>6</v>
      </c>
      <c r="G93" s="2">
        <v>2</v>
      </c>
      <c r="H93" s="2" t="s">
        <v>8</v>
      </c>
      <c r="I93" s="5" t="str">
        <f>IF(IF(Table442466657277[[#This Row],[Pre or Post]]="Pre",1,0)+IF(ISNUMBER(Table442466657277[[#This Row],[Response]])=TRUE,1,0)=2,1,"")</f>
        <v/>
      </c>
      <c r="J93" s="5">
        <f>IF(IF(Table442466657277[[#This Row],[Pre or Post]]="Post",1,0)+IF(ISNUMBER(Table442466657277[[#This Row],[Response]])=TRUE,1,0)=2,1,"")</f>
        <v>1</v>
      </c>
      <c r="K93" s="6" t="str">
        <f>IF(IF(Table442466657277[[#This Row],[Pre or Post]]="Pre",1,0)+IF(ISNUMBER(Table442466657277[[#This Row],[Response]])=TRUE,1,0)=2,Table442466657277[[#This Row],[Response]],"")</f>
        <v/>
      </c>
      <c r="L93" s="6">
        <f>IF(IF(Table442466657277[[#This Row],[Pre or Post]]="Post",1,0)+IF(ISNUMBER(Table442466657277[[#This Row],[Response]])=TRUE,1,0)=2,Table442466657277[[#This Row],[Response]],"")</f>
        <v>2</v>
      </c>
      <c r="M93" s="5" t="str">
        <f>IF(IF(ISNUMBER(K93),1,0)+IF(ISNUMBER(L94),1,0)=2,IF(IF(C94=C93,1,0)+IF(B94=B93,1,0)+IF(D94="Post",1,0)+IF(D93="Pre",1,0)=4,Table442466657277[[#This Row],[Pre Total]],""),"")</f>
        <v/>
      </c>
      <c r="N93" s="5">
        <f>IF(IF(ISNUMBER(K92),1,0)+IF(ISNUMBER(Table442466657277[[#This Row],[Post Total]]),1,0)=2,IF(IF(Table442466657277[[#This Row],[Student Number]]=C92,1,0)+IF(Table442466657277[[#This Row],[Session]]=B92,1,0)+IF(Table442466657277[[#This Row],[Pre or Post]]="Post",1,0)+IF(D92="Pre",1,0)=4,Table442466657277[[#This Row],[Post Total]],""),"")</f>
        <v>2</v>
      </c>
      <c r="O93" s="5">
        <f>IF(IF(ISNUMBER(K92),1,0)+IF(ISNUMBER(Table442466657277[[#This Row],[Post Total]]),1,0)=2,IF(IF(Table442466657277[[#This Row],[Student Number]]=C92,1,0)+IF(Table442466657277[[#This Row],[Session]]=B92,1,0)+IF(Table442466657277[[#This Row],[Pre or Post]]="Post",1,0)+IF(D92="Pre",1,0)=4,Table442466657277[[#This Row],[Post Total]]-K92,""),"")</f>
        <v>0</v>
      </c>
      <c r="P93" s="5" t="b">
        <f>ISNUMBER(Table442466657277[[#This Row],[Change]])</f>
        <v>1</v>
      </c>
      <c r="Q93" s="5">
        <f>IF(E92="Yes",Table442466657277[[#This Row],[Change]],"")</f>
        <v>0</v>
      </c>
      <c r="R93" s="5" t="str">
        <f>IF(E92="No",Table442466657277[[#This Row],[Change]],"")</f>
        <v/>
      </c>
      <c r="S93" s="5" t="b">
        <f>ISNUMBER(Table442466657277[[#This Row],[If Pre6 Yes]])</f>
        <v>1</v>
      </c>
      <c r="T93" s="5" t="b">
        <f>ISNUMBER(Table442466657277[[#This Row],[If Pre6 No]])</f>
        <v>0</v>
      </c>
    </row>
    <row r="94" spans="1:20">
      <c r="A94" s="2" t="s">
        <v>24</v>
      </c>
      <c r="B94" s="2" t="s">
        <v>28</v>
      </c>
      <c r="C94" s="1">
        <v>4</v>
      </c>
      <c r="D94" s="1" t="s">
        <v>6</v>
      </c>
      <c r="E94" s="5" t="s">
        <v>8</v>
      </c>
      <c r="F94" s="1">
        <v>10</v>
      </c>
      <c r="G94" s="1">
        <v>3</v>
      </c>
      <c r="H94" s="2" t="s">
        <v>8</v>
      </c>
      <c r="I94" s="5">
        <f>IF(IF(Table442466657277[[#This Row],[Pre or Post]]="Pre",1,0)+IF(ISNUMBER(Table442466657277[[#This Row],[Response]])=TRUE,1,0)=2,1,"")</f>
        <v>1</v>
      </c>
      <c r="J94" s="5" t="str">
        <f>IF(IF(Table442466657277[[#This Row],[Pre or Post]]="Post",1,0)+IF(ISNUMBER(Table442466657277[[#This Row],[Response]])=TRUE,1,0)=2,1,"")</f>
        <v/>
      </c>
      <c r="K94" s="6">
        <f>IF(IF(Table442466657277[[#This Row],[Pre or Post]]="Pre",1,0)+IF(ISNUMBER(Table442466657277[[#This Row],[Response]])=TRUE,1,0)=2,Table442466657277[[#This Row],[Response]],"")</f>
        <v>3</v>
      </c>
      <c r="L94" s="6" t="str">
        <f>IF(IF(Table442466657277[[#This Row],[Pre or Post]]="Post",1,0)+IF(ISNUMBER(Table442466657277[[#This Row],[Response]])=TRUE,1,0)=2,Table442466657277[[#This Row],[Response]],"")</f>
        <v/>
      </c>
      <c r="M94" s="5">
        <f>IF(IF(ISNUMBER(K94),1,0)+IF(ISNUMBER(L95),1,0)=2,IF(IF(C95=C94,1,0)+IF(B95=B94,1,0)+IF(D95="Post",1,0)+IF(D94="Pre",1,0)=4,Table442466657277[[#This Row],[Pre Total]],""),"")</f>
        <v>3</v>
      </c>
      <c r="N94" s="5" t="str">
        <f>IF(IF(ISNUMBER(K93),1,0)+IF(ISNUMBER(Table442466657277[[#This Row],[Post Total]]),1,0)=2,IF(IF(Table442466657277[[#This Row],[Student Number]]=C93,1,0)+IF(Table442466657277[[#This Row],[Session]]=B93,1,0)+IF(Table442466657277[[#This Row],[Pre or Post]]="Post",1,0)+IF(D93="Pre",1,0)=4,Table442466657277[[#This Row],[Post Total]],""),"")</f>
        <v/>
      </c>
      <c r="O94" s="5" t="str">
        <f>IF(IF(ISNUMBER(K93),1,0)+IF(ISNUMBER(Table442466657277[[#This Row],[Post Total]]),1,0)=2,IF(IF(Table442466657277[[#This Row],[Student Number]]=C93,1,0)+IF(Table442466657277[[#This Row],[Session]]=B93,1,0)+IF(Table442466657277[[#This Row],[Pre or Post]]="Post",1,0)+IF(D93="Pre",1,0)=4,Table442466657277[[#This Row],[Post Total]]-K93,""),"")</f>
        <v/>
      </c>
      <c r="P94" s="5" t="b">
        <f>ISNUMBER(Table442466657277[[#This Row],[Change]])</f>
        <v>0</v>
      </c>
      <c r="Q94" s="5" t="str">
        <f>IF(E93="Yes",Table442466657277[[#This Row],[Change]],"")</f>
        <v/>
      </c>
      <c r="R94" s="5" t="str">
        <f>IF(E93="No",Table442466657277[[#This Row],[Change]],"")</f>
        <v/>
      </c>
      <c r="S94" s="5" t="b">
        <f>ISNUMBER(Table442466657277[[#This Row],[If Pre6 Yes]])</f>
        <v>0</v>
      </c>
      <c r="T94" s="5" t="b">
        <f>ISNUMBER(Table442466657277[[#This Row],[If Pre6 No]])</f>
        <v>0</v>
      </c>
    </row>
    <row r="95" spans="1:20">
      <c r="A95" s="2" t="s">
        <v>24</v>
      </c>
      <c r="B95" s="2" t="s">
        <v>28</v>
      </c>
      <c r="C95" s="1">
        <v>4</v>
      </c>
      <c r="D95" s="1" t="s">
        <v>16</v>
      </c>
      <c r="E95" s="5"/>
      <c r="F95" s="1">
        <v>6</v>
      </c>
      <c r="G95" s="2">
        <v>5</v>
      </c>
      <c r="H95" s="2" t="s">
        <v>8</v>
      </c>
      <c r="I95" s="6" t="str">
        <f>IF(IF(Table442466657277[[#This Row],[Pre or Post]]="Pre",1,0)+IF(ISNUMBER(Table442466657277[[#This Row],[Response]])=TRUE,1,0)=2,1,"")</f>
        <v/>
      </c>
      <c r="J95" s="6">
        <f>IF(IF(Table442466657277[[#This Row],[Pre or Post]]="Post",1,0)+IF(ISNUMBER(Table442466657277[[#This Row],[Response]])=TRUE,1,0)=2,1,"")</f>
        <v>1</v>
      </c>
      <c r="K95" s="6" t="str">
        <f>IF(IF(Table442466657277[[#This Row],[Pre or Post]]="Pre",1,0)+IF(ISNUMBER(Table442466657277[[#This Row],[Response]])=TRUE,1,0)=2,Table442466657277[[#This Row],[Response]],"")</f>
        <v/>
      </c>
      <c r="L95" s="6">
        <f>IF(IF(Table442466657277[[#This Row],[Pre or Post]]="Post",1,0)+IF(ISNUMBER(Table442466657277[[#This Row],[Response]])=TRUE,1,0)=2,Table442466657277[[#This Row],[Response]],"")</f>
        <v>5</v>
      </c>
      <c r="M95" s="6" t="str">
        <f>IF(IF(ISNUMBER(K95),1,0)+IF(ISNUMBER(L96),1,0)=2,IF(IF(C96=C95,1,0)+IF(B96=B95,1,0)+IF(D96="Post",1,0)+IF(D95="Pre",1,0)=4,Table442466657277[[#This Row],[Pre Total]],""),"")</f>
        <v/>
      </c>
      <c r="N95" s="6">
        <f>IF(IF(ISNUMBER(K94),1,0)+IF(ISNUMBER(Table442466657277[[#This Row],[Post Total]]),1,0)=2,IF(IF(Table442466657277[[#This Row],[Student Number]]=C94,1,0)+IF(Table442466657277[[#This Row],[Session]]=B94,1,0)+IF(Table442466657277[[#This Row],[Pre or Post]]="Post",1,0)+IF(D94="Pre",1,0)=4,Table442466657277[[#This Row],[Post Total]],""),"")</f>
        <v>5</v>
      </c>
      <c r="O95" s="6">
        <f>IF(IF(ISNUMBER(K94),1,0)+IF(ISNUMBER(Table442466657277[[#This Row],[Post Total]]),1,0)=2,IF(IF(Table442466657277[[#This Row],[Student Number]]=C94,1,0)+IF(Table442466657277[[#This Row],[Session]]=B94,1,0)+IF(Table442466657277[[#This Row],[Pre or Post]]="Post",1,0)+IF(D94="Pre",1,0)=4,Table442466657277[[#This Row],[Post Total]]-K94,""),"")</f>
        <v>2</v>
      </c>
      <c r="P95" s="6" t="b">
        <f>ISNUMBER(Table442466657277[[#This Row],[Change]])</f>
        <v>1</v>
      </c>
      <c r="Q95" s="5">
        <f>IF(E94="Yes",Table442466657277[[#This Row],[Change]],"")</f>
        <v>2</v>
      </c>
      <c r="R95" s="5" t="str">
        <f>IF(E94="No",Table442466657277[[#This Row],[Change]],"")</f>
        <v/>
      </c>
      <c r="S95" s="5" t="b">
        <f>ISNUMBER(Table442466657277[[#This Row],[If Pre6 Yes]])</f>
        <v>1</v>
      </c>
      <c r="T95" s="5" t="b">
        <f>ISNUMBER(Table442466657277[[#This Row],[If Pre6 No]])</f>
        <v>0</v>
      </c>
    </row>
    <row r="96" spans="1:20">
      <c r="A96" s="2" t="s">
        <v>24</v>
      </c>
      <c r="B96" s="2" t="s">
        <v>28</v>
      </c>
      <c r="C96" s="1">
        <v>5</v>
      </c>
      <c r="D96" s="1" t="s">
        <v>6</v>
      </c>
      <c r="E96" s="5" t="s">
        <v>8</v>
      </c>
      <c r="F96" s="1">
        <v>10</v>
      </c>
      <c r="G96" s="1">
        <v>3</v>
      </c>
      <c r="H96" s="2" t="s">
        <v>8</v>
      </c>
      <c r="I96" s="6">
        <f>IF(IF(Table442466657277[[#This Row],[Pre or Post]]="Pre",1,0)+IF(ISNUMBER(Table442466657277[[#This Row],[Response]])=TRUE,1,0)=2,1,"")</f>
        <v>1</v>
      </c>
      <c r="J96" s="6" t="str">
        <f>IF(IF(Table442466657277[[#This Row],[Pre or Post]]="Post",1,0)+IF(ISNUMBER(Table442466657277[[#This Row],[Response]])=TRUE,1,0)=2,1,"")</f>
        <v/>
      </c>
      <c r="K96" s="6">
        <f>IF(IF(Table442466657277[[#This Row],[Pre or Post]]="Pre",1,0)+IF(ISNUMBER(Table442466657277[[#This Row],[Response]])=TRUE,1,0)=2,Table442466657277[[#This Row],[Response]],"")</f>
        <v>3</v>
      </c>
      <c r="L96" s="6" t="str">
        <f>IF(IF(Table442466657277[[#This Row],[Pre or Post]]="Post",1,0)+IF(ISNUMBER(Table442466657277[[#This Row],[Response]])=TRUE,1,0)=2,Table442466657277[[#This Row],[Response]],"")</f>
        <v/>
      </c>
      <c r="M96" s="6">
        <f>IF(IF(ISNUMBER(K96),1,0)+IF(ISNUMBER(L97),1,0)=2,IF(IF(C97=C96,1,0)+IF(B97=B96,1,0)+IF(D97="Post",1,0)+IF(D96="Pre",1,0)=4,Table442466657277[[#This Row],[Pre Total]],""),"")</f>
        <v>3</v>
      </c>
      <c r="N96" s="6" t="str">
        <f>IF(IF(ISNUMBER(K95),1,0)+IF(ISNUMBER(Table442466657277[[#This Row],[Post Total]]),1,0)=2,IF(IF(Table442466657277[[#This Row],[Student Number]]=C95,1,0)+IF(Table442466657277[[#This Row],[Session]]=B95,1,0)+IF(Table442466657277[[#This Row],[Pre or Post]]="Post",1,0)+IF(D95="Pre",1,0)=4,Table442466657277[[#This Row],[Post Total]],""),"")</f>
        <v/>
      </c>
      <c r="O96" s="6" t="str">
        <f>IF(IF(ISNUMBER(K95),1,0)+IF(ISNUMBER(Table442466657277[[#This Row],[Post Total]]),1,0)=2,IF(IF(Table442466657277[[#This Row],[Student Number]]=C95,1,0)+IF(Table442466657277[[#This Row],[Session]]=B95,1,0)+IF(Table442466657277[[#This Row],[Pre or Post]]="Post",1,0)+IF(D95="Pre",1,0)=4,Table442466657277[[#This Row],[Post Total]]-K95,""),"")</f>
        <v/>
      </c>
      <c r="P96" s="6" t="b">
        <f>ISNUMBER(Table442466657277[[#This Row],[Change]])</f>
        <v>0</v>
      </c>
      <c r="Q96" s="5" t="str">
        <f>IF(E95="Yes",Table442466657277[[#This Row],[Change]],"")</f>
        <v/>
      </c>
      <c r="R96" s="5" t="str">
        <f>IF(E95="No",Table442466657277[[#This Row],[Change]],"")</f>
        <v/>
      </c>
      <c r="S96" s="5" t="b">
        <f>ISNUMBER(Table442466657277[[#This Row],[If Pre6 Yes]])</f>
        <v>0</v>
      </c>
      <c r="T96" s="5" t="b">
        <f>ISNUMBER(Table442466657277[[#This Row],[If Pre6 No]])</f>
        <v>0</v>
      </c>
    </row>
    <row r="97" spans="1:20">
      <c r="A97" s="2" t="s">
        <v>24</v>
      </c>
      <c r="B97" s="2" t="s">
        <v>28</v>
      </c>
      <c r="C97" s="1">
        <v>5</v>
      </c>
      <c r="D97" s="1" t="s">
        <v>16</v>
      </c>
      <c r="E97" s="5"/>
      <c r="F97" s="1">
        <v>6</v>
      </c>
      <c r="G97" s="2">
        <v>3</v>
      </c>
      <c r="H97" s="2" t="s">
        <v>8</v>
      </c>
      <c r="I97" s="6" t="str">
        <f>IF(IF(Table442466657277[[#This Row],[Pre or Post]]="Pre",1,0)+IF(ISNUMBER(Table442466657277[[#This Row],[Response]])=TRUE,1,0)=2,1,"")</f>
        <v/>
      </c>
      <c r="J97" s="6">
        <f>IF(IF(Table442466657277[[#This Row],[Pre or Post]]="Post",1,0)+IF(ISNUMBER(Table442466657277[[#This Row],[Response]])=TRUE,1,0)=2,1,"")</f>
        <v>1</v>
      </c>
      <c r="K97" s="6" t="str">
        <f>IF(IF(Table442466657277[[#This Row],[Pre or Post]]="Pre",1,0)+IF(ISNUMBER(Table442466657277[[#This Row],[Response]])=TRUE,1,0)=2,Table442466657277[[#This Row],[Response]],"")</f>
        <v/>
      </c>
      <c r="L97" s="6">
        <f>IF(IF(Table442466657277[[#This Row],[Pre or Post]]="Post",1,0)+IF(ISNUMBER(Table442466657277[[#This Row],[Response]])=TRUE,1,0)=2,Table442466657277[[#This Row],[Response]],"")</f>
        <v>3</v>
      </c>
      <c r="M97" s="6" t="str">
        <f>IF(IF(ISNUMBER(K97),1,0)+IF(ISNUMBER(L98),1,0)=2,IF(IF(C98=C97,1,0)+IF(B98=B97,1,0)+IF(D98="Post",1,0)+IF(D97="Pre",1,0)=4,Table442466657277[[#This Row],[Pre Total]],""),"")</f>
        <v/>
      </c>
      <c r="N97" s="6">
        <f>IF(IF(ISNUMBER(K96),1,0)+IF(ISNUMBER(Table442466657277[[#This Row],[Post Total]]),1,0)=2,IF(IF(Table442466657277[[#This Row],[Student Number]]=C96,1,0)+IF(Table442466657277[[#This Row],[Session]]=B96,1,0)+IF(Table442466657277[[#This Row],[Pre or Post]]="Post",1,0)+IF(D96="Pre",1,0)=4,Table442466657277[[#This Row],[Post Total]],""),"")</f>
        <v>3</v>
      </c>
      <c r="O97" s="6">
        <f>IF(IF(ISNUMBER(K96),1,0)+IF(ISNUMBER(Table442466657277[[#This Row],[Post Total]]),1,0)=2,IF(IF(Table442466657277[[#This Row],[Student Number]]=C96,1,0)+IF(Table442466657277[[#This Row],[Session]]=B96,1,0)+IF(Table442466657277[[#This Row],[Pre or Post]]="Post",1,0)+IF(D96="Pre",1,0)=4,Table442466657277[[#This Row],[Post Total]]-K96,""),"")</f>
        <v>0</v>
      </c>
      <c r="P97" s="6" t="b">
        <f>ISNUMBER(Table442466657277[[#This Row],[Change]])</f>
        <v>1</v>
      </c>
      <c r="Q97" s="5">
        <f>IF(E96="Yes",Table442466657277[[#This Row],[Change]],"")</f>
        <v>0</v>
      </c>
      <c r="R97" s="5" t="str">
        <f>IF(E96="No",Table442466657277[[#This Row],[Change]],"")</f>
        <v/>
      </c>
      <c r="S97" s="5" t="b">
        <f>ISNUMBER(Table442466657277[[#This Row],[If Pre6 Yes]])</f>
        <v>1</v>
      </c>
      <c r="T97" s="5" t="b">
        <f>ISNUMBER(Table442466657277[[#This Row],[If Pre6 No]])</f>
        <v>0</v>
      </c>
    </row>
    <row r="98" spans="1:20">
      <c r="A98" s="2" t="s">
        <v>24</v>
      </c>
      <c r="B98" s="2" t="s">
        <v>28</v>
      </c>
      <c r="C98" s="1">
        <v>6</v>
      </c>
      <c r="D98" s="1" t="s">
        <v>6</v>
      </c>
      <c r="E98" s="5" t="s">
        <v>8</v>
      </c>
      <c r="F98" s="1">
        <v>10</v>
      </c>
      <c r="G98" s="1">
        <v>2</v>
      </c>
      <c r="H98" s="2" t="s">
        <v>8</v>
      </c>
      <c r="I98" s="6">
        <f>IF(IF(Table442466657277[[#This Row],[Pre or Post]]="Pre",1,0)+IF(ISNUMBER(Table442466657277[[#This Row],[Response]])=TRUE,1,0)=2,1,"")</f>
        <v>1</v>
      </c>
      <c r="J98" s="6" t="str">
        <f>IF(IF(Table442466657277[[#This Row],[Pre or Post]]="Post",1,0)+IF(ISNUMBER(Table442466657277[[#This Row],[Response]])=TRUE,1,0)=2,1,"")</f>
        <v/>
      </c>
      <c r="K98" s="6">
        <f>IF(IF(Table442466657277[[#This Row],[Pre or Post]]="Pre",1,0)+IF(ISNUMBER(Table442466657277[[#This Row],[Response]])=TRUE,1,0)=2,Table442466657277[[#This Row],[Response]],"")</f>
        <v>2</v>
      </c>
      <c r="L98" s="6" t="str">
        <f>IF(IF(Table442466657277[[#This Row],[Pre or Post]]="Post",1,0)+IF(ISNUMBER(Table442466657277[[#This Row],[Response]])=TRUE,1,0)=2,Table442466657277[[#This Row],[Response]],"")</f>
        <v/>
      </c>
      <c r="M98" s="6">
        <f>IF(IF(ISNUMBER(K98),1,0)+IF(ISNUMBER(L99),1,0)=2,IF(IF(C99=C98,1,0)+IF(B99=B98,1,0)+IF(D99="Post",1,0)+IF(D98="Pre",1,0)=4,Table442466657277[[#This Row],[Pre Total]],""),"")</f>
        <v>2</v>
      </c>
      <c r="N98" s="6" t="str">
        <f>IF(IF(ISNUMBER(K97),1,0)+IF(ISNUMBER(Table442466657277[[#This Row],[Post Total]]),1,0)=2,IF(IF(Table442466657277[[#This Row],[Student Number]]=C97,1,0)+IF(Table442466657277[[#This Row],[Session]]=B97,1,0)+IF(Table442466657277[[#This Row],[Pre or Post]]="Post",1,0)+IF(D97="Pre",1,0)=4,Table442466657277[[#This Row],[Post Total]],""),"")</f>
        <v/>
      </c>
      <c r="O98" s="6" t="str">
        <f>IF(IF(ISNUMBER(K97),1,0)+IF(ISNUMBER(Table442466657277[[#This Row],[Post Total]]),1,0)=2,IF(IF(Table442466657277[[#This Row],[Student Number]]=C97,1,0)+IF(Table442466657277[[#This Row],[Session]]=B97,1,0)+IF(Table442466657277[[#This Row],[Pre or Post]]="Post",1,0)+IF(D97="Pre",1,0)=4,Table442466657277[[#This Row],[Post Total]]-K97,""),"")</f>
        <v/>
      </c>
      <c r="P98" s="6" t="b">
        <f>ISNUMBER(Table442466657277[[#This Row],[Change]])</f>
        <v>0</v>
      </c>
      <c r="Q98" s="5" t="str">
        <f>IF(E97="Yes",Table442466657277[[#This Row],[Change]],"")</f>
        <v/>
      </c>
      <c r="R98" s="5" t="str">
        <f>IF(E97="No",Table442466657277[[#This Row],[Change]],"")</f>
        <v/>
      </c>
      <c r="S98" s="5" t="b">
        <f>ISNUMBER(Table442466657277[[#This Row],[If Pre6 Yes]])</f>
        <v>0</v>
      </c>
      <c r="T98" s="5" t="b">
        <f>ISNUMBER(Table442466657277[[#This Row],[If Pre6 No]])</f>
        <v>0</v>
      </c>
    </row>
    <row r="99" spans="1:20">
      <c r="A99" s="2" t="s">
        <v>24</v>
      </c>
      <c r="B99" s="2" t="s">
        <v>28</v>
      </c>
      <c r="C99" s="1">
        <v>6</v>
      </c>
      <c r="D99" s="1" t="s">
        <v>16</v>
      </c>
      <c r="E99" s="5"/>
      <c r="F99" s="1">
        <v>6</v>
      </c>
      <c r="G99" s="2">
        <v>4</v>
      </c>
      <c r="H99" s="2" t="s">
        <v>8</v>
      </c>
      <c r="I99" s="5" t="str">
        <f>IF(IF(Table442466657277[[#This Row],[Pre or Post]]="Pre",1,0)+IF(ISNUMBER(Table442466657277[[#This Row],[Response]])=TRUE,1,0)=2,1,"")</f>
        <v/>
      </c>
      <c r="J99" s="5">
        <f>IF(IF(Table442466657277[[#This Row],[Pre or Post]]="Post",1,0)+IF(ISNUMBER(Table442466657277[[#This Row],[Response]])=TRUE,1,0)=2,1,"")</f>
        <v>1</v>
      </c>
      <c r="K99" s="6" t="str">
        <f>IF(IF(Table442466657277[[#This Row],[Pre or Post]]="Pre",1,0)+IF(ISNUMBER(Table442466657277[[#This Row],[Response]])=TRUE,1,0)=2,Table442466657277[[#This Row],[Response]],"")</f>
        <v/>
      </c>
      <c r="L99" s="6">
        <f>IF(IF(Table442466657277[[#This Row],[Pre or Post]]="Post",1,0)+IF(ISNUMBER(Table442466657277[[#This Row],[Response]])=TRUE,1,0)=2,Table442466657277[[#This Row],[Response]],"")</f>
        <v>4</v>
      </c>
      <c r="M99" s="5" t="str">
        <f>IF(IF(ISNUMBER(K99),1,0)+IF(ISNUMBER(L100),1,0)=2,IF(IF(C100=C99,1,0)+IF(B100=B99,1,0)+IF(D100="Post",1,0)+IF(D99="Pre",1,0)=4,Table442466657277[[#This Row],[Pre Total]],""),"")</f>
        <v/>
      </c>
      <c r="N99" s="5">
        <f>IF(IF(ISNUMBER(K98),1,0)+IF(ISNUMBER(Table442466657277[[#This Row],[Post Total]]),1,0)=2,IF(IF(Table442466657277[[#This Row],[Student Number]]=C98,1,0)+IF(Table442466657277[[#This Row],[Session]]=B98,1,0)+IF(Table442466657277[[#This Row],[Pre or Post]]="Post",1,0)+IF(D98="Pre",1,0)=4,Table442466657277[[#This Row],[Post Total]],""),"")</f>
        <v>4</v>
      </c>
      <c r="O99" s="5">
        <f>IF(IF(ISNUMBER(K98),1,0)+IF(ISNUMBER(Table442466657277[[#This Row],[Post Total]]),1,0)=2,IF(IF(Table442466657277[[#This Row],[Student Number]]=C98,1,0)+IF(Table442466657277[[#This Row],[Session]]=B98,1,0)+IF(Table442466657277[[#This Row],[Pre or Post]]="Post",1,0)+IF(D98="Pre",1,0)=4,Table442466657277[[#This Row],[Post Total]]-K98,""),"")</f>
        <v>2</v>
      </c>
      <c r="P99" s="5" t="b">
        <f>ISNUMBER(Table442466657277[[#This Row],[Change]])</f>
        <v>1</v>
      </c>
      <c r="Q99" s="5">
        <f>IF(E98="Yes",Table442466657277[[#This Row],[Change]],"")</f>
        <v>2</v>
      </c>
      <c r="R99" s="5" t="str">
        <f>IF(E98="No",Table442466657277[[#This Row],[Change]],"")</f>
        <v/>
      </c>
      <c r="S99" s="5" t="b">
        <f>ISNUMBER(Table442466657277[[#This Row],[If Pre6 Yes]])</f>
        <v>1</v>
      </c>
      <c r="T99" s="5" t="b">
        <f>ISNUMBER(Table442466657277[[#This Row],[If Pre6 No]])</f>
        <v>0</v>
      </c>
    </row>
    <row r="100" spans="1:20">
      <c r="A100" s="2" t="s">
        <v>24</v>
      </c>
      <c r="B100" s="2" t="s">
        <v>28</v>
      </c>
      <c r="C100" s="1">
        <v>7</v>
      </c>
      <c r="D100" s="1" t="s">
        <v>6</v>
      </c>
      <c r="E100" s="5" t="s">
        <v>8</v>
      </c>
      <c r="F100" s="1">
        <v>10</v>
      </c>
      <c r="G100" s="1">
        <v>2</v>
      </c>
      <c r="H100" s="2" t="s">
        <v>8</v>
      </c>
      <c r="I100" s="5">
        <f>IF(IF(Table442466657277[[#This Row],[Pre or Post]]="Pre",1,0)+IF(ISNUMBER(Table442466657277[[#This Row],[Response]])=TRUE,1,0)=2,1,"")</f>
        <v>1</v>
      </c>
      <c r="J100" s="5" t="str">
        <f>IF(IF(Table442466657277[[#This Row],[Pre or Post]]="Post",1,0)+IF(ISNUMBER(Table442466657277[[#This Row],[Response]])=TRUE,1,0)=2,1,"")</f>
        <v/>
      </c>
      <c r="K100" s="6">
        <f>IF(IF(Table442466657277[[#This Row],[Pre or Post]]="Pre",1,0)+IF(ISNUMBER(Table442466657277[[#This Row],[Response]])=TRUE,1,0)=2,Table442466657277[[#This Row],[Response]],"")</f>
        <v>2</v>
      </c>
      <c r="L100" s="6" t="str">
        <f>IF(IF(Table442466657277[[#This Row],[Pre or Post]]="Post",1,0)+IF(ISNUMBER(Table442466657277[[#This Row],[Response]])=TRUE,1,0)=2,Table442466657277[[#This Row],[Response]],"")</f>
        <v/>
      </c>
      <c r="M100" s="5">
        <f>IF(IF(ISNUMBER(K100),1,0)+IF(ISNUMBER(L101),1,0)=2,IF(IF(C101=C100,1,0)+IF(B101=B100,1,0)+IF(D101="Post",1,0)+IF(D100="Pre",1,0)=4,Table442466657277[[#This Row],[Pre Total]],""),"")</f>
        <v>2</v>
      </c>
      <c r="N100" s="5" t="str">
        <f>IF(IF(ISNUMBER(K99),1,0)+IF(ISNUMBER(Table442466657277[[#This Row],[Post Total]]),1,0)=2,IF(IF(Table442466657277[[#This Row],[Student Number]]=C99,1,0)+IF(Table442466657277[[#This Row],[Session]]=B99,1,0)+IF(Table442466657277[[#This Row],[Pre or Post]]="Post",1,0)+IF(D99="Pre",1,0)=4,Table442466657277[[#This Row],[Post Total]],""),"")</f>
        <v/>
      </c>
      <c r="O100" s="5" t="str">
        <f>IF(IF(ISNUMBER(K99),1,0)+IF(ISNUMBER(Table442466657277[[#This Row],[Post Total]]),1,0)=2,IF(IF(Table442466657277[[#This Row],[Student Number]]=C99,1,0)+IF(Table442466657277[[#This Row],[Session]]=B99,1,0)+IF(Table442466657277[[#This Row],[Pre or Post]]="Post",1,0)+IF(D99="Pre",1,0)=4,Table442466657277[[#This Row],[Post Total]]-K99,""),"")</f>
        <v/>
      </c>
      <c r="P100" s="5" t="b">
        <f>ISNUMBER(Table442466657277[[#This Row],[Change]])</f>
        <v>0</v>
      </c>
      <c r="Q100" s="5" t="str">
        <f>IF(E99="Yes",Table442466657277[[#This Row],[Change]],"")</f>
        <v/>
      </c>
      <c r="R100" s="5" t="str">
        <f>IF(E99="No",Table442466657277[[#This Row],[Change]],"")</f>
        <v/>
      </c>
      <c r="S100" s="5" t="b">
        <f>ISNUMBER(Table442466657277[[#This Row],[If Pre6 Yes]])</f>
        <v>0</v>
      </c>
      <c r="T100" s="5" t="b">
        <f>ISNUMBER(Table442466657277[[#This Row],[If Pre6 No]])</f>
        <v>0</v>
      </c>
    </row>
    <row r="101" spans="1:20">
      <c r="A101" s="2" t="s">
        <v>24</v>
      </c>
      <c r="B101" s="2" t="s">
        <v>28</v>
      </c>
      <c r="C101" s="1">
        <v>7</v>
      </c>
      <c r="D101" s="1" t="s">
        <v>16</v>
      </c>
      <c r="E101" s="5"/>
      <c r="F101" s="1">
        <v>6</v>
      </c>
      <c r="G101" s="2">
        <v>4</v>
      </c>
      <c r="H101" s="2" t="s">
        <v>8</v>
      </c>
      <c r="I101" s="5" t="str">
        <f>IF(IF(Table442466657277[[#This Row],[Pre or Post]]="Pre",1,0)+IF(ISNUMBER(Table442466657277[[#This Row],[Response]])=TRUE,1,0)=2,1,"")</f>
        <v/>
      </c>
      <c r="J101" s="5">
        <f>IF(IF(Table442466657277[[#This Row],[Pre or Post]]="Post",1,0)+IF(ISNUMBER(Table442466657277[[#This Row],[Response]])=TRUE,1,0)=2,1,"")</f>
        <v>1</v>
      </c>
      <c r="K101" s="6" t="str">
        <f>IF(IF(Table442466657277[[#This Row],[Pre or Post]]="Pre",1,0)+IF(ISNUMBER(Table442466657277[[#This Row],[Response]])=TRUE,1,0)=2,Table442466657277[[#This Row],[Response]],"")</f>
        <v/>
      </c>
      <c r="L101" s="6">
        <f>IF(IF(Table442466657277[[#This Row],[Pre or Post]]="Post",1,0)+IF(ISNUMBER(Table442466657277[[#This Row],[Response]])=TRUE,1,0)=2,Table442466657277[[#This Row],[Response]],"")</f>
        <v>4</v>
      </c>
      <c r="M101" s="5" t="str">
        <f>IF(IF(ISNUMBER(K101),1,0)+IF(ISNUMBER(L102),1,0)=2,IF(IF(C102=C101,1,0)+IF(B102=B101,1,0)+IF(D102="Post",1,0)+IF(D101="Pre",1,0)=4,Table442466657277[[#This Row],[Pre Total]],""),"")</f>
        <v/>
      </c>
      <c r="N101" s="5">
        <f>IF(IF(ISNUMBER(K100),1,0)+IF(ISNUMBER(Table442466657277[[#This Row],[Post Total]]),1,0)=2,IF(IF(Table442466657277[[#This Row],[Student Number]]=C100,1,0)+IF(Table442466657277[[#This Row],[Session]]=B100,1,0)+IF(Table442466657277[[#This Row],[Pre or Post]]="Post",1,0)+IF(D100="Pre",1,0)=4,Table442466657277[[#This Row],[Post Total]],""),"")</f>
        <v>4</v>
      </c>
      <c r="O101" s="5">
        <f>IF(IF(ISNUMBER(K100),1,0)+IF(ISNUMBER(Table442466657277[[#This Row],[Post Total]]),1,0)=2,IF(IF(Table442466657277[[#This Row],[Student Number]]=C100,1,0)+IF(Table442466657277[[#This Row],[Session]]=B100,1,0)+IF(Table442466657277[[#This Row],[Pre or Post]]="Post",1,0)+IF(D100="Pre",1,0)=4,Table442466657277[[#This Row],[Post Total]]-K100,""),"")</f>
        <v>2</v>
      </c>
      <c r="P101" s="5" t="b">
        <f>ISNUMBER(Table442466657277[[#This Row],[Change]])</f>
        <v>1</v>
      </c>
      <c r="Q101" s="5">
        <f>IF(E100="Yes",Table442466657277[[#This Row],[Change]],"")</f>
        <v>2</v>
      </c>
      <c r="R101" s="5" t="str">
        <f>IF(E100="No",Table442466657277[[#This Row],[Change]],"")</f>
        <v/>
      </c>
      <c r="S101" s="5" t="b">
        <f>ISNUMBER(Table442466657277[[#This Row],[If Pre6 Yes]])</f>
        <v>1</v>
      </c>
      <c r="T101" s="5" t="b">
        <f>ISNUMBER(Table442466657277[[#This Row],[If Pre6 No]])</f>
        <v>0</v>
      </c>
    </row>
    <row r="102" spans="1:20">
      <c r="A102" s="2" t="s">
        <v>24</v>
      </c>
      <c r="B102" s="2" t="s">
        <v>28</v>
      </c>
      <c r="C102" s="1">
        <v>8</v>
      </c>
      <c r="D102" s="1" t="s">
        <v>6</v>
      </c>
      <c r="E102" s="5" t="s">
        <v>8</v>
      </c>
      <c r="F102" s="1">
        <v>10</v>
      </c>
      <c r="G102" s="1">
        <v>2</v>
      </c>
      <c r="H102" s="2" t="s">
        <v>8</v>
      </c>
      <c r="I102" s="5">
        <f>IF(IF(Table442466657277[[#This Row],[Pre or Post]]="Pre",1,0)+IF(ISNUMBER(Table442466657277[[#This Row],[Response]])=TRUE,1,0)=2,1,"")</f>
        <v>1</v>
      </c>
      <c r="J102" s="5" t="str">
        <f>IF(IF(Table442466657277[[#This Row],[Pre or Post]]="Post",1,0)+IF(ISNUMBER(Table442466657277[[#This Row],[Response]])=TRUE,1,0)=2,1,"")</f>
        <v/>
      </c>
      <c r="K102" s="6">
        <f>IF(IF(Table442466657277[[#This Row],[Pre or Post]]="Pre",1,0)+IF(ISNUMBER(Table442466657277[[#This Row],[Response]])=TRUE,1,0)=2,Table442466657277[[#This Row],[Response]],"")</f>
        <v>2</v>
      </c>
      <c r="L102" s="6" t="str">
        <f>IF(IF(Table442466657277[[#This Row],[Pre or Post]]="Post",1,0)+IF(ISNUMBER(Table442466657277[[#This Row],[Response]])=TRUE,1,0)=2,Table442466657277[[#This Row],[Response]],"")</f>
        <v/>
      </c>
      <c r="M102" s="5">
        <f>IF(IF(ISNUMBER(K102),1,0)+IF(ISNUMBER(L103),1,0)=2,IF(IF(C103=C102,1,0)+IF(B103=B102,1,0)+IF(D103="Post",1,0)+IF(D102="Pre",1,0)=4,Table442466657277[[#This Row],[Pre Total]],""),"")</f>
        <v>2</v>
      </c>
      <c r="N102" s="5" t="str">
        <f>IF(IF(ISNUMBER(K101),1,0)+IF(ISNUMBER(Table442466657277[[#This Row],[Post Total]]),1,0)=2,IF(IF(Table442466657277[[#This Row],[Student Number]]=C101,1,0)+IF(Table442466657277[[#This Row],[Session]]=B101,1,0)+IF(Table442466657277[[#This Row],[Pre or Post]]="Post",1,0)+IF(D101="Pre",1,0)=4,Table442466657277[[#This Row],[Post Total]],""),"")</f>
        <v/>
      </c>
      <c r="O102" s="5" t="str">
        <f>IF(IF(ISNUMBER(K101),1,0)+IF(ISNUMBER(Table442466657277[[#This Row],[Post Total]]),1,0)=2,IF(IF(Table442466657277[[#This Row],[Student Number]]=C101,1,0)+IF(Table442466657277[[#This Row],[Session]]=B101,1,0)+IF(Table442466657277[[#This Row],[Pre or Post]]="Post",1,0)+IF(D101="Pre",1,0)=4,Table442466657277[[#This Row],[Post Total]]-K101,""),"")</f>
        <v/>
      </c>
      <c r="P102" s="5" t="b">
        <f>ISNUMBER(Table442466657277[[#This Row],[Change]])</f>
        <v>0</v>
      </c>
      <c r="Q102" s="5" t="str">
        <f>IF(E101="Yes",Table442466657277[[#This Row],[Change]],"")</f>
        <v/>
      </c>
      <c r="R102" s="5" t="str">
        <f>IF(E101="No",Table442466657277[[#This Row],[Change]],"")</f>
        <v/>
      </c>
      <c r="S102" s="5" t="b">
        <f>ISNUMBER(Table442466657277[[#This Row],[If Pre6 Yes]])</f>
        <v>0</v>
      </c>
      <c r="T102" s="5" t="b">
        <f>ISNUMBER(Table442466657277[[#This Row],[If Pre6 No]])</f>
        <v>0</v>
      </c>
    </row>
    <row r="103" spans="1:20">
      <c r="A103" s="2" t="s">
        <v>24</v>
      </c>
      <c r="B103" s="2" t="s">
        <v>28</v>
      </c>
      <c r="C103" s="1">
        <v>8</v>
      </c>
      <c r="D103" s="1" t="s">
        <v>16</v>
      </c>
      <c r="E103" s="5"/>
      <c r="F103" s="1">
        <v>6</v>
      </c>
      <c r="G103" s="1">
        <v>4</v>
      </c>
      <c r="H103" s="2" t="s">
        <v>8</v>
      </c>
      <c r="I103" s="6" t="str">
        <f>IF(IF(Table442466657277[[#This Row],[Pre or Post]]="Pre",1,0)+IF(ISNUMBER(Table442466657277[[#This Row],[Response]])=TRUE,1,0)=2,1,"")</f>
        <v/>
      </c>
      <c r="J103" s="6">
        <f>IF(IF(Table442466657277[[#This Row],[Pre or Post]]="Post",1,0)+IF(ISNUMBER(Table442466657277[[#This Row],[Response]])=TRUE,1,0)=2,1,"")</f>
        <v>1</v>
      </c>
      <c r="K103" s="6" t="str">
        <f>IF(IF(Table442466657277[[#This Row],[Pre or Post]]="Pre",1,0)+IF(ISNUMBER(Table442466657277[[#This Row],[Response]])=TRUE,1,0)=2,Table442466657277[[#This Row],[Response]],"")</f>
        <v/>
      </c>
      <c r="L103" s="6">
        <f>IF(IF(Table442466657277[[#This Row],[Pre or Post]]="Post",1,0)+IF(ISNUMBER(Table442466657277[[#This Row],[Response]])=TRUE,1,0)=2,Table442466657277[[#This Row],[Response]],"")</f>
        <v>4</v>
      </c>
      <c r="M103" s="6" t="str">
        <f>IF(IF(ISNUMBER(K103),1,0)+IF(ISNUMBER(L104),1,0)=2,IF(IF(C104=C103,1,0)+IF(B104=B103,1,0)+IF(D104="Post",1,0)+IF(D103="Pre",1,0)=4,Table442466657277[[#This Row],[Pre Total]],""),"")</f>
        <v/>
      </c>
      <c r="N103" s="6">
        <f>IF(IF(ISNUMBER(K102),1,0)+IF(ISNUMBER(Table442466657277[[#This Row],[Post Total]]),1,0)=2,IF(IF(Table442466657277[[#This Row],[Student Number]]=C102,1,0)+IF(Table442466657277[[#This Row],[Session]]=B102,1,0)+IF(Table442466657277[[#This Row],[Pre or Post]]="Post",1,0)+IF(D102="Pre",1,0)=4,Table442466657277[[#This Row],[Post Total]],""),"")</f>
        <v>4</v>
      </c>
      <c r="O103" s="6">
        <f>IF(IF(ISNUMBER(K102),1,0)+IF(ISNUMBER(Table442466657277[[#This Row],[Post Total]]),1,0)=2,IF(IF(Table442466657277[[#This Row],[Student Number]]=C102,1,0)+IF(Table442466657277[[#This Row],[Session]]=B102,1,0)+IF(Table442466657277[[#This Row],[Pre or Post]]="Post",1,0)+IF(D102="Pre",1,0)=4,Table442466657277[[#This Row],[Post Total]]-K102,""),"")</f>
        <v>2</v>
      </c>
      <c r="P103" s="6" t="b">
        <f>ISNUMBER(Table442466657277[[#This Row],[Change]])</f>
        <v>1</v>
      </c>
      <c r="Q103" s="5">
        <f>IF(E102="Yes",Table442466657277[[#This Row],[Change]],"")</f>
        <v>2</v>
      </c>
      <c r="R103" s="5" t="str">
        <f>IF(E102="No",Table442466657277[[#This Row],[Change]],"")</f>
        <v/>
      </c>
      <c r="S103" s="5" t="b">
        <f>ISNUMBER(Table442466657277[[#This Row],[If Pre6 Yes]])</f>
        <v>1</v>
      </c>
      <c r="T103" s="5" t="b">
        <f>ISNUMBER(Table442466657277[[#This Row],[If Pre6 No]])</f>
        <v>0</v>
      </c>
    </row>
    <row r="104" spans="1:20">
      <c r="A104" s="2" t="s">
        <v>24</v>
      </c>
      <c r="B104" s="2" t="s">
        <v>28</v>
      </c>
      <c r="C104" s="1">
        <v>9</v>
      </c>
      <c r="D104" s="1" t="s">
        <v>6</v>
      </c>
      <c r="E104" s="5" t="s">
        <v>8</v>
      </c>
      <c r="F104" s="1">
        <v>10</v>
      </c>
      <c r="G104" s="1">
        <v>3</v>
      </c>
      <c r="H104" s="2" t="s">
        <v>8</v>
      </c>
      <c r="I104" s="5">
        <f>IF(IF(Table442466657277[[#This Row],[Pre or Post]]="Pre",1,0)+IF(ISNUMBER(Table442466657277[[#This Row],[Response]])=TRUE,1,0)=2,1,"")</f>
        <v>1</v>
      </c>
      <c r="J104" s="5" t="str">
        <f>IF(IF(Table442466657277[[#This Row],[Pre or Post]]="Post",1,0)+IF(ISNUMBER(Table442466657277[[#This Row],[Response]])=TRUE,1,0)=2,1,"")</f>
        <v/>
      </c>
      <c r="K104" s="6">
        <f>IF(IF(Table442466657277[[#This Row],[Pre or Post]]="Pre",1,0)+IF(ISNUMBER(Table442466657277[[#This Row],[Response]])=TRUE,1,0)=2,Table442466657277[[#This Row],[Response]],"")</f>
        <v>3</v>
      </c>
      <c r="L104" s="6" t="str">
        <f>IF(IF(Table442466657277[[#This Row],[Pre or Post]]="Post",1,0)+IF(ISNUMBER(Table442466657277[[#This Row],[Response]])=TRUE,1,0)=2,Table442466657277[[#This Row],[Response]],"")</f>
        <v/>
      </c>
      <c r="M104" s="5">
        <f>IF(IF(ISNUMBER(K104),1,0)+IF(ISNUMBER(L105),1,0)=2,IF(IF(C105=C104,1,0)+IF(B105=B104,1,0)+IF(D105="Post",1,0)+IF(D104="Pre",1,0)=4,Table442466657277[[#This Row],[Pre Total]],""),"")</f>
        <v>3</v>
      </c>
      <c r="N104" s="5" t="str">
        <f>IF(IF(ISNUMBER(K103),1,0)+IF(ISNUMBER(Table442466657277[[#This Row],[Post Total]]),1,0)=2,IF(IF(Table442466657277[[#This Row],[Student Number]]=C103,1,0)+IF(Table442466657277[[#This Row],[Session]]=B103,1,0)+IF(Table442466657277[[#This Row],[Pre or Post]]="Post",1,0)+IF(D103="Pre",1,0)=4,Table442466657277[[#This Row],[Post Total]],""),"")</f>
        <v/>
      </c>
      <c r="O104" s="5" t="str">
        <f>IF(IF(ISNUMBER(K103),1,0)+IF(ISNUMBER(Table442466657277[[#This Row],[Post Total]]),1,0)=2,IF(IF(Table442466657277[[#This Row],[Student Number]]=C103,1,0)+IF(Table442466657277[[#This Row],[Session]]=B103,1,0)+IF(Table442466657277[[#This Row],[Pre or Post]]="Post",1,0)+IF(D103="Pre",1,0)=4,Table442466657277[[#This Row],[Post Total]]-K103,""),"")</f>
        <v/>
      </c>
      <c r="P104" s="5" t="b">
        <f>ISNUMBER(Table442466657277[[#This Row],[Change]])</f>
        <v>0</v>
      </c>
      <c r="Q104" s="5" t="str">
        <f>IF(E103="Yes",Table442466657277[[#This Row],[Change]],"")</f>
        <v/>
      </c>
      <c r="R104" s="5" t="str">
        <f>IF(E103="No",Table442466657277[[#This Row],[Change]],"")</f>
        <v/>
      </c>
      <c r="S104" s="5" t="b">
        <f>ISNUMBER(Table442466657277[[#This Row],[If Pre6 Yes]])</f>
        <v>0</v>
      </c>
      <c r="T104" s="5" t="b">
        <f>ISNUMBER(Table442466657277[[#This Row],[If Pre6 No]])</f>
        <v>0</v>
      </c>
    </row>
    <row r="105" spans="1:20">
      <c r="A105" s="2" t="s">
        <v>24</v>
      </c>
      <c r="B105" s="2" t="s">
        <v>28</v>
      </c>
      <c r="C105" s="1">
        <v>9</v>
      </c>
      <c r="D105" s="1" t="s">
        <v>16</v>
      </c>
      <c r="E105" s="5"/>
      <c r="F105" s="1">
        <v>6</v>
      </c>
      <c r="G105" s="1">
        <v>2</v>
      </c>
      <c r="H105" s="2" t="s">
        <v>8</v>
      </c>
      <c r="I105" s="6" t="str">
        <f>IF(IF(Table442466657277[[#This Row],[Pre or Post]]="Pre",1,0)+IF(ISNUMBER(Table442466657277[[#This Row],[Response]])=TRUE,1,0)=2,1,"")</f>
        <v/>
      </c>
      <c r="J105" s="6">
        <f>IF(IF(Table442466657277[[#This Row],[Pre or Post]]="Post",1,0)+IF(ISNUMBER(Table442466657277[[#This Row],[Response]])=TRUE,1,0)=2,1,"")</f>
        <v>1</v>
      </c>
      <c r="K105" s="6" t="str">
        <f>IF(IF(Table442466657277[[#This Row],[Pre or Post]]="Pre",1,0)+IF(ISNUMBER(Table442466657277[[#This Row],[Response]])=TRUE,1,0)=2,Table442466657277[[#This Row],[Response]],"")</f>
        <v/>
      </c>
      <c r="L105" s="6">
        <f>IF(IF(Table442466657277[[#This Row],[Pre or Post]]="Post",1,0)+IF(ISNUMBER(Table442466657277[[#This Row],[Response]])=TRUE,1,0)=2,Table442466657277[[#This Row],[Response]],"")</f>
        <v>2</v>
      </c>
      <c r="M105" s="6" t="str">
        <f>IF(IF(ISNUMBER(K105),1,0)+IF(ISNUMBER(L106),1,0)=2,IF(IF(C106=C105,1,0)+IF(B106=B105,1,0)+IF(D106="Post",1,0)+IF(D105="Pre",1,0)=4,Table442466657277[[#This Row],[Pre Total]],""),"")</f>
        <v/>
      </c>
      <c r="N105" s="6">
        <f>IF(IF(ISNUMBER(K104),1,0)+IF(ISNUMBER(Table442466657277[[#This Row],[Post Total]]),1,0)=2,IF(IF(Table442466657277[[#This Row],[Student Number]]=C104,1,0)+IF(Table442466657277[[#This Row],[Session]]=B104,1,0)+IF(Table442466657277[[#This Row],[Pre or Post]]="Post",1,0)+IF(D104="Pre",1,0)=4,Table442466657277[[#This Row],[Post Total]],""),"")</f>
        <v>2</v>
      </c>
      <c r="O105" s="6">
        <f>IF(IF(ISNUMBER(K104),1,0)+IF(ISNUMBER(Table442466657277[[#This Row],[Post Total]]),1,0)=2,IF(IF(Table442466657277[[#This Row],[Student Number]]=C104,1,0)+IF(Table442466657277[[#This Row],[Session]]=B104,1,0)+IF(Table442466657277[[#This Row],[Pre or Post]]="Post",1,0)+IF(D104="Pre",1,0)=4,Table442466657277[[#This Row],[Post Total]]-K104,""),"")</f>
        <v>-1</v>
      </c>
      <c r="P105" s="6" t="b">
        <f>ISNUMBER(Table442466657277[[#This Row],[Change]])</f>
        <v>1</v>
      </c>
      <c r="Q105" s="5">
        <f>IF(E104="Yes",Table442466657277[[#This Row],[Change]],"")</f>
        <v>-1</v>
      </c>
      <c r="R105" s="5" t="str">
        <f>IF(E104="No",Table442466657277[[#This Row],[Change]],"")</f>
        <v/>
      </c>
      <c r="S105" s="5" t="b">
        <f>ISNUMBER(Table442466657277[[#This Row],[If Pre6 Yes]])</f>
        <v>1</v>
      </c>
      <c r="T105" s="5" t="b">
        <f>ISNUMBER(Table442466657277[[#This Row],[If Pre6 No]])</f>
        <v>0</v>
      </c>
    </row>
    <row r="106" spans="1:20">
      <c r="A106" s="2" t="s">
        <v>24</v>
      </c>
      <c r="B106" s="2" t="s">
        <v>28</v>
      </c>
      <c r="C106" s="1">
        <v>10</v>
      </c>
      <c r="D106" s="1" t="s">
        <v>6</v>
      </c>
      <c r="E106" s="5" t="s">
        <v>8</v>
      </c>
      <c r="F106" s="1">
        <v>10</v>
      </c>
      <c r="G106" s="1">
        <v>3</v>
      </c>
      <c r="H106" s="2" t="s">
        <v>8</v>
      </c>
      <c r="I106" s="6">
        <f>IF(IF(Table442466657277[[#This Row],[Pre or Post]]="Pre",1,0)+IF(ISNUMBER(Table442466657277[[#This Row],[Response]])=TRUE,1,0)=2,1,"")</f>
        <v>1</v>
      </c>
      <c r="J106" s="6" t="str">
        <f>IF(IF(Table442466657277[[#This Row],[Pre or Post]]="Post",1,0)+IF(ISNUMBER(Table442466657277[[#This Row],[Response]])=TRUE,1,0)=2,1,"")</f>
        <v/>
      </c>
      <c r="K106" s="6">
        <f>IF(IF(Table442466657277[[#This Row],[Pre or Post]]="Pre",1,0)+IF(ISNUMBER(Table442466657277[[#This Row],[Response]])=TRUE,1,0)=2,Table442466657277[[#This Row],[Response]],"")</f>
        <v>3</v>
      </c>
      <c r="L106" s="6" t="str">
        <f>IF(IF(Table442466657277[[#This Row],[Pre or Post]]="Post",1,0)+IF(ISNUMBER(Table442466657277[[#This Row],[Response]])=TRUE,1,0)=2,Table442466657277[[#This Row],[Response]],"")</f>
        <v/>
      </c>
      <c r="M106" s="6">
        <f>IF(IF(ISNUMBER(K106),1,0)+IF(ISNUMBER(L107),1,0)=2,IF(IF(C107=C106,1,0)+IF(B107=B106,1,0)+IF(D107="Post",1,0)+IF(D106="Pre",1,0)=4,Table442466657277[[#This Row],[Pre Total]],""),"")</f>
        <v>3</v>
      </c>
      <c r="N106" s="6" t="str">
        <f>IF(IF(ISNUMBER(K105),1,0)+IF(ISNUMBER(Table442466657277[[#This Row],[Post Total]]),1,0)=2,IF(IF(Table442466657277[[#This Row],[Student Number]]=C105,1,0)+IF(Table442466657277[[#This Row],[Session]]=B105,1,0)+IF(Table442466657277[[#This Row],[Pre or Post]]="Post",1,0)+IF(D105="Pre",1,0)=4,Table442466657277[[#This Row],[Post Total]],""),"")</f>
        <v/>
      </c>
      <c r="O106" s="6" t="str">
        <f>IF(IF(ISNUMBER(K105),1,0)+IF(ISNUMBER(Table442466657277[[#This Row],[Post Total]]),1,0)=2,IF(IF(Table442466657277[[#This Row],[Student Number]]=C105,1,0)+IF(Table442466657277[[#This Row],[Session]]=B105,1,0)+IF(Table442466657277[[#This Row],[Pre or Post]]="Post",1,0)+IF(D105="Pre",1,0)=4,Table442466657277[[#This Row],[Post Total]]-K105,""),"")</f>
        <v/>
      </c>
      <c r="P106" s="6" t="b">
        <f>ISNUMBER(Table442466657277[[#This Row],[Change]])</f>
        <v>0</v>
      </c>
      <c r="Q106" s="5" t="str">
        <f>IF(E105="Yes",Table442466657277[[#This Row],[Change]],"")</f>
        <v/>
      </c>
      <c r="R106" s="5" t="str">
        <f>IF(E105="No",Table442466657277[[#This Row],[Change]],"")</f>
        <v/>
      </c>
      <c r="S106" s="5" t="b">
        <f>ISNUMBER(Table442466657277[[#This Row],[If Pre6 Yes]])</f>
        <v>0</v>
      </c>
      <c r="T106" s="5" t="b">
        <f>ISNUMBER(Table442466657277[[#This Row],[If Pre6 No]])</f>
        <v>0</v>
      </c>
    </row>
    <row r="107" spans="1:20">
      <c r="A107" s="2" t="s">
        <v>24</v>
      </c>
      <c r="B107" s="2" t="s">
        <v>28</v>
      </c>
      <c r="C107" s="1">
        <v>10</v>
      </c>
      <c r="D107" s="1" t="s">
        <v>16</v>
      </c>
      <c r="E107" s="5"/>
      <c r="F107" s="1">
        <v>6</v>
      </c>
      <c r="G107" s="1">
        <v>4</v>
      </c>
      <c r="H107" s="2" t="s">
        <v>8</v>
      </c>
      <c r="I107" s="5" t="str">
        <f>IF(IF(Table442466657277[[#This Row],[Pre or Post]]="Pre",1,0)+IF(ISNUMBER(Table442466657277[[#This Row],[Response]])=TRUE,1,0)=2,1,"")</f>
        <v/>
      </c>
      <c r="J107" s="5">
        <f>IF(IF(Table442466657277[[#This Row],[Pre or Post]]="Post",1,0)+IF(ISNUMBER(Table442466657277[[#This Row],[Response]])=TRUE,1,0)=2,1,"")</f>
        <v>1</v>
      </c>
      <c r="K107" s="6" t="str">
        <f>IF(IF(Table442466657277[[#This Row],[Pre or Post]]="Pre",1,0)+IF(ISNUMBER(Table442466657277[[#This Row],[Response]])=TRUE,1,0)=2,Table442466657277[[#This Row],[Response]],"")</f>
        <v/>
      </c>
      <c r="L107" s="6">
        <f>IF(IF(Table442466657277[[#This Row],[Pre or Post]]="Post",1,0)+IF(ISNUMBER(Table442466657277[[#This Row],[Response]])=TRUE,1,0)=2,Table442466657277[[#This Row],[Response]],"")</f>
        <v>4</v>
      </c>
      <c r="M107" s="5" t="str">
        <f>IF(IF(ISNUMBER(K107),1,0)+IF(ISNUMBER(L108),1,0)=2,IF(IF(C108=C107,1,0)+IF(B108=B107,1,0)+IF(D108="Post",1,0)+IF(D107="Pre",1,0)=4,Table442466657277[[#This Row],[Pre Total]],""),"")</f>
        <v/>
      </c>
      <c r="N107" s="5">
        <f>IF(IF(ISNUMBER(K106),1,0)+IF(ISNUMBER(Table442466657277[[#This Row],[Post Total]]),1,0)=2,IF(IF(Table442466657277[[#This Row],[Student Number]]=C106,1,0)+IF(Table442466657277[[#This Row],[Session]]=B106,1,0)+IF(Table442466657277[[#This Row],[Pre or Post]]="Post",1,0)+IF(D106="Pre",1,0)=4,Table442466657277[[#This Row],[Post Total]],""),"")</f>
        <v>4</v>
      </c>
      <c r="O107" s="5">
        <f>IF(IF(ISNUMBER(K106),1,0)+IF(ISNUMBER(Table442466657277[[#This Row],[Post Total]]),1,0)=2,IF(IF(Table442466657277[[#This Row],[Student Number]]=C106,1,0)+IF(Table442466657277[[#This Row],[Session]]=B106,1,0)+IF(Table442466657277[[#This Row],[Pre or Post]]="Post",1,0)+IF(D106="Pre",1,0)=4,Table442466657277[[#This Row],[Post Total]]-K106,""),"")</f>
        <v>1</v>
      </c>
      <c r="P107" s="5" t="b">
        <f>ISNUMBER(Table442466657277[[#This Row],[Change]])</f>
        <v>1</v>
      </c>
      <c r="Q107" s="5">
        <f>IF(E106="Yes",Table442466657277[[#This Row],[Change]],"")</f>
        <v>1</v>
      </c>
      <c r="R107" s="5" t="str">
        <f>IF(E106="No",Table442466657277[[#This Row],[Change]],"")</f>
        <v/>
      </c>
      <c r="S107" s="5" t="b">
        <f>ISNUMBER(Table442466657277[[#This Row],[If Pre6 Yes]])</f>
        <v>1</v>
      </c>
      <c r="T107" s="5" t="b">
        <f>ISNUMBER(Table442466657277[[#This Row],[If Pre6 No]])</f>
        <v>0</v>
      </c>
    </row>
    <row r="108" spans="1:20">
      <c r="A108" s="2" t="s">
        <v>24</v>
      </c>
      <c r="B108" s="2" t="s">
        <v>28</v>
      </c>
      <c r="C108" s="1">
        <v>11</v>
      </c>
      <c r="D108" s="1" t="s">
        <v>6</v>
      </c>
      <c r="E108" s="5" t="s">
        <v>8</v>
      </c>
      <c r="F108" s="1">
        <v>10</v>
      </c>
      <c r="G108" s="1">
        <v>3</v>
      </c>
      <c r="H108" s="2" t="s">
        <v>8</v>
      </c>
      <c r="I108" s="6">
        <f>IF(IF(Table442466657277[[#This Row],[Pre or Post]]="Pre",1,0)+IF(ISNUMBER(Table442466657277[[#This Row],[Response]])=TRUE,1,0)=2,1,"")</f>
        <v>1</v>
      </c>
      <c r="J108" s="6" t="str">
        <f>IF(IF(Table442466657277[[#This Row],[Pre or Post]]="Post",1,0)+IF(ISNUMBER(Table442466657277[[#This Row],[Response]])=TRUE,1,0)=2,1,"")</f>
        <v/>
      </c>
      <c r="K108" s="6">
        <f>IF(IF(Table442466657277[[#This Row],[Pre or Post]]="Pre",1,0)+IF(ISNUMBER(Table442466657277[[#This Row],[Response]])=TRUE,1,0)=2,Table442466657277[[#This Row],[Response]],"")</f>
        <v>3</v>
      </c>
      <c r="L108" s="6" t="str">
        <f>IF(IF(Table442466657277[[#This Row],[Pre or Post]]="Post",1,0)+IF(ISNUMBER(Table442466657277[[#This Row],[Response]])=TRUE,1,0)=2,Table442466657277[[#This Row],[Response]],"")</f>
        <v/>
      </c>
      <c r="M108" s="6">
        <f>IF(IF(ISNUMBER(K108),1,0)+IF(ISNUMBER(L109),1,0)=2,IF(IF(C109=C108,1,0)+IF(B109=B108,1,0)+IF(D109="Post",1,0)+IF(D108="Pre",1,0)=4,Table442466657277[[#This Row],[Pre Total]],""),"")</f>
        <v>3</v>
      </c>
      <c r="N108" s="6" t="str">
        <f>IF(IF(ISNUMBER(K107),1,0)+IF(ISNUMBER(Table442466657277[[#This Row],[Post Total]]),1,0)=2,IF(IF(Table442466657277[[#This Row],[Student Number]]=C107,1,0)+IF(Table442466657277[[#This Row],[Session]]=B107,1,0)+IF(Table442466657277[[#This Row],[Pre or Post]]="Post",1,0)+IF(D107="Pre",1,0)=4,Table442466657277[[#This Row],[Post Total]],""),"")</f>
        <v/>
      </c>
      <c r="O108" s="6" t="str">
        <f>IF(IF(ISNUMBER(K107),1,0)+IF(ISNUMBER(Table442466657277[[#This Row],[Post Total]]),1,0)=2,IF(IF(Table442466657277[[#This Row],[Student Number]]=C107,1,0)+IF(Table442466657277[[#This Row],[Session]]=B107,1,0)+IF(Table442466657277[[#This Row],[Pre or Post]]="Post",1,0)+IF(D107="Pre",1,0)=4,Table442466657277[[#This Row],[Post Total]]-K107,""),"")</f>
        <v/>
      </c>
      <c r="P108" s="6" t="b">
        <f>ISNUMBER(Table442466657277[[#This Row],[Change]])</f>
        <v>0</v>
      </c>
      <c r="Q108" s="5" t="str">
        <f>IF(E107="Yes",Table442466657277[[#This Row],[Change]],"")</f>
        <v/>
      </c>
      <c r="R108" s="5" t="str">
        <f>IF(E107="No",Table442466657277[[#This Row],[Change]],"")</f>
        <v/>
      </c>
      <c r="S108" s="5" t="b">
        <f>ISNUMBER(Table442466657277[[#This Row],[If Pre6 Yes]])</f>
        <v>0</v>
      </c>
      <c r="T108" s="5" t="b">
        <f>ISNUMBER(Table442466657277[[#This Row],[If Pre6 No]])</f>
        <v>0</v>
      </c>
    </row>
    <row r="109" spans="1:20" s="16" customFormat="1">
      <c r="A109" s="2" t="s">
        <v>24</v>
      </c>
      <c r="B109" s="2" t="s">
        <v>28</v>
      </c>
      <c r="C109" s="1">
        <v>11</v>
      </c>
      <c r="D109" s="1" t="s">
        <v>16</v>
      </c>
      <c r="E109" s="5"/>
      <c r="F109" s="1">
        <v>6</v>
      </c>
      <c r="G109" s="1">
        <v>2</v>
      </c>
      <c r="H109" s="2" t="s">
        <v>8</v>
      </c>
      <c r="I109" s="5" t="str">
        <f>IF(IF(Table442466657277[[#This Row],[Pre or Post]]="Pre",1,0)+IF(ISNUMBER(Table442466657277[[#This Row],[Response]])=TRUE,1,0)=2,1,"")</f>
        <v/>
      </c>
      <c r="J109" s="5">
        <f>IF(IF(Table442466657277[[#This Row],[Pre or Post]]="Post",1,0)+IF(ISNUMBER(Table442466657277[[#This Row],[Response]])=TRUE,1,0)=2,1,"")</f>
        <v>1</v>
      </c>
      <c r="K109" s="6" t="str">
        <f>IF(IF(Table442466657277[[#This Row],[Pre or Post]]="Pre",1,0)+IF(ISNUMBER(Table442466657277[[#This Row],[Response]])=TRUE,1,0)=2,Table442466657277[[#This Row],[Response]],"")</f>
        <v/>
      </c>
      <c r="L109" s="6">
        <f>IF(IF(Table442466657277[[#This Row],[Pre or Post]]="Post",1,0)+IF(ISNUMBER(Table442466657277[[#This Row],[Response]])=TRUE,1,0)=2,Table442466657277[[#This Row],[Response]],"")</f>
        <v>2</v>
      </c>
      <c r="M109" s="5" t="str">
        <f>IF(IF(ISNUMBER(K109),1,0)+IF(ISNUMBER(L110),1,0)=2,IF(IF(C110=C109,1,0)+IF(B110=B109,1,0)+IF(D110="Post",1,0)+IF(D109="Pre",1,0)=4,Table442466657277[[#This Row],[Pre Total]],""),"")</f>
        <v/>
      </c>
      <c r="N109" s="5">
        <f>IF(IF(ISNUMBER(K108),1,0)+IF(ISNUMBER(Table442466657277[[#This Row],[Post Total]]),1,0)=2,IF(IF(Table442466657277[[#This Row],[Student Number]]=C108,1,0)+IF(Table442466657277[[#This Row],[Session]]=B108,1,0)+IF(Table442466657277[[#This Row],[Pre or Post]]="Post",1,0)+IF(D108="Pre",1,0)=4,Table442466657277[[#This Row],[Post Total]],""),"")</f>
        <v>2</v>
      </c>
      <c r="O109" s="5">
        <f>IF(IF(ISNUMBER(K108),1,0)+IF(ISNUMBER(Table442466657277[[#This Row],[Post Total]]),1,0)=2,IF(IF(Table442466657277[[#This Row],[Student Number]]=C108,1,0)+IF(Table442466657277[[#This Row],[Session]]=B108,1,0)+IF(Table442466657277[[#This Row],[Pre or Post]]="Post",1,0)+IF(D108="Pre",1,0)=4,Table442466657277[[#This Row],[Post Total]]-K108,""),"")</f>
        <v>-1</v>
      </c>
      <c r="P109" s="5" t="b">
        <f>ISNUMBER(Table442466657277[[#This Row],[Change]])</f>
        <v>1</v>
      </c>
      <c r="Q109" s="5">
        <f>IF(E108="Yes",Table442466657277[[#This Row],[Change]],"")</f>
        <v>-1</v>
      </c>
      <c r="R109" s="5" t="str">
        <f>IF(E108="No",Table442466657277[[#This Row],[Change]],"")</f>
        <v/>
      </c>
      <c r="S109" s="5" t="b">
        <f>ISNUMBER(Table442466657277[[#This Row],[If Pre6 Yes]])</f>
        <v>1</v>
      </c>
      <c r="T109" s="5" t="b">
        <f>ISNUMBER(Table442466657277[[#This Row],[If Pre6 No]])</f>
        <v>0</v>
      </c>
    </row>
    <row r="110" spans="1:20">
      <c r="A110" s="2" t="s">
        <v>24</v>
      </c>
      <c r="B110" s="2" t="s">
        <v>28</v>
      </c>
      <c r="C110" s="1">
        <v>12</v>
      </c>
      <c r="D110" s="1" t="s">
        <v>6</v>
      </c>
      <c r="E110" s="5" t="s">
        <v>8</v>
      </c>
      <c r="F110" s="1">
        <v>10</v>
      </c>
      <c r="G110" s="2">
        <v>2</v>
      </c>
      <c r="H110" s="2" t="s">
        <v>8</v>
      </c>
      <c r="I110" s="5">
        <f>IF(IF(Table442466657277[[#This Row],[Pre or Post]]="Pre",1,0)+IF(ISNUMBER(Table442466657277[[#This Row],[Response]])=TRUE,1,0)=2,1,"")</f>
        <v>1</v>
      </c>
      <c r="J110" s="5" t="str">
        <f>IF(IF(Table442466657277[[#This Row],[Pre or Post]]="Post",1,0)+IF(ISNUMBER(Table442466657277[[#This Row],[Response]])=TRUE,1,0)=2,1,"")</f>
        <v/>
      </c>
      <c r="K110" s="6">
        <f>IF(IF(Table442466657277[[#This Row],[Pre or Post]]="Pre",1,0)+IF(ISNUMBER(Table442466657277[[#This Row],[Response]])=TRUE,1,0)=2,Table442466657277[[#This Row],[Response]],"")</f>
        <v>2</v>
      </c>
      <c r="L110" s="6" t="str">
        <f>IF(IF(Table442466657277[[#This Row],[Pre or Post]]="Post",1,0)+IF(ISNUMBER(Table442466657277[[#This Row],[Response]])=TRUE,1,0)=2,Table442466657277[[#This Row],[Response]],"")</f>
        <v/>
      </c>
      <c r="M110" s="5">
        <f>IF(IF(ISNUMBER(K110),1,0)+IF(ISNUMBER(L111),1,0)=2,IF(IF(C111=C110,1,0)+IF(B111=B110,1,0)+IF(D111="Post",1,0)+IF(D110="Pre",1,0)=4,Table442466657277[[#This Row],[Pre Total]],""),"")</f>
        <v>2</v>
      </c>
      <c r="N110" s="5" t="str">
        <f>IF(IF(ISNUMBER(K109),1,0)+IF(ISNUMBER(Table442466657277[[#This Row],[Post Total]]),1,0)=2,IF(IF(Table442466657277[[#This Row],[Student Number]]=C109,1,0)+IF(Table442466657277[[#This Row],[Session]]=B109,1,0)+IF(Table442466657277[[#This Row],[Pre or Post]]="Post",1,0)+IF(D109="Pre",1,0)=4,Table442466657277[[#This Row],[Post Total]],""),"")</f>
        <v/>
      </c>
      <c r="O110" s="5" t="str">
        <f>IF(IF(ISNUMBER(K109),1,0)+IF(ISNUMBER(Table442466657277[[#This Row],[Post Total]]),1,0)=2,IF(IF(Table442466657277[[#This Row],[Student Number]]=C109,1,0)+IF(Table442466657277[[#This Row],[Session]]=B109,1,0)+IF(Table442466657277[[#This Row],[Pre or Post]]="Post",1,0)+IF(D109="Pre",1,0)=4,Table442466657277[[#This Row],[Post Total]]-K109,""),"")</f>
        <v/>
      </c>
      <c r="P110" s="5" t="b">
        <f>ISNUMBER(Table442466657277[[#This Row],[Change]])</f>
        <v>0</v>
      </c>
      <c r="Q110" s="5" t="str">
        <f>IF(E109="Yes",Table442466657277[[#This Row],[Change]],"")</f>
        <v/>
      </c>
      <c r="R110" s="5" t="str">
        <f>IF(E109="No",Table442466657277[[#This Row],[Change]],"")</f>
        <v/>
      </c>
      <c r="S110" s="5" t="b">
        <f>ISNUMBER(Table442466657277[[#This Row],[If Pre6 Yes]])</f>
        <v>0</v>
      </c>
      <c r="T110" s="5" t="b">
        <f>ISNUMBER(Table442466657277[[#This Row],[If Pre6 No]])</f>
        <v>0</v>
      </c>
    </row>
    <row r="111" spans="1:20">
      <c r="A111" s="2" t="s">
        <v>24</v>
      </c>
      <c r="B111" s="2" t="s">
        <v>28</v>
      </c>
      <c r="C111" s="1">
        <v>12</v>
      </c>
      <c r="D111" s="1" t="s">
        <v>16</v>
      </c>
      <c r="E111" s="5"/>
      <c r="F111" s="1">
        <v>6</v>
      </c>
      <c r="G111" s="1">
        <v>2</v>
      </c>
      <c r="H111" s="2" t="s">
        <v>8</v>
      </c>
      <c r="I111" s="6" t="str">
        <f>IF(IF(Table442466657277[[#This Row],[Pre or Post]]="Pre",1,0)+IF(ISNUMBER(Table442466657277[[#This Row],[Response]])=TRUE,1,0)=2,1,"")</f>
        <v/>
      </c>
      <c r="J111" s="6">
        <f>IF(IF(Table442466657277[[#This Row],[Pre or Post]]="Post",1,0)+IF(ISNUMBER(Table442466657277[[#This Row],[Response]])=TRUE,1,0)=2,1,"")</f>
        <v>1</v>
      </c>
      <c r="K111" s="6" t="str">
        <f>IF(IF(Table442466657277[[#This Row],[Pre or Post]]="Pre",1,0)+IF(ISNUMBER(Table442466657277[[#This Row],[Response]])=TRUE,1,0)=2,Table442466657277[[#This Row],[Response]],"")</f>
        <v/>
      </c>
      <c r="L111" s="6">
        <f>IF(IF(Table442466657277[[#This Row],[Pre or Post]]="Post",1,0)+IF(ISNUMBER(Table442466657277[[#This Row],[Response]])=TRUE,1,0)=2,Table442466657277[[#This Row],[Response]],"")</f>
        <v>2</v>
      </c>
      <c r="M111" s="6" t="str">
        <f>IF(IF(ISNUMBER(K111),1,0)+IF(ISNUMBER(L112),1,0)=2,IF(IF(C112=C111,1,0)+IF(B112=B111,1,0)+IF(D112="Post",1,0)+IF(D111="Pre",1,0)=4,Table442466657277[[#This Row],[Pre Total]],""),"")</f>
        <v/>
      </c>
      <c r="N111" s="6">
        <f>IF(IF(ISNUMBER(K110),1,0)+IF(ISNUMBER(Table442466657277[[#This Row],[Post Total]]),1,0)=2,IF(IF(Table442466657277[[#This Row],[Student Number]]=C110,1,0)+IF(Table442466657277[[#This Row],[Session]]=B110,1,0)+IF(Table442466657277[[#This Row],[Pre or Post]]="Post",1,0)+IF(D110="Pre",1,0)=4,Table442466657277[[#This Row],[Post Total]],""),"")</f>
        <v>2</v>
      </c>
      <c r="O111" s="6">
        <f>IF(IF(ISNUMBER(K110),1,0)+IF(ISNUMBER(Table442466657277[[#This Row],[Post Total]]),1,0)=2,IF(IF(Table442466657277[[#This Row],[Student Number]]=C110,1,0)+IF(Table442466657277[[#This Row],[Session]]=B110,1,0)+IF(Table442466657277[[#This Row],[Pre or Post]]="Post",1,0)+IF(D110="Pre",1,0)=4,Table442466657277[[#This Row],[Post Total]]-K110,""),"")</f>
        <v>0</v>
      </c>
      <c r="P111" s="6" t="b">
        <f>ISNUMBER(Table442466657277[[#This Row],[Change]])</f>
        <v>1</v>
      </c>
      <c r="Q111" s="5">
        <f>IF(E110="Yes",Table442466657277[[#This Row],[Change]],"")</f>
        <v>0</v>
      </c>
      <c r="R111" s="5" t="str">
        <f>IF(E110="No",Table442466657277[[#This Row],[Change]],"")</f>
        <v/>
      </c>
      <c r="S111" s="5" t="b">
        <f>ISNUMBER(Table442466657277[[#This Row],[If Pre6 Yes]])</f>
        <v>1</v>
      </c>
      <c r="T111" s="5" t="b">
        <f>ISNUMBER(Table442466657277[[#This Row],[If Pre6 No]])</f>
        <v>0</v>
      </c>
    </row>
    <row r="112" spans="1:20">
      <c r="A112" s="2" t="s">
        <v>24</v>
      </c>
      <c r="B112" s="2" t="s">
        <v>28</v>
      </c>
      <c r="C112" s="1">
        <v>13</v>
      </c>
      <c r="D112" s="1" t="s">
        <v>6</v>
      </c>
      <c r="E112" s="5" t="s">
        <v>8</v>
      </c>
      <c r="F112" s="1">
        <v>10</v>
      </c>
      <c r="G112" s="2">
        <v>3</v>
      </c>
      <c r="H112" s="2" t="s">
        <v>8</v>
      </c>
      <c r="I112" s="5">
        <f>IF(IF(Table442466657277[[#This Row],[Pre or Post]]="Pre",1,0)+IF(ISNUMBER(Table442466657277[[#This Row],[Response]])=TRUE,1,0)=2,1,"")</f>
        <v>1</v>
      </c>
      <c r="J112" s="5" t="str">
        <f>IF(IF(Table442466657277[[#This Row],[Pre or Post]]="Post",1,0)+IF(ISNUMBER(Table442466657277[[#This Row],[Response]])=TRUE,1,0)=2,1,"")</f>
        <v/>
      </c>
      <c r="K112" s="6">
        <f>IF(IF(Table442466657277[[#This Row],[Pre or Post]]="Pre",1,0)+IF(ISNUMBER(Table442466657277[[#This Row],[Response]])=TRUE,1,0)=2,Table442466657277[[#This Row],[Response]],"")</f>
        <v>3</v>
      </c>
      <c r="L112" s="6" t="str">
        <f>IF(IF(Table442466657277[[#This Row],[Pre or Post]]="Post",1,0)+IF(ISNUMBER(Table442466657277[[#This Row],[Response]])=TRUE,1,0)=2,Table442466657277[[#This Row],[Response]],"")</f>
        <v/>
      </c>
      <c r="M112" s="5">
        <f>IF(IF(ISNUMBER(K112),1,0)+IF(ISNUMBER(L113),1,0)=2,IF(IF(C113=C112,1,0)+IF(B113=B112,1,0)+IF(D113="Post",1,0)+IF(D112="Pre",1,0)=4,Table442466657277[[#This Row],[Pre Total]],""),"")</f>
        <v>3</v>
      </c>
      <c r="N112" s="5" t="str">
        <f>IF(IF(ISNUMBER(K111),1,0)+IF(ISNUMBER(Table442466657277[[#This Row],[Post Total]]),1,0)=2,IF(IF(Table442466657277[[#This Row],[Student Number]]=C111,1,0)+IF(Table442466657277[[#This Row],[Session]]=B111,1,0)+IF(Table442466657277[[#This Row],[Pre or Post]]="Post",1,0)+IF(D111="Pre",1,0)=4,Table442466657277[[#This Row],[Post Total]],""),"")</f>
        <v/>
      </c>
      <c r="O112" s="5" t="str">
        <f>IF(IF(ISNUMBER(K111),1,0)+IF(ISNUMBER(Table442466657277[[#This Row],[Post Total]]),1,0)=2,IF(IF(Table442466657277[[#This Row],[Student Number]]=C111,1,0)+IF(Table442466657277[[#This Row],[Session]]=B111,1,0)+IF(Table442466657277[[#This Row],[Pre or Post]]="Post",1,0)+IF(D111="Pre",1,0)=4,Table442466657277[[#This Row],[Post Total]]-K111,""),"")</f>
        <v/>
      </c>
      <c r="P112" s="5" t="b">
        <f>ISNUMBER(Table442466657277[[#This Row],[Change]])</f>
        <v>0</v>
      </c>
      <c r="Q112" s="5" t="str">
        <f>IF(E111="Yes",Table442466657277[[#This Row],[Change]],"")</f>
        <v/>
      </c>
      <c r="R112" s="5" t="str">
        <f>IF(E111="No",Table442466657277[[#This Row],[Change]],"")</f>
        <v/>
      </c>
      <c r="S112" s="5" t="b">
        <f>ISNUMBER(Table442466657277[[#This Row],[If Pre6 Yes]])</f>
        <v>0</v>
      </c>
      <c r="T112" s="5" t="b">
        <f>ISNUMBER(Table442466657277[[#This Row],[If Pre6 No]])</f>
        <v>0</v>
      </c>
    </row>
    <row r="113" spans="1:20">
      <c r="A113" s="2" t="s">
        <v>24</v>
      </c>
      <c r="B113" s="2" t="s">
        <v>28</v>
      </c>
      <c r="C113" s="1">
        <v>13</v>
      </c>
      <c r="D113" s="1" t="s">
        <v>16</v>
      </c>
      <c r="E113" s="5"/>
      <c r="F113" s="1">
        <v>6</v>
      </c>
      <c r="G113" s="1">
        <v>3</v>
      </c>
      <c r="H113" s="2" t="s">
        <v>8</v>
      </c>
      <c r="I113" s="6" t="str">
        <f>IF(IF(Table442466657277[[#This Row],[Pre or Post]]="Pre",1,0)+IF(ISNUMBER(Table442466657277[[#This Row],[Response]])=TRUE,1,0)=2,1,"")</f>
        <v/>
      </c>
      <c r="J113" s="6">
        <f>IF(IF(Table442466657277[[#This Row],[Pre or Post]]="Post",1,0)+IF(ISNUMBER(Table442466657277[[#This Row],[Response]])=TRUE,1,0)=2,1,"")</f>
        <v>1</v>
      </c>
      <c r="K113" s="6" t="str">
        <f>IF(IF(Table442466657277[[#This Row],[Pre or Post]]="Pre",1,0)+IF(ISNUMBER(Table442466657277[[#This Row],[Response]])=TRUE,1,0)=2,Table442466657277[[#This Row],[Response]],"")</f>
        <v/>
      </c>
      <c r="L113" s="6">
        <f>IF(IF(Table442466657277[[#This Row],[Pre or Post]]="Post",1,0)+IF(ISNUMBER(Table442466657277[[#This Row],[Response]])=TRUE,1,0)=2,Table442466657277[[#This Row],[Response]],"")</f>
        <v>3</v>
      </c>
      <c r="M113" s="6" t="str">
        <f>IF(IF(ISNUMBER(K113),1,0)+IF(ISNUMBER(L114),1,0)=2,IF(IF(C114=C113,1,0)+IF(B114=B113,1,0)+IF(D114="Post",1,0)+IF(D113="Pre",1,0)=4,Table442466657277[[#This Row],[Pre Total]],""),"")</f>
        <v/>
      </c>
      <c r="N113" s="6">
        <f>IF(IF(ISNUMBER(K112),1,0)+IF(ISNUMBER(Table442466657277[[#This Row],[Post Total]]),1,0)=2,IF(IF(Table442466657277[[#This Row],[Student Number]]=C112,1,0)+IF(Table442466657277[[#This Row],[Session]]=B112,1,0)+IF(Table442466657277[[#This Row],[Pre or Post]]="Post",1,0)+IF(D112="Pre",1,0)=4,Table442466657277[[#This Row],[Post Total]],""),"")</f>
        <v>3</v>
      </c>
      <c r="O113" s="6">
        <f>IF(IF(ISNUMBER(K112),1,0)+IF(ISNUMBER(Table442466657277[[#This Row],[Post Total]]),1,0)=2,IF(IF(Table442466657277[[#This Row],[Student Number]]=C112,1,0)+IF(Table442466657277[[#This Row],[Session]]=B112,1,0)+IF(Table442466657277[[#This Row],[Pre or Post]]="Post",1,0)+IF(D112="Pre",1,0)=4,Table442466657277[[#This Row],[Post Total]]-K112,""),"")</f>
        <v>0</v>
      </c>
      <c r="P113" s="6" t="b">
        <f>ISNUMBER(Table442466657277[[#This Row],[Change]])</f>
        <v>1</v>
      </c>
      <c r="Q113" s="5">
        <f>IF(E112="Yes",Table442466657277[[#This Row],[Change]],"")</f>
        <v>0</v>
      </c>
      <c r="R113" s="5" t="str">
        <f>IF(E112="No",Table442466657277[[#This Row],[Change]],"")</f>
        <v/>
      </c>
      <c r="S113" s="5" t="b">
        <f>ISNUMBER(Table442466657277[[#This Row],[If Pre6 Yes]])</f>
        <v>1</v>
      </c>
      <c r="T113" s="5" t="b">
        <f>ISNUMBER(Table442466657277[[#This Row],[If Pre6 No]])</f>
        <v>0</v>
      </c>
    </row>
    <row r="114" spans="1:20">
      <c r="A114" s="2" t="s">
        <v>24</v>
      </c>
      <c r="B114" s="2" t="s">
        <v>31</v>
      </c>
      <c r="C114" s="1">
        <v>1</v>
      </c>
      <c r="D114" s="2" t="s">
        <v>16</v>
      </c>
      <c r="E114" s="6"/>
      <c r="F114" s="1">
        <v>6</v>
      </c>
      <c r="G114" s="1">
        <v>5</v>
      </c>
      <c r="H114" s="2" t="s">
        <v>9</v>
      </c>
      <c r="I114" s="5" t="str">
        <f>IF(IF(Table442466657277[[#This Row],[Pre or Post]]="Pre",1,0)+IF(ISNUMBER(Table442466657277[[#This Row],[Response]])=TRUE,1,0)=2,1,"")</f>
        <v/>
      </c>
      <c r="J114" s="5">
        <f>IF(IF(Table442466657277[[#This Row],[Pre or Post]]="Post",1,0)+IF(ISNUMBER(Table442466657277[[#This Row],[Response]])=TRUE,1,0)=2,1,"")</f>
        <v>1</v>
      </c>
      <c r="K114" s="6" t="str">
        <f>IF(IF(Table442466657277[[#This Row],[Pre or Post]]="Pre",1,0)+IF(ISNUMBER(Table442466657277[[#This Row],[Response]])=TRUE,1,0)=2,Table442466657277[[#This Row],[Response]],"")</f>
        <v/>
      </c>
      <c r="L114" s="6">
        <f>IF(IF(Table442466657277[[#This Row],[Pre or Post]]="Post",1,0)+IF(ISNUMBER(Table442466657277[[#This Row],[Response]])=TRUE,1,0)=2,Table442466657277[[#This Row],[Response]],"")</f>
        <v>5</v>
      </c>
      <c r="M114" s="5" t="str">
        <f>IF(IF(ISNUMBER(K114),1,0)+IF(ISNUMBER(L115),1,0)=2,IF(IF(C115=C114,1,0)+IF(B115=B114,1,0)+IF(D115="Post",1,0)+IF(D114="Pre",1,0)=4,Table442466657277[[#This Row],[Pre Total]],""),"")</f>
        <v/>
      </c>
      <c r="N114" s="5" t="str">
        <f>IF(IF(ISNUMBER(K113),1,0)+IF(ISNUMBER(Table442466657277[[#This Row],[Post Total]]),1,0)=2,IF(IF(Table442466657277[[#This Row],[Student Number]]=C113,1,0)+IF(Table442466657277[[#This Row],[Session]]=B113,1,0)+IF(Table442466657277[[#This Row],[Pre or Post]]="Post",1,0)+IF(D113="Pre",1,0)=4,Table442466657277[[#This Row],[Post Total]],""),"")</f>
        <v/>
      </c>
      <c r="O114" s="5" t="str">
        <f>IF(IF(ISNUMBER(K113),1,0)+IF(ISNUMBER(Table442466657277[[#This Row],[Post Total]]),1,0)=2,IF(IF(Table442466657277[[#This Row],[Student Number]]=C113,1,0)+IF(Table442466657277[[#This Row],[Session]]=B113,1,0)+IF(Table442466657277[[#This Row],[Pre or Post]]="Post",1,0)+IF(D113="Pre",1,0)=4,Table442466657277[[#This Row],[Post Total]]-K113,""),"")</f>
        <v/>
      </c>
      <c r="P114" s="5" t="b">
        <f>ISNUMBER(Table442466657277[[#This Row],[Change]])</f>
        <v>0</v>
      </c>
      <c r="Q114" s="5" t="str">
        <f>IF(E113="Yes",Table442466657277[[#This Row],[Change]],"")</f>
        <v/>
      </c>
      <c r="R114" s="5" t="str">
        <f>IF(E113="No",Table442466657277[[#This Row],[Change]],"")</f>
        <v/>
      </c>
      <c r="S114" s="5" t="b">
        <f>ISNUMBER(Table442466657277[[#This Row],[If Pre6 Yes]])</f>
        <v>0</v>
      </c>
      <c r="T114" s="5" t="b">
        <f>ISNUMBER(Table442466657277[[#This Row],[If Pre6 No]])</f>
        <v>0</v>
      </c>
    </row>
    <row r="115" spans="1:20">
      <c r="A115" s="2" t="s">
        <v>24</v>
      </c>
      <c r="B115" s="2" t="s">
        <v>31</v>
      </c>
      <c r="C115" s="1">
        <v>2</v>
      </c>
      <c r="D115" s="2" t="s">
        <v>16</v>
      </c>
      <c r="E115" s="6"/>
      <c r="F115" s="1">
        <v>6</v>
      </c>
      <c r="G115" s="1">
        <v>5</v>
      </c>
      <c r="H115" s="2" t="s">
        <v>9</v>
      </c>
      <c r="I115" s="5" t="str">
        <f>IF(IF(Table442466657277[[#This Row],[Pre or Post]]="Pre",1,0)+IF(ISNUMBER(Table442466657277[[#This Row],[Response]])=TRUE,1,0)=2,1,"")</f>
        <v/>
      </c>
      <c r="J115" s="5">
        <f>IF(IF(Table442466657277[[#This Row],[Pre or Post]]="Post",1,0)+IF(ISNUMBER(Table442466657277[[#This Row],[Response]])=TRUE,1,0)=2,1,"")</f>
        <v>1</v>
      </c>
      <c r="K115" s="6" t="str">
        <f>IF(IF(Table442466657277[[#This Row],[Pre or Post]]="Pre",1,0)+IF(ISNUMBER(Table442466657277[[#This Row],[Response]])=TRUE,1,0)=2,Table442466657277[[#This Row],[Response]],"")</f>
        <v/>
      </c>
      <c r="L115" s="6">
        <f>IF(IF(Table442466657277[[#This Row],[Pre or Post]]="Post",1,0)+IF(ISNUMBER(Table442466657277[[#This Row],[Response]])=TRUE,1,0)=2,Table442466657277[[#This Row],[Response]],"")</f>
        <v>5</v>
      </c>
      <c r="M115" s="5" t="str">
        <f>IF(IF(ISNUMBER(K115),1,0)+IF(ISNUMBER(L116),1,0)=2,IF(IF(C116=C115,1,0)+IF(B116=B115,1,0)+IF(D116="Post",1,0)+IF(D115="Pre",1,0)=4,Table442466657277[[#This Row],[Pre Total]],""),"")</f>
        <v/>
      </c>
      <c r="N115" s="5" t="str">
        <f>IF(IF(ISNUMBER(K114),1,0)+IF(ISNUMBER(Table442466657277[[#This Row],[Post Total]]),1,0)=2,IF(IF(Table442466657277[[#This Row],[Student Number]]=C114,1,0)+IF(Table442466657277[[#This Row],[Session]]=B114,1,0)+IF(Table442466657277[[#This Row],[Pre or Post]]="Post",1,0)+IF(D114="Pre",1,0)=4,Table442466657277[[#This Row],[Post Total]],""),"")</f>
        <v/>
      </c>
      <c r="O115" s="5" t="str">
        <f>IF(IF(ISNUMBER(K114),1,0)+IF(ISNUMBER(Table442466657277[[#This Row],[Post Total]]),1,0)=2,IF(IF(Table442466657277[[#This Row],[Student Number]]=C114,1,0)+IF(Table442466657277[[#This Row],[Session]]=B114,1,0)+IF(Table442466657277[[#This Row],[Pre or Post]]="Post",1,0)+IF(D114="Pre",1,0)=4,Table442466657277[[#This Row],[Post Total]]-K114,""),"")</f>
        <v/>
      </c>
      <c r="P115" s="5" t="b">
        <f>ISNUMBER(Table442466657277[[#This Row],[Change]])</f>
        <v>0</v>
      </c>
      <c r="Q115" s="5" t="str">
        <f>IF(E114="Yes",Table442466657277[[#This Row],[Change]],"")</f>
        <v/>
      </c>
      <c r="R115" s="5" t="str">
        <f>IF(E114="No",Table442466657277[[#This Row],[Change]],"")</f>
        <v/>
      </c>
      <c r="S115" s="5" t="b">
        <f>ISNUMBER(Table442466657277[[#This Row],[If Pre6 Yes]])</f>
        <v>0</v>
      </c>
      <c r="T115" s="5" t="b">
        <f>ISNUMBER(Table442466657277[[#This Row],[If Pre6 No]])</f>
        <v>0</v>
      </c>
    </row>
    <row r="116" spans="1:20">
      <c r="A116" s="2" t="s">
        <v>24</v>
      </c>
      <c r="B116" s="2" t="s">
        <v>31</v>
      </c>
      <c r="C116" s="1">
        <v>3</v>
      </c>
      <c r="D116" s="2" t="s">
        <v>16</v>
      </c>
      <c r="E116" s="6"/>
      <c r="F116" s="1">
        <v>6</v>
      </c>
      <c r="G116" s="1">
        <v>4</v>
      </c>
      <c r="H116" s="2" t="s">
        <v>9</v>
      </c>
      <c r="I116" s="5" t="str">
        <f>IF(IF(Table442466657277[[#This Row],[Pre or Post]]="Pre",1,0)+IF(ISNUMBER(Table442466657277[[#This Row],[Response]])=TRUE,1,0)=2,1,"")</f>
        <v/>
      </c>
      <c r="J116" s="5">
        <f>IF(IF(Table442466657277[[#This Row],[Pre or Post]]="Post",1,0)+IF(ISNUMBER(Table442466657277[[#This Row],[Response]])=TRUE,1,0)=2,1,"")</f>
        <v>1</v>
      </c>
      <c r="K116" s="6" t="str">
        <f>IF(IF(Table442466657277[[#This Row],[Pre or Post]]="Pre",1,0)+IF(ISNUMBER(Table442466657277[[#This Row],[Response]])=TRUE,1,0)=2,Table442466657277[[#This Row],[Response]],"")</f>
        <v/>
      </c>
      <c r="L116" s="6">
        <f>IF(IF(Table442466657277[[#This Row],[Pre or Post]]="Post",1,0)+IF(ISNUMBER(Table442466657277[[#This Row],[Response]])=TRUE,1,0)=2,Table442466657277[[#This Row],[Response]],"")</f>
        <v>4</v>
      </c>
      <c r="M116" s="5" t="str">
        <f>IF(IF(ISNUMBER(K116),1,0)+IF(ISNUMBER(L117),1,0)=2,IF(IF(C117=C116,1,0)+IF(B117=B116,1,0)+IF(D117="Post",1,0)+IF(D116="Pre",1,0)=4,Table442466657277[[#This Row],[Pre Total]],""),"")</f>
        <v/>
      </c>
      <c r="N116" s="5" t="str">
        <f>IF(IF(ISNUMBER(K115),1,0)+IF(ISNUMBER(Table442466657277[[#This Row],[Post Total]]),1,0)=2,IF(IF(Table442466657277[[#This Row],[Student Number]]=C115,1,0)+IF(Table442466657277[[#This Row],[Session]]=B115,1,0)+IF(Table442466657277[[#This Row],[Pre or Post]]="Post",1,0)+IF(D115="Pre",1,0)=4,Table442466657277[[#This Row],[Post Total]],""),"")</f>
        <v/>
      </c>
      <c r="O116" s="5" t="str">
        <f>IF(IF(ISNUMBER(K115),1,0)+IF(ISNUMBER(Table442466657277[[#This Row],[Post Total]]),1,0)=2,IF(IF(Table442466657277[[#This Row],[Student Number]]=C115,1,0)+IF(Table442466657277[[#This Row],[Session]]=B115,1,0)+IF(Table442466657277[[#This Row],[Pre or Post]]="Post",1,0)+IF(D115="Pre",1,0)=4,Table442466657277[[#This Row],[Post Total]]-K115,""),"")</f>
        <v/>
      </c>
      <c r="P116" s="5" t="b">
        <f>ISNUMBER(Table442466657277[[#This Row],[Change]])</f>
        <v>0</v>
      </c>
      <c r="Q116" s="5" t="str">
        <f>IF(E115="Yes",Table442466657277[[#This Row],[Change]],"")</f>
        <v/>
      </c>
      <c r="R116" s="5" t="str">
        <f>IF(E115="No",Table442466657277[[#This Row],[Change]],"")</f>
        <v/>
      </c>
      <c r="S116" s="5" t="b">
        <f>ISNUMBER(Table442466657277[[#This Row],[If Pre6 Yes]])</f>
        <v>0</v>
      </c>
      <c r="T116" s="5" t="b">
        <f>ISNUMBER(Table442466657277[[#This Row],[If Pre6 No]])</f>
        <v>0</v>
      </c>
    </row>
    <row r="117" spans="1:20">
      <c r="A117" s="2" t="s">
        <v>24</v>
      </c>
      <c r="B117" s="2" t="s">
        <v>31</v>
      </c>
      <c r="C117" s="1">
        <v>4</v>
      </c>
      <c r="D117" s="2" t="s">
        <v>16</v>
      </c>
      <c r="E117" s="6"/>
      <c r="F117" s="1">
        <v>6</v>
      </c>
      <c r="G117" s="1">
        <v>5</v>
      </c>
      <c r="H117" s="2" t="s">
        <v>9</v>
      </c>
      <c r="I117" s="6" t="str">
        <f>IF(IF(Table442466657277[[#This Row],[Pre or Post]]="Pre",1,0)+IF(ISNUMBER(Table442466657277[[#This Row],[Response]])=TRUE,1,0)=2,1,"")</f>
        <v/>
      </c>
      <c r="J117" s="6">
        <f>IF(IF(Table442466657277[[#This Row],[Pre or Post]]="Post",1,0)+IF(ISNUMBER(Table442466657277[[#This Row],[Response]])=TRUE,1,0)=2,1,"")</f>
        <v>1</v>
      </c>
      <c r="K117" s="6" t="str">
        <f>IF(IF(Table442466657277[[#This Row],[Pre or Post]]="Pre",1,0)+IF(ISNUMBER(Table442466657277[[#This Row],[Response]])=TRUE,1,0)=2,Table442466657277[[#This Row],[Response]],"")</f>
        <v/>
      </c>
      <c r="L117" s="6">
        <f>IF(IF(Table442466657277[[#This Row],[Pre or Post]]="Post",1,0)+IF(ISNUMBER(Table442466657277[[#This Row],[Response]])=TRUE,1,0)=2,Table442466657277[[#This Row],[Response]],"")</f>
        <v>5</v>
      </c>
      <c r="M117" s="6" t="str">
        <f>IF(IF(ISNUMBER(K117),1,0)+IF(ISNUMBER(L118),1,0)=2,IF(IF(C118=C117,1,0)+IF(B118=B117,1,0)+IF(D118="Post",1,0)+IF(D117="Pre",1,0)=4,Table442466657277[[#This Row],[Pre Total]],""),"")</f>
        <v/>
      </c>
      <c r="N117" s="6" t="str">
        <f>IF(IF(ISNUMBER(K116),1,0)+IF(ISNUMBER(Table442466657277[[#This Row],[Post Total]]),1,0)=2,IF(IF(Table442466657277[[#This Row],[Student Number]]=C116,1,0)+IF(Table442466657277[[#This Row],[Session]]=B116,1,0)+IF(Table442466657277[[#This Row],[Pre or Post]]="Post",1,0)+IF(D116="Pre",1,0)=4,Table442466657277[[#This Row],[Post Total]],""),"")</f>
        <v/>
      </c>
      <c r="O117" s="6" t="str">
        <f>IF(IF(ISNUMBER(K116),1,0)+IF(ISNUMBER(Table442466657277[[#This Row],[Post Total]]),1,0)=2,IF(IF(Table442466657277[[#This Row],[Student Number]]=C116,1,0)+IF(Table442466657277[[#This Row],[Session]]=B116,1,0)+IF(Table442466657277[[#This Row],[Pre or Post]]="Post",1,0)+IF(D116="Pre",1,0)=4,Table442466657277[[#This Row],[Post Total]]-K116,""),"")</f>
        <v/>
      </c>
      <c r="P117" s="6" t="b">
        <f>ISNUMBER(Table442466657277[[#This Row],[Change]])</f>
        <v>0</v>
      </c>
      <c r="Q117" s="5" t="str">
        <f>IF(E116="Yes",Table442466657277[[#This Row],[Change]],"")</f>
        <v/>
      </c>
      <c r="R117" s="5" t="str">
        <f>IF(E116="No",Table442466657277[[#This Row],[Change]],"")</f>
        <v/>
      </c>
      <c r="S117" s="5" t="b">
        <f>ISNUMBER(Table442466657277[[#This Row],[If Pre6 Yes]])</f>
        <v>0</v>
      </c>
      <c r="T117" s="5" t="b">
        <f>ISNUMBER(Table442466657277[[#This Row],[If Pre6 No]])</f>
        <v>0</v>
      </c>
    </row>
    <row r="118" spans="1:20">
      <c r="A118" s="2" t="s">
        <v>24</v>
      </c>
      <c r="B118" s="2" t="s">
        <v>31</v>
      </c>
      <c r="C118" s="1">
        <v>5</v>
      </c>
      <c r="D118" s="2" t="s">
        <v>16</v>
      </c>
      <c r="E118" s="6"/>
      <c r="F118" s="1">
        <v>6</v>
      </c>
      <c r="G118" s="1">
        <v>3</v>
      </c>
      <c r="H118" s="2" t="s">
        <v>9</v>
      </c>
      <c r="I118" s="5" t="str">
        <f>IF(IF(Table442466657277[[#This Row],[Pre or Post]]="Pre",1,0)+IF(ISNUMBER(Table442466657277[[#This Row],[Response]])=TRUE,1,0)=2,1,"")</f>
        <v/>
      </c>
      <c r="J118" s="5">
        <f>IF(IF(Table442466657277[[#This Row],[Pre or Post]]="Post",1,0)+IF(ISNUMBER(Table442466657277[[#This Row],[Response]])=TRUE,1,0)=2,1,"")</f>
        <v>1</v>
      </c>
      <c r="K118" s="6" t="str">
        <f>IF(IF(Table442466657277[[#This Row],[Pre or Post]]="Pre",1,0)+IF(ISNUMBER(Table442466657277[[#This Row],[Response]])=TRUE,1,0)=2,Table442466657277[[#This Row],[Response]],"")</f>
        <v/>
      </c>
      <c r="L118" s="6">
        <f>IF(IF(Table442466657277[[#This Row],[Pre or Post]]="Post",1,0)+IF(ISNUMBER(Table442466657277[[#This Row],[Response]])=TRUE,1,0)=2,Table442466657277[[#This Row],[Response]],"")</f>
        <v>3</v>
      </c>
      <c r="M118" s="5" t="str">
        <f>IF(IF(ISNUMBER(K118),1,0)+IF(ISNUMBER(L119),1,0)=2,IF(IF(C119=C118,1,0)+IF(B119=B118,1,0)+IF(D119="Post",1,0)+IF(D118="Pre",1,0)=4,Table442466657277[[#This Row],[Pre Total]],""),"")</f>
        <v/>
      </c>
      <c r="N118" s="5" t="str">
        <f>IF(IF(ISNUMBER(K117),1,0)+IF(ISNUMBER(Table442466657277[[#This Row],[Post Total]]),1,0)=2,IF(IF(Table442466657277[[#This Row],[Student Number]]=C117,1,0)+IF(Table442466657277[[#This Row],[Session]]=B117,1,0)+IF(Table442466657277[[#This Row],[Pre or Post]]="Post",1,0)+IF(D117="Pre",1,0)=4,Table442466657277[[#This Row],[Post Total]],""),"")</f>
        <v/>
      </c>
      <c r="O118" s="5" t="str">
        <f>IF(IF(ISNUMBER(K117),1,0)+IF(ISNUMBER(Table442466657277[[#This Row],[Post Total]]),1,0)=2,IF(IF(Table442466657277[[#This Row],[Student Number]]=C117,1,0)+IF(Table442466657277[[#This Row],[Session]]=B117,1,0)+IF(Table442466657277[[#This Row],[Pre or Post]]="Post",1,0)+IF(D117="Pre",1,0)=4,Table442466657277[[#This Row],[Post Total]]-K117,""),"")</f>
        <v/>
      </c>
      <c r="P118" s="5" t="b">
        <f>ISNUMBER(Table442466657277[[#This Row],[Change]])</f>
        <v>0</v>
      </c>
      <c r="Q118" s="5" t="str">
        <f>IF(E117="Yes",Table442466657277[[#This Row],[Change]],"")</f>
        <v/>
      </c>
      <c r="R118" s="5" t="str">
        <f>IF(E117="No",Table442466657277[[#This Row],[Change]],"")</f>
        <v/>
      </c>
      <c r="S118" s="5" t="b">
        <f>ISNUMBER(Table442466657277[[#This Row],[If Pre6 Yes]])</f>
        <v>0</v>
      </c>
      <c r="T118" s="5" t="b">
        <f>ISNUMBER(Table442466657277[[#This Row],[If Pre6 No]])</f>
        <v>0</v>
      </c>
    </row>
    <row r="119" spans="1:20">
      <c r="A119" s="2" t="s">
        <v>24</v>
      </c>
      <c r="B119" s="2" t="s">
        <v>31</v>
      </c>
      <c r="C119" s="1">
        <v>6</v>
      </c>
      <c r="D119" s="2" t="s">
        <v>16</v>
      </c>
      <c r="E119" s="6"/>
      <c r="F119" s="1">
        <v>6</v>
      </c>
      <c r="G119" s="1">
        <v>4</v>
      </c>
      <c r="H119" s="2" t="s">
        <v>9</v>
      </c>
      <c r="I119" s="5" t="str">
        <f>IF(IF(Table442466657277[[#This Row],[Pre or Post]]="Pre",1,0)+IF(ISNUMBER(Table442466657277[[#This Row],[Response]])=TRUE,1,0)=2,1,"")</f>
        <v/>
      </c>
      <c r="J119" s="5">
        <f>IF(IF(Table442466657277[[#This Row],[Pre or Post]]="Post",1,0)+IF(ISNUMBER(Table442466657277[[#This Row],[Response]])=TRUE,1,0)=2,1,"")</f>
        <v>1</v>
      </c>
      <c r="K119" s="6" t="str">
        <f>IF(IF(Table442466657277[[#This Row],[Pre or Post]]="Pre",1,0)+IF(ISNUMBER(Table442466657277[[#This Row],[Response]])=TRUE,1,0)=2,Table442466657277[[#This Row],[Response]],"")</f>
        <v/>
      </c>
      <c r="L119" s="6">
        <f>IF(IF(Table442466657277[[#This Row],[Pre or Post]]="Post",1,0)+IF(ISNUMBER(Table442466657277[[#This Row],[Response]])=TRUE,1,0)=2,Table442466657277[[#This Row],[Response]],"")</f>
        <v>4</v>
      </c>
      <c r="M119" s="5" t="str">
        <f>IF(IF(ISNUMBER(K119),1,0)+IF(ISNUMBER(L120),1,0)=2,IF(IF(C120=C119,1,0)+IF(B120=B119,1,0)+IF(D120="Post",1,0)+IF(D119="Pre",1,0)=4,Table442466657277[[#This Row],[Pre Total]],""),"")</f>
        <v/>
      </c>
      <c r="N119" s="5" t="str">
        <f>IF(IF(ISNUMBER(K118),1,0)+IF(ISNUMBER(Table442466657277[[#This Row],[Post Total]]),1,0)=2,IF(IF(Table442466657277[[#This Row],[Student Number]]=C118,1,0)+IF(Table442466657277[[#This Row],[Session]]=B118,1,0)+IF(Table442466657277[[#This Row],[Pre or Post]]="Post",1,0)+IF(D118="Pre",1,0)=4,Table442466657277[[#This Row],[Post Total]],""),"")</f>
        <v/>
      </c>
      <c r="O119" s="5" t="str">
        <f>IF(IF(ISNUMBER(K118),1,0)+IF(ISNUMBER(Table442466657277[[#This Row],[Post Total]]),1,0)=2,IF(IF(Table442466657277[[#This Row],[Student Number]]=C118,1,0)+IF(Table442466657277[[#This Row],[Session]]=B118,1,0)+IF(Table442466657277[[#This Row],[Pre or Post]]="Post",1,0)+IF(D118="Pre",1,0)=4,Table442466657277[[#This Row],[Post Total]]-K118,""),"")</f>
        <v/>
      </c>
      <c r="P119" s="5" t="b">
        <f>ISNUMBER(Table442466657277[[#This Row],[Change]])</f>
        <v>0</v>
      </c>
      <c r="Q119" s="5" t="str">
        <f>IF(E118="Yes",Table442466657277[[#This Row],[Change]],"")</f>
        <v/>
      </c>
      <c r="R119" s="5" t="str">
        <f>IF(E118="No",Table442466657277[[#This Row],[Change]],"")</f>
        <v/>
      </c>
      <c r="S119" s="5" t="b">
        <f>ISNUMBER(Table442466657277[[#This Row],[If Pre6 Yes]])</f>
        <v>0</v>
      </c>
      <c r="T119" s="5" t="b">
        <f>ISNUMBER(Table442466657277[[#This Row],[If Pre6 No]])</f>
        <v>0</v>
      </c>
    </row>
    <row r="120" spans="1:20">
      <c r="A120" s="2" t="s">
        <v>24</v>
      </c>
      <c r="B120" s="2" t="s">
        <v>31</v>
      </c>
      <c r="C120" s="1">
        <v>7</v>
      </c>
      <c r="D120" s="2" t="s">
        <v>16</v>
      </c>
      <c r="E120" s="6"/>
      <c r="F120" s="1">
        <v>6</v>
      </c>
      <c r="G120" s="1">
        <v>5</v>
      </c>
      <c r="H120" s="2" t="s">
        <v>9</v>
      </c>
      <c r="I120" s="5" t="str">
        <f>IF(IF(Table442466657277[[#This Row],[Pre or Post]]="Pre",1,0)+IF(ISNUMBER(Table442466657277[[#This Row],[Response]])=TRUE,1,0)=2,1,"")</f>
        <v/>
      </c>
      <c r="J120" s="5">
        <f>IF(IF(Table442466657277[[#This Row],[Pre or Post]]="Post",1,0)+IF(ISNUMBER(Table442466657277[[#This Row],[Response]])=TRUE,1,0)=2,1,"")</f>
        <v>1</v>
      </c>
      <c r="K120" s="6" t="str">
        <f>IF(IF(Table442466657277[[#This Row],[Pre or Post]]="Pre",1,0)+IF(ISNUMBER(Table442466657277[[#This Row],[Response]])=TRUE,1,0)=2,Table442466657277[[#This Row],[Response]],"")</f>
        <v/>
      </c>
      <c r="L120" s="6">
        <f>IF(IF(Table442466657277[[#This Row],[Pre or Post]]="Post",1,0)+IF(ISNUMBER(Table442466657277[[#This Row],[Response]])=TRUE,1,0)=2,Table442466657277[[#This Row],[Response]],"")</f>
        <v>5</v>
      </c>
      <c r="M120" s="5" t="str">
        <f>IF(IF(ISNUMBER(K120),1,0)+IF(ISNUMBER(L121),1,0)=2,IF(IF(C121=C120,1,0)+IF(B121=B120,1,0)+IF(D121="Post",1,0)+IF(D120="Pre",1,0)=4,Table442466657277[[#This Row],[Pre Total]],""),"")</f>
        <v/>
      </c>
      <c r="N120" s="5" t="str">
        <f>IF(IF(ISNUMBER(K119),1,0)+IF(ISNUMBER(Table442466657277[[#This Row],[Post Total]]),1,0)=2,IF(IF(Table442466657277[[#This Row],[Student Number]]=C119,1,0)+IF(Table442466657277[[#This Row],[Session]]=B119,1,0)+IF(Table442466657277[[#This Row],[Pre or Post]]="Post",1,0)+IF(D119="Pre",1,0)=4,Table442466657277[[#This Row],[Post Total]],""),"")</f>
        <v/>
      </c>
      <c r="O120" s="5" t="str">
        <f>IF(IF(ISNUMBER(K119),1,0)+IF(ISNUMBER(Table442466657277[[#This Row],[Post Total]]),1,0)=2,IF(IF(Table442466657277[[#This Row],[Student Number]]=C119,1,0)+IF(Table442466657277[[#This Row],[Session]]=B119,1,0)+IF(Table442466657277[[#This Row],[Pre or Post]]="Post",1,0)+IF(D119="Pre",1,0)=4,Table442466657277[[#This Row],[Post Total]]-K119,""),"")</f>
        <v/>
      </c>
      <c r="P120" s="5" t="b">
        <f>ISNUMBER(Table442466657277[[#This Row],[Change]])</f>
        <v>0</v>
      </c>
      <c r="Q120" s="5" t="str">
        <f>IF(E119="Yes",Table442466657277[[#This Row],[Change]],"")</f>
        <v/>
      </c>
      <c r="R120" s="5" t="str">
        <f>IF(E119="No",Table442466657277[[#This Row],[Change]],"")</f>
        <v/>
      </c>
      <c r="S120" s="5" t="b">
        <f>ISNUMBER(Table442466657277[[#This Row],[If Pre6 Yes]])</f>
        <v>0</v>
      </c>
      <c r="T120" s="5" t="b">
        <f>ISNUMBER(Table442466657277[[#This Row],[If Pre6 No]])</f>
        <v>0</v>
      </c>
    </row>
    <row r="121" spans="1:20">
      <c r="A121" s="2" t="s">
        <v>24</v>
      </c>
      <c r="B121" s="2" t="s">
        <v>31</v>
      </c>
      <c r="C121" s="1">
        <v>8</v>
      </c>
      <c r="D121" s="2" t="s">
        <v>16</v>
      </c>
      <c r="E121" s="6"/>
      <c r="F121" s="1">
        <v>6</v>
      </c>
      <c r="G121" s="1">
        <v>4</v>
      </c>
      <c r="H121" s="2" t="s">
        <v>9</v>
      </c>
      <c r="I121" s="5" t="str">
        <f>IF(IF(Table442466657277[[#This Row],[Pre or Post]]="Pre",1,0)+IF(ISNUMBER(Table442466657277[[#This Row],[Response]])=TRUE,1,0)=2,1,"")</f>
        <v/>
      </c>
      <c r="J121" s="5">
        <f>IF(IF(Table442466657277[[#This Row],[Pre or Post]]="Post",1,0)+IF(ISNUMBER(Table442466657277[[#This Row],[Response]])=TRUE,1,0)=2,1,"")</f>
        <v>1</v>
      </c>
      <c r="K121" s="6" t="str">
        <f>IF(IF(Table442466657277[[#This Row],[Pre or Post]]="Pre",1,0)+IF(ISNUMBER(Table442466657277[[#This Row],[Response]])=TRUE,1,0)=2,Table442466657277[[#This Row],[Response]],"")</f>
        <v/>
      </c>
      <c r="L121" s="6">
        <f>IF(IF(Table442466657277[[#This Row],[Pre or Post]]="Post",1,0)+IF(ISNUMBER(Table442466657277[[#This Row],[Response]])=TRUE,1,0)=2,Table442466657277[[#This Row],[Response]],"")</f>
        <v>4</v>
      </c>
      <c r="M121" s="5" t="str">
        <f>IF(IF(ISNUMBER(K121),1,0)+IF(ISNUMBER(L122),1,0)=2,IF(IF(C122=C121,1,0)+IF(B122=B121,1,0)+IF(D122="Post",1,0)+IF(D121="Pre",1,0)=4,Table442466657277[[#This Row],[Pre Total]],""),"")</f>
        <v/>
      </c>
      <c r="N121" s="5" t="str">
        <f>IF(IF(ISNUMBER(K120),1,0)+IF(ISNUMBER(Table442466657277[[#This Row],[Post Total]]),1,0)=2,IF(IF(Table442466657277[[#This Row],[Student Number]]=C120,1,0)+IF(Table442466657277[[#This Row],[Session]]=B120,1,0)+IF(Table442466657277[[#This Row],[Pre or Post]]="Post",1,0)+IF(D120="Pre",1,0)=4,Table442466657277[[#This Row],[Post Total]],""),"")</f>
        <v/>
      </c>
      <c r="O121" s="5" t="str">
        <f>IF(IF(ISNUMBER(K120),1,0)+IF(ISNUMBER(Table442466657277[[#This Row],[Post Total]]),1,0)=2,IF(IF(Table442466657277[[#This Row],[Student Number]]=C120,1,0)+IF(Table442466657277[[#This Row],[Session]]=B120,1,0)+IF(Table442466657277[[#This Row],[Pre or Post]]="Post",1,0)+IF(D120="Pre",1,0)=4,Table442466657277[[#This Row],[Post Total]]-K120,""),"")</f>
        <v/>
      </c>
      <c r="P121" s="5" t="b">
        <f>ISNUMBER(Table442466657277[[#This Row],[Change]])</f>
        <v>0</v>
      </c>
      <c r="Q121" s="5" t="str">
        <f>IF(E120="Yes",Table442466657277[[#This Row],[Change]],"")</f>
        <v/>
      </c>
      <c r="R121" s="5" t="str">
        <f>IF(E120="No",Table442466657277[[#This Row],[Change]],"")</f>
        <v/>
      </c>
      <c r="S121" s="5" t="b">
        <f>ISNUMBER(Table442466657277[[#This Row],[If Pre6 Yes]])</f>
        <v>0</v>
      </c>
      <c r="T121" s="5" t="b">
        <f>ISNUMBER(Table442466657277[[#This Row],[If Pre6 No]])</f>
        <v>0</v>
      </c>
    </row>
    <row r="122" spans="1:20">
      <c r="A122" s="2" t="s">
        <v>24</v>
      </c>
      <c r="B122" s="2" t="s">
        <v>31</v>
      </c>
      <c r="C122" s="1">
        <v>9</v>
      </c>
      <c r="D122" s="2" t="s">
        <v>16</v>
      </c>
      <c r="E122" s="6"/>
      <c r="F122" s="1">
        <v>6</v>
      </c>
      <c r="G122" s="1">
        <v>5</v>
      </c>
      <c r="H122" s="2" t="s">
        <v>9</v>
      </c>
      <c r="I122" s="5" t="str">
        <f>IF(IF(Table442466657277[[#This Row],[Pre or Post]]="Pre",1,0)+IF(ISNUMBER(Table442466657277[[#This Row],[Response]])=TRUE,1,0)=2,1,"")</f>
        <v/>
      </c>
      <c r="J122" s="5">
        <f>IF(IF(Table442466657277[[#This Row],[Pre or Post]]="Post",1,0)+IF(ISNUMBER(Table442466657277[[#This Row],[Response]])=TRUE,1,0)=2,1,"")</f>
        <v>1</v>
      </c>
      <c r="K122" s="6" t="str">
        <f>IF(IF(Table442466657277[[#This Row],[Pre or Post]]="Pre",1,0)+IF(ISNUMBER(Table442466657277[[#This Row],[Response]])=TRUE,1,0)=2,Table442466657277[[#This Row],[Response]],"")</f>
        <v/>
      </c>
      <c r="L122" s="6">
        <f>IF(IF(Table442466657277[[#This Row],[Pre or Post]]="Post",1,0)+IF(ISNUMBER(Table442466657277[[#This Row],[Response]])=TRUE,1,0)=2,Table442466657277[[#This Row],[Response]],"")</f>
        <v>5</v>
      </c>
      <c r="M122" s="5" t="str">
        <f>IF(IF(ISNUMBER(K122),1,0)+IF(ISNUMBER(L123),1,0)=2,IF(IF(C123=C122,1,0)+IF(B123=B122,1,0)+IF(D123="Post",1,0)+IF(D122="Pre",1,0)=4,Table442466657277[[#This Row],[Pre Total]],""),"")</f>
        <v/>
      </c>
      <c r="N122" s="5" t="str">
        <f>IF(IF(ISNUMBER(K121),1,0)+IF(ISNUMBER(Table442466657277[[#This Row],[Post Total]]),1,0)=2,IF(IF(Table442466657277[[#This Row],[Student Number]]=C121,1,0)+IF(Table442466657277[[#This Row],[Session]]=B121,1,0)+IF(Table442466657277[[#This Row],[Pre or Post]]="Post",1,0)+IF(D121="Pre",1,0)=4,Table442466657277[[#This Row],[Post Total]],""),"")</f>
        <v/>
      </c>
      <c r="O122" s="5" t="str">
        <f>IF(IF(ISNUMBER(K121),1,0)+IF(ISNUMBER(Table442466657277[[#This Row],[Post Total]]),1,0)=2,IF(IF(Table442466657277[[#This Row],[Student Number]]=C121,1,0)+IF(Table442466657277[[#This Row],[Session]]=B121,1,0)+IF(Table442466657277[[#This Row],[Pre or Post]]="Post",1,0)+IF(D121="Pre",1,0)=4,Table442466657277[[#This Row],[Post Total]]-K121,""),"")</f>
        <v/>
      </c>
      <c r="P122" s="5" t="b">
        <f>ISNUMBER(Table442466657277[[#This Row],[Change]])</f>
        <v>0</v>
      </c>
      <c r="Q122" s="5" t="str">
        <f>IF(E121="Yes",Table442466657277[[#This Row],[Change]],"")</f>
        <v/>
      </c>
      <c r="R122" s="5" t="str">
        <f>IF(E121="No",Table442466657277[[#This Row],[Change]],"")</f>
        <v/>
      </c>
      <c r="S122" s="5" t="b">
        <f>ISNUMBER(Table442466657277[[#This Row],[If Pre6 Yes]])</f>
        <v>0</v>
      </c>
      <c r="T122" s="5" t="b">
        <f>ISNUMBER(Table442466657277[[#This Row],[If Pre6 No]])</f>
        <v>0</v>
      </c>
    </row>
    <row r="123" spans="1:20">
      <c r="A123" s="2" t="s">
        <v>24</v>
      </c>
      <c r="B123" s="2" t="s">
        <v>31</v>
      </c>
      <c r="C123" s="1">
        <v>10</v>
      </c>
      <c r="D123" s="2" t="s">
        <v>16</v>
      </c>
      <c r="E123" s="6"/>
      <c r="F123" s="1">
        <v>6</v>
      </c>
      <c r="G123" s="1">
        <v>5</v>
      </c>
      <c r="H123" s="2" t="s">
        <v>9</v>
      </c>
      <c r="I123" s="5" t="str">
        <f>IF(IF(Table442466657277[[#This Row],[Pre or Post]]="Pre",1,0)+IF(ISNUMBER(Table442466657277[[#This Row],[Response]])=TRUE,1,0)=2,1,"")</f>
        <v/>
      </c>
      <c r="J123" s="5">
        <f>IF(IF(Table442466657277[[#This Row],[Pre or Post]]="Post",1,0)+IF(ISNUMBER(Table442466657277[[#This Row],[Response]])=TRUE,1,0)=2,1,"")</f>
        <v>1</v>
      </c>
      <c r="K123" s="6" t="str">
        <f>IF(IF(Table442466657277[[#This Row],[Pre or Post]]="Pre",1,0)+IF(ISNUMBER(Table442466657277[[#This Row],[Response]])=TRUE,1,0)=2,Table442466657277[[#This Row],[Response]],"")</f>
        <v/>
      </c>
      <c r="L123" s="6">
        <f>IF(IF(Table442466657277[[#This Row],[Pre or Post]]="Post",1,0)+IF(ISNUMBER(Table442466657277[[#This Row],[Response]])=TRUE,1,0)=2,Table442466657277[[#This Row],[Response]],"")</f>
        <v>5</v>
      </c>
      <c r="M123" s="5" t="str">
        <f>IF(IF(ISNUMBER(K123),1,0)+IF(ISNUMBER(L124),1,0)=2,IF(IF(C124=C123,1,0)+IF(B124=B123,1,0)+IF(D124="Post",1,0)+IF(D123="Pre",1,0)=4,Table442466657277[[#This Row],[Pre Total]],""),"")</f>
        <v/>
      </c>
      <c r="N123" s="5" t="str">
        <f>IF(IF(ISNUMBER(K122),1,0)+IF(ISNUMBER(Table442466657277[[#This Row],[Post Total]]),1,0)=2,IF(IF(Table442466657277[[#This Row],[Student Number]]=C122,1,0)+IF(Table442466657277[[#This Row],[Session]]=B122,1,0)+IF(Table442466657277[[#This Row],[Pre or Post]]="Post",1,0)+IF(D122="Pre",1,0)=4,Table442466657277[[#This Row],[Post Total]],""),"")</f>
        <v/>
      </c>
      <c r="O123" s="5" t="str">
        <f>IF(IF(ISNUMBER(K122),1,0)+IF(ISNUMBER(Table442466657277[[#This Row],[Post Total]]),1,0)=2,IF(IF(Table442466657277[[#This Row],[Student Number]]=C122,1,0)+IF(Table442466657277[[#This Row],[Session]]=B122,1,0)+IF(Table442466657277[[#This Row],[Pre or Post]]="Post",1,0)+IF(D122="Pre",1,0)=4,Table442466657277[[#This Row],[Post Total]]-K122,""),"")</f>
        <v/>
      </c>
      <c r="P123" s="5" t="b">
        <f>ISNUMBER(Table442466657277[[#This Row],[Change]])</f>
        <v>0</v>
      </c>
      <c r="Q123" s="5" t="str">
        <f>IF(E122="Yes",Table442466657277[[#This Row],[Change]],"")</f>
        <v/>
      </c>
      <c r="R123" s="5" t="str">
        <f>IF(E122="No",Table442466657277[[#This Row],[Change]],"")</f>
        <v/>
      </c>
      <c r="S123" s="5" t="b">
        <f>ISNUMBER(Table442466657277[[#This Row],[If Pre6 Yes]])</f>
        <v>0</v>
      </c>
      <c r="T123" s="5" t="b">
        <f>ISNUMBER(Table442466657277[[#This Row],[If Pre6 No]])</f>
        <v>0</v>
      </c>
    </row>
    <row r="124" spans="1:20">
      <c r="A124" s="2" t="s">
        <v>24</v>
      </c>
      <c r="B124" s="2" t="s">
        <v>31</v>
      </c>
      <c r="C124" s="1">
        <v>11</v>
      </c>
      <c r="D124" s="2" t="s">
        <v>16</v>
      </c>
      <c r="E124" s="6"/>
      <c r="F124" s="1">
        <v>6</v>
      </c>
      <c r="G124" s="1">
        <v>4</v>
      </c>
      <c r="H124" s="2" t="s">
        <v>9</v>
      </c>
      <c r="I124" s="6" t="str">
        <f>IF(IF(Table442466657277[[#This Row],[Pre or Post]]="Pre",1,0)+IF(ISNUMBER(Table442466657277[[#This Row],[Response]])=TRUE,1,0)=2,1,"")</f>
        <v/>
      </c>
      <c r="J124" s="6">
        <f>IF(IF(Table442466657277[[#This Row],[Pre or Post]]="Post",1,0)+IF(ISNUMBER(Table442466657277[[#This Row],[Response]])=TRUE,1,0)=2,1,"")</f>
        <v>1</v>
      </c>
      <c r="K124" s="6" t="str">
        <f>IF(IF(Table442466657277[[#This Row],[Pre or Post]]="Pre",1,0)+IF(ISNUMBER(Table442466657277[[#This Row],[Response]])=TRUE,1,0)=2,Table442466657277[[#This Row],[Response]],"")</f>
        <v/>
      </c>
      <c r="L124" s="6">
        <f>IF(IF(Table442466657277[[#This Row],[Pre or Post]]="Post",1,0)+IF(ISNUMBER(Table442466657277[[#This Row],[Response]])=TRUE,1,0)=2,Table442466657277[[#This Row],[Response]],"")</f>
        <v>4</v>
      </c>
      <c r="M124" s="6" t="str">
        <f>IF(IF(ISNUMBER(K124),1,0)+IF(ISNUMBER(L125),1,0)=2,IF(IF(C125=C124,1,0)+IF(B125=B124,1,0)+IF(D125="Post",1,0)+IF(D124="Pre",1,0)=4,Table442466657277[[#This Row],[Pre Total]],""),"")</f>
        <v/>
      </c>
      <c r="N124" s="6" t="str">
        <f>IF(IF(ISNUMBER(K123),1,0)+IF(ISNUMBER(Table442466657277[[#This Row],[Post Total]]),1,0)=2,IF(IF(Table442466657277[[#This Row],[Student Number]]=C123,1,0)+IF(Table442466657277[[#This Row],[Session]]=B123,1,0)+IF(Table442466657277[[#This Row],[Pre or Post]]="Post",1,0)+IF(D123="Pre",1,0)=4,Table442466657277[[#This Row],[Post Total]],""),"")</f>
        <v/>
      </c>
      <c r="O124" s="6" t="str">
        <f>IF(IF(ISNUMBER(K123),1,0)+IF(ISNUMBER(Table442466657277[[#This Row],[Post Total]]),1,0)=2,IF(IF(Table442466657277[[#This Row],[Student Number]]=C123,1,0)+IF(Table442466657277[[#This Row],[Session]]=B123,1,0)+IF(Table442466657277[[#This Row],[Pre or Post]]="Post",1,0)+IF(D123="Pre",1,0)=4,Table442466657277[[#This Row],[Post Total]]-K123,""),"")</f>
        <v/>
      </c>
      <c r="P124" s="6" t="b">
        <f>ISNUMBER(Table442466657277[[#This Row],[Change]])</f>
        <v>0</v>
      </c>
      <c r="Q124" s="5" t="str">
        <f>IF(E123="Yes",Table442466657277[[#This Row],[Change]],"")</f>
        <v/>
      </c>
      <c r="R124" s="5" t="str">
        <f>IF(E123="No",Table442466657277[[#This Row],[Change]],"")</f>
        <v/>
      </c>
      <c r="S124" s="5" t="b">
        <f>ISNUMBER(Table442466657277[[#This Row],[If Pre6 Yes]])</f>
        <v>0</v>
      </c>
      <c r="T124" s="5" t="b">
        <f>ISNUMBER(Table442466657277[[#This Row],[If Pre6 No]])</f>
        <v>0</v>
      </c>
    </row>
    <row r="125" spans="1:20">
      <c r="A125" s="2" t="s">
        <v>24</v>
      </c>
      <c r="B125" s="2" t="s">
        <v>31</v>
      </c>
      <c r="C125" s="1">
        <v>12</v>
      </c>
      <c r="D125" s="2" t="s">
        <v>16</v>
      </c>
      <c r="E125" s="6"/>
      <c r="F125" s="1">
        <v>6</v>
      </c>
      <c r="G125" s="1">
        <v>4</v>
      </c>
      <c r="H125" s="2" t="s">
        <v>9</v>
      </c>
      <c r="I125" s="5" t="str">
        <f>IF(IF(Table442466657277[[#This Row],[Pre or Post]]="Pre",1,0)+IF(ISNUMBER(Table442466657277[[#This Row],[Response]])=TRUE,1,0)=2,1,"")</f>
        <v/>
      </c>
      <c r="J125" s="5">
        <f>IF(IF(Table442466657277[[#This Row],[Pre or Post]]="Post",1,0)+IF(ISNUMBER(Table442466657277[[#This Row],[Response]])=TRUE,1,0)=2,1,"")</f>
        <v>1</v>
      </c>
      <c r="K125" s="6" t="str">
        <f>IF(IF(Table442466657277[[#This Row],[Pre or Post]]="Pre",1,0)+IF(ISNUMBER(Table442466657277[[#This Row],[Response]])=TRUE,1,0)=2,Table442466657277[[#This Row],[Response]],"")</f>
        <v/>
      </c>
      <c r="L125" s="6">
        <f>IF(IF(Table442466657277[[#This Row],[Pre or Post]]="Post",1,0)+IF(ISNUMBER(Table442466657277[[#This Row],[Response]])=TRUE,1,0)=2,Table442466657277[[#This Row],[Response]],"")</f>
        <v>4</v>
      </c>
      <c r="M125" s="5" t="str">
        <f>IF(IF(ISNUMBER(K125),1,0)+IF(ISNUMBER(L126),1,0)=2,IF(IF(C126=C125,1,0)+IF(B126=B125,1,0)+IF(D126="Post",1,0)+IF(D125="Pre",1,0)=4,Table442466657277[[#This Row],[Pre Total]],""),"")</f>
        <v/>
      </c>
      <c r="N125" s="5" t="str">
        <f>IF(IF(ISNUMBER(K124),1,0)+IF(ISNUMBER(Table442466657277[[#This Row],[Post Total]]),1,0)=2,IF(IF(Table442466657277[[#This Row],[Student Number]]=C124,1,0)+IF(Table442466657277[[#This Row],[Session]]=B124,1,0)+IF(Table442466657277[[#This Row],[Pre or Post]]="Post",1,0)+IF(D124="Pre",1,0)=4,Table442466657277[[#This Row],[Post Total]],""),"")</f>
        <v/>
      </c>
      <c r="O125" s="5" t="str">
        <f>IF(IF(ISNUMBER(K124),1,0)+IF(ISNUMBER(Table442466657277[[#This Row],[Post Total]]),1,0)=2,IF(IF(Table442466657277[[#This Row],[Student Number]]=C124,1,0)+IF(Table442466657277[[#This Row],[Session]]=B124,1,0)+IF(Table442466657277[[#This Row],[Pre or Post]]="Post",1,0)+IF(D124="Pre",1,0)=4,Table442466657277[[#This Row],[Post Total]]-K124,""),"")</f>
        <v/>
      </c>
      <c r="P125" s="5" t="b">
        <f>ISNUMBER(Table442466657277[[#This Row],[Change]])</f>
        <v>0</v>
      </c>
      <c r="Q125" s="5" t="str">
        <f>IF(E124="Yes",Table442466657277[[#This Row],[Change]],"")</f>
        <v/>
      </c>
      <c r="R125" s="5" t="str">
        <f>IF(E124="No",Table442466657277[[#This Row],[Change]],"")</f>
        <v/>
      </c>
      <c r="S125" s="5" t="b">
        <f>ISNUMBER(Table442466657277[[#This Row],[If Pre6 Yes]])</f>
        <v>0</v>
      </c>
      <c r="T125" s="5" t="b">
        <f>ISNUMBER(Table442466657277[[#This Row],[If Pre6 No]])</f>
        <v>0</v>
      </c>
    </row>
    <row r="126" spans="1:20">
      <c r="A126" s="2" t="s">
        <v>24</v>
      </c>
      <c r="B126" s="2" t="s">
        <v>31</v>
      </c>
      <c r="C126" s="1">
        <v>13</v>
      </c>
      <c r="D126" s="2" t="s">
        <v>16</v>
      </c>
      <c r="E126" s="6"/>
      <c r="F126" s="1">
        <v>6</v>
      </c>
      <c r="G126" s="1">
        <v>2</v>
      </c>
      <c r="H126" s="2" t="s">
        <v>9</v>
      </c>
      <c r="I126" s="5" t="str">
        <f>IF(IF(Table442466657277[[#This Row],[Pre or Post]]="Pre",1,0)+IF(ISNUMBER(Table442466657277[[#This Row],[Response]])=TRUE,1,0)=2,1,"")</f>
        <v/>
      </c>
      <c r="J126" s="5">
        <f>IF(IF(Table442466657277[[#This Row],[Pre or Post]]="Post",1,0)+IF(ISNUMBER(Table442466657277[[#This Row],[Response]])=TRUE,1,0)=2,1,"")</f>
        <v>1</v>
      </c>
      <c r="K126" s="6" t="str">
        <f>IF(IF(Table442466657277[[#This Row],[Pre or Post]]="Pre",1,0)+IF(ISNUMBER(Table442466657277[[#This Row],[Response]])=TRUE,1,0)=2,Table442466657277[[#This Row],[Response]],"")</f>
        <v/>
      </c>
      <c r="L126" s="6">
        <f>IF(IF(Table442466657277[[#This Row],[Pre or Post]]="Post",1,0)+IF(ISNUMBER(Table442466657277[[#This Row],[Response]])=TRUE,1,0)=2,Table442466657277[[#This Row],[Response]],"")</f>
        <v>2</v>
      </c>
      <c r="M126" s="5" t="str">
        <f>IF(IF(ISNUMBER(K126),1,0)+IF(ISNUMBER(L127),1,0)=2,IF(IF(C127=C126,1,0)+IF(B127=B126,1,0)+IF(D127="Post",1,0)+IF(D126="Pre",1,0)=4,Table442466657277[[#This Row],[Pre Total]],""),"")</f>
        <v/>
      </c>
      <c r="N126" s="5" t="str">
        <f>IF(IF(ISNUMBER(K125),1,0)+IF(ISNUMBER(Table442466657277[[#This Row],[Post Total]]),1,0)=2,IF(IF(Table442466657277[[#This Row],[Student Number]]=C125,1,0)+IF(Table442466657277[[#This Row],[Session]]=B125,1,0)+IF(Table442466657277[[#This Row],[Pre or Post]]="Post",1,0)+IF(D125="Pre",1,0)=4,Table442466657277[[#This Row],[Post Total]],""),"")</f>
        <v/>
      </c>
      <c r="O126" s="5" t="str">
        <f>IF(IF(ISNUMBER(K125),1,0)+IF(ISNUMBER(Table442466657277[[#This Row],[Post Total]]),1,0)=2,IF(IF(Table442466657277[[#This Row],[Student Number]]=C125,1,0)+IF(Table442466657277[[#This Row],[Session]]=B125,1,0)+IF(Table442466657277[[#This Row],[Pre or Post]]="Post",1,0)+IF(D125="Pre",1,0)=4,Table442466657277[[#This Row],[Post Total]]-K125,""),"")</f>
        <v/>
      </c>
      <c r="P126" s="5" t="b">
        <f>ISNUMBER(Table442466657277[[#This Row],[Change]])</f>
        <v>0</v>
      </c>
      <c r="Q126" s="5" t="str">
        <f>IF(E125="Yes",Table442466657277[[#This Row],[Change]],"")</f>
        <v/>
      </c>
      <c r="R126" s="5" t="str">
        <f>IF(E125="No",Table442466657277[[#This Row],[Change]],"")</f>
        <v/>
      </c>
      <c r="S126" s="5" t="b">
        <f>ISNUMBER(Table442466657277[[#This Row],[If Pre6 Yes]])</f>
        <v>0</v>
      </c>
      <c r="T126" s="5" t="b">
        <f>ISNUMBER(Table442466657277[[#This Row],[If Pre6 No]])</f>
        <v>0</v>
      </c>
    </row>
    <row r="127" spans="1:20">
      <c r="A127" s="2" t="s">
        <v>24</v>
      </c>
      <c r="B127" s="2" t="s">
        <v>31</v>
      </c>
      <c r="C127" s="1">
        <v>14</v>
      </c>
      <c r="D127" s="2" t="s">
        <v>16</v>
      </c>
      <c r="E127" s="6"/>
      <c r="F127" s="1">
        <v>6</v>
      </c>
      <c r="G127" s="1">
        <v>3</v>
      </c>
      <c r="H127" s="2" t="s">
        <v>9</v>
      </c>
      <c r="I127" s="5" t="str">
        <f>IF(IF(Table442466657277[[#This Row],[Pre or Post]]="Pre",1,0)+IF(ISNUMBER(Table442466657277[[#This Row],[Response]])=TRUE,1,0)=2,1,"")</f>
        <v/>
      </c>
      <c r="J127" s="5">
        <f>IF(IF(Table442466657277[[#This Row],[Pre or Post]]="Post",1,0)+IF(ISNUMBER(Table442466657277[[#This Row],[Response]])=TRUE,1,0)=2,1,"")</f>
        <v>1</v>
      </c>
      <c r="K127" s="6" t="str">
        <f>IF(IF(Table442466657277[[#This Row],[Pre or Post]]="Pre",1,0)+IF(ISNUMBER(Table442466657277[[#This Row],[Response]])=TRUE,1,0)=2,Table442466657277[[#This Row],[Response]],"")</f>
        <v/>
      </c>
      <c r="L127" s="6">
        <f>IF(IF(Table442466657277[[#This Row],[Pre or Post]]="Post",1,0)+IF(ISNUMBER(Table442466657277[[#This Row],[Response]])=TRUE,1,0)=2,Table442466657277[[#This Row],[Response]],"")</f>
        <v>3</v>
      </c>
      <c r="M127" s="5" t="str">
        <f>IF(IF(ISNUMBER(K127),1,0)+IF(ISNUMBER(L128),1,0)=2,IF(IF(C128=C127,1,0)+IF(B128=B127,1,0)+IF(D128="Post",1,0)+IF(D127="Pre",1,0)=4,Table442466657277[[#This Row],[Pre Total]],""),"")</f>
        <v/>
      </c>
      <c r="N127" s="5" t="str">
        <f>IF(IF(ISNUMBER(K126),1,0)+IF(ISNUMBER(Table442466657277[[#This Row],[Post Total]]),1,0)=2,IF(IF(Table442466657277[[#This Row],[Student Number]]=C126,1,0)+IF(Table442466657277[[#This Row],[Session]]=B126,1,0)+IF(Table442466657277[[#This Row],[Pre or Post]]="Post",1,0)+IF(D126="Pre",1,0)=4,Table442466657277[[#This Row],[Post Total]],""),"")</f>
        <v/>
      </c>
      <c r="O127" s="5" t="str">
        <f>IF(IF(ISNUMBER(K126),1,0)+IF(ISNUMBER(Table442466657277[[#This Row],[Post Total]]),1,0)=2,IF(IF(Table442466657277[[#This Row],[Student Number]]=C126,1,0)+IF(Table442466657277[[#This Row],[Session]]=B126,1,0)+IF(Table442466657277[[#This Row],[Pre or Post]]="Post",1,0)+IF(D126="Pre",1,0)=4,Table442466657277[[#This Row],[Post Total]]-K126,""),"")</f>
        <v/>
      </c>
      <c r="P127" s="5" t="b">
        <f>ISNUMBER(Table442466657277[[#This Row],[Change]])</f>
        <v>0</v>
      </c>
      <c r="Q127" s="5" t="str">
        <f>IF(E126="Yes",Table442466657277[[#This Row],[Change]],"")</f>
        <v/>
      </c>
      <c r="R127" s="5" t="str">
        <f>IF(E126="No",Table442466657277[[#This Row],[Change]],"")</f>
        <v/>
      </c>
      <c r="S127" s="5" t="b">
        <f>ISNUMBER(Table442466657277[[#This Row],[If Pre6 Yes]])</f>
        <v>0</v>
      </c>
      <c r="T127" s="5" t="b">
        <f>ISNUMBER(Table442466657277[[#This Row],[If Pre6 No]])</f>
        <v>0</v>
      </c>
    </row>
    <row r="128" spans="1:20">
      <c r="A128" s="2" t="s">
        <v>24</v>
      </c>
      <c r="B128" s="2" t="s">
        <v>31</v>
      </c>
      <c r="C128" s="1">
        <v>15</v>
      </c>
      <c r="D128" s="2" t="s">
        <v>16</v>
      </c>
      <c r="E128" s="6"/>
      <c r="F128" s="1">
        <v>6</v>
      </c>
      <c r="G128" s="1">
        <v>5</v>
      </c>
      <c r="H128" s="2" t="s">
        <v>9</v>
      </c>
      <c r="I128" s="5" t="str">
        <f>IF(IF(Table442466657277[[#This Row],[Pre or Post]]="Pre",1,0)+IF(ISNUMBER(Table442466657277[[#This Row],[Response]])=TRUE,1,0)=2,1,"")</f>
        <v/>
      </c>
      <c r="J128" s="5">
        <f>IF(IF(Table442466657277[[#This Row],[Pre or Post]]="Post",1,0)+IF(ISNUMBER(Table442466657277[[#This Row],[Response]])=TRUE,1,0)=2,1,"")</f>
        <v>1</v>
      </c>
      <c r="K128" s="6" t="str">
        <f>IF(IF(Table442466657277[[#This Row],[Pre or Post]]="Pre",1,0)+IF(ISNUMBER(Table442466657277[[#This Row],[Response]])=TRUE,1,0)=2,Table442466657277[[#This Row],[Response]],"")</f>
        <v/>
      </c>
      <c r="L128" s="6">
        <f>IF(IF(Table442466657277[[#This Row],[Pre or Post]]="Post",1,0)+IF(ISNUMBER(Table442466657277[[#This Row],[Response]])=TRUE,1,0)=2,Table442466657277[[#This Row],[Response]],"")</f>
        <v>5</v>
      </c>
      <c r="M128" s="5" t="str">
        <f>IF(IF(ISNUMBER(K128),1,0)+IF(ISNUMBER(L129),1,0)=2,IF(IF(C129=C128,1,0)+IF(B129=B128,1,0)+IF(D129="Post",1,0)+IF(D128="Pre",1,0)=4,Table442466657277[[#This Row],[Pre Total]],""),"")</f>
        <v/>
      </c>
      <c r="N128" s="5" t="str">
        <f>IF(IF(ISNUMBER(K127),1,0)+IF(ISNUMBER(Table442466657277[[#This Row],[Post Total]]),1,0)=2,IF(IF(Table442466657277[[#This Row],[Student Number]]=C127,1,0)+IF(Table442466657277[[#This Row],[Session]]=B127,1,0)+IF(Table442466657277[[#This Row],[Pre or Post]]="Post",1,0)+IF(D127="Pre",1,0)=4,Table442466657277[[#This Row],[Post Total]],""),"")</f>
        <v/>
      </c>
      <c r="O128" s="5" t="str">
        <f>IF(IF(ISNUMBER(K127),1,0)+IF(ISNUMBER(Table442466657277[[#This Row],[Post Total]]),1,0)=2,IF(IF(Table442466657277[[#This Row],[Student Number]]=C127,1,0)+IF(Table442466657277[[#This Row],[Session]]=B127,1,0)+IF(Table442466657277[[#This Row],[Pre or Post]]="Post",1,0)+IF(D127="Pre",1,0)=4,Table442466657277[[#This Row],[Post Total]]-K127,""),"")</f>
        <v/>
      </c>
      <c r="P128" s="5" t="b">
        <f>ISNUMBER(Table442466657277[[#This Row],[Change]])</f>
        <v>0</v>
      </c>
      <c r="Q128" s="5" t="str">
        <f>IF(E127="Yes",Table442466657277[[#This Row],[Change]],"")</f>
        <v/>
      </c>
      <c r="R128" s="5" t="str">
        <f>IF(E127="No",Table442466657277[[#This Row],[Change]],"")</f>
        <v/>
      </c>
      <c r="S128" s="5" t="b">
        <f>ISNUMBER(Table442466657277[[#This Row],[If Pre6 Yes]])</f>
        <v>0</v>
      </c>
      <c r="T128" s="5" t="b">
        <f>ISNUMBER(Table442466657277[[#This Row],[If Pre6 No]])</f>
        <v>0</v>
      </c>
    </row>
    <row r="129" spans="1:20">
      <c r="A129" s="2" t="s">
        <v>24</v>
      </c>
      <c r="B129" s="2" t="s">
        <v>26</v>
      </c>
      <c r="C129" s="1">
        <v>1</v>
      </c>
      <c r="D129" s="1" t="s">
        <v>6</v>
      </c>
      <c r="E129" s="5" t="s">
        <v>8</v>
      </c>
      <c r="F129" s="1">
        <v>10</v>
      </c>
      <c r="G129" s="1">
        <v>2</v>
      </c>
      <c r="H129" s="2" t="s">
        <v>8</v>
      </c>
      <c r="I129" s="5">
        <f>IF(IF(Table442466657277[[#This Row],[Pre or Post]]="Pre",1,0)+IF(ISNUMBER(Table442466657277[[#This Row],[Response]])=TRUE,1,0)=2,1,"")</f>
        <v>1</v>
      </c>
      <c r="J129" s="5" t="str">
        <f>IF(IF(Table442466657277[[#This Row],[Pre or Post]]="Post",1,0)+IF(ISNUMBER(Table442466657277[[#This Row],[Response]])=TRUE,1,0)=2,1,"")</f>
        <v/>
      </c>
      <c r="K129" s="6">
        <f>IF(IF(Table442466657277[[#This Row],[Pre or Post]]="Pre",1,0)+IF(ISNUMBER(Table442466657277[[#This Row],[Response]])=TRUE,1,0)=2,Table442466657277[[#This Row],[Response]],"")</f>
        <v>2</v>
      </c>
      <c r="L129" s="6" t="str">
        <f>IF(IF(Table442466657277[[#This Row],[Pre or Post]]="Post",1,0)+IF(ISNUMBER(Table442466657277[[#This Row],[Response]])=TRUE,1,0)=2,Table442466657277[[#This Row],[Response]],"")</f>
        <v/>
      </c>
      <c r="M129" s="5">
        <f>IF(IF(ISNUMBER(K129),1,0)+IF(ISNUMBER(L130),1,0)=2,IF(IF(C130=C129,1,0)+IF(B130=B129,1,0)+IF(D130="Post",1,0)+IF(D129="Pre",1,0)=4,Table442466657277[[#This Row],[Pre Total]],""),"")</f>
        <v>2</v>
      </c>
      <c r="N129" s="5" t="str">
        <f>IF(IF(ISNUMBER(K128),1,0)+IF(ISNUMBER(Table442466657277[[#This Row],[Post Total]]),1,0)=2,IF(IF(Table442466657277[[#This Row],[Student Number]]=C128,1,0)+IF(Table442466657277[[#This Row],[Session]]=B128,1,0)+IF(Table442466657277[[#This Row],[Pre or Post]]="Post",1,0)+IF(D128="Pre",1,0)=4,Table442466657277[[#This Row],[Post Total]],""),"")</f>
        <v/>
      </c>
      <c r="O129" s="5" t="str">
        <f>IF(IF(ISNUMBER(K128),1,0)+IF(ISNUMBER(Table442466657277[[#This Row],[Post Total]]),1,0)=2,IF(IF(Table442466657277[[#This Row],[Student Number]]=C128,1,0)+IF(Table442466657277[[#This Row],[Session]]=B128,1,0)+IF(Table442466657277[[#This Row],[Pre or Post]]="Post",1,0)+IF(D128="Pre",1,0)=4,Table442466657277[[#This Row],[Post Total]]-K128,""),"")</f>
        <v/>
      </c>
      <c r="P129" s="5" t="b">
        <f>ISNUMBER(Table442466657277[[#This Row],[Change]])</f>
        <v>0</v>
      </c>
      <c r="Q129" s="5" t="str">
        <f>IF(E128="Yes",Table442466657277[[#This Row],[Change]],"")</f>
        <v/>
      </c>
      <c r="R129" s="5" t="str">
        <f>IF(E128="No",Table442466657277[[#This Row],[Change]],"")</f>
        <v/>
      </c>
      <c r="S129" s="5" t="b">
        <f>ISNUMBER(Table442466657277[[#This Row],[If Pre6 Yes]])</f>
        <v>0</v>
      </c>
      <c r="T129" s="5" t="b">
        <f>ISNUMBER(Table442466657277[[#This Row],[If Pre6 No]])</f>
        <v>0</v>
      </c>
    </row>
    <row r="130" spans="1:20">
      <c r="A130" s="2" t="s">
        <v>24</v>
      </c>
      <c r="B130" s="2" t="s">
        <v>26</v>
      </c>
      <c r="C130" s="1">
        <v>1</v>
      </c>
      <c r="D130" s="1" t="s">
        <v>16</v>
      </c>
      <c r="E130" s="5"/>
      <c r="F130" s="1">
        <v>6</v>
      </c>
      <c r="G130" s="1">
        <v>3</v>
      </c>
      <c r="H130" s="2" t="s">
        <v>8</v>
      </c>
      <c r="I130" s="6" t="str">
        <f>IF(IF(Table442466657277[[#This Row],[Pre or Post]]="Pre",1,0)+IF(ISNUMBER(Table442466657277[[#This Row],[Response]])=TRUE,1,0)=2,1,"")</f>
        <v/>
      </c>
      <c r="J130" s="6">
        <f>IF(IF(Table442466657277[[#This Row],[Pre or Post]]="Post",1,0)+IF(ISNUMBER(Table442466657277[[#This Row],[Response]])=TRUE,1,0)=2,1,"")</f>
        <v>1</v>
      </c>
      <c r="K130" s="6" t="str">
        <f>IF(IF(Table442466657277[[#This Row],[Pre or Post]]="Pre",1,0)+IF(ISNUMBER(Table442466657277[[#This Row],[Response]])=TRUE,1,0)=2,Table442466657277[[#This Row],[Response]],"")</f>
        <v/>
      </c>
      <c r="L130" s="6">
        <f>IF(IF(Table442466657277[[#This Row],[Pre or Post]]="Post",1,0)+IF(ISNUMBER(Table442466657277[[#This Row],[Response]])=TRUE,1,0)=2,Table442466657277[[#This Row],[Response]],"")</f>
        <v>3</v>
      </c>
      <c r="M130" s="6" t="str">
        <f>IF(IF(ISNUMBER(K130),1,0)+IF(ISNUMBER(L131),1,0)=2,IF(IF(C131=C130,1,0)+IF(B131=B130,1,0)+IF(D131="Post",1,0)+IF(D130="Pre",1,0)=4,Table442466657277[[#This Row],[Pre Total]],""),"")</f>
        <v/>
      </c>
      <c r="N130" s="6">
        <f>IF(IF(ISNUMBER(K129),1,0)+IF(ISNUMBER(Table442466657277[[#This Row],[Post Total]]),1,0)=2,IF(IF(Table442466657277[[#This Row],[Student Number]]=C129,1,0)+IF(Table442466657277[[#This Row],[Session]]=B129,1,0)+IF(Table442466657277[[#This Row],[Pre or Post]]="Post",1,0)+IF(D129="Pre",1,0)=4,Table442466657277[[#This Row],[Post Total]],""),"")</f>
        <v>3</v>
      </c>
      <c r="O130" s="6">
        <f>IF(IF(ISNUMBER(K129),1,0)+IF(ISNUMBER(Table442466657277[[#This Row],[Post Total]]),1,0)=2,IF(IF(Table442466657277[[#This Row],[Student Number]]=C129,1,0)+IF(Table442466657277[[#This Row],[Session]]=B129,1,0)+IF(Table442466657277[[#This Row],[Pre or Post]]="Post",1,0)+IF(D129="Pre",1,0)=4,Table442466657277[[#This Row],[Post Total]]-K129,""),"")</f>
        <v>1</v>
      </c>
      <c r="P130" s="6" t="b">
        <f>ISNUMBER(Table442466657277[[#This Row],[Change]])</f>
        <v>1</v>
      </c>
      <c r="Q130" s="5">
        <f>IF(E129="Yes",Table442466657277[[#This Row],[Change]],"")</f>
        <v>1</v>
      </c>
      <c r="R130" s="5" t="str">
        <f>IF(E129="No",Table442466657277[[#This Row],[Change]],"")</f>
        <v/>
      </c>
      <c r="S130" s="5" t="b">
        <f>ISNUMBER(Table442466657277[[#This Row],[If Pre6 Yes]])</f>
        <v>1</v>
      </c>
      <c r="T130" s="5" t="b">
        <f>ISNUMBER(Table442466657277[[#This Row],[If Pre6 No]])</f>
        <v>0</v>
      </c>
    </row>
    <row r="131" spans="1:20">
      <c r="A131" s="2" t="s">
        <v>24</v>
      </c>
      <c r="B131" s="2" t="s">
        <v>26</v>
      </c>
      <c r="C131" s="1">
        <v>2</v>
      </c>
      <c r="D131" s="1" t="s">
        <v>6</v>
      </c>
      <c r="E131" s="5" t="s">
        <v>8</v>
      </c>
      <c r="F131" s="1">
        <v>10</v>
      </c>
      <c r="G131" s="1">
        <v>2</v>
      </c>
      <c r="H131" s="2" t="s">
        <v>8</v>
      </c>
      <c r="I131" s="5">
        <f>IF(IF(Table442466657277[[#This Row],[Pre or Post]]="Pre",1,0)+IF(ISNUMBER(Table442466657277[[#This Row],[Response]])=TRUE,1,0)=2,1,"")</f>
        <v>1</v>
      </c>
      <c r="J131" s="5" t="str">
        <f>IF(IF(Table442466657277[[#This Row],[Pre or Post]]="Post",1,0)+IF(ISNUMBER(Table442466657277[[#This Row],[Response]])=TRUE,1,0)=2,1,"")</f>
        <v/>
      </c>
      <c r="K131" s="6">
        <f>IF(IF(Table442466657277[[#This Row],[Pre or Post]]="Pre",1,0)+IF(ISNUMBER(Table442466657277[[#This Row],[Response]])=TRUE,1,0)=2,Table442466657277[[#This Row],[Response]],"")</f>
        <v>2</v>
      </c>
      <c r="L131" s="6" t="str">
        <f>IF(IF(Table442466657277[[#This Row],[Pre or Post]]="Post",1,0)+IF(ISNUMBER(Table442466657277[[#This Row],[Response]])=TRUE,1,0)=2,Table442466657277[[#This Row],[Response]],"")</f>
        <v/>
      </c>
      <c r="M131" s="5">
        <f>IF(IF(ISNUMBER(K131),1,0)+IF(ISNUMBER(L132),1,0)=2,IF(IF(C132=C131,1,0)+IF(B132=B131,1,0)+IF(D132="Post",1,0)+IF(D131="Pre",1,0)=4,Table442466657277[[#This Row],[Pre Total]],""),"")</f>
        <v>2</v>
      </c>
      <c r="N131" s="5" t="str">
        <f>IF(IF(ISNUMBER(K130),1,0)+IF(ISNUMBER(Table442466657277[[#This Row],[Post Total]]),1,0)=2,IF(IF(Table442466657277[[#This Row],[Student Number]]=C130,1,0)+IF(Table442466657277[[#This Row],[Session]]=B130,1,0)+IF(Table442466657277[[#This Row],[Pre or Post]]="Post",1,0)+IF(D130="Pre",1,0)=4,Table442466657277[[#This Row],[Post Total]],""),"")</f>
        <v/>
      </c>
      <c r="O131" s="5" t="str">
        <f>IF(IF(ISNUMBER(K130),1,0)+IF(ISNUMBER(Table442466657277[[#This Row],[Post Total]]),1,0)=2,IF(IF(Table442466657277[[#This Row],[Student Number]]=C130,1,0)+IF(Table442466657277[[#This Row],[Session]]=B130,1,0)+IF(Table442466657277[[#This Row],[Pre or Post]]="Post",1,0)+IF(D130="Pre",1,0)=4,Table442466657277[[#This Row],[Post Total]]-K130,""),"")</f>
        <v/>
      </c>
      <c r="P131" s="5" t="b">
        <f>ISNUMBER(Table442466657277[[#This Row],[Change]])</f>
        <v>0</v>
      </c>
      <c r="Q131" s="5" t="str">
        <f>IF(E130="Yes",Table442466657277[[#This Row],[Change]],"")</f>
        <v/>
      </c>
      <c r="R131" s="5" t="str">
        <f>IF(E130="No",Table442466657277[[#This Row],[Change]],"")</f>
        <v/>
      </c>
      <c r="S131" s="5" t="b">
        <f>ISNUMBER(Table442466657277[[#This Row],[If Pre6 Yes]])</f>
        <v>0</v>
      </c>
      <c r="T131" s="5" t="b">
        <f>ISNUMBER(Table442466657277[[#This Row],[If Pre6 No]])</f>
        <v>0</v>
      </c>
    </row>
    <row r="132" spans="1:20">
      <c r="A132" s="2" t="s">
        <v>24</v>
      </c>
      <c r="B132" s="2" t="s">
        <v>26</v>
      </c>
      <c r="C132" s="1">
        <v>2</v>
      </c>
      <c r="D132" s="1" t="s">
        <v>16</v>
      </c>
      <c r="E132" s="5"/>
      <c r="F132" s="1">
        <v>6</v>
      </c>
      <c r="G132" s="1">
        <v>1</v>
      </c>
      <c r="H132" s="2" t="s">
        <v>8</v>
      </c>
      <c r="I132" s="5" t="str">
        <f>IF(IF(Table442466657277[[#This Row],[Pre or Post]]="Pre",1,0)+IF(ISNUMBER(Table442466657277[[#This Row],[Response]])=TRUE,1,0)=2,1,"")</f>
        <v/>
      </c>
      <c r="J132" s="5">
        <f>IF(IF(Table442466657277[[#This Row],[Pre or Post]]="Post",1,0)+IF(ISNUMBER(Table442466657277[[#This Row],[Response]])=TRUE,1,0)=2,1,"")</f>
        <v>1</v>
      </c>
      <c r="K132" s="6" t="str">
        <f>IF(IF(Table442466657277[[#This Row],[Pre or Post]]="Pre",1,0)+IF(ISNUMBER(Table442466657277[[#This Row],[Response]])=TRUE,1,0)=2,Table442466657277[[#This Row],[Response]],"")</f>
        <v/>
      </c>
      <c r="L132" s="6">
        <f>IF(IF(Table442466657277[[#This Row],[Pre or Post]]="Post",1,0)+IF(ISNUMBER(Table442466657277[[#This Row],[Response]])=TRUE,1,0)=2,Table442466657277[[#This Row],[Response]],"")</f>
        <v>1</v>
      </c>
      <c r="M132" s="5" t="str">
        <f>IF(IF(ISNUMBER(K132),1,0)+IF(ISNUMBER(L133),1,0)=2,IF(IF(C133=C132,1,0)+IF(B133=B132,1,0)+IF(D133="Post",1,0)+IF(D132="Pre",1,0)=4,Table442466657277[[#This Row],[Pre Total]],""),"")</f>
        <v/>
      </c>
      <c r="N132" s="5">
        <f>IF(IF(ISNUMBER(K131),1,0)+IF(ISNUMBER(Table442466657277[[#This Row],[Post Total]]),1,0)=2,IF(IF(Table442466657277[[#This Row],[Student Number]]=C131,1,0)+IF(Table442466657277[[#This Row],[Session]]=B131,1,0)+IF(Table442466657277[[#This Row],[Pre or Post]]="Post",1,0)+IF(D131="Pre",1,0)=4,Table442466657277[[#This Row],[Post Total]],""),"")</f>
        <v>1</v>
      </c>
      <c r="O132" s="5">
        <f>IF(IF(ISNUMBER(K131),1,0)+IF(ISNUMBER(Table442466657277[[#This Row],[Post Total]]),1,0)=2,IF(IF(Table442466657277[[#This Row],[Student Number]]=C131,1,0)+IF(Table442466657277[[#This Row],[Session]]=B131,1,0)+IF(Table442466657277[[#This Row],[Pre or Post]]="Post",1,0)+IF(D131="Pre",1,0)=4,Table442466657277[[#This Row],[Post Total]]-K131,""),"")</f>
        <v>-1</v>
      </c>
      <c r="P132" s="5" t="b">
        <f>ISNUMBER(Table442466657277[[#This Row],[Change]])</f>
        <v>1</v>
      </c>
      <c r="Q132" s="5">
        <f>IF(E131="Yes",Table442466657277[[#This Row],[Change]],"")</f>
        <v>-1</v>
      </c>
      <c r="R132" s="5" t="str">
        <f>IF(E131="No",Table442466657277[[#This Row],[Change]],"")</f>
        <v/>
      </c>
      <c r="S132" s="5" t="b">
        <f>ISNUMBER(Table442466657277[[#This Row],[If Pre6 Yes]])</f>
        <v>1</v>
      </c>
      <c r="T132" s="5" t="b">
        <f>ISNUMBER(Table442466657277[[#This Row],[If Pre6 No]])</f>
        <v>0</v>
      </c>
    </row>
    <row r="133" spans="1:20">
      <c r="A133" s="2" t="s">
        <v>24</v>
      </c>
      <c r="B133" s="2" t="s">
        <v>26</v>
      </c>
      <c r="C133" s="1">
        <v>3</v>
      </c>
      <c r="D133" s="1" t="s">
        <v>6</v>
      </c>
      <c r="E133" s="5" t="s">
        <v>8</v>
      </c>
      <c r="F133" s="1">
        <v>10</v>
      </c>
      <c r="G133" s="1">
        <v>2</v>
      </c>
      <c r="H133" s="2" t="s">
        <v>8</v>
      </c>
      <c r="I133" s="5">
        <f>IF(IF(Table442466657277[[#This Row],[Pre or Post]]="Pre",1,0)+IF(ISNUMBER(Table442466657277[[#This Row],[Response]])=TRUE,1,0)=2,1,"")</f>
        <v>1</v>
      </c>
      <c r="J133" s="5" t="str">
        <f>IF(IF(Table442466657277[[#This Row],[Pre or Post]]="Post",1,0)+IF(ISNUMBER(Table442466657277[[#This Row],[Response]])=TRUE,1,0)=2,1,"")</f>
        <v/>
      </c>
      <c r="K133" s="6">
        <f>IF(IF(Table442466657277[[#This Row],[Pre or Post]]="Pre",1,0)+IF(ISNUMBER(Table442466657277[[#This Row],[Response]])=TRUE,1,0)=2,Table442466657277[[#This Row],[Response]],"")</f>
        <v>2</v>
      </c>
      <c r="L133" s="6" t="str">
        <f>IF(IF(Table442466657277[[#This Row],[Pre or Post]]="Post",1,0)+IF(ISNUMBER(Table442466657277[[#This Row],[Response]])=TRUE,1,0)=2,Table442466657277[[#This Row],[Response]],"")</f>
        <v/>
      </c>
      <c r="M133" s="5">
        <f>IF(IF(ISNUMBER(K133),1,0)+IF(ISNUMBER(L134),1,0)=2,IF(IF(C134=C133,1,0)+IF(B134=B133,1,0)+IF(D134="Post",1,0)+IF(D133="Pre",1,0)=4,Table442466657277[[#This Row],[Pre Total]],""),"")</f>
        <v>2</v>
      </c>
      <c r="N133" s="5" t="str">
        <f>IF(IF(ISNUMBER(K132),1,0)+IF(ISNUMBER(Table442466657277[[#This Row],[Post Total]]),1,0)=2,IF(IF(Table442466657277[[#This Row],[Student Number]]=C132,1,0)+IF(Table442466657277[[#This Row],[Session]]=B132,1,0)+IF(Table442466657277[[#This Row],[Pre or Post]]="Post",1,0)+IF(D132="Pre",1,0)=4,Table442466657277[[#This Row],[Post Total]],""),"")</f>
        <v/>
      </c>
      <c r="O133" s="5" t="str">
        <f>IF(IF(ISNUMBER(K132),1,0)+IF(ISNUMBER(Table442466657277[[#This Row],[Post Total]]),1,0)=2,IF(IF(Table442466657277[[#This Row],[Student Number]]=C132,1,0)+IF(Table442466657277[[#This Row],[Session]]=B132,1,0)+IF(Table442466657277[[#This Row],[Pre or Post]]="Post",1,0)+IF(D132="Pre",1,0)=4,Table442466657277[[#This Row],[Post Total]]-K132,""),"")</f>
        <v/>
      </c>
      <c r="P133" s="5" t="b">
        <f>ISNUMBER(Table442466657277[[#This Row],[Change]])</f>
        <v>0</v>
      </c>
      <c r="Q133" s="5" t="str">
        <f>IF(E132="Yes",Table442466657277[[#This Row],[Change]],"")</f>
        <v/>
      </c>
      <c r="R133" s="5" t="str">
        <f>IF(E132="No",Table442466657277[[#This Row],[Change]],"")</f>
        <v/>
      </c>
      <c r="S133" s="5" t="b">
        <f>ISNUMBER(Table442466657277[[#This Row],[If Pre6 Yes]])</f>
        <v>0</v>
      </c>
      <c r="T133" s="5" t="b">
        <f>ISNUMBER(Table442466657277[[#This Row],[If Pre6 No]])</f>
        <v>0</v>
      </c>
    </row>
    <row r="134" spans="1:20">
      <c r="A134" s="2" t="s">
        <v>24</v>
      </c>
      <c r="B134" s="2" t="s">
        <v>26</v>
      </c>
      <c r="C134" s="1">
        <v>3</v>
      </c>
      <c r="D134" s="1" t="s">
        <v>16</v>
      </c>
      <c r="E134" s="5"/>
      <c r="F134" s="1">
        <v>6</v>
      </c>
      <c r="G134" s="1">
        <v>4</v>
      </c>
      <c r="H134" s="2" t="s">
        <v>8</v>
      </c>
      <c r="I134" s="5" t="str">
        <f>IF(IF(Table442466657277[[#This Row],[Pre or Post]]="Pre",1,0)+IF(ISNUMBER(Table442466657277[[#This Row],[Response]])=TRUE,1,0)=2,1,"")</f>
        <v/>
      </c>
      <c r="J134" s="5">
        <f>IF(IF(Table442466657277[[#This Row],[Pre or Post]]="Post",1,0)+IF(ISNUMBER(Table442466657277[[#This Row],[Response]])=TRUE,1,0)=2,1,"")</f>
        <v>1</v>
      </c>
      <c r="K134" s="6" t="str">
        <f>IF(IF(Table442466657277[[#This Row],[Pre or Post]]="Pre",1,0)+IF(ISNUMBER(Table442466657277[[#This Row],[Response]])=TRUE,1,0)=2,Table442466657277[[#This Row],[Response]],"")</f>
        <v/>
      </c>
      <c r="L134" s="6">
        <f>IF(IF(Table442466657277[[#This Row],[Pre or Post]]="Post",1,0)+IF(ISNUMBER(Table442466657277[[#This Row],[Response]])=TRUE,1,0)=2,Table442466657277[[#This Row],[Response]],"")</f>
        <v>4</v>
      </c>
      <c r="M134" s="5" t="str">
        <f>IF(IF(ISNUMBER(K134),1,0)+IF(ISNUMBER(L135),1,0)=2,IF(IF(C135=C134,1,0)+IF(B135=B134,1,0)+IF(D135="Post",1,0)+IF(D134="Pre",1,0)=4,Table442466657277[[#This Row],[Pre Total]],""),"")</f>
        <v/>
      </c>
      <c r="N134" s="5">
        <f>IF(IF(ISNUMBER(K133),1,0)+IF(ISNUMBER(Table442466657277[[#This Row],[Post Total]]),1,0)=2,IF(IF(Table442466657277[[#This Row],[Student Number]]=C133,1,0)+IF(Table442466657277[[#This Row],[Session]]=B133,1,0)+IF(Table442466657277[[#This Row],[Pre or Post]]="Post",1,0)+IF(D133="Pre",1,0)=4,Table442466657277[[#This Row],[Post Total]],""),"")</f>
        <v>4</v>
      </c>
      <c r="O134" s="5">
        <f>IF(IF(ISNUMBER(K133),1,0)+IF(ISNUMBER(Table442466657277[[#This Row],[Post Total]]),1,0)=2,IF(IF(Table442466657277[[#This Row],[Student Number]]=C133,1,0)+IF(Table442466657277[[#This Row],[Session]]=B133,1,0)+IF(Table442466657277[[#This Row],[Pre or Post]]="Post",1,0)+IF(D133="Pre",1,0)=4,Table442466657277[[#This Row],[Post Total]]-K133,""),"")</f>
        <v>2</v>
      </c>
      <c r="P134" s="5" t="b">
        <f>ISNUMBER(Table442466657277[[#This Row],[Change]])</f>
        <v>1</v>
      </c>
      <c r="Q134" s="5">
        <f>IF(E133="Yes",Table442466657277[[#This Row],[Change]],"")</f>
        <v>2</v>
      </c>
      <c r="R134" s="5" t="str">
        <f>IF(E133="No",Table442466657277[[#This Row],[Change]],"")</f>
        <v/>
      </c>
      <c r="S134" s="5" t="b">
        <f>ISNUMBER(Table442466657277[[#This Row],[If Pre6 Yes]])</f>
        <v>1</v>
      </c>
      <c r="T134" s="5" t="b">
        <f>ISNUMBER(Table442466657277[[#This Row],[If Pre6 No]])</f>
        <v>0</v>
      </c>
    </row>
    <row r="135" spans="1:20">
      <c r="A135" s="2" t="s">
        <v>24</v>
      </c>
      <c r="B135" s="2" t="s">
        <v>26</v>
      </c>
      <c r="C135" s="1">
        <v>4</v>
      </c>
      <c r="D135" s="1" t="s">
        <v>6</v>
      </c>
      <c r="E135" s="5" t="s">
        <v>8</v>
      </c>
      <c r="F135" s="1">
        <v>10</v>
      </c>
      <c r="G135" s="1">
        <v>4</v>
      </c>
      <c r="H135" s="2" t="s">
        <v>8</v>
      </c>
      <c r="I135" s="6">
        <f>IF(IF(Table442466657277[[#This Row],[Pre or Post]]="Pre",1,0)+IF(ISNUMBER(Table442466657277[[#This Row],[Response]])=TRUE,1,0)=2,1,"")</f>
        <v>1</v>
      </c>
      <c r="J135" s="6" t="str">
        <f>IF(IF(Table442466657277[[#This Row],[Pre or Post]]="Post",1,0)+IF(ISNUMBER(Table442466657277[[#This Row],[Response]])=TRUE,1,0)=2,1,"")</f>
        <v/>
      </c>
      <c r="K135" s="6">
        <f>IF(IF(Table442466657277[[#This Row],[Pre or Post]]="Pre",1,0)+IF(ISNUMBER(Table442466657277[[#This Row],[Response]])=TRUE,1,0)=2,Table442466657277[[#This Row],[Response]],"")</f>
        <v>4</v>
      </c>
      <c r="L135" s="6" t="str">
        <f>IF(IF(Table442466657277[[#This Row],[Pre or Post]]="Post",1,0)+IF(ISNUMBER(Table442466657277[[#This Row],[Response]])=TRUE,1,0)=2,Table442466657277[[#This Row],[Response]],"")</f>
        <v/>
      </c>
      <c r="M135" s="6">
        <f>IF(IF(ISNUMBER(K135),1,0)+IF(ISNUMBER(L136),1,0)=2,IF(IF(C136=C135,1,0)+IF(B136=B135,1,0)+IF(D136="Post",1,0)+IF(D135="Pre",1,0)=4,Table442466657277[[#This Row],[Pre Total]],""),"")</f>
        <v>4</v>
      </c>
      <c r="N135" s="6" t="str">
        <f>IF(IF(ISNUMBER(K134),1,0)+IF(ISNUMBER(Table442466657277[[#This Row],[Post Total]]),1,0)=2,IF(IF(Table442466657277[[#This Row],[Student Number]]=C134,1,0)+IF(Table442466657277[[#This Row],[Session]]=B134,1,0)+IF(Table442466657277[[#This Row],[Pre or Post]]="Post",1,0)+IF(D134="Pre",1,0)=4,Table442466657277[[#This Row],[Post Total]],""),"")</f>
        <v/>
      </c>
      <c r="O135" s="6" t="str">
        <f>IF(IF(ISNUMBER(K134),1,0)+IF(ISNUMBER(Table442466657277[[#This Row],[Post Total]]),1,0)=2,IF(IF(Table442466657277[[#This Row],[Student Number]]=C134,1,0)+IF(Table442466657277[[#This Row],[Session]]=B134,1,0)+IF(Table442466657277[[#This Row],[Pre or Post]]="Post",1,0)+IF(D134="Pre",1,0)=4,Table442466657277[[#This Row],[Post Total]]-K134,""),"")</f>
        <v/>
      </c>
      <c r="P135" s="6" t="b">
        <f>ISNUMBER(Table442466657277[[#This Row],[Change]])</f>
        <v>0</v>
      </c>
      <c r="Q135" s="5" t="str">
        <f>IF(E134="Yes",Table442466657277[[#This Row],[Change]],"")</f>
        <v/>
      </c>
      <c r="R135" s="5" t="str">
        <f>IF(E134="No",Table442466657277[[#This Row],[Change]],"")</f>
        <v/>
      </c>
      <c r="S135" s="5" t="b">
        <f>ISNUMBER(Table442466657277[[#This Row],[If Pre6 Yes]])</f>
        <v>0</v>
      </c>
      <c r="T135" s="5" t="b">
        <f>ISNUMBER(Table442466657277[[#This Row],[If Pre6 No]])</f>
        <v>0</v>
      </c>
    </row>
    <row r="136" spans="1:20">
      <c r="A136" s="2" t="s">
        <v>24</v>
      </c>
      <c r="B136" s="2" t="s">
        <v>26</v>
      </c>
      <c r="C136" s="1">
        <v>4</v>
      </c>
      <c r="D136" s="1" t="s">
        <v>16</v>
      </c>
      <c r="E136" s="5"/>
      <c r="F136" s="1">
        <v>6</v>
      </c>
      <c r="G136" s="1">
        <v>1</v>
      </c>
      <c r="H136" s="2" t="s">
        <v>8</v>
      </c>
      <c r="I136" s="5" t="str">
        <f>IF(IF(Table442466657277[[#This Row],[Pre or Post]]="Pre",1,0)+IF(ISNUMBER(Table442466657277[[#This Row],[Response]])=TRUE,1,0)=2,1,"")</f>
        <v/>
      </c>
      <c r="J136" s="5">
        <f>IF(IF(Table442466657277[[#This Row],[Pre or Post]]="Post",1,0)+IF(ISNUMBER(Table442466657277[[#This Row],[Response]])=TRUE,1,0)=2,1,"")</f>
        <v>1</v>
      </c>
      <c r="K136" s="6" t="str">
        <f>IF(IF(Table442466657277[[#This Row],[Pre or Post]]="Pre",1,0)+IF(ISNUMBER(Table442466657277[[#This Row],[Response]])=TRUE,1,0)=2,Table442466657277[[#This Row],[Response]],"")</f>
        <v/>
      </c>
      <c r="L136" s="6">
        <f>IF(IF(Table442466657277[[#This Row],[Pre or Post]]="Post",1,0)+IF(ISNUMBER(Table442466657277[[#This Row],[Response]])=TRUE,1,0)=2,Table442466657277[[#This Row],[Response]],"")</f>
        <v>1</v>
      </c>
      <c r="M136" s="5" t="str">
        <f>IF(IF(ISNUMBER(K136),1,0)+IF(ISNUMBER(L137),1,0)=2,IF(IF(C137=C136,1,0)+IF(B137=B136,1,0)+IF(D137="Post",1,0)+IF(D136="Pre",1,0)=4,Table442466657277[[#This Row],[Pre Total]],""),"")</f>
        <v/>
      </c>
      <c r="N136" s="5">
        <f>IF(IF(ISNUMBER(K135),1,0)+IF(ISNUMBER(Table442466657277[[#This Row],[Post Total]]),1,0)=2,IF(IF(Table442466657277[[#This Row],[Student Number]]=C135,1,0)+IF(Table442466657277[[#This Row],[Session]]=B135,1,0)+IF(Table442466657277[[#This Row],[Pre or Post]]="Post",1,0)+IF(D135="Pre",1,0)=4,Table442466657277[[#This Row],[Post Total]],""),"")</f>
        <v>1</v>
      </c>
      <c r="O136" s="5">
        <f>IF(IF(ISNUMBER(K135),1,0)+IF(ISNUMBER(Table442466657277[[#This Row],[Post Total]]),1,0)=2,IF(IF(Table442466657277[[#This Row],[Student Number]]=C135,1,0)+IF(Table442466657277[[#This Row],[Session]]=B135,1,0)+IF(Table442466657277[[#This Row],[Pre or Post]]="Post",1,0)+IF(D135="Pre",1,0)=4,Table442466657277[[#This Row],[Post Total]]-K135,""),"")</f>
        <v>-3</v>
      </c>
      <c r="P136" s="5" t="b">
        <f>ISNUMBER(Table442466657277[[#This Row],[Change]])</f>
        <v>1</v>
      </c>
      <c r="Q136" s="5">
        <f>IF(E135="Yes",Table442466657277[[#This Row],[Change]],"")</f>
        <v>-3</v>
      </c>
      <c r="R136" s="5" t="str">
        <f>IF(E135="No",Table442466657277[[#This Row],[Change]],"")</f>
        <v/>
      </c>
      <c r="S136" s="5" t="b">
        <f>ISNUMBER(Table442466657277[[#This Row],[If Pre6 Yes]])</f>
        <v>1</v>
      </c>
      <c r="T136" s="5" t="b">
        <f>ISNUMBER(Table442466657277[[#This Row],[If Pre6 No]])</f>
        <v>0</v>
      </c>
    </row>
    <row r="137" spans="1:20">
      <c r="A137" s="2" t="s">
        <v>24</v>
      </c>
      <c r="B137" s="2" t="s">
        <v>26</v>
      </c>
      <c r="C137" s="1">
        <v>5</v>
      </c>
      <c r="D137" s="1" t="s">
        <v>6</v>
      </c>
      <c r="E137" s="5" t="s">
        <v>8</v>
      </c>
      <c r="F137" s="1">
        <v>10</v>
      </c>
      <c r="G137" s="1">
        <v>3</v>
      </c>
      <c r="H137" s="2" t="s">
        <v>8</v>
      </c>
      <c r="I137" s="6">
        <f>IF(IF(Table442466657277[[#This Row],[Pre or Post]]="Pre",1,0)+IF(ISNUMBER(Table442466657277[[#This Row],[Response]])=TRUE,1,0)=2,1,"")</f>
        <v>1</v>
      </c>
      <c r="J137" s="6" t="str">
        <f>IF(IF(Table442466657277[[#This Row],[Pre or Post]]="Post",1,0)+IF(ISNUMBER(Table442466657277[[#This Row],[Response]])=TRUE,1,0)=2,1,"")</f>
        <v/>
      </c>
      <c r="K137" s="6">
        <f>IF(IF(Table442466657277[[#This Row],[Pre or Post]]="Pre",1,0)+IF(ISNUMBER(Table442466657277[[#This Row],[Response]])=TRUE,1,0)=2,Table442466657277[[#This Row],[Response]],"")</f>
        <v>3</v>
      </c>
      <c r="L137" s="6" t="str">
        <f>IF(IF(Table442466657277[[#This Row],[Pre or Post]]="Post",1,0)+IF(ISNUMBER(Table442466657277[[#This Row],[Response]])=TRUE,1,0)=2,Table442466657277[[#This Row],[Response]],"")</f>
        <v/>
      </c>
      <c r="M137" s="6">
        <f>IF(IF(ISNUMBER(K137),1,0)+IF(ISNUMBER(L138),1,0)=2,IF(IF(C138=C137,1,0)+IF(B138=B137,1,0)+IF(D138="Post",1,0)+IF(D137="Pre",1,0)=4,Table442466657277[[#This Row],[Pre Total]],""),"")</f>
        <v>3</v>
      </c>
      <c r="N137" s="6" t="str">
        <f>IF(IF(ISNUMBER(K136),1,0)+IF(ISNUMBER(Table442466657277[[#This Row],[Post Total]]),1,0)=2,IF(IF(Table442466657277[[#This Row],[Student Number]]=C136,1,0)+IF(Table442466657277[[#This Row],[Session]]=B136,1,0)+IF(Table442466657277[[#This Row],[Pre or Post]]="Post",1,0)+IF(D136="Pre",1,0)=4,Table442466657277[[#This Row],[Post Total]],""),"")</f>
        <v/>
      </c>
      <c r="O137" s="6" t="str">
        <f>IF(IF(ISNUMBER(K136),1,0)+IF(ISNUMBER(Table442466657277[[#This Row],[Post Total]]),1,0)=2,IF(IF(Table442466657277[[#This Row],[Student Number]]=C136,1,0)+IF(Table442466657277[[#This Row],[Session]]=B136,1,0)+IF(Table442466657277[[#This Row],[Pre or Post]]="Post",1,0)+IF(D136="Pre",1,0)=4,Table442466657277[[#This Row],[Post Total]]-K136,""),"")</f>
        <v/>
      </c>
      <c r="P137" s="6" t="b">
        <f>ISNUMBER(Table442466657277[[#This Row],[Change]])</f>
        <v>0</v>
      </c>
      <c r="Q137" s="5" t="str">
        <f>IF(E136="Yes",Table442466657277[[#This Row],[Change]],"")</f>
        <v/>
      </c>
      <c r="R137" s="5" t="str">
        <f>IF(E136="No",Table442466657277[[#This Row],[Change]],"")</f>
        <v/>
      </c>
      <c r="S137" s="5" t="b">
        <f>ISNUMBER(Table442466657277[[#This Row],[If Pre6 Yes]])</f>
        <v>0</v>
      </c>
      <c r="T137" s="5" t="b">
        <f>ISNUMBER(Table442466657277[[#This Row],[If Pre6 No]])</f>
        <v>0</v>
      </c>
    </row>
    <row r="138" spans="1:20">
      <c r="A138" s="2" t="s">
        <v>24</v>
      </c>
      <c r="B138" s="2" t="s">
        <v>26</v>
      </c>
      <c r="C138" s="1">
        <v>5</v>
      </c>
      <c r="D138" s="1" t="s">
        <v>16</v>
      </c>
      <c r="E138" s="5"/>
      <c r="F138" s="1">
        <v>6</v>
      </c>
      <c r="G138" s="1">
        <v>2</v>
      </c>
      <c r="H138" s="2" t="s">
        <v>8</v>
      </c>
      <c r="I138" s="5" t="str">
        <f>IF(IF(Table442466657277[[#This Row],[Pre or Post]]="Pre",1,0)+IF(ISNUMBER(Table442466657277[[#This Row],[Response]])=TRUE,1,0)=2,1,"")</f>
        <v/>
      </c>
      <c r="J138" s="5">
        <f>IF(IF(Table442466657277[[#This Row],[Pre or Post]]="Post",1,0)+IF(ISNUMBER(Table442466657277[[#This Row],[Response]])=TRUE,1,0)=2,1,"")</f>
        <v>1</v>
      </c>
      <c r="K138" s="6" t="str">
        <f>IF(IF(Table442466657277[[#This Row],[Pre or Post]]="Pre",1,0)+IF(ISNUMBER(Table442466657277[[#This Row],[Response]])=TRUE,1,0)=2,Table442466657277[[#This Row],[Response]],"")</f>
        <v/>
      </c>
      <c r="L138" s="6">
        <f>IF(IF(Table442466657277[[#This Row],[Pre or Post]]="Post",1,0)+IF(ISNUMBER(Table442466657277[[#This Row],[Response]])=TRUE,1,0)=2,Table442466657277[[#This Row],[Response]],"")</f>
        <v>2</v>
      </c>
      <c r="M138" s="5" t="str">
        <f>IF(IF(ISNUMBER(K138),1,0)+IF(ISNUMBER(L139),1,0)=2,IF(IF(C139=C138,1,0)+IF(B139=B138,1,0)+IF(D139="Post",1,0)+IF(D138="Pre",1,0)=4,Table442466657277[[#This Row],[Pre Total]],""),"")</f>
        <v/>
      </c>
      <c r="N138" s="5">
        <f>IF(IF(ISNUMBER(K137),1,0)+IF(ISNUMBER(Table442466657277[[#This Row],[Post Total]]),1,0)=2,IF(IF(Table442466657277[[#This Row],[Student Number]]=C137,1,0)+IF(Table442466657277[[#This Row],[Session]]=B137,1,0)+IF(Table442466657277[[#This Row],[Pre or Post]]="Post",1,0)+IF(D137="Pre",1,0)=4,Table442466657277[[#This Row],[Post Total]],""),"")</f>
        <v>2</v>
      </c>
      <c r="O138" s="5">
        <f>IF(IF(ISNUMBER(K137),1,0)+IF(ISNUMBER(Table442466657277[[#This Row],[Post Total]]),1,0)=2,IF(IF(Table442466657277[[#This Row],[Student Number]]=C137,1,0)+IF(Table442466657277[[#This Row],[Session]]=B137,1,0)+IF(Table442466657277[[#This Row],[Pre or Post]]="Post",1,0)+IF(D137="Pre",1,0)=4,Table442466657277[[#This Row],[Post Total]]-K137,""),"")</f>
        <v>-1</v>
      </c>
      <c r="P138" s="5" t="b">
        <f>ISNUMBER(Table442466657277[[#This Row],[Change]])</f>
        <v>1</v>
      </c>
      <c r="Q138" s="5">
        <f>IF(E137="Yes",Table442466657277[[#This Row],[Change]],"")</f>
        <v>-1</v>
      </c>
      <c r="R138" s="5" t="str">
        <f>IF(E137="No",Table442466657277[[#This Row],[Change]],"")</f>
        <v/>
      </c>
      <c r="S138" s="5" t="b">
        <f>ISNUMBER(Table442466657277[[#This Row],[If Pre6 Yes]])</f>
        <v>1</v>
      </c>
      <c r="T138" s="5" t="b">
        <f>ISNUMBER(Table442466657277[[#This Row],[If Pre6 No]])</f>
        <v>0</v>
      </c>
    </row>
    <row r="139" spans="1:20">
      <c r="A139" s="2" t="s">
        <v>24</v>
      </c>
      <c r="B139" s="2" t="s">
        <v>26</v>
      </c>
      <c r="C139" s="1">
        <v>6</v>
      </c>
      <c r="D139" s="1" t="s">
        <v>6</v>
      </c>
      <c r="E139" s="5" t="s">
        <v>8</v>
      </c>
      <c r="F139" s="1">
        <v>10</v>
      </c>
      <c r="G139" s="1">
        <v>3.5</v>
      </c>
      <c r="H139" s="2" t="s">
        <v>8</v>
      </c>
      <c r="I139" s="5">
        <f>IF(IF(Table442466657277[[#This Row],[Pre or Post]]="Pre",1,0)+IF(ISNUMBER(Table442466657277[[#This Row],[Response]])=TRUE,1,0)=2,1,"")</f>
        <v>1</v>
      </c>
      <c r="J139" s="5" t="str">
        <f>IF(IF(Table442466657277[[#This Row],[Pre or Post]]="Post",1,0)+IF(ISNUMBER(Table442466657277[[#This Row],[Response]])=TRUE,1,0)=2,1,"")</f>
        <v/>
      </c>
      <c r="K139" s="6">
        <f>IF(IF(Table442466657277[[#This Row],[Pre or Post]]="Pre",1,0)+IF(ISNUMBER(Table442466657277[[#This Row],[Response]])=TRUE,1,0)=2,Table442466657277[[#This Row],[Response]],"")</f>
        <v>3.5</v>
      </c>
      <c r="L139" s="6" t="str">
        <f>IF(IF(Table442466657277[[#This Row],[Pre or Post]]="Post",1,0)+IF(ISNUMBER(Table442466657277[[#This Row],[Response]])=TRUE,1,0)=2,Table442466657277[[#This Row],[Response]],"")</f>
        <v/>
      </c>
      <c r="M139" s="5">
        <f>IF(IF(ISNUMBER(K139),1,0)+IF(ISNUMBER(L140),1,0)=2,IF(IF(C140=C139,1,0)+IF(B140=B139,1,0)+IF(D140="Post",1,0)+IF(D139="Pre",1,0)=4,Table442466657277[[#This Row],[Pre Total]],""),"")</f>
        <v>3.5</v>
      </c>
      <c r="N139" s="5" t="str">
        <f>IF(IF(ISNUMBER(K138),1,0)+IF(ISNUMBER(Table442466657277[[#This Row],[Post Total]]),1,0)=2,IF(IF(Table442466657277[[#This Row],[Student Number]]=C138,1,0)+IF(Table442466657277[[#This Row],[Session]]=B138,1,0)+IF(Table442466657277[[#This Row],[Pre or Post]]="Post",1,0)+IF(D138="Pre",1,0)=4,Table442466657277[[#This Row],[Post Total]],""),"")</f>
        <v/>
      </c>
      <c r="O139" s="5" t="str">
        <f>IF(IF(ISNUMBER(K138),1,0)+IF(ISNUMBER(Table442466657277[[#This Row],[Post Total]]),1,0)=2,IF(IF(Table442466657277[[#This Row],[Student Number]]=C138,1,0)+IF(Table442466657277[[#This Row],[Session]]=B138,1,0)+IF(Table442466657277[[#This Row],[Pre or Post]]="Post",1,0)+IF(D138="Pre",1,0)=4,Table442466657277[[#This Row],[Post Total]]-K138,""),"")</f>
        <v/>
      </c>
      <c r="P139" s="5" t="b">
        <f>ISNUMBER(Table442466657277[[#This Row],[Change]])</f>
        <v>0</v>
      </c>
      <c r="Q139" s="5" t="str">
        <f>IF(E138="Yes",Table442466657277[[#This Row],[Change]],"")</f>
        <v/>
      </c>
      <c r="R139" s="5" t="str">
        <f>IF(E138="No",Table442466657277[[#This Row],[Change]],"")</f>
        <v/>
      </c>
      <c r="S139" s="5" t="b">
        <f>ISNUMBER(Table442466657277[[#This Row],[If Pre6 Yes]])</f>
        <v>0</v>
      </c>
      <c r="T139" s="5" t="b">
        <f>ISNUMBER(Table442466657277[[#This Row],[If Pre6 No]])</f>
        <v>0</v>
      </c>
    </row>
    <row r="140" spans="1:20">
      <c r="A140" s="2" t="s">
        <v>24</v>
      </c>
      <c r="B140" s="2" t="s">
        <v>26</v>
      </c>
      <c r="C140" s="1">
        <v>6</v>
      </c>
      <c r="D140" s="1" t="s">
        <v>16</v>
      </c>
      <c r="E140" s="5"/>
      <c r="F140" s="1">
        <v>6</v>
      </c>
      <c r="G140" s="1">
        <v>5</v>
      </c>
      <c r="H140" s="2" t="s">
        <v>8</v>
      </c>
      <c r="I140" s="5" t="str">
        <f>IF(IF(Table442466657277[[#This Row],[Pre or Post]]="Pre",1,0)+IF(ISNUMBER(Table442466657277[[#This Row],[Response]])=TRUE,1,0)=2,1,"")</f>
        <v/>
      </c>
      <c r="J140" s="5">
        <f>IF(IF(Table442466657277[[#This Row],[Pre or Post]]="Post",1,0)+IF(ISNUMBER(Table442466657277[[#This Row],[Response]])=TRUE,1,0)=2,1,"")</f>
        <v>1</v>
      </c>
      <c r="K140" s="6" t="str">
        <f>IF(IF(Table442466657277[[#This Row],[Pre or Post]]="Pre",1,0)+IF(ISNUMBER(Table442466657277[[#This Row],[Response]])=TRUE,1,0)=2,Table442466657277[[#This Row],[Response]],"")</f>
        <v/>
      </c>
      <c r="L140" s="6">
        <f>IF(IF(Table442466657277[[#This Row],[Pre or Post]]="Post",1,0)+IF(ISNUMBER(Table442466657277[[#This Row],[Response]])=TRUE,1,0)=2,Table442466657277[[#This Row],[Response]],"")</f>
        <v>5</v>
      </c>
      <c r="M140" s="5" t="str">
        <f>IF(IF(ISNUMBER(K140),1,0)+IF(ISNUMBER(L141),1,0)=2,IF(IF(C141=C140,1,0)+IF(B141=B140,1,0)+IF(D141="Post",1,0)+IF(D140="Pre",1,0)=4,Table442466657277[[#This Row],[Pre Total]],""),"")</f>
        <v/>
      </c>
      <c r="N140" s="5">
        <f>IF(IF(ISNUMBER(K139),1,0)+IF(ISNUMBER(Table442466657277[[#This Row],[Post Total]]),1,0)=2,IF(IF(Table442466657277[[#This Row],[Student Number]]=C139,1,0)+IF(Table442466657277[[#This Row],[Session]]=B139,1,0)+IF(Table442466657277[[#This Row],[Pre or Post]]="Post",1,0)+IF(D139="Pre",1,0)=4,Table442466657277[[#This Row],[Post Total]],""),"")</f>
        <v>5</v>
      </c>
      <c r="O140" s="5">
        <f>IF(IF(ISNUMBER(K139),1,0)+IF(ISNUMBER(Table442466657277[[#This Row],[Post Total]]),1,0)=2,IF(IF(Table442466657277[[#This Row],[Student Number]]=C139,1,0)+IF(Table442466657277[[#This Row],[Session]]=B139,1,0)+IF(Table442466657277[[#This Row],[Pre or Post]]="Post",1,0)+IF(D139="Pre",1,0)=4,Table442466657277[[#This Row],[Post Total]]-K139,""),"")</f>
        <v>1.5</v>
      </c>
      <c r="P140" s="5" t="b">
        <f>ISNUMBER(Table442466657277[[#This Row],[Change]])</f>
        <v>1</v>
      </c>
      <c r="Q140" s="5">
        <f>IF(E139="Yes",Table442466657277[[#This Row],[Change]],"")</f>
        <v>1.5</v>
      </c>
      <c r="R140" s="5" t="str">
        <f>IF(E139="No",Table442466657277[[#This Row],[Change]],"")</f>
        <v/>
      </c>
      <c r="S140" s="5" t="b">
        <f>ISNUMBER(Table442466657277[[#This Row],[If Pre6 Yes]])</f>
        <v>1</v>
      </c>
      <c r="T140" s="5" t="b">
        <f>ISNUMBER(Table442466657277[[#This Row],[If Pre6 No]])</f>
        <v>0</v>
      </c>
    </row>
    <row r="141" spans="1:20">
      <c r="A141" s="2" t="s">
        <v>24</v>
      </c>
      <c r="B141" s="2" t="s">
        <v>26</v>
      </c>
      <c r="C141" s="1">
        <v>7</v>
      </c>
      <c r="D141" s="1" t="s">
        <v>6</v>
      </c>
      <c r="E141" s="5" t="s">
        <v>8</v>
      </c>
      <c r="F141" s="1">
        <v>10</v>
      </c>
      <c r="G141" s="1">
        <v>3</v>
      </c>
      <c r="H141" s="2" t="s">
        <v>8</v>
      </c>
      <c r="I141" s="5">
        <f>IF(IF(Table442466657277[[#This Row],[Pre or Post]]="Pre",1,0)+IF(ISNUMBER(Table442466657277[[#This Row],[Response]])=TRUE,1,0)=2,1,"")</f>
        <v>1</v>
      </c>
      <c r="J141" s="5" t="str">
        <f>IF(IF(Table442466657277[[#This Row],[Pre or Post]]="Post",1,0)+IF(ISNUMBER(Table442466657277[[#This Row],[Response]])=TRUE,1,0)=2,1,"")</f>
        <v/>
      </c>
      <c r="K141" s="6">
        <f>IF(IF(Table442466657277[[#This Row],[Pre or Post]]="Pre",1,0)+IF(ISNUMBER(Table442466657277[[#This Row],[Response]])=TRUE,1,0)=2,Table442466657277[[#This Row],[Response]],"")</f>
        <v>3</v>
      </c>
      <c r="L141" s="6" t="str">
        <f>IF(IF(Table442466657277[[#This Row],[Pre or Post]]="Post",1,0)+IF(ISNUMBER(Table442466657277[[#This Row],[Response]])=TRUE,1,0)=2,Table442466657277[[#This Row],[Response]],"")</f>
        <v/>
      </c>
      <c r="M141" s="5">
        <f>IF(IF(ISNUMBER(K141),1,0)+IF(ISNUMBER(L142),1,0)=2,IF(IF(C142=C141,1,0)+IF(B142=B141,1,0)+IF(D142="Post",1,0)+IF(D141="Pre",1,0)=4,Table442466657277[[#This Row],[Pre Total]],""),"")</f>
        <v>3</v>
      </c>
      <c r="N141" s="5" t="str">
        <f>IF(IF(ISNUMBER(K140),1,0)+IF(ISNUMBER(Table442466657277[[#This Row],[Post Total]]),1,0)=2,IF(IF(Table442466657277[[#This Row],[Student Number]]=C140,1,0)+IF(Table442466657277[[#This Row],[Session]]=B140,1,0)+IF(Table442466657277[[#This Row],[Pre or Post]]="Post",1,0)+IF(D140="Pre",1,0)=4,Table442466657277[[#This Row],[Post Total]],""),"")</f>
        <v/>
      </c>
      <c r="O141" s="5" t="str">
        <f>IF(IF(ISNUMBER(K140),1,0)+IF(ISNUMBER(Table442466657277[[#This Row],[Post Total]]),1,0)=2,IF(IF(Table442466657277[[#This Row],[Student Number]]=C140,1,0)+IF(Table442466657277[[#This Row],[Session]]=B140,1,0)+IF(Table442466657277[[#This Row],[Pre or Post]]="Post",1,0)+IF(D140="Pre",1,0)=4,Table442466657277[[#This Row],[Post Total]]-K140,""),"")</f>
        <v/>
      </c>
      <c r="P141" s="5" t="b">
        <f>ISNUMBER(Table442466657277[[#This Row],[Change]])</f>
        <v>0</v>
      </c>
      <c r="Q141" s="5" t="str">
        <f>IF(E140="Yes",Table442466657277[[#This Row],[Change]],"")</f>
        <v/>
      </c>
      <c r="R141" s="5" t="str">
        <f>IF(E140="No",Table442466657277[[#This Row],[Change]],"")</f>
        <v/>
      </c>
      <c r="S141" s="5" t="b">
        <f>ISNUMBER(Table442466657277[[#This Row],[If Pre6 Yes]])</f>
        <v>0</v>
      </c>
      <c r="T141" s="5" t="b">
        <f>ISNUMBER(Table442466657277[[#This Row],[If Pre6 No]])</f>
        <v>0</v>
      </c>
    </row>
    <row r="142" spans="1:20">
      <c r="A142" s="2" t="s">
        <v>24</v>
      </c>
      <c r="B142" s="2" t="s">
        <v>26</v>
      </c>
      <c r="C142" s="1">
        <v>7</v>
      </c>
      <c r="D142" s="1" t="s">
        <v>16</v>
      </c>
      <c r="E142" s="5"/>
      <c r="F142" s="1">
        <v>6</v>
      </c>
      <c r="G142" s="1">
        <v>4</v>
      </c>
      <c r="H142" s="2" t="s">
        <v>8</v>
      </c>
      <c r="I142" s="5" t="str">
        <f>IF(IF(Table442466657277[[#This Row],[Pre or Post]]="Pre",1,0)+IF(ISNUMBER(Table442466657277[[#This Row],[Response]])=TRUE,1,0)=2,1,"")</f>
        <v/>
      </c>
      <c r="J142" s="5">
        <f>IF(IF(Table442466657277[[#This Row],[Pre or Post]]="Post",1,0)+IF(ISNUMBER(Table442466657277[[#This Row],[Response]])=TRUE,1,0)=2,1,"")</f>
        <v>1</v>
      </c>
      <c r="K142" s="6" t="str">
        <f>IF(IF(Table442466657277[[#This Row],[Pre or Post]]="Pre",1,0)+IF(ISNUMBER(Table442466657277[[#This Row],[Response]])=TRUE,1,0)=2,Table442466657277[[#This Row],[Response]],"")</f>
        <v/>
      </c>
      <c r="L142" s="6">
        <f>IF(IF(Table442466657277[[#This Row],[Pre or Post]]="Post",1,0)+IF(ISNUMBER(Table442466657277[[#This Row],[Response]])=TRUE,1,0)=2,Table442466657277[[#This Row],[Response]],"")</f>
        <v>4</v>
      </c>
      <c r="M142" s="5" t="str">
        <f>IF(IF(ISNUMBER(K142),1,0)+IF(ISNUMBER(L143),1,0)=2,IF(IF(C143=C142,1,0)+IF(B143=B142,1,0)+IF(D143="Post",1,0)+IF(D142="Pre",1,0)=4,Table442466657277[[#This Row],[Pre Total]],""),"")</f>
        <v/>
      </c>
      <c r="N142" s="5">
        <f>IF(IF(ISNUMBER(K141),1,0)+IF(ISNUMBER(Table442466657277[[#This Row],[Post Total]]),1,0)=2,IF(IF(Table442466657277[[#This Row],[Student Number]]=C141,1,0)+IF(Table442466657277[[#This Row],[Session]]=B141,1,0)+IF(Table442466657277[[#This Row],[Pre or Post]]="Post",1,0)+IF(D141="Pre",1,0)=4,Table442466657277[[#This Row],[Post Total]],""),"")</f>
        <v>4</v>
      </c>
      <c r="O142" s="5">
        <f>IF(IF(ISNUMBER(K141),1,0)+IF(ISNUMBER(Table442466657277[[#This Row],[Post Total]]),1,0)=2,IF(IF(Table442466657277[[#This Row],[Student Number]]=C141,1,0)+IF(Table442466657277[[#This Row],[Session]]=B141,1,0)+IF(Table442466657277[[#This Row],[Pre or Post]]="Post",1,0)+IF(D141="Pre",1,0)=4,Table442466657277[[#This Row],[Post Total]]-K141,""),"")</f>
        <v>1</v>
      </c>
      <c r="P142" s="5" t="b">
        <f>ISNUMBER(Table442466657277[[#This Row],[Change]])</f>
        <v>1</v>
      </c>
      <c r="Q142" s="5">
        <f>IF(E141="Yes",Table442466657277[[#This Row],[Change]],"")</f>
        <v>1</v>
      </c>
      <c r="R142" s="5" t="str">
        <f>IF(E141="No",Table442466657277[[#This Row],[Change]],"")</f>
        <v/>
      </c>
      <c r="S142" s="5" t="b">
        <f>ISNUMBER(Table442466657277[[#This Row],[If Pre6 Yes]])</f>
        <v>1</v>
      </c>
      <c r="T142" s="5" t="b">
        <f>ISNUMBER(Table442466657277[[#This Row],[If Pre6 No]])</f>
        <v>0</v>
      </c>
    </row>
    <row r="143" spans="1:20">
      <c r="A143" s="2" t="s">
        <v>24</v>
      </c>
      <c r="B143" s="2" t="s">
        <v>26</v>
      </c>
      <c r="C143" s="1">
        <v>8</v>
      </c>
      <c r="D143" s="1" t="s">
        <v>6</v>
      </c>
      <c r="E143" s="5" t="s">
        <v>8</v>
      </c>
      <c r="F143" s="1">
        <v>10</v>
      </c>
      <c r="G143" s="1">
        <v>2</v>
      </c>
      <c r="H143" s="2" t="s">
        <v>8</v>
      </c>
      <c r="I143" s="5">
        <f>IF(IF(Table442466657277[[#This Row],[Pre or Post]]="Pre",1,0)+IF(ISNUMBER(Table442466657277[[#This Row],[Response]])=TRUE,1,0)=2,1,"")</f>
        <v>1</v>
      </c>
      <c r="J143" s="5" t="str">
        <f>IF(IF(Table442466657277[[#This Row],[Pre or Post]]="Post",1,0)+IF(ISNUMBER(Table442466657277[[#This Row],[Response]])=TRUE,1,0)=2,1,"")</f>
        <v/>
      </c>
      <c r="K143" s="6">
        <f>IF(IF(Table442466657277[[#This Row],[Pre or Post]]="Pre",1,0)+IF(ISNUMBER(Table442466657277[[#This Row],[Response]])=TRUE,1,0)=2,Table442466657277[[#This Row],[Response]],"")</f>
        <v>2</v>
      </c>
      <c r="L143" s="6" t="str">
        <f>IF(IF(Table442466657277[[#This Row],[Pre or Post]]="Post",1,0)+IF(ISNUMBER(Table442466657277[[#This Row],[Response]])=TRUE,1,0)=2,Table442466657277[[#This Row],[Response]],"")</f>
        <v/>
      </c>
      <c r="M143" s="5">
        <f>IF(IF(ISNUMBER(K143),1,0)+IF(ISNUMBER(L144),1,0)=2,IF(IF(C144=C143,1,0)+IF(B144=B143,1,0)+IF(D144="Post",1,0)+IF(D143="Pre",1,0)=4,Table442466657277[[#This Row],[Pre Total]],""),"")</f>
        <v>2</v>
      </c>
      <c r="N143" s="5" t="str">
        <f>IF(IF(ISNUMBER(K142),1,0)+IF(ISNUMBER(Table442466657277[[#This Row],[Post Total]]),1,0)=2,IF(IF(Table442466657277[[#This Row],[Student Number]]=C142,1,0)+IF(Table442466657277[[#This Row],[Session]]=B142,1,0)+IF(Table442466657277[[#This Row],[Pre or Post]]="Post",1,0)+IF(D142="Pre",1,0)=4,Table442466657277[[#This Row],[Post Total]],""),"")</f>
        <v/>
      </c>
      <c r="O143" s="5" t="str">
        <f>IF(IF(ISNUMBER(K142),1,0)+IF(ISNUMBER(Table442466657277[[#This Row],[Post Total]]),1,0)=2,IF(IF(Table442466657277[[#This Row],[Student Number]]=C142,1,0)+IF(Table442466657277[[#This Row],[Session]]=B142,1,0)+IF(Table442466657277[[#This Row],[Pre or Post]]="Post",1,0)+IF(D142="Pre",1,0)=4,Table442466657277[[#This Row],[Post Total]]-K142,""),"")</f>
        <v/>
      </c>
      <c r="P143" s="5" t="b">
        <f>ISNUMBER(Table442466657277[[#This Row],[Change]])</f>
        <v>0</v>
      </c>
      <c r="Q143" s="5" t="str">
        <f>IF(E142="Yes",Table442466657277[[#This Row],[Change]],"")</f>
        <v/>
      </c>
      <c r="R143" s="5" t="str">
        <f>IF(E142="No",Table442466657277[[#This Row],[Change]],"")</f>
        <v/>
      </c>
      <c r="S143" s="5" t="b">
        <f>ISNUMBER(Table442466657277[[#This Row],[If Pre6 Yes]])</f>
        <v>0</v>
      </c>
      <c r="T143" s="5" t="b">
        <f>ISNUMBER(Table442466657277[[#This Row],[If Pre6 No]])</f>
        <v>0</v>
      </c>
    </row>
    <row r="144" spans="1:20">
      <c r="A144" s="2" t="s">
        <v>24</v>
      </c>
      <c r="B144" s="2" t="s">
        <v>26</v>
      </c>
      <c r="C144" s="1">
        <v>8</v>
      </c>
      <c r="D144" s="1" t="s">
        <v>16</v>
      </c>
      <c r="E144" s="5"/>
      <c r="F144" s="1">
        <v>6</v>
      </c>
      <c r="G144" s="1">
        <v>1</v>
      </c>
      <c r="H144" s="2" t="s">
        <v>8</v>
      </c>
      <c r="I144" s="5" t="str">
        <f>IF(IF(Table442466657277[[#This Row],[Pre or Post]]="Pre",1,0)+IF(ISNUMBER(Table442466657277[[#This Row],[Response]])=TRUE,1,0)=2,1,"")</f>
        <v/>
      </c>
      <c r="J144" s="5">
        <f>IF(IF(Table442466657277[[#This Row],[Pre or Post]]="Post",1,0)+IF(ISNUMBER(Table442466657277[[#This Row],[Response]])=TRUE,1,0)=2,1,"")</f>
        <v>1</v>
      </c>
      <c r="K144" s="6" t="str">
        <f>IF(IF(Table442466657277[[#This Row],[Pre or Post]]="Pre",1,0)+IF(ISNUMBER(Table442466657277[[#This Row],[Response]])=TRUE,1,0)=2,Table442466657277[[#This Row],[Response]],"")</f>
        <v/>
      </c>
      <c r="L144" s="6">
        <f>IF(IF(Table442466657277[[#This Row],[Pre or Post]]="Post",1,0)+IF(ISNUMBER(Table442466657277[[#This Row],[Response]])=TRUE,1,0)=2,Table442466657277[[#This Row],[Response]],"")</f>
        <v>1</v>
      </c>
      <c r="M144" s="5" t="str">
        <f>IF(IF(ISNUMBER(K144),1,0)+IF(ISNUMBER(L145),1,0)=2,IF(IF(C145=C144,1,0)+IF(B145=B144,1,0)+IF(D145="Post",1,0)+IF(D144="Pre",1,0)=4,Table442466657277[[#This Row],[Pre Total]],""),"")</f>
        <v/>
      </c>
      <c r="N144" s="5">
        <f>IF(IF(ISNUMBER(K143),1,0)+IF(ISNUMBER(Table442466657277[[#This Row],[Post Total]]),1,0)=2,IF(IF(Table442466657277[[#This Row],[Student Number]]=C143,1,0)+IF(Table442466657277[[#This Row],[Session]]=B143,1,0)+IF(Table442466657277[[#This Row],[Pre or Post]]="Post",1,0)+IF(D143="Pre",1,0)=4,Table442466657277[[#This Row],[Post Total]],""),"")</f>
        <v>1</v>
      </c>
      <c r="O144" s="5">
        <f>IF(IF(ISNUMBER(K143),1,0)+IF(ISNUMBER(Table442466657277[[#This Row],[Post Total]]),1,0)=2,IF(IF(Table442466657277[[#This Row],[Student Number]]=C143,1,0)+IF(Table442466657277[[#This Row],[Session]]=B143,1,0)+IF(Table442466657277[[#This Row],[Pre or Post]]="Post",1,0)+IF(D143="Pre",1,0)=4,Table442466657277[[#This Row],[Post Total]]-K143,""),"")</f>
        <v>-1</v>
      </c>
      <c r="P144" s="5" t="b">
        <f>ISNUMBER(Table442466657277[[#This Row],[Change]])</f>
        <v>1</v>
      </c>
      <c r="Q144" s="5">
        <f>IF(E143="Yes",Table442466657277[[#This Row],[Change]],"")</f>
        <v>-1</v>
      </c>
      <c r="R144" s="5" t="str">
        <f>IF(E143="No",Table442466657277[[#This Row],[Change]],"")</f>
        <v/>
      </c>
      <c r="S144" s="5" t="b">
        <f>ISNUMBER(Table442466657277[[#This Row],[If Pre6 Yes]])</f>
        <v>1</v>
      </c>
      <c r="T144" s="5" t="b">
        <f>ISNUMBER(Table442466657277[[#This Row],[If Pre6 No]])</f>
        <v>0</v>
      </c>
    </row>
    <row r="145" spans="1:20">
      <c r="A145" s="2" t="s">
        <v>24</v>
      </c>
      <c r="B145" s="2" t="s">
        <v>26</v>
      </c>
      <c r="C145" s="1">
        <v>9</v>
      </c>
      <c r="D145" s="1" t="s">
        <v>6</v>
      </c>
      <c r="E145" s="5" t="s">
        <v>8</v>
      </c>
      <c r="F145" s="1">
        <v>10</v>
      </c>
      <c r="G145" s="1">
        <v>3</v>
      </c>
      <c r="H145" s="2" t="s">
        <v>8</v>
      </c>
      <c r="I145" s="5">
        <f>IF(IF(Table442466657277[[#This Row],[Pre or Post]]="Pre",1,0)+IF(ISNUMBER(Table442466657277[[#This Row],[Response]])=TRUE,1,0)=2,1,"")</f>
        <v>1</v>
      </c>
      <c r="J145" s="5" t="str">
        <f>IF(IF(Table442466657277[[#This Row],[Pre or Post]]="Post",1,0)+IF(ISNUMBER(Table442466657277[[#This Row],[Response]])=TRUE,1,0)=2,1,"")</f>
        <v/>
      </c>
      <c r="K145" s="6">
        <f>IF(IF(Table442466657277[[#This Row],[Pre or Post]]="Pre",1,0)+IF(ISNUMBER(Table442466657277[[#This Row],[Response]])=TRUE,1,0)=2,Table442466657277[[#This Row],[Response]],"")</f>
        <v>3</v>
      </c>
      <c r="L145" s="6" t="str">
        <f>IF(IF(Table442466657277[[#This Row],[Pre or Post]]="Post",1,0)+IF(ISNUMBER(Table442466657277[[#This Row],[Response]])=TRUE,1,0)=2,Table442466657277[[#This Row],[Response]],"")</f>
        <v/>
      </c>
      <c r="M145" s="5">
        <f>IF(IF(ISNUMBER(K145),1,0)+IF(ISNUMBER(L146),1,0)=2,IF(IF(C146=C145,1,0)+IF(B146=B145,1,0)+IF(D146="Post",1,0)+IF(D145="Pre",1,0)=4,Table442466657277[[#This Row],[Pre Total]],""),"")</f>
        <v>3</v>
      </c>
      <c r="N145" s="5" t="str">
        <f>IF(IF(ISNUMBER(K144),1,0)+IF(ISNUMBER(Table442466657277[[#This Row],[Post Total]]),1,0)=2,IF(IF(Table442466657277[[#This Row],[Student Number]]=C144,1,0)+IF(Table442466657277[[#This Row],[Session]]=B144,1,0)+IF(Table442466657277[[#This Row],[Pre or Post]]="Post",1,0)+IF(D144="Pre",1,0)=4,Table442466657277[[#This Row],[Post Total]],""),"")</f>
        <v/>
      </c>
      <c r="O145" s="5" t="str">
        <f>IF(IF(ISNUMBER(K144),1,0)+IF(ISNUMBER(Table442466657277[[#This Row],[Post Total]]),1,0)=2,IF(IF(Table442466657277[[#This Row],[Student Number]]=C144,1,0)+IF(Table442466657277[[#This Row],[Session]]=B144,1,0)+IF(Table442466657277[[#This Row],[Pre or Post]]="Post",1,0)+IF(D144="Pre",1,0)=4,Table442466657277[[#This Row],[Post Total]]-K144,""),"")</f>
        <v/>
      </c>
      <c r="P145" s="5" t="b">
        <f>ISNUMBER(Table442466657277[[#This Row],[Change]])</f>
        <v>0</v>
      </c>
      <c r="Q145" s="5" t="str">
        <f>IF(E144="Yes",Table442466657277[[#This Row],[Change]],"")</f>
        <v/>
      </c>
      <c r="R145" s="5" t="str">
        <f>IF(E144="No",Table442466657277[[#This Row],[Change]],"")</f>
        <v/>
      </c>
      <c r="S145" s="5" t="b">
        <f>ISNUMBER(Table442466657277[[#This Row],[If Pre6 Yes]])</f>
        <v>0</v>
      </c>
      <c r="T145" s="5" t="b">
        <f>ISNUMBER(Table442466657277[[#This Row],[If Pre6 No]])</f>
        <v>0</v>
      </c>
    </row>
    <row r="146" spans="1:20">
      <c r="A146" s="2" t="s">
        <v>24</v>
      </c>
      <c r="B146" s="2" t="s">
        <v>26</v>
      </c>
      <c r="C146" s="1">
        <v>9</v>
      </c>
      <c r="D146" s="1" t="s">
        <v>16</v>
      </c>
      <c r="E146" s="5"/>
      <c r="F146" s="1">
        <v>6</v>
      </c>
      <c r="G146" s="1">
        <v>3</v>
      </c>
      <c r="H146" s="2" t="s">
        <v>8</v>
      </c>
      <c r="I146" s="6" t="str">
        <f>IF(IF(Table442466657277[[#This Row],[Pre or Post]]="Pre",1,0)+IF(ISNUMBER(Table442466657277[[#This Row],[Response]])=TRUE,1,0)=2,1,"")</f>
        <v/>
      </c>
      <c r="J146" s="6">
        <f>IF(IF(Table442466657277[[#This Row],[Pre or Post]]="Post",1,0)+IF(ISNUMBER(Table442466657277[[#This Row],[Response]])=TRUE,1,0)=2,1,"")</f>
        <v>1</v>
      </c>
      <c r="K146" s="6" t="str">
        <f>IF(IF(Table442466657277[[#This Row],[Pre or Post]]="Pre",1,0)+IF(ISNUMBER(Table442466657277[[#This Row],[Response]])=TRUE,1,0)=2,Table442466657277[[#This Row],[Response]],"")</f>
        <v/>
      </c>
      <c r="L146" s="6">
        <f>IF(IF(Table442466657277[[#This Row],[Pre or Post]]="Post",1,0)+IF(ISNUMBER(Table442466657277[[#This Row],[Response]])=TRUE,1,0)=2,Table442466657277[[#This Row],[Response]],"")</f>
        <v>3</v>
      </c>
      <c r="M146" s="6" t="str">
        <f>IF(IF(ISNUMBER(K146),1,0)+IF(ISNUMBER(L147),1,0)=2,IF(IF(C147=C146,1,0)+IF(B147=B146,1,0)+IF(D147="Post",1,0)+IF(D146="Pre",1,0)=4,Table442466657277[[#This Row],[Pre Total]],""),"")</f>
        <v/>
      </c>
      <c r="N146" s="6">
        <f>IF(IF(ISNUMBER(K145),1,0)+IF(ISNUMBER(Table442466657277[[#This Row],[Post Total]]),1,0)=2,IF(IF(Table442466657277[[#This Row],[Student Number]]=C145,1,0)+IF(Table442466657277[[#This Row],[Session]]=B145,1,0)+IF(Table442466657277[[#This Row],[Pre or Post]]="Post",1,0)+IF(D145="Pre",1,0)=4,Table442466657277[[#This Row],[Post Total]],""),"")</f>
        <v>3</v>
      </c>
      <c r="O146" s="6">
        <f>IF(IF(ISNUMBER(K145),1,0)+IF(ISNUMBER(Table442466657277[[#This Row],[Post Total]]),1,0)=2,IF(IF(Table442466657277[[#This Row],[Student Number]]=C145,1,0)+IF(Table442466657277[[#This Row],[Session]]=B145,1,0)+IF(Table442466657277[[#This Row],[Pre or Post]]="Post",1,0)+IF(D145="Pre",1,0)=4,Table442466657277[[#This Row],[Post Total]]-K145,""),"")</f>
        <v>0</v>
      </c>
      <c r="P146" s="6" t="b">
        <f>ISNUMBER(Table442466657277[[#This Row],[Change]])</f>
        <v>1</v>
      </c>
      <c r="Q146" s="5">
        <f>IF(E145="Yes",Table442466657277[[#This Row],[Change]],"")</f>
        <v>0</v>
      </c>
      <c r="R146" s="5" t="str">
        <f>IF(E145="No",Table442466657277[[#This Row],[Change]],"")</f>
        <v/>
      </c>
      <c r="S146" s="5" t="b">
        <f>ISNUMBER(Table442466657277[[#This Row],[If Pre6 Yes]])</f>
        <v>1</v>
      </c>
      <c r="T146" s="5" t="b">
        <f>ISNUMBER(Table442466657277[[#This Row],[If Pre6 No]])</f>
        <v>0</v>
      </c>
    </row>
    <row r="147" spans="1:20">
      <c r="A147" s="2" t="s">
        <v>24</v>
      </c>
      <c r="B147" s="2" t="s">
        <v>26</v>
      </c>
      <c r="C147" s="1">
        <v>10</v>
      </c>
      <c r="D147" s="1" t="s">
        <v>6</v>
      </c>
      <c r="E147" s="5" t="s">
        <v>8</v>
      </c>
      <c r="F147" s="1">
        <v>10</v>
      </c>
      <c r="G147" s="1">
        <v>4</v>
      </c>
      <c r="H147" s="2" t="s">
        <v>8</v>
      </c>
      <c r="I147" s="5">
        <f>IF(IF(Table442466657277[[#This Row],[Pre or Post]]="Pre",1,0)+IF(ISNUMBER(Table442466657277[[#This Row],[Response]])=TRUE,1,0)=2,1,"")</f>
        <v>1</v>
      </c>
      <c r="J147" s="5" t="str">
        <f>IF(IF(Table442466657277[[#This Row],[Pre or Post]]="Post",1,0)+IF(ISNUMBER(Table442466657277[[#This Row],[Response]])=TRUE,1,0)=2,1,"")</f>
        <v/>
      </c>
      <c r="K147" s="6">
        <f>IF(IF(Table442466657277[[#This Row],[Pre or Post]]="Pre",1,0)+IF(ISNUMBER(Table442466657277[[#This Row],[Response]])=TRUE,1,0)=2,Table442466657277[[#This Row],[Response]],"")</f>
        <v>4</v>
      </c>
      <c r="L147" s="6" t="str">
        <f>IF(IF(Table442466657277[[#This Row],[Pre or Post]]="Post",1,0)+IF(ISNUMBER(Table442466657277[[#This Row],[Response]])=TRUE,1,0)=2,Table442466657277[[#This Row],[Response]],"")</f>
        <v/>
      </c>
      <c r="M147" s="5">
        <f>IF(IF(ISNUMBER(K147),1,0)+IF(ISNUMBER(L148),1,0)=2,IF(IF(C148=C147,1,0)+IF(B148=B147,1,0)+IF(D148="Post",1,0)+IF(D147="Pre",1,0)=4,Table442466657277[[#This Row],[Pre Total]],""),"")</f>
        <v>4</v>
      </c>
      <c r="N147" s="5" t="str">
        <f>IF(IF(ISNUMBER(K146),1,0)+IF(ISNUMBER(Table442466657277[[#This Row],[Post Total]]),1,0)=2,IF(IF(Table442466657277[[#This Row],[Student Number]]=C146,1,0)+IF(Table442466657277[[#This Row],[Session]]=B146,1,0)+IF(Table442466657277[[#This Row],[Pre or Post]]="Post",1,0)+IF(D146="Pre",1,0)=4,Table442466657277[[#This Row],[Post Total]],""),"")</f>
        <v/>
      </c>
      <c r="O147" s="5" t="str">
        <f>IF(IF(ISNUMBER(K146),1,0)+IF(ISNUMBER(Table442466657277[[#This Row],[Post Total]]),1,0)=2,IF(IF(Table442466657277[[#This Row],[Student Number]]=C146,1,0)+IF(Table442466657277[[#This Row],[Session]]=B146,1,0)+IF(Table442466657277[[#This Row],[Pre or Post]]="Post",1,0)+IF(D146="Pre",1,0)=4,Table442466657277[[#This Row],[Post Total]]-K146,""),"")</f>
        <v/>
      </c>
      <c r="P147" s="5" t="b">
        <f>ISNUMBER(Table442466657277[[#This Row],[Change]])</f>
        <v>0</v>
      </c>
      <c r="Q147" s="5" t="str">
        <f>IF(E146="Yes",Table442466657277[[#This Row],[Change]],"")</f>
        <v/>
      </c>
      <c r="R147" s="5" t="str">
        <f>IF(E146="No",Table442466657277[[#This Row],[Change]],"")</f>
        <v/>
      </c>
      <c r="S147" s="5" t="b">
        <f>ISNUMBER(Table442466657277[[#This Row],[If Pre6 Yes]])</f>
        <v>0</v>
      </c>
      <c r="T147" s="5" t="b">
        <f>ISNUMBER(Table442466657277[[#This Row],[If Pre6 No]])</f>
        <v>0</v>
      </c>
    </row>
    <row r="148" spans="1:20">
      <c r="A148" s="2" t="s">
        <v>24</v>
      </c>
      <c r="B148" s="2" t="s">
        <v>26</v>
      </c>
      <c r="C148" s="1">
        <v>10</v>
      </c>
      <c r="D148" s="1" t="s">
        <v>16</v>
      </c>
      <c r="E148" s="5"/>
      <c r="F148" s="1">
        <v>6</v>
      </c>
      <c r="G148" s="1">
        <v>4</v>
      </c>
      <c r="H148" s="2" t="s">
        <v>8</v>
      </c>
      <c r="I148" s="6" t="str">
        <f>IF(IF(Table442466657277[[#This Row],[Pre or Post]]="Pre",1,0)+IF(ISNUMBER(Table442466657277[[#This Row],[Response]])=TRUE,1,0)=2,1,"")</f>
        <v/>
      </c>
      <c r="J148" s="6">
        <f>IF(IF(Table442466657277[[#This Row],[Pre or Post]]="Post",1,0)+IF(ISNUMBER(Table442466657277[[#This Row],[Response]])=TRUE,1,0)=2,1,"")</f>
        <v>1</v>
      </c>
      <c r="K148" s="6" t="str">
        <f>IF(IF(Table442466657277[[#This Row],[Pre or Post]]="Pre",1,0)+IF(ISNUMBER(Table442466657277[[#This Row],[Response]])=TRUE,1,0)=2,Table442466657277[[#This Row],[Response]],"")</f>
        <v/>
      </c>
      <c r="L148" s="6">
        <f>IF(IF(Table442466657277[[#This Row],[Pre or Post]]="Post",1,0)+IF(ISNUMBER(Table442466657277[[#This Row],[Response]])=TRUE,1,0)=2,Table442466657277[[#This Row],[Response]],"")</f>
        <v>4</v>
      </c>
      <c r="M148" s="5" t="str">
        <f>IF(IF(ISNUMBER(K148),1,0)+IF(ISNUMBER(L149),1,0)=2,IF(IF(C149=C148,1,0)+IF(B149=B148,1,0)+IF(D149="Post",1,0)+IF(D148="Pre",1,0)=4,Table442466657277[[#This Row],[Pre Total]],""),"")</f>
        <v/>
      </c>
      <c r="N148" s="5">
        <f>IF(IF(ISNUMBER(K147),1,0)+IF(ISNUMBER(Table442466657277[[#This Row],[Post Total]]),1,0)=2,IF(IF(Table442466657277[[#This Row],[Student Number]]=C147,1,0)+IF(Table442466657277[[#This Row],[Session]]=B147,1,0)+IF(Table442466657277[[#This Row],[Pre or Post]]="Post",1,0)+IF(D147="Pre",1,0)=4,Table442466657277[[#This Row],[Post Total]],""),"")</f>
        <v>4</v>
      </c>
      <c r="O148" s="6">
        <f>IF(IF(ISNUMBER(K147),1,0)+IF(ISNUMBER(Table442466657277[[#This Row],[Post Total]]),1,0)=2,IF(IF(Table442466657277[[#This Row],[Student Number]]=C147,1,0)+IF(Table442466657277[[#This Row],[Session]]=B147,1,0)+IF(Table442466657277[[#This Row],[Pre or Post]]="Post",1,0)+IF(D147="Pre",1,0)=4,Table442466657277[[#This Row],[Post Total]]-K147,""),"")</f>
        <v>0</v>
      </c>
      <c r="P148" s="6" t="b">
        <f>ISNUMBER(Table442466657277[[#This Row],[Change]])</f>
        <v>1</v>
      </c>
      <c r="Q148" s="5">
        <f>IF(E147="Yes",Table442466657277[[#This Row],[Change]],"")</f>
        <v>0</v>
      </c>
      <c r="R148" s="5" t="str">
        <f>IF(E147="No",Table442466657277[[#This Row],[Change]],"")</f>
        <v/>
      </c>
      <c r="S148" s="5" t="b">
        <f>ISNUMBER(Table442466657277[[#This Row],[If Pre6 Yes]])</f>
        <v>1</v>
      </c>
      <c r="T148" s="5" t="b">
        <f>ISNUMBER(Table442466657277[[#This Row],[If Pre6 No]])</f>
        <v>0</v>
      </c>
    </row>
    <row r="149" spans="1:20">
      <c r="A149" s="2" t="s">
        <v>24</v>
      </c>
      <c r="B149" s="2" t="s">
        <v>26</v>
      </c>
      <c r="C149" s="1">
        <v>11</v>
      </c>
      <c r="D149" s="1" t="s">
        <v>6</v>
      </c>
      <c r="E149" s="5" t="s">
        <v>8</v>
      </c>
      <c r="F149" s="1">
        <v>10</v>
      </c>
      <c r="G149" s="1">
        <v>3</v>
      </c>
      <c r="H149" s="2" t="s">
        <v>8</v>
      </c>
      <c r="I149" s="5">
        <f>IF(IF(Table442466657277[[#This Row],[Pre or Post]]="Pre",1,0)+IF(ISNUMBER(Table442466657277[[#This Row],[Response]])=TRUE,1,0)=2,1,"")</f>
        <v>1</v>
      </c>
      <c r="J149" s="5" t="str">
        <f>IF(IF(Table442466657277[[#This Row],[Pre or Post]]="Post",1,0)+IF(ISNUMBER(Table442466657277[[#This Row],[Response]])=TRUE,1,0)=2,1,"")</f>
        <v/>
      </c>
      <c r="K149" s="6">
        <f>IF(IF(Table442466657277[[#This Row],[Pre or Post]]="Pre",1,0)+IF(ISNUMBER(Table442466657277[[#This Row],[Response]])=TRUE,1,0)=2,Table442466657277[[#This Row],[Response]],"")</f>
        <v>3</v>
      </c>
      <c r="L149" s="6" t="str">
        <f>IF(IF(Table442466657277[[#This Row],[Pre or Post]]="Post",1,0)+IF(ISNUMBER(Table442466657277[[#This Row],[Response]])=TRUE,1,0)=2,Table442466657277[[#This Row],[Response]],"")</f>
        <v/>
      </c>
      <c r="M149" s="5">
        <f>IF(IF(ISNUMBER(K149),1,0)+IF(ISNUMBER(L150),1,0)=2,IF(IF(C150=C149,1,0)+IF(B150=B149,1,0)+IF(D150="Post",1,0)+IF(D149="Pre",1,0)=4,Table442466657277[[#This Row],[Pre Total]],""),"")</f>
        <v>3</v>
      </c>
      <c r="N149" s="5" t="str">
        <f>IF(IF(ISNUMBER(K148),1,0)+IF(ISNUMBER(Table442466657277[[#This Row],[Post Total]]),1,0)=2,IF(IF(Table442466657277[[#This Row],[Student Number]]=C148,1,0)+IF(Table442466657277[[#This Row],[Session]]=B148,1,0)+IF(Table442466657277[[#This Row],[Pre or Post]]="Post",1,0)+IF(D148="Pre",1,0)=4,Table442466657277[[#This Row],[Post Total]],""),"")</f>
        <v/>
      </c>
      <c r="O149" s="5" t="str">
        <f>IF(IF(ISNUMBER(K148),1,0)+IF(ISNUMBER(Table442466657277[[#This Row],[Post Total]]),1,0)=2,IF(IF(Table442466657277[[#This Row],[Student Number]]=C148,1,0)+IF(Table442466657277[[#This Row],[Session]]=B148,1,0)+IF(Table442466657277[[#This Row],[Pre or Post]]="Post",1,0)+IF(D148="Pre",1,0)=4,Table442466657277[[#This Row],[Post Total]]-K148,""),"")</f>
        <v/>
      </c>
      <c r="P149" s="5" t="b">
        <f>ISNUMBER(Table442466657277[[#This Row],[Change]])</f>
        <v>0</v>
      </c>
      <c r="Q149" s="5" t="str">
        <f>IF(E148="Yes",Table442466657277[[#This Row],[Change]],"")</f>
        <v/>
      </c>
      <c r="R149" s="5" t="str">
        <f>IF(E148="No",Table442466657277[[#This Row],[Change]],"")</f>
        <v/>
      </c>
      <c r="S149" s="5" t="b">
        <f>ISNUMBER(Table442466657277[[#This Row],[If Pre6 Yes]])</f>
        <v>0</v>
      </c>
      <c r="T149" s="5" t="b">
        <f>ISNUMBER(Table442466657277[[#This Row],[If Pre6 No]])</f>
        <v>0</v>
      </c>
    </row>
    <row r="150" spans="1:20">
      <c r="A150" s="2" t="s">
        <v>24</v>
      </c>
      <c r="B150" s="2" t="s">
        <v>26</v>
      </c>
      <c r="C150" s="1">
        <v>11</v>
      </c>
      <c r="D150" s="1" t="s">
        <v>16</v>
      </c>
      <c r="E150" s="5"/>
      <c r="F150" s="1">
        <v>6</v>
      </c>
      <c r="G150" s="1">
        <v>4</v>
      </c>
      <c r="H150" s="2" t="s">
        <v>8</v>
      </c>
      <c r="I150" s="5" t="str">
        <f>IF(IF(Table442466657277[[#This Row],[Pre or Post]]="Pre",1,0)+IF(ISNUMBER(Table442466657277[[#This Row],[Response]])=TRUE,1,0)=2,1,"")</f>
        <v/>
      </c>
      <c r="J150" s="5">
        <f>IF(IF(Table442466657277[[#This Row],[Pre or Post]]="Post",1,0)+IF(ISNUMBER(Table442466657277[[#This Row],[Response]])=TRUE,1,0)=2,1,"")</f>
        <v>1</v>
      </c>
      <c r="K150" s="6" t="str">
        <f>IF(IF(Table442466657277[[#This Row],[Pre or Post]]="Pre",1,0)+IF(ISNUMBER(Table442466657277[[#This Row],[Response]])=TRUE,1,0)=2,Table442466657277[[#This Row],[Response]],"")</f>
        <v/>
      </c>
      <c r="L150" s="6">
        <f>IF(IF(Table442466657277[[#This Row],[Pre or Post]]="Post",1,0)+IF(ISNUMBER(Table442466657277[[#This Row],[Response]])=TRUE,1,0)=2,Table442466657277[[#This Row],[Response]],"")</f>
        <v>4</v>
      </c>
      <c r="M150" s="5" t="str">
        <f>IF(IF(ISNUMBER(K150),1,0)+IF(ISNUMBER(L151),1,0)=2,IF(IF(C151=C150,1,0)+IF(B151=B150,1,0)+IF(D151="Post",1,0)+IF(D150="Pre",1,0)=4,Table442466657277[[#This Row],[Pre Total]],""),"")</f>
        <v/>
      </c>
      <c r="N150" s="5">
        <f>IF(IF(ISNUMBER(K149),1,0)+IF(ISNUMBER(Table442466657277[[#This Row],[Post Total]]),1,0)=2,IF(IF(Table442466657277[[#This Row],[Student Number]]=C149,1,0)+IF(Table442466657277[[#This Row],[Session]]=B149,1,0)+IF(Table442466657277[[#This Row],[Pre or Post]]="Post",1,0)+IF(D149="Pre",1,0)=4,Table442466657277[[#This Row],[Post Total]],""),"")</f>
        <v>4</v>
      </c>
      <c r="O150" s="5">
        <f>IF(IF(ISNUMBER(K149),1,0)+IF(ISNUMBER(Table442466657277[[#This Row],[Post Total]]),1,0)=2,IF(IF(Table442466657277[[#This Row],[Student Number]]=C149,1,0)+IF(Table442466657277[[#This Row],[Session]]=B149,1,0)+IF(Table442466657277[[#This Row],[Pre or Post]]="Post",1,0)+IF(D149="Pre",1,0)=4,Table442466657277[[#This Row],[Post Total]]-K149,""),"")</f>
        <v>1</v>
      </c>
      <c r="P150" s="5" t="b">
        <f>ISNUMBER(Table442466657277[[#This Row],[Change]])</f>
        <v>1</v>
      </c>
      <c r="Q150" s="5">
        <f>IF(E149="Yes",Table442466657277[[#This Row],[Change]],"")</f>
        <v>1</v>
      </c>
      <c r="R150" s="5" t="str">
        <f>IF(E149="No",Table442466657277[[#This Row],[Change]],"")</f>
        <v/>
      </c>
      <c r="S150" s="5" t="b">
        <f>ISNUMBER(Table442466657277[[#This Row],[If Pre6 Yes]])</f>
        <v>1</v>
      </c>
      <c r="T150" s="5" t="b">
        <f>ISNUMBER(Table442466657277[[#This Row],[If Pre6 No]])</f>
        <v>0</v>
      </c>
    </row>
    <row r="151" spans="1:20">
      <c r="A151" s="2" t="s">
        <v>24</v>
      </c>
      <c r="B151" s="2" t="s">
        <v>26</v>
      </c>
      <c r="C151" s="1">
        <v>12</v>
      </c>
      <c r="D151" s="1" t="s">
        <v>6</v>
      </c>
      <c r="E151" s="5" t="s">
        <v>8</v>
      </c>
      <c r="F151" s="1">
        <v>10</v>
      </c>
      <c r="G151" s="1">
        <v>2</v>
      </c>
      <c r="H151" s="2" t="s">
        <v>8</v>
      </c>
      <c r="I151" s="6">
        <f>IF(IF(Table442466657277[[#This Row],[Pre or Post]]="Pre",1,0)+IF(ISNUMBER(Table442466657277[[#This Row],[Response]])=TRUE,1,0)=2,1,"")</f>
        <v>1</v>
      </c>
      <c r="J151" s="6" t="str">
        <f>IF(IF(Table442466657277[[#This Row],[Pre or Post]]="Post",1,0)+IF(ISNUMBER(Table442466657277[[#This Row],[Response]])=TRUE,1,0)=2,1,"")</f>
        <v/>
      </c>
      <c r="K151" s="6">
        <f>IF(IF(Table442466657277[[#This Row],[Pre or Post]]="Pre",1,0)+IF(ISNUMBER(Table442466657277[[#This Row],[Response]])=TRUE,1,0)=2,Table442466657277[[#This Row],[Response]],"")</f>
        <v>2</v>
      </c>
      <c r="L151" s="6" t="str">
        <f>IF(IF(Table442466657277[[#This Row],[Pre or Post]]="Post",1,0)+IF(ISNUMBER(Table442466657277[[#This Row],[Response]])=TRUE,1,0)=2,Table442466657277[[#This Row],[Response]],"")</f>
        <v/>
      </c>
      <c r="M151" s="6">
        <f>IF(IF(ISNUMBER(K151),1,0)+IF(ISNUMBER(L152),1,0)=2,IF(IF(C152=C151,1,0)+IF(B152=B151,1,0)+IF(D152="Post",1,0)+IF(D151="Pre",1,0)=4,Table442466657277[[#This Row],[Pre Total]],""),"")</f>
        <v>2</v>
      </c>
      <c r="N151" s="6" t="str">
        <f>IF(IF(ISNUMBER(K150),1,0)+IF(ISNUMBER(Table442466657277[[#This Row],[Post Total]]),1,0)=2,IF(IF(Table442466657277[[#This Row],[Student Number]]=C150,1,0)+IF(Table442466657277[[#This Row],[Session]]=B150,1,0)+IF(Table442466657277[[#This Row],[Pre or Post]]="Post",1,0)+IF(D150="Pre",1,0)=4,Table442466657277[[#This Row],[Post Total]],""),"")</f>
        <v/>
      </c>
      <c r="O151" s="6" t="str">
        <f>IF(IF(ISNUMBER(K150),1,0)+IF(ISNUMBER(Table442466657277[[#This Row],[Post Total]]),1,0)=2,IF(IF(Table442466657277[[#This Row],[Student Number]]=C150,1,0)+IF(Table442466657277[[#This Row],[Session]]=B150,1,0)+IF(Table442466657277[[#This Row],[Pre or Post]]="Post",1,0)+IF(D150="Pre",1,0)=4,Table442466657277[[#This Row],[Post Total]]-K150,""),"")</f>
        <v/>
      </c>
      <c r="P151" s="6" t="b">
        <f>ISNUMBER(Table442466657277[[#This Row],[Change]])</f>
        <v>0</v>
      </c>
      <c r="Q151" s="5" t="str">
        <f>IF(E150="Yes",Table442466657277[[#This Row],[Change]],"")</f>
        <v/>
      </c>
      <c r="R151" s="5" t="str">
        <f>IF(E150="No",Table442466657277[[#This Row],[Change]],"")</f>
        <v/>
      </c>
      <c r="S151" s="5" t="b">
        <f>ISNUMBER(Table442466657277[[#This Row],[If Pre6 Yes]])</f>
        <v>0</v>
      </c>
      <c r="T151" s="5" t="b">
        <f>ISNUMBER(Table442466657277[[#This Row],[If Pre6 No]])</f>
        <v>0</v>
      </c>
    </row>
    <row r="152" spans="1:20">
      <c r="A152" s="2" t="s">
        <v>24</v>
      </c>
      <c r="B152" s="2" t="s">
        <v>26</v>
      </c>
      <c r="C152" s="1">
        <v>12</v>
      </c>
      <c r="D152" s="1" t="s">
        <v>16</v>
      </c>
      <c r="E152" s="5"/>
      <c r="F152" s="1">
        <v>6</v>
      </c>
      <c r="G152" s="1">
        <v>4</v>
      </c>
      <c r="H152" s="2" t="s">
        <v>8</v>
      </c>
      <c r="I152" s="5" t="str">
        <f>IF(IF(Table442466657277[[#This Row],[Pre or Post]]="Pre",1,0)+IF(ISNUMBER(Table442466657277[[#This Row],[Response]])=TRUE,1,0)=2,1,"")</f>
        <v/>
      </c>
      <c r="J152" s="5">
        <f>IF(IF(Table442466657277[[#This Row],[Pre or Post]]="Post",1,0)+IF(ISNUMBER(Table442466657277[[#This Row],[Response]])=TRUE,1,0)=2,1,"")</f>
        <v>1</v>
      </c>
      <c r="K152" s="6" t="str">
        <f>IF(IF(Table442466657277[[#This Row],[Pre or Post]]="Pre",1,0)+IF(ISNUMBER(Table442466657277[[#This Row],[Response]])=TRUE,1,0)=2,Table442466657277[[#This Row],[Response]],"")</f>
        <v/>
      </c>
      <c r="L152" s="6">
        <f>IF(IF(Table442466657277[[#This Row],[Pre or Post]]="Post",1,0)+IF(ISNUMBER(Table442466657277[[#This Row],[Response]])=TRUE,1,0)=2,Table442466657277[[#This Row],[Response]],"")</f>
        <v>4</v>
      </c>
      <c r="M152" s="5" t="str">
        <f>IF(IF(ISNUMBER(K152),1,0)+IF(ISNUMBER(L153),1,0)=2,IF(IF(C153=C152,1,0)+IF(B153=B152,1,0)+IF(D153="Post",1,0)+IF(D152="Pre",1,0)=4,Table442466657277[[#This Row],[Pre Total]],""),"")</f>
        <v/>
      </c>
      <c r="N152" s="5">
        <f>IF(IF(ISNUMBER(K151),1,0)+IF(ISNUMBER(Table442466657277[[#This Row],[Post Total]]),1,0)=2,IF(IF(Table442466657277[[#This Row],[Student Number]]=C151,1,0)+IF(Table442466657277[[#This Row],[Session]]=B151,1,0)+IF(Table442466657277[[#This Row],[Pre or Post]]="Post",1,0)+IF(D151="Pre",1,0)=4,Table442466657277[[#This Row],[Post Total]],""),"")</f>
        <v>4</v>
      </c>
      <c r="O152" s="5">
        <f>IF(IF(ISNUMBER(K151),1,0)+IF(ISNUMBER(Table442466657277[[#This Row],[Post Total]]),1,0)=2,IF(IF(Table442466657277[[#This Row],[Student Number]]=C151,1,0)+IF(Table442466657277[[#This Row],[Session]]=B151,1,0)+IF(Table442466657277[[#This Row],[Pre or Post]]="Post",1,0)+IF(D151="Pre",1,0)=4,Table442466657277[[#This Row],[Post Total]]-K151,""),"")</f>
        <v>2</v>
      </c>
      <c r="P152" s="5" t="b">
        <f>ISNUMBER(Table442466657277[[#This Row],[Change]])</f>
        <v>1</v>
      </c>
      <c r="Q152" s="5">
        <f>IF(E151="Yes",Table442466657277[[#This Row],[Change]],"")</f>
        <v>2</v>
      </c>
      <c r="R152" s="5" t="str">
        <f>IF(E151="No",Table442466657277[[#This Row],[Change]],"")</f>
        <v/>
      </c>
      <c r="S152" s="5" t="b">
        <f>ISNUMBER(Table442466657277[[#This Row],[If Pre6 Yes]])</f>
        <v>1</v>
      </c>
      <c r="T152" s="5" t="b">
        <f>ISNUMBER(Table442466657277[[#This Row],[If Pre6 No]])</f>
        <v>0</v>
      </c>
    </row>
    <row r="153" spans="1:20">
      <c r="A153" s="2" t="s">
        <v>24</v>
      </c>
      <c r="B153" s="2" t="s">
        <v>26</v>
      </c>
      <c r="C153" s="1">
        <v>13</v>
      </c>
      <c r="D153" s="1" t="s">
        <v>6</v>
      </c>
      <c r="E153" s="5" t="s">
        <v>8</v>
      </c>
      <c r="F153" s="1">
        <v>10</v>
      </c>
      <c r="G153" s="1">
        <v>3</v>
      </c>
      <c r="H153" s="2" t="s">
        <v>8</v>
      </c>
      <c r="I153" s="6">
        <f>IF(IF(Table442466657277[[#This Row],[Pre or Post]]="Pre",1,0)+IF(ISNUMBER(Table442466657277[[#This Row],[Response]])=TRUE,1,0)=2,1,"")</f>
        <v>1</v>
      </c>
      <c r="J153" s="6" t="str">
        <f>IF(IF(Table442466657277[[#This Row],[Pre or Post]]="Post",1,0)+IF(ISNUMBER(Table442466657277[[#This Row],[Response]])=TRUE,1,0)=2,1,"")</f>
        <v/>
      </c>
      <c r="K153" s="6">
        <f>IF(IF(Table442466657277[[#This Row],[Pre or Post]]="Pre",1,0)+IF(ISNUMBER(Table442466657277[[#This Row],[Response]])=TRUE,1,0)=2,Table442466657277[[#This Row],[Response]],"")</f>
        <v>3</v>
      </c>
      <c r="L153" s="6" t="str">
        <f>IF(IF(Table442466657277[[#This Row],[Pre or Post]]="Post",1,0)+IF(ISNUMBER(Table442466657277[[#This Row],[Response]])=TRUE,1,0)=2,Table442466657277[[#This Row],[Response]],"")</f>
        <v/>
      </c>
      <c r="M153" s="6">
        <f>IF(IF(ISNUMBER(K153),1,0)+IF(ISNUMBER(L154),1,0)=2,IF(IF(C154=C153,1,0)+IF(B154=B153,1,0)+IF(D154="Post",1,0)+IF(D153="Pre",1,0)=4,Table442466657277[[#This Row],[Pre Total]],""),"")</f>
        <v>3</v>
      </c>
      <c r="N153" s="6" t="str">
        <f>IF(IF(ISNUMBER(K152),1,0)+IF(ISNUMBER(Table442466657277[[#This Row],[Post Total]]),1,0)=2,IF(IF(Table442466657277[[#This Row],[Student Number]]=C152,1,0)+IF(Table442466657277[[#This Row],[Session]]=B152,1,0)+IF(Table442466657277[[#This Row],[Pre or Post]]="Post",1,0)+IF(D152="Pre",1,0)=4,Table442466657277[[#This Row],[Post Total]],""),"")</f>
        <v/>
      </c>
      <c r="O153" s="6" t="str">
        <f>IF(IF(ISNUMBER(K152),1,0)+IF(ISNUMBER(Table442466657277[[#This Row],[Post Total]]),1,0)=2,IF(IF(Table442466657277[[#This Row],[Student Number]]=C152,1,0)+IF(Table442466657277[[#This Row],[Session]]=B152,1,0)+IF(Table442466657277[[#This Row],[Pre or Post]]="Post",1,0)+IF(D152="Pre",1,0)=4,Table442466657277[[#This Row],[Post Total]]-K152,""),"")</f>
        <v/>
      </c>
      <c r="P153" s="6" t="b">
        <f>ISNUMBER(Table442466657277[[#This Row],[Change]])</f>
        <v>0</v>
      </c>
      <c r="Q153" s="5" t="str">
        <f>IF(E152="Yes",Table442466657277[[#This Row],[Change]],"")</f>
        <v/>
      </c>
      <c r="R153" s="5" t="str">
        <f>IF(E152="No",Table442466657277[[#This Row],[Change]],"")</f>
        <v/>
      </c>
      <c r="S153" s="5" t="b">
        <f>ISNUMBER(Table442466657277[[#This Row],[If Pre6 Yes]])</f>
        <v>0</v>
      </c>
      <c r="T153" s="5" t="b">
        <f>ISNUMBER(Table442466657277[[#This Row],[If Pre6 No]])</f>
        <v>0</v>
      </c>
    </row>
    <row r="154" spans="1:20">
      <c r="A154" s="2" t="s">
        <v>24</v>
      </c>
      <c r="B154" s="2" t="s">
        <v>26</v>
      </c>
      <c r="C154" s="1">
        <v>13</v>
      </c>
      <c r="D154" s="1" t="s">
        <v>16</v>
      </c>
      <c r="E154" s="5"/>
      <c r="F154" s="1">
        <v>6</v>
      </c>
      <c r="G154" s="1">
        <v>3</v>
      </c>
      <c r="H154" s="2" t="s">
        <v>8</v>
      </c>
      <c r="I154" s="5" t="str">
        <f>IF(IF(Table442466657277[[#This Row],[Pre or Post]]="Pre",1,0)+IF(ISNUMBER(Table442466657277[[#This Row],[Response]])=TRUE,1,0)=2,1,"")</f>
        <v/>
      </c>
      <c r="J154" s="5">
        <f>IF(IF(Table442466657277[[#This Row],[Pre or Post]]="Post",1,0)+IF(ISNUMBER(Table442466657277[[#This Row],[Response]])=TRUE,1,0)=2,1,"")</f>
        <v>1</v>
      </c>
      <c r="K154" s="6" t="str">
        <f>IF(IF(Table442466657277[[#This Row],[Pre or Post]]="Pre",1,0)+IF(ISNUMBER(Table442466657277[[#This Row],[Response]])=TRUE,1,0)=2,Table442466657277[[#This Row],[Response]],"")</f>
        <v/>
      </c>
      <c r="L154" s="6">
        <f>IF(IF(Table442466657277[[#This Row],[Pre or Post]]="Post",1,0)+IF(ISNUMBER(Table442466657277[[#This Row],[Response]])=TRUE,1,0)=2,Table442466657277[[#This Row],[Response]],"")</f>
        <v>3</v>
      </c>
      <c r="M154" s="5" t="str">
        <f>IF(IF(ISNUMBER(K154),1,0)+IF(ISNUMBER(L155),1,0)=2,IF(IF(C155=C154,1,0)+IF(B155=B154,1,0)+IF(D155="Post",1,0)+IF(D154="Pre",1,0)=4,Table442466657277[[#This Row],[Pre Total]],""),"")</f>
        <v/>
      </c>
      <c r="N154" s="5">
        <f>IF(IF(ISNUMBER(K153),1,0)+IF(ISNUMBER(Table442466657277[[#This Row],[Post Total]]),1,0)=2,IF(IF(Table442466657277[[#This Row],[Student Number]]=C153,1,0)+IF(Table442466657277[[#This Row],[Session]]=B153,1,0)+IF(Table442466657277[[#This Row],[Pre or Post]]="Post",1,0)+IF(D153="Pre",1,0)=4,Table442466657277[[#This Row],[Post Total]],""),"")</f>
        <v>3</v>
      </c>
      <c r="O154" s="5">
        <f>IF(IF(ISNUMBER(K153),1,0)+IF(ISNUMBER(Table442466657277[[#This Row],[Post Total]]),1,0)=2,IF(IF(Table442466657277[[#This Row],[Student Number]]=C153,1,0)+IF(Table442466657277[[#This Row],[Session]]=B153,1,0)+IF(Table442466657277[[#This Row],[Pre or Post]]="Post",1,0)+IF(D153="Pre",1,0)=4,Table442466657277[[#This Row],[Post Total]]-K153,""),"")</f>
        <v>0</v>
      </c>
      <c r="P154" s="5" t="b">
        <f>ISNUMBER(Table442466657277[[#This Row],[Change]])</f>
        <v>1</v>
      </c>
      <c r="Q154" s="5">
        <f>IF(E153="Yes",Table442466657277[[#This Row],[Change]],"")</f>
        <v>0</v>
      </c>
      <c r="R154" s="5" t="str">
        <f>IF(E153="No",Table442466657277[[#This Row],[Change]],"")</f>
        <v/>
      </c>
      <c r="S154" s="5" t="b">
        <f>ISNUMBER(Table442466657277[[#This Row],[If Pre6 Yes]])</f>
        <v>1</v>
      </c>
      <c r="T154" s="5" t="b">
        <f>ISNUMBER(Table442466657277[[#This Row],[If Pre6 No]])</f>
        <v>0</v>
      </c>
    </row>
    <row r="155" spans="1:20">
      <c r="A155" s="2" t="s">
        <v>24</v>
      </c>
      <c r="B155" s="2" t="s">
        <v>26</v>
      </c>
      <c r="C155" s="1">
        <v>14</v>
      </c>
      <c r="D155" s="1" t="s">
        <v>6</v>
      </c>
      <c r="E155" s="5" t="s">
        <v>8</v>
      </c>
      <c r="F155" s="1">
        <v>10</v>
      </c>
      <c r="G155" s="1">
        <v>3</v>
      </c>
      <c r="H155" s="2" t="s">
        <v>8</v>
      </c>
      <c r="I155" s="5">
        <f>IF(IF(Table442466657277[[#This Row],[Pre or Post]]="Pre",1,0)+IF(ISNUMBER(Table442466657277[[#This Row],[Response]])=TRUE,1,0)=2,1,"")</f>
        <v>1</v>
      </c>
      <c r="J155" s="5" t="str">
        <f>IF(IF(Table442466657277[[#This Row],[Pre or Post]]="Post",1,0)+IF(ISNUMBER(Table442466657277[[#This Row],[Response]])=TRUE,1,0)=2,1,"")</f>
        <v/>
      </c>
      <c r="K155" s="6">
        <f>IF(IF(Table442466657277[[#This Row],[Pre or Post]]="Pre",1,0)+IF(ISNUMBER(Table442466657277[[#This Row],[Response]])=TRUE,1,0)=2,Table442466657277[[#This Row],[Response]],"")</f>
        <v>3</v>
      </c>
      <c r="L155" s="6" t="str">
        <f>IF(IF(Table442466657277[[#This Row],[Pre or Post]]="Post",1,0)+IF(ISNUMBER(Table442466657277[[#This Row],[Response]])=TRUE,1,0)=2,Table442466657277[[#This Row],[Response]],"")</f>
        <v/>
      </c>
      <c r="M155" s="5">
        <f>IF(IF(ISNUMBER(K155),1,0)+IF(ISNUMBER(L156),1,0)=2,IF(IF(C156=C155,1,0)+IF(B156=B155,1,0)+IF(D156="Post",1,0)+IF(D155="Pre",1,0)=4,Table442466657277[[#This Row],[Pre Total]],""),"")</f>
        <v>3</v>
      </c>
      <c r="N155" s="5" t="str">
        <f>IF(IF(ISNUMBER(K154),1,0)+IF(ISNUMBER(Table442466657277[[#This Row],[Post Total]]),1,0)=2,IF(IF(Table442466657277[[#This Row],[Student Number]]=C154,1,0)+IF(Table442466657277[[#This Row],[Session]]=B154,1,0)+IF(Table442466657277[[#This Row],[Pre or Post]]="Post",1,0)+IF(D154="Pre",1,0)=4,Table442466657277[[#This Row],[Post Total]],""),"")</f>
        <v/>
      </c>
      <c r="O155" s="5" t="str">
        <f>IF(IF(ISNUMBER(K154),1,0)+IF(ISNUMBER(Table442466657277[[#This Row],[Post Total]]),1,0)=2,IF(IF(Table442466657277[[#This Row],[Student Number]]=C154,1,0)+IF(Table442466657277[[#This Row],[Session]]=B154,1,0)+IF(Table442466657277[[#This Row],[Pre or Post]]="Post",1,0)+IF(D154="Pre",1,0)=4,Table442466657277[[#This Row],[Post Total]]-K154,""),"")</f>
        <v/>
      </c>
      <c r="P155" s="5" t="b">
        <f>ISNUMBER(Table442466657277[[#This Row],[Change]])</f>
        <v>0</v>
      </c>
      <c r="Q155" s="5" t="str">
        <f>IF(E154="Yes",Table442466657277[[#This Row],[Change]],"")</f>
        <v/>
      </c>
      <c r="R155" s="5" t="str">
        <f>IF(E154="No",Table442466657277[[#This Row],[Change]],"")</f>
        <v/>
      </c>
      <c r="S155" s="5" t="b">
        <f>ISNUMBER(Table442466657277[[#This Row],[If Pre6 Yes]])</f>
        <v>0</v>
      </c>
      <c r="T155" s="5" t="b">
        <f>ISNUMBER(Table442466657277[[#This Row],[If Pre6 No]])</f>
        <v>0</v>
      </c>
    </row>
    <row r="156" spans="1:20">
      <c r="A156" s="2" t="s">
        <v>24</v>
      </c>
      <c r="B156" s="2" t="s">
        <v>26</v>
      </c>
      <c r="C156" s="1">
        <v>14</v>
      </c>
      <c r="D156" s="1" t="s">
        <v>16</v>
      </c>
      <c r="E156" s="5"/>
      <c r="F156" s="1">
        <v>6</v>
      </c>
      <c r="G156" s="1">
        <v>3</v>
      </c>
      <c r="H156" s="2" t="s">
        <v>8</v>
      </c>
      <c r="I156" s="5" t="str">
        <f>IF(IF(Table442466657277[[#This Row],[Pre or Post]]="Pre",1,0)+IF(ISNUMBER(Table442466657277[[#This Row],[Response]])=TRUE,1,0)=2,1,"")</f>
        <v/>
      </c>
      <c r="J156" s="5">
        <f>IF(IF(Table442466657277[[#This Row],[Pre or Post]]="Post",1,0)+IF(ISNUMBER(Table442466657277[[#This Row],[Response]])=TRUE,1,0)=2,1,"")</f>
        <v>1</v>
      </c>
      <c r="K156" s="6" t="str">
        <f>IF(IF(Table442466657277[[#This Row],[Pre or Post]]="Pre",1,0)+IF(ISNUMBER(Table442466657277[[#This Row],[Response]])=TRUE,1,0)=2,Table442466657277[[#This Row],[Response]],"")</f>
        <v/>
      </c>
      <c r="L156" s="6">
        <f>IF(IF(Table442466657277[[#This Row],[Pre or Post]]="Post",1,0)+IF(ISNUMBER(Table442466657277[[#This Row],[Response]])=TRUE,1,0)=2,Table442466657277[[#This Row],[Response]],"")</f>
        <v>3</v>
      </c>
      <c r="M156" s="5" t="str">
        <f>IF(IF(ISNUMBER(K156),1,0)+IF(ISNUMBER(L157),1,0)=2,IF(IF(C157=C156,1,0)+IF(B157=B156,1,0)+IF(D157="Post",1,0)+IF(D156="Pre",1,0)=4,Table442466657277[[#This Row],[Pre Total]],""),"")</f>
        <v/>
      </c>
      <c r="N156" s="5">
        <f>IF(IF(ISNUMBER(K155),1,0)+IF(ISNUMBER(Table442466657277[[#This Row],[Post Total]]),1,0)=2,IF(IF(Table442466657277[[#This Row],[Student Number]]=C155,1,0)+IF(Table442466657277[[#This Row],[Session]]=B155,1,0)+IF(Table442466657277[[#This Row],[Pre or Post]]="Post",1,0)+IF(D155="Pre",1,0)=4,Table442466657277[[#This Row],[Post Total]],""),"")</f>
        <v>3</v>
      </c>
      <c r="O156" s="5">
        <f>IF(IF(ISNUMBER(K155),1,0)+IF(ISNUMBER(Table442466657277[[#This Row],[Post Total]]),1,0)=2,IF(IF(Table442466657277[[#This Row],[Student Number]]=C155,1,0)+IF(Table442466657277[[#This Row],[Session]]=B155,1,0)+IF(Table442466657277[[#This Row],[Pre or Post]]="Post",1,0)+IF(D155="Pre",1,0)=4,Table442466657277[[#This Row],[Post Total]]-K155,""),"")</f>
        <v>0</v>
      </c>
      <c r="P156" s="5" t="b">
        <f>ISNUMBER(Table442466657277[[#This Row],[Change]])</f>
        <v>1</v>
      </c>
      <c r="Q156" s="5">
        <f>IF(E155="Yes",Table442466657277[[#This Row],[Change]],"")</f>
        <v>0</v>
      </c>
      <c r="R156" s="5" t="str">
        <f>IF(E155="No",Table442466657277[[#This Row],[Change]],"")</f>
        <v/>
      </c>
      <c r="S156" s="5" t="b">
        <f>ISNUMBER(Table442466657277[[#This Row],[If Pre6 Yes]])</f>
        <v>1</v>
      </c>
      <c r="T156" s="5" t="b">
        <f>ISNUMBER(Table442466657277[[#This Row],[If Pre6 No]])</f>
        <v>0</v>
      </c>
    </row>
    <row r="157" spans="1:20">
      <c r="A157" s="2" t="s">
        <v>24</v>
      </c>
      <c r="B157" s="2" t="s">
        <v>26</v>
      </c>
      <c r="C157" s="1">
        <v>15</v>
      </c>
      <c r="D157" s="1" t="s">
        <v>6</v>
      </c>
      <c r="E157" s="5" t="s">
        <v>8</v>
      </c>
      <c r="F157" s="1">
        <v>10</v>
      </c>
      <c r="G157" s="1">
        <v>4</v>
      </c>
      <c r="H157" s="2" t="s">
        <v>8</v>
      </c>
      <c r="I157" s="5">
        <f>IF(IF(Table442466657277[[#This Row],[Pre or Post]]="Pre",1,0)+IF(ISNUMBER(Table442466657277[[#This Row],[Response]])=TRUE,1,0)=2,1,"")</f>
        <v>1</v>
      </c>
      <c r="J157" s="5" t="str">
        <f>IF(IF(Table442466657277[[#This Row],[Pre or Post]]="Post",1,0)+IF(ISNUMBER(Table442466657277[[#This Row],[Response]])=TRUE,1,0)=2,1,"")</f>
        <v/>
      </c>
      <c r="K157" s="6">
        <f>IF(IF(Table442466657277[[#This Row],[Pre or Post]]="Pre",1,0)+IF(ISNUMBER(Table442466657277[[#This Row],[Response]])=TRUE,1,0)=2,Table442466657277[[#This Row],[Response]],"")</f>
        <v>4</v>
      </c>
      <c r="L157" s="6" t="str">
        <f>IF(IF(Table442466657277[[#This Row],[Pre or Post]]="Post",1,0)+IF(ISNUMBER(Table442466657277[[#This Row],[Response]])=TRUE,1,0)=2,Table442466657277[[#This Row],[Response]],"")</f>
        <v/>
      </c>
      <c r="M157" s="5">
        <f>IF(IF(ISNUMBER(K157),1,0)+IF(ISNUMBER(L158),1,0)=2,IF(IF(C158=C157,1,0)+IF(B158=B157,1,0)+IF(D158="Post",1,0)+IF(D157="Pre",1,0)=4,Table442466657277[[#This Row],[Pre Total]],""),"")</f>
        <v>4</v>
      </c>
      <c r="N157" s="5" t="str">
        <f>IF(IF(ISNUMBER(K156),1,0)+IF(ISNUMBER(Table442466657277[[#This Row],[Post Total]]),1,0)=2,IF(IF(Table442466657277[[#This Row],[Student Number]]=C156,1,0)+IF(Table442466657277[[#This Row],[Session]]=B156,1,0)+IF(Table442466657277[[#This Row],[Pre or Post]]="Post",1,0)+IF(D156="Pre",1,0)=4,Table442466657277[[#This Row],[Post Total]],""),"")</f>
        <v/>
      </c>
      <c r="O157" s="5" t="str">
        <f>IF(IF(ISNUMBER(K156),1,0)+IF(ISNUMBER(Table442466657277[[#This Row],[Post Total]]),1,0)=2,IF(IF(Table442466657277[[#This Row],[Student Number]]=C156,1,0)+IF(Table442466657277[[#This Row],[Session]]=B156,1,0)+IF(Table442466657277[[#This Row],[Pre or Post]]="Post",1,0)+IF(D156="Pre",1,0)=4,Table442466657277[[#This Row],[Post Total]]-K156,""),"")</f>
        <v/>
      </c>
      <c r="P157" s="5" t="b">
        <f>ISNUMBER(Table442466657277[[#This Row],[Change]])</f>
        <v>0</v>
      </c>
      <c r="Q157" s="5" t="str">
        <f>IF(E156="Yes",Table442466657277[[#This Row],[Change]],"")</f>
        <v/>
      </c>
      <c r="R157" s="5" t="str">
        <f>IF(E156="No",Table442466657277[[#This Row],[Change]],"")</f>
        <v/>
      </c>
      <c r="S157" s="5" t="b">
        <f>ISNUMBER(Table442466657277[[#This Row],[If Pre6 Yes]])</f>
        <v>0</v>
      </c>
      <c r="T157" s="5" t="b">
        <f>ISNUMBER(Table442466657277[[#This Row],[If Pre6 No]])</f>
        <v>0</v>
      </c>
    </row>
    <row r="158" spans="1:20">
      <c r="A158" s="2" t="s">
        <v>24</v>
      </c>
      <c r="B158" s="2" t="s">
        <v>26</v>
      </c>
      <c r="C158" s="1">
        <v>15</v>
      </c>
      <c r="D158" s="1" t="s">
        <v>16</v>
      </c>
      <c r="E158" s="5"/>
      <c r="F158" s="1">
        <v>6</v>
      </c>
      <c r="G158" s="1">
        <v>3</v>
      </c>
      <c r="H158" s="2" t="s">
        <v>8</v>
      </c>
      <c r="I158" s="5" t="str">
        <f>IF(IF(Table442466657277[[#This Row],[Pre or Post]]="Pre",1,0)+IF(ISNUMBER(Table442466657277[[#This Row],[Response]])=TRUE,1,0)=2,1,"")</f>
        <v/>
      </c>
      <c r="J158" s="5">
        <f>IF(IF(Table442466657277[[#This Row],[Pre or Post]]="Post",1,0)+IF(ISNUMBER(Table442466657277[[#This Row],[Response]])=TRUE,1,0)=2,1,"")</f>
        <v>1</v>
      </c>
      <c r="K158" s="6" t="str">
        <f>IF(IF(Table442466657277[[#This Row],[Pre or Post]]="Pre",1,0)+IF(ISNUMBER(Table442466657277[[#This Row],[Response]])=TRUE,1,0)=2,Table442466657277[[#This Row],[Response]],"")</f>
        <v/>
      </c>
      <c r="L158" s="6">
        <f>IF(IF(Table442466657277[[#This Row],[Pre or Post]]="Post",1,0)+IF(ISNUMBER(Table442466657277[[#This Row],[Response]])=TRUE,1,0)=2,Table442466657277[[#This Row],[Response]],"")</f>
        <v>3</v>
      </c>
      <c r="M158" s="5" t="str">
        <f>IF(IF(ISNUMBER(K158),1,0)+IF(ISNUMBER(L159),1,0)=2,IF(IF(C159=C158,1,0)+IF(B159=B158,1,0)+IF(D159="Post",1,0)+IF(D158="Pre",1,0)=4,Table442466657277[[#This Row],[Pre Total]],""),"")</f>
        <v/>
      </c>
      <c r="N158" s="5">
        <f>IF(IF(ISNUMBER(K157),1,0)+IF(ISNUMBER(Table442466657277[[#This Row],[Post Total]]),1,0)=2,IF(IF(Table442466657277[[#This Row],[Student Number]]=C157,1,0)+IF(Table442466657277[[#This Row],[Session]]=B157,1,0)+IF(Table442466657277[[#This Row],[Pre or Post]]="Post",1,0)+IF(D157="Pre",1,0)=4,Table442466657277[[#This Row],[Post Total]],""),"")</f>
        <v>3</v>
      </c>
      <c r="O158" s="5">
        <f>IF(IF(ISNUMBER(K157),1,0)+IF(ISNUMBER(Table442466657277[[#This Row],[Post Total]]),1,0)=2,IF(IF(Table442466657277[[#This Row],[Student Number]]=C157,1,0)+IF(Table442466657277[[#This Row],[Session]]=B157,1,0)+IF(Table442466657277[[#This Row],[Pre or Post]]="Post",1,0)+IF(D157="Pre",1,0)=4,Table442466657277[[#This Row],[Post Total]]-K157,""),"")</f>
        <v>-1</v>
      </c>
      <c r="P158" s="5" t="b">
        <f>ISNUMBER(Table442466657277[[#This Row],[Change]])</f>
        <v>1</v>
      </c>
      <c r="Q158" s="5">
        <f>IF(E157="Yes",Table442466657277[[#This Row],[Change]],"")</f>
        <v>-1</v>
      </c>
      <c r="R158" s="5" t="str">
        <f>IF(E157="No",Table442466657277[[#This Row],[Change]],"")</f>
        <v/>
      </c>
      <c r="S158" s="5" t="b">
        <f>ISNUMBER(Table442466657277[[#This Row],[If Pre6 Yes]])</f>
        <v>1</v>
      </c>
      <c r="T158" s="5" t="b">
        <f>ISNUMBER(Table442466657277[[#This Row],[If Pre6 No]])</f>
        <v>0</v>
      </c>
    </row>
    <row r="159" spans="1:20">
      <c r="A159" s="2"/>
      <c r="B159" s="2"/>
      <c r="C159" s="2"/>
      <c r="D159" s="2"/>
      <c r="E159" s="2"/>
      <c r="F159" s="2"/>
      <c r="G159" s="2"/>
      <c r="H159" s="2"/>
      <c r="I159" s="6">
        <f>SUM([Pre Answers])</f>
        <v>61</v>
      </c>
      <c r="J159" s="6">
        <f>SUM([Post Answers])</f>
        <v>95</v>
      </c>
      <c r="K159" s="2">
        <f>SUM([Pre Total])</f>
        <v>153.5</v>
      </c>
      <c r="L159" s="2">
        <f>SUM([Post Total])</f>
        <v>357</v>
      </c>
      <c r="M159" s="2">
        <f>SUM([Pre Total (Pooled)])</f>
        <v>143.5</v>
      </c>
      <c r="N159" s="2">
        <f>SUM([Post Total (Pooled)])</f>
        <v>202</v>
      </c>
      <c r="O159" s="2">
        <f>SUM([Change])</f>
        <v>58.5</v>
      </c>
      <c r="P159" s="2">
        <f>COUNTIF([Number 2 Resp],TRUE)</f>
        <v>57</v>
      </c>
      <c r="Q159" s="2">
        <f>SUM([If Pre6 Yes])</f>
        <v>53.5</v>
      </c>
      <c r="R159" s="2">
        <f>SUM([If Pre6 No])</f>
        <v>5</v>
      </c>
      <c r="S159" s="2">
        <f>COUNTIF([Pre6 Yes Answers],"TRUE")</f>
        <v>55</v>
      </c>
      <c r="T159" s="2">
        <f>COUNTIF([Pre6 No Answers],"TRUE")</f>
        <v>2</v>
      </c>
    </row>
    <row r="160" spans="1:20">
      <c r="A160" s="2"/>
      <c r="B160" s="2"/>
      <c r="C160" s="2"/>
      <c r="D160" s="2"/>
      <c r="E160" s="2"/>
      <c r="F160" s="2"/>
      <c r="G160" s="2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11">
      <c r="A161" s="1" t="s">
        <v>175</v>
      </c>
    </row>
    <row r="162" spans="1:11" ht="30">
      <c r="A162" s="16" t="s">
        <v>207</v>
      </c>
      <c r="B162" s="16" t="s">
        <v>36</v>
      </c>
      <c r="C162" s="16" t="s">
        <v>37</v>
      </c>
      <c r="D162" s="16" t="s">
        <v>68</v>
      </c>
      <c r="E162" s="16" t="s">
        <v>69</v>
      </c>
      <c r="F162" s="16"/>
      <c r="G162" s="16"/>
      <c r="H162" s="16"/>
      <c r="I162" s="16"/>
      <c r="J162" s="16"/>
      <c r="K162" s="16"/>
    </row>
    <row r="163" spans="1:11">
      <c r="A163" s="1" t="s">
        <v>8</v>
      </c>
      <c r="B163" s="1">
        <f>COUNTIF(Table442466657277[Pre6 Yes or No],"Yes")</f>
        <v>59</v>
      </c>
      <c r="C163" s="1">
        <f>Table442466657277[[#Totals],[Pre6 Yes Answers]]</f>
        <v>55</v>
      </c>
      <c r="D163" s="1">
        <f>Table442466657277[[#Totals],[If Pre6 Yes]]/Table5122567687378[[#This Row],[Total Answers]]</f>
        <v>0.97272727272727277</v>
      </c>
      <c r="E163" s="1">
        <f>STDEV(Table442466657277[If Pre6 Yes])</f>
        <v>1.5528295016773288</v>
      </c>
    </row>
    <row r="164" spans="1:11">
      <c r="A164" s="1" t="s">
        <v>9</v>
      </c>
      <c r="B164" s="1">
        <f>COUNTIF(Table442466657277[Pre6 Yes or No],"No")</f>
        <v>2</v>
      </c>
      <c r="C164" s="1">
        <f>Table442466657277[[#Totals],[Pre6 No Answers]]</f>
        <v>2</v>
      </c>
      <c r="D164" s="1">
        <f>Table442466657277[[#Totals],[If Pre6 No]]/Table5122567687378[[#This Row],[Total Answers]]</f>
        <v>2.5</v>
      </c>
      <c r="E164" s="1">
        <f>STDEV(Table442466657277[If Pre6 No])</f>
        <v>0.70710678118654757</v>
      </c>
    </row>
    <row r="168" spans="1:11">
      <c r="A168"/>
      <c r="B168" s="16"/>
      <c r="C168" s="16"/>
      <c r="D168" s="16"/>
      <c r="E168" s="16"/>
    </row>
    <row r="169" spans="1:11">
      <c r="A169"/>
      <c r="D169" s="5"/>
    </row>
    <row r="170" spans="1:11">
      <c r="A170"/>
      <c r="D170" s="5"/>
    </row>
  </sheetData>
  <conditionalFormatting sqref="C168 G2:H158 F161 F165:F205 G159:G160">
    <cfRule type="cellIs" dxfId="115" priority="3" operator="equal">
      <formula>"No"</formula>
    </cfRule>
    <cfRule type="cellIs" dxfId="114" priority="4" operator="equal">
      <formula>"Yes"</formula>
    </cfRule>
  </conditionalFormatting>
  <conditionalFormatting sqref="G161 G165:G205 F162:F164 H2:H160">
    <cfRule type="cellIs" dxfId="113" priority="1" operator="equal">
      <formula>"Yes"</formula>
    </cfRule>
    <cfRule type="cellIs" dxfId="112" priority="2" operator="equal">
      <formula>"No"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8"/>
  </sheetPr>
  <dimension ref="A1:T118"/>
  <sheetViews>
    <sheetView topLeftCell="A82" workbookViewId="0">
      <selection activeCell="A111" sqref="A111:E112"/>
    </sheetView>
  </sheetViews>
  <sheetFormatPr defaultColWidth="16.7109375" defaultRowHeight="15"/>
  <cols>
    <col min="1" max="16384" width="16.7109375" style="1"/>
  </cols>
  <sheetData>
    <row r="1" spans="1:20">
      <c r="A1" s="1" t="s">
        <v>11</v>
      </c>
      <c r="B1" s="1" t="s">
        <v>0</v>
      </c>
      <c r="C1" s="1" t="s">
        <v>1</v>
      </c>
      <c r="D1" s="1" t="s">
        <v>4</v>
      </c>
      <c r="E1" s="1" t="s">
        <v>207</v>
      </c>
      <c r="F1" s="1" t="s">
        <v>2</v>
      </c>
      <c r="G1" s="1" t="s">
        <v>3</v>
      </c>
      <c r="H1" s="1" t="s">
        <v>20</v>
      </c>
      <c r="I1" s="1" t="s">
        <v>64</v>
      </c>
      <c r="J1" s="1" t="s">
        <v>65</v>
      </c>
      <c r="K1" s="1" t="s">
        <v>66</v>
      </c>
      <c r="L1" s="1" t="s">
        <v>67</v>
      </c>
      <c r="M1" s="1" t="s">
        <v>88</v>
      </c>
      <c r="N1" s="1" t="s">
        <v>89</v>
      </c>
      <c r="O1" s="1" t="s">
        <v>72</v>
      </c>
      <c r="P1" s="1" t="s">
        <v>83</v>
      </c>
      <c r="Q1" s="19" t="s">
        <v>208</v>
      </c>
      <c r="R1" s="19" t="s">
        <v>209</v>
      </c>
      <c r="S1" s="19" t="s">
        <v>210</v>
      </c>
      <c r="T1" s="19" t="s">
        <v>211</v>
      </c>
    </row>
    <row r="2" spans="1:20">
      <c r="A2" s="2" t="s">
        <v>12</v>
      </c>
      <c r="B2" s="2" t="s">
        <v>5</v>
      </c>
      <c r="C2" s="1">
        <v>1</v>
      </c>
      <c r="D2" s="2" t="s">
        <v>16</v>
      </c>
      <c r="E2" s="5"/>
      <c r="F2" s="1">
        <v>3</v>
      </c>
      <c r="G2" s="1">
        <v>3</v>
      </c>
      <c r="H2" s="2" t="s">
        <v>9</v>
      </c>
      <c r="I2" s="5" t="str">
        <f>IF(IF(Table44246665727779[[#This Row],[Pre or Post]]="Pre",1,0)+IF(ISNUMBER(Table44246665727779[[#This Row],[Response]])=TRUE,1,0)=2,1,"")</f>
        <v/>
      </c>
      <c r="J2" s="5">
        <f>IF(IF(Table44246665727779[[#This Row],[Pre or Post]]="Post",1,0)+IF(ISNUMBER(Table44246665727779[[#This Row],[Response]])=TRUE,1,0)=2,1,"")</f>
        <v>1</v>
      </c>
      <c r="K2" s="6" t="str">
        <f>IF(IF(Table44246665727779[[#This Row],[Pre or Post]]="Pre",1,0)+IF(ISNUMBER(Table44246665727779[[#This Row],[Response]])=TRUE,1,0)=2,Table44246665727779[[#This Row],[Response]],"")</f>
        <v/>
      </c>
      <c r="L2" s="6">
        <f>IF(IF(Table44246665727779[[#This Row],[Pre or Post]]="Post",1,0)+IF(ISNUMBER(Table44246665727779[[#This Row],[Response]])=TRUE,1,0)=2,Table44246665727779[[#This Row],[Response]],"")</f>
        <v>3</v>
      </c>
      <c r="M2" s="5" t="str">
        <f>IF(IF(ISNUMBER(K2),1,0)+IF(ISNUMBER(L3),1,0)=2,IF(IF(C3=C2,1,0)+IF(B3=B2,1,0)+IF(D3="Post",1,0)+IF(D2="Pre",1,0)=4,Table44246665727779[[#This Row],[Pre Total]],""),"")</f>
        <v/>
      </c>
      <c r="N2" s="5" t="str">
        <f>IF(IF(ISNUMBER(K1),1,0)+IF(ISNUMBER(Table44246665727779[[#This Row],[Post Total]]),1,0)=2,IF(IF(Table44246665727779[[#This Row],[Student Number]]=C1,1,0)+IF(Table44246665727779[[#This Row],[Session]]=B1,1,0)+IF(Table44246665727779[[#This Row],[Pre or Post]]="Post",1,0)+IF(D1="Pre",1,0)=4,Table44246665727779[[#This Row],[Post Total]],""),"")</f>
        <v/>
      </c>
      <c r="O2" s="5" t="str">
        <f>IF(IF(ISNUMBER(K1),1,0)+IF(ISNUMBER(Table44246665727779[[#This Row],[Post Total]]),1,0)=2,IF(IF(Table44246665727779[[#This Row],[Student Number]]=C1,1,0)+IF(Table44246665727779[[#This Row],[Session]]=B1,1,0)+IF(Table44246665727779[[#This Row],[Pre or Post]]="Post",1,0)+IF(D1="Pre",1,0)=4,Table44246665727779[[#This Row],[Post Total]]-K1,""),"")</f>
        <v/>
      </c>
      <c r="P2" s="5" t="b">
        <f>ISNUMBER(Table44246665727779[[#This Row],[Change]])</f>
        <v>0</v>
      </c>
      <c r="Q2" s="5" t="str">
        <f>IF(E1="Yes",Table44246665727779[[#This Row],[Change]],"")</f>
        <v/>
      </c>
      <c r="R2" s="5" t="str">
        <f>IF(E1="No",Table44246665727779[[#This Row],[Change]],"")</f>
        <v/>
      </c>
      <c r="S2" s="5" t="b">
        <f>ISNUMBER(Table44246665727779[[#This Row],[If Pre6 Yes]])</f>
        <v>0</v>
      </c>
      <c r="T2" s="5" t="b">
        <f>ISNUMBER(Table44246665727779[[#This Row],[If Pre6 No]])</f>
        <v>0</v>
      </c>
    </row>
    <row r="3" spans="1:20">
      <c r="A3" s="2" t="s">
        <v>12</v>
      </c>
      <c r="B3" s="2" t="s">
        <v>5</v>
      </c>
      <c r="C3" s="1">
        <v>2</v>
      </c>
      <c r="D3" s="2" t="s">
        <v>16</v>
      </c>
      <c r="E3" s="5"/>
      <c r="F3" s="1">
        <v>3</v>
      </c>
      <c r="G3" s="1">
        <v>3</v>
      </c>
      <c r="H3" s="2" t="s">
        <v>9</v>
      </c>
      <c r="I3" s="5" t="str">
        <f>IF(IF(Table44246665727779[[#This Row],[Pre or Post]]="Pre",1,0)+IF(ISNUMBER(Table44246665727779[[#This Row],[Response]])=TRUE,1,0)=2,1,"")</f>
        <v/>
      </c>
      <c r="J3" s="5">
        <f>IF(IF(Table44246665727779[[#This Row],[Pre or Post]]="Post",1,0)+IF(ISNUMBER(Table44246665727779[[#This Row],[Response]])=TRUE,1,0)=2,1,"")</f>
        <v>1</v>
      </c>
      <c r="K3" s="6" t="str">
        <f>IF(IF(Table44246665727779[[#This Row],[Pre or Post]]="Pre",1,0)+IF(ISNUMBER(Table44246665727779[[#This Row],[Response]])=TRUE,1,0)=2,Table44246665727779[[#This Row],[Response]],"")</f>
        <v/>
      </c>
      <c r="L3" s="6">
        <f>IF(IF(Table44246665727779[[#This Row],[Pre or Post]]="Post",1,0)+IF(ISNUMBER(Table44246665727779[[#This Row],[Response]])=TRUE,1,0)=2,Table44246665727779[[#This Row],[Response]],"")</f>
        <v>3</v>
      </c>
      <c r="M3" s="5" t="str">
        <f>IF(IF(ISNUMBER(K3),1,0)+IF(ISNUMBER(L4),1,0)=2,IF(IF(C4=C3,1,0)+IF(B4=B3,1,0)+IF(D4="Post",1,0)+IF(D3="Pre",1,0)=4,Table44246665727779[[#This Row],[Pre Total]],""),"")</f>
        <v/>
      </c>
      <c r="N3" s="5" t="str">
        <f>IF(IF(ISNUMBER(K2),1,0)+IF(ISNUMBER(Table44246665727779[[#This Row],[Post Total]]),1,0)=2,IF(IF(Table44246665727779[[#This Row],[Student Number]]=C2,1,0)+IF(Table44246665727779[[#This Row],[Session]]=B2,1,0)+IF(Table44246665727779[[#This Row],[Pre or Post]]="Post",1,0)+IF(D2="Pre",1,0)=4,Table44246665727779[[#This Row],[Post Total]],""),"")</f>
        <v/>
      </c>
      <c r="O3" s="5" t="str">
        <f>IF(IF(ISNUMBER(K2),1,0)+IF(ISNUMBER(Table44246665727779[[#This Row],[Post Total]]),1,0)=2,IF(IF(Table44246665727779[[#This Row],[Student Number]]=C2,1,0)+IF(Table44246665727779[[#This Row],[Session]]=B2,1,0)+IF(Table44246665727779[[#This Row],[Pre or Post]]="Post",1,0)+IF(D2="Pre",1,0)=4,Table44246665727779[[#This Row],[Post Total]]-K2,""),"")</f>
        <v/>
      </c>
      <c r="P3" s="5" t="b">
        <f>ISNUMBER(Table44246665727779[[#This Row],[Change]])</f>
        <v>0</v>
      </c>
      <c r="Q3" s="5" t="str">
        <f>IF(E2="Yes",Table44246665727779[[#This Row],[Change]],"")</f>
        <v/>
      </c>
      <c r="R3" s="5" t="str">
        <f>IF(E2="No",Table44246665727779[[#This Row],[Change]],"")</f>
        <v/>
      </c>
      <c r="S3" s="5" t="b">
        <f>ISNUMBER(Table44246665727779[[#This Row],[If Pre6 Yes]])</f>
        <v>0</v>
      </c>
      <c r="T3" s="5" t="b">
        <f>ISNUMBER(Table44246665727779[[#This Row],[If Pre6 No]])</f>
        <v>0</v>
      </c>
    </row>
    <row r="4" spans="1:20">
      <c r="A4" s="2" t="s">
        <v>12</v>
      </c>
      <c r="B4" s="2" t="s">
        <v>5</v>
      </c>
      <c r="C4" s="1">
        <v>3</v>
      </c>
      <c r="D4" s="2" t="s">
        <v>16</v>
      </c>
      <c r="E4" s="5"/>
      <c r="F4" s="1">
        <v>3</v>
      </c>
      <c r="G4" s="1">
        <v>2</v>
      </c>
      <c r="H4" s="2" t="s">
        <v>9</v>
      </c>
      <c r="I4" s="5" t="str">
        <f>IF(IF(Table44246665727779[[#This Row],[Pre or Post]]="Pre",1,0)+IF(ISNUMBER(Table44246665727779[[#This Row],[Response]])=TRUE,1,0)=2,1,"")</f>
        <v/>
      </c>
      <c r="J4" s="5">
        <f>IF(IF(Table44246665727779[[#This Row],[Pre or Post]]="Post",1,0)+IF(ISNUMBER(Table44246665727779[[#This Row],[Response]])=TRUE,1,0)=2,1,"")</f>
        <v>1</v>
      </c>
      <c r="K4" s="6" t="str">
        <f>IF(IF(Table44246665727779[[#This Row],[Pre or Post]]="Pre",1,0)+IF(ISNUMBER(Table44246665727779[[#This Row],[Response]])=TRUE,1,0)=2,Table44246665727779[[#This Row],[Response]],"")</f>
        <v/>
      </c>
      <c r="L4" s="6">
        <f>IF(IF(Table44246665727779[[#This Row],[Pre or Post]]="Post",1,0)+IF(ISNUMBER(Table44246665727779[[#This Row],[Response]])=TRUE,1,0)=2,Table44246665727779[[#This Row],[Response]],"")</f>
        <v>2</v>
      </c>
      <c r="M4" s="5" t="str">
        <f>IF(IF(ISNUMBER(K4),1,0)+IF(ISNUMBER(L5),1,0)=2,IF(IF(C5=C4,1,0)+IF(B5=B4,1,0)+IF(D5="Post",1,0)+IF(D4="Pre",1,0)=4,Table44246665727779[[#This Row],[Pre Total]],""),"")</f>
        <v/>
      </c>
      <c r="N4" s="5" t="str">
        <f>IF(IF(ISNUMBER(K3),1,0)+IF(ISNUMBER(Table44246665727779[[#This Row],[Post Total]]),1,0)=2,IF(IF(Table44246665727779[[#This Row],[Student Number]]=C3,1,0)+IF(Table44246665727779[[#This Row],[Session]]=B3,1,0)+IF(Table44246665727779[[#This Row],[Pre or Post]]="Post",1,0)+IF(D3="Pre",1,0)=4,Table44246665727779[[#This Row],[Post Total]],""),"")</f>
        <v/>
      </c>
      <c r="O4" s="5" t="str">
        <f>IF(IF(ISNUMBER(K3),1,0)+IF(ISNUMBER(Table44246665727779[[#This Row],[Post Total]]),1,0)=2,IF(IF(Table44246665727779[[#This Row],[Student Number]]=C3,1,0)+IF(Table44246665727779[[#This Row],[Session]]=B3,1,0)+IF(Table44246665727779[[#This Row],[Pre or Post]]="Post",1,0)+IF(D3="Pre",1,0)=4,Table44246665727779[[#This Row],[Post Total]]-K3,""),"")</f>
        <v/>
      </c>
      <c r="P4" s="5" t="b">
        <f>ISNUMBER(Table44246665727779[[#This Row],[Change]])</f>
        <v>0</v>
      </c>
      <c r="Q4" s="5" t="str">
        <f>IF(E3="Yes",Table44246665727779[[#This Row],[Change]],"")</f>
        <v/>
      </c>
      <c r="R4" s="5" t="str">
        <f>IF(E3="No",Table44246665727779[[#This Row],[Change]],"")</f>
        <v/>
      </c>
      <c r="S4" s="5" t="b">
        <f>ISNUMBER(Table44246665727779[[#This Row],[If Pre6 Yes]])</f>
        <v>0</v>
      </c>
      <c r="T4" s="5" t="b">
        <f>ISNUMBER(Table44246665727779[[#This Row],[If Pre6 No]])</f>
        <v>0</v>
      </c>
    </row>
    <row r="5" spans="1:20">
      <c r="A5" s="2" t="s">
        <v>12</v>
      </c>
      <c r="B5" s="2" t="s">
        <v>5</v>
      </c>
      <c r="C5" s="1">
        <v>4</v>
      </c>
      <c r="D5" s="2" t="s">
        <v>16</v>
      </c>
      <c r="E5" s="5"/>
      <c r="F5" s="1">
        <v>3</v>
      </c>
      <c r="G5" s="1">
        <v>3</v>
      </c>
      <c r="H5" s="2" t="s">
        <v>9</v>
      </c>
      <c r="I5" s="5" t="str">
        <f>IF(IF(Table44246665727779[[#This Row],[Pre or Post]]="Pre",1,0)+IF(ISNUMBER(Table44246665727779[[#This Row],[Response]])=TRUE,1,0)=2,1,"")</f>
        <v/>
      </c>
      <c r="J5" s="5">
        <f>IF(IF(Table44246665727779[[#This Row],[Pre or Post]]="Post",1,0)+IF(ISNUMBER(Table44246665727779[[#This Row],[Response]])=TRUE,1,0)=2,1,"")</f>
        <v>1</v>
      </c>
      <c r="K5" s="6" t="str">
        <f>IF(IF(Table44246665727779[[#This Row],[Pre or Post]]="Pre",1,0)+IF(ISNUMBER(Table44246665727779[[#This Row],[Response]])=TRUE,1,0)=2,Table44246665727779[[#This Row],[Response]],"")</f>
        <v/>
      </c>
      <c r="L5" s="6">
        <f>IF(IF(Table44246665727779[[#This Row],[Pre or Post]]="Post",1,0)+IF(ISNUMBER(Table44246665727779[[#This Row],[Response]])=TRUE,1,0)=2,Table44246665727779[[#This Row],[Response]],"")</f>
        <v>3</v>
      </c>
      <c r="M5" s="5" t="str">
        <f>IF(IF(ISNUMBER(K5),1,0)+IF(ISNUMBER(L6),1,0)=2,IF(IF(C6=C5,1,0)+IF(B6=B5,1,0)+IF(D6="Post",1,0)+IF(D5="Pre",1,0)=4,Table44246665727779[[#This Row],[Pre Total]],""),"")</f>
        <v/>
      </c>
      <c r="N5" s="5" t="str">
        <f>IF(IF(ISNUMBER(K4),1,0)+IF(ISNUMBER(Table44246665727779[[#This Row],[Post Total]]),1,0)=2,IF(IF(Table44246665727779[[#This Row],[Student Number]]=C4,1,0)+IF(Table44246665727779[[#This Row],[Session]]=B4,1,0)+IF(Table44246665727779[[#This Row],[Pre or Post]]="Post",1,0)+IF(D4="Pre",1,0)=4,Table44246665727779[[#This Row],[Post Total]],""),"")</f>
        <v/>
      </c>
      <c r="O5" s="5" t="str">
        <f>IF(IF(ISNUMBER(K4),1,0)+IF(ISNUMBER(Table44246665727779[[#This Row],[Post Total]]),1,0)=2,IF(IF(Table44246665727779[[#This Row],[Student Number]]=C4,1,0)+IF(Table44246665727779[[#This Row],[Session]]=B4,1,0)+IF(Table44246665727779[[#This Row],[Pre or Post]]="Post",1,0)+IF(D4="Pre",1,0)=4,Table44246665727779[[#This Row],[Post Total]]-K4,""),"")</f>
        <v/>
      </c>
      <c r="P5" s="5" t="b">
        <f>ISNUMBER(Table44246665727779[[#This Row],[Change]])</f>
        <v>0</v>
      </c>
      <c r="Q5" s="5" t="str">
        <f>IF(E4="Yes",Table44246665727779[[#This Row],[Change]],"")</f>
        <v/>
      </c>
      <c r="R5" s="5" t="str">
        <f>IF(E4="No",Table44246665727779[[#This Row],[Change]],"")</f>
        <v/>
      </c>
      <c r="S5" s="5" t="b">
        <f>ISNUMBER(Table44246665727779[[#This Row],[If Pre6 Yes]])</f>
        <v>0</v>
      </c>
      <c r="T5" s="5" t="b">
        <f>ISNUMBER(Table44246665727779[[#This Row],[If Pre6 No]])</f>
        <v>0</v>
      </c>
    </row>
    <row r="6" spans="1:20">
      <c r="A6" s="2" t="s">
        <v>12</v>
      </c>
      <c r="B6" s="2" t="s">
        <v>5</v>
      </c>
      <c r="C6" s="1">
        <v>5</v>
      </c>
      <c r="D6" s="2" t="s">
        <v>16</v>
      </c>
      <c r="E6" s="5"/>
      <c r="F6" s="1">
        <v>3</v>
      </c>
      <c r="G6" s="1">
        <v>3</v>
      </c>
      <c r="H6" s="2" t="s">
        <v>9</v>
      </c>
      <c r="I6" s="5" t="str">
        <f>IF(IF(Table44246665727779[[#This Row],[Pre or Post]]="Pre",1,0)+IF(ISNUMBER(Table44246665727779[[#This Row],[Response]])=TRUE,1,0)=2,1,"")</f>
        <v/>
      </c>
      <c r="J6" s="5">
        <f>IF(IF(Table44246665727779[[#This Row],[Pre or Post]]="Post",1,0)+IF(ISNUMBER(Table44246665727779[[#This Row],[Response]])=TRUE,1,0)=2,1,"")</f>
        <v>1</v>
      </c>
      <c r="K6" s="6" t="str">
        <f>IF(IF(Table44246665727779[[#This Row],[Pre or Post]]="Pre",1,0)+IF(ISNUMBER(Table44246665727779[[#This Row],[Response]])=TRUE,1,0)=2,Table44246665727779[[#This Row],[Response]],"")</f>
        <v/>
      </c>
      <c r="L6" s="6">
        <f>IF(IF(Table44246665727779[[#This Row],[Pre or Post]]="Post",1,0)+IF(ISNUMBER(Table44246665727779[[#This Row],[Response]])=TRUE,1,0)=2,Table44246665727779[[#This Row],[Response]],"")</f>
        <v>3</v>
      </c>
      <c r="M6" s="5" t="str">
        <f>IF(IF(ISNUMBER(K6),1,0)+IF(ISNUMBER(L7),1,0)=2,IF(IF(C7=C6,1,0)+IF(B7=B6,1,0)+IF(D7="Post",1,0)+IF(D6="Pre",1,0)=4,Table44246665727779[[#This Row],[Pre Total]],""),"")</f>
        <v/>
      </c>
      <c r="N6" s="5" t="str">
        <f>IF(IF(ISNUMBER(K5),1,0)+IF(ISNUMBER(Table44246665727779[[#This Row],[Post Total]]),1,0)=2,IF(IF(Table44246665727779[[#This Row],[Student Number]]=C5,1,0)+IF(Table44246665727779[[#This Row],[Session]]=B5,1,0)+IF(Table44246665727779[[#This Row],[Pre or Post]]="Post",1,0)+IF(D5="Pre",1,0)=4,Table44246665727779[[#This Row],[Post Total]],""),"")</f>
        <v/>
      </c>
      <c r="O6" s="5" t="str">
        <f>IF(IF(ISNUMBER(K5),1,0)+IF(ISNUMBER(Table44246665727779[[#This Row],[Post Total]]),1,0)=2,IF(IF(Table44246665727779[[#This Row],[Student Number]]=C5,1,0)+IF(Table44246665727779[[#This Row],[Session]]=B5,1,0)+IF(Table44246665727779[[#This Row],[Pre or Post]]="Post",1,0)+IF(D5="Pre",1,0)=4,Table44246665727779[[#This Row],[Post Total]]-K5,""),"")</f>
        <v/>
      </c>
      <c r="P6" s="5" t="b">
        <f>ISNUMBER(Table44246665727779[[#This Row],[Change]])</f>
        <v>0</v>
      </c>
      <c r="Q6" s="5" t="str">
        <f>IF(E5="Yes",Table44246665727779[[#This Row],[Change]],"")</f>
        <v/>
      </c>
      <c r="R6" s="5" t="str">
        <f>IF(E5="No",Table44246665727779[[#This Row],[Change]],"")</f>
        <v/>
      </c>
      <c r="S6" s="5" t="b">
        <f>ISNUMBER(Table44246665727779[[#This Row],[If Pre6 Yes]])</f>
        <v>0</v>
      </c>
      <c r="T6" s="5" t="b">
        <f>ISNUMBER(Table44246665727779[[#This Row],[If Pre6 No]])</f>
        <v>0</v>
      </c>
    </row>
    <row r="7" spans="1:20">
      <c r="A7" s="2" t="s">
        <v>12</v>
      </c>
      <c r="B7" s="2" t="s">
        <v>5</v>
      </c>
      <c r="C7" s="1">
        <v>6</v>
      </c>
      <c r="D7" s="2" t="s">
        <v>16</v>
      </c>
      <c r="E7" s="5"/>
      <c r="F7" s="1">
        <v>3</v>
      </c>
      <c r="G7" s="1">
        <v>3</v>
      </c>
      <c r="H7" s="2" t="s">
        <v>9</v>
      </c>
      <c r="I7" s="5" t="str">
        <f>IF(IF(Table44246665727779[[#This Row],[Pre or Post]]="Pre",1,0)+IF(ISNUMBER(Table44246665727779[[#This Row],[Response]])=TRUE,1,0)=2,1,"")</f>
        <v/>
      </c>
      <c r="J7" s="5">
        <f>IF(IF(Table44246665727779[[#This Row],[Pre or Post]]="Post",1,0)+IF(ISNUMBER(Table44246665727779[[#This Row],[Response]])=TRUE,1,0)=2,1,"")</f>
        <v>1</v>
      </c>
      <c r="K7" s="6" t="str">
        <f>IF(IF(Table44246665727779[[#This Row],[Pre or Post]]="Pre",1,0)+IF(ISNUMBER(Table44246665727779[[#This Row],[Response]])=TRUE,1,0)=2,Table44246665727779[[#This Row],[Response]],"")</f>
        <v/>
      </c>
      <c r="L7" s="6">
        <f>IF(IF(Table44246665727779[[#This Row],[Pre or Post]]="Post",1,0)+IF(ISNUMBER(Table44246665727779[[#This Row],[Response]])=TRUE,1,0)=2,Table44246665727779[[#This Row],[Response]],"")</f>
        <v>3</v>
      </c>
      <c r="M7" s="5" t="str">
        <f>IF(IF(ISNUMBER(K7),1,0)+IF(ISNUMBER(L8),1,0)=2,IF(IF(C8=C7,1,0)+IF(B8=B7,1,0)+IF(D8="Post",1,0)+IF(D7="Pre",1,0)=4,Table44246665727779[[#This Row],[Pre Total]],""),"")</f>
        <v/>
      </c>
      <c r="N7" s="5" t="str">
        <f>IF(IF(ISNUMBER(K6),1,0)+IF(ISNUMBER(Table44246665727779[[#This Row],[Post Total]]),1,0)=2,IF(IF(Table44246665727779[[#This Row],[Student Number]]=C6,1,0)+IF(Table44246665727779[[#This Row],[Session]]=B6,1,0)+IF(Table44246665727779[[#This Row],[Pre or Post]]="Post",1,0)+IF(D6="Pre",1,0)=4,Table44246665727779[[#This Row],[Post Total]],""),"")</f>
        <v/>
      </c>
      <c r="O7" s="5" t="str">
        <f>IF(IF(ISNUMBER(K6),1,0)+IF(ISNUMBER(Table44246665727779[[#This Row],[Post Total]]),1,0)=2,IF(IF(Table44246665727779[[#This Row],[Student Number]]=C6,1,0)+IF(Table44246665727779[[#This Row],[Session]]=B6,1,0)+IF(Table44246665727779[[#This Row],[Pre or Post]]="Post",1,0)+IF(D6="Pre",1,0)=4,Table44246665727779[[#This Row],[Post Total]]-K6,""),"")</f>
        <v/>
      </c>
      <c r="P7" s="5" t="b">
        <f>ISNUMBER(Table44246665727779[[#This Row],[Change]])</f>
        <v>0</v>
      </c>
      <c r="Q7" s="5" t="str">
        <f>IF(E6="Yes",Table44246665727779[[#This Row],[Change]],"")</f>
        <v/>
      </c>
      <c r="R7" s="5" t="str">
        <f>IF(E6="No",Table44246665727779[[#This Row],[Change]],"")</f>
        <v/>
      </c>
      <c r="S7" s="5" t="b">
        <f>ISNUMBER(Table44246665727779[[#This Row],[If Pre6 Yes]])</f>
        <v>0</v>
      </c>
      <c r="T7" s="5" t="b">
        <f>ISNUMBER(Table44246665727779[[#This Row],[If Pre6 No]])</f>
        <v>0</v>
      </c>
    </row>
    <row r="8" spans="1:20">
      <c r="A8" s="2" t="s">
        <v>12</v>
      </c>
      <c r="B8" s="2" t="s">
        <v>5</v>
      </c>
      <c r="C8" s="1">
        <v>7</v>
      </c>
      <c r="D8" s="2" t="s">
        <v>16</v>
      </c>
      <c r="E8" s="5"/>
      <c r="F8" s="1">
        <v>3</v>
      </c>
      <c r="G8" s="1">
        <v>4</v>
      </c>
      <c r="H8" s="2" t="s">
        <v>9</v>
      </c>
      <c r="I8" s="5" t="str">
        <f>IF(IF(Table44246665727779[[#This Row],[Pre or Post]]="Pre",1,0)+IF(ISNUMBER(Table44246665727779[[#This Row],[Response]])=TRUE,1,0)=2,1,"")</f>
        <v/>
      </c>
      <c r="J8" s="5">
        <f>IF(IF(Table44246665727779[[#This Row],[Pre or Post]]="Post",1,0)+IF(ISNUMBER(Table44246665727779[[#This Row],[Response]])=TRUE,1,0)=2,1,"")</f>
        <v>1</v>
      </c>
      <c r="K8" s="6" t="str">
        <f>IF(IF(Table44246665727779[[#This Row],[Pre or Post]]="Pre",1,0)+IF(ISNUMBER(Table44246665727779[[#This Row],[Response]])=TRUE,1,0)=2,Table44246665727779[[#This Row],[Response]],"")</f>
        <v/>
      </c>
      <c r="L8" s="6">
        <f>IF(IF(Table44246665727779[[#This Row],[Pre or Post]]="Post",1,0)+IF(ISNUMBER(Table44246665727779[[#This Row],[Response]])=TRUE,1,0)=2,Table44246665727779[[#This Row],[Response]],"")</f>
        <v>4</v>
      </c>
      <c r="M8" s="5" t="str">
        <f>IF(IF(ISNUMBER(K8),1,0)+IF(ISNUMBER(L9),1,0)=2,IF(IF(C9=C8,1,0)+IF(B9=B8,1,0)+IF(D9="Post",1,0)+IF(D8="Pre",1,0)=4,Table44246665727779[[#This Row],[Pre Total]],""),"")</f>
        <v/>
      </c>
      <c r="N8" s="5" t="str">
        <f>IF(IF(ISNUMBER(K7),1,0)+IF(ISNUMBER(Table44246665727779[[#This Row],[Post Total]]),1,0)=2,IF(IF(Table44246665727779[[#This Row],[Student Number]]=C7,1,0)+IF(Table44246665727779[[#This Row],[Session]]=B7,1,0)+IF(Table44246665727779[[#This Row],[Pre or Post]]="Post",1,0)+IF(D7="Pre",1,0)=4,Table44246665727779[[#This Row],[Post Total]],""),"")</f>
        <v/>
      </c>
      <c r="O8" s="5" t="str">
        <f>IF(IF(ISNUMBER(K7),1,0)+IF(ISNUMBER(Table44246665727779[[#This Row],[Post Total]]),1,0)=2,IF(IF(Table44246665727779[[#This Row],[Student Number]]=C7,1,0)+IF(Table44246665727779[[#This Row],[Session]]=B7,1,0)+IF(Table44246665727779[[#This Row],[Pre or Post]]="Post",1,0)+IF(D7="Pre",1,0)=4,Table44246665727779[[#This Row],[Post Total]]-K7,""),"")</f>
        <v/>
      </c>
      <c r="P8" s="5" t="b">
        <f>ISNUMBER(Table44246665727779[[#This Row],[Change]])</f>
        <v>0</v>
      </c>
      <c r="Q8" s="5" t="str">
        <f>IF(E7="Yes",Table44246665727779[[#This Row],[Change]],"")</f>
        <v/>
      </c>
      <c r="R8" s="5" t="str">
        <f>IF(E7="No",Table44246665727779[[#This Row],[Change]],"")</f>
        <v/>
      </c>
      <c r="S8" s="5" t="b">
        <f>ISNUMBER(Table44246665727779[[#This Row],[If Pre6 Yes]])</f>
        <v>0</v>
      </c>
      <c r="T8" s="5" t="b">
        <f>ISNUMBER(Table44246665727779[[#This Row],[If Pre6 No]])</f>
        <v>0</v>
      </c>
    </row>
    <row r="9" spans="1:20">
      <c r="A9" s="2" t="s">
        <v>12</v>
      </c>
      <c r="B9" s="2" t="s">
        <v>5</v>
      </c>
      <c r="C9" s="1">
        <v>8</v>
      </c>
      <c r="D9" s="2" t="s">
        <v>16</v>
      </c>
      <c r="E9" s="5"/>
      <c r="F9" s="1">
        <v>3</v>
      </c>
      <c r="G9" s="1">
        <v>4</v>
      </c>
      <c r="H9" s="2" t="s">
        <v>9</v>
      </c>
      <c r="I9" s="5" t="str">
        <f>IF(IF(Table44246665727779[[#This Row],[Pre or Post]]="Pre",1,0)+IF(ISNUMBER(Table44246665727779[[#This Row],[Response]])=TRUE,1,0)=2,1,"")</f>
        <v/>
      </c>
      <c r="J9" s="5">
        <f>IF(IF(Table44246665727779[[#This Row],[Pre or Post]]="Post",1,0)+IF(ISNUMBER(Table44246665727779[[#This Row],[Response]])=TRUE,1,0)=2,1,"")</f>
        <v>1</v>
      </c>
      <c r="K9" s="6" t="str">
        <f>IF(IF(Table44246665727779[[#This Row],[Pre or Post]]="Pre",1,0)+IF(ISNUMBER(Table44246665727779[[#This Row],[Response]])=TRUE,1,0)=2,Table44246665727779[[#This Row],[Response]],"")</f>
        <v/>
      </c>
      <c r="L9" s="6">
        <f>IF(IF(Table44246665727779[[#This Row],[Pre or Post]]="Post",1,0)+IF(ISNUMBER(Table44246665727779[[#This Row],[Response]])=TRUE,1,0)=2,Table44246665727779[[#This Row],[Response]],"")</f>
        <v>4</v>
      </c>
      <c r="M9" s="5" t="str">
        <f>IF(IF(ISNUMBER(K9),1,0)+IF(ISNUMBER(L10),1,0)=2,IF(IF(C10=C9,1,0)+IF(B10=B9,1,0)+IF(D10="Post",1,0)+IF(D9="Pre",1,0)=4,Table44246665727779[[#This Row],[Pre Total]],""),"")</f>
        <v/>
      </c>
      <c r="N9" s="5" t="str">
        <f>IF(IF(ISNUMBER(K8),1,0)+IF(ISNUMBER(Table44246665727779[[#This Row],[Post Total]]),1,0)=2,IF(IF(Table44246665727779[[#This Row],[Student Number]]=C8,1,0)+IF(Table44246665727779[[#This Row],[Session]]=B8,1,0)+IF(Table44246665727779[[#This Row],[Pre or Post]]="Post",1,0)+IF(D8="Pre",1,0)=4,Table44246665727779[[#This Row],[Post Total]],""),"")</f>
        <v/>
      </c>
      <c r="O9" s="5" t="str">
        <f>IF(IF(ISNUMBER(K8),1,0)+IF(ISNUMBER(Table44246665727779[[#This Row],[Post Total]]),1,0)=2,IF(IF(Table44246665727779[[#This Row],[Student Number]]=C8,1,0)+IF(Table44246665727779[[#This Row],[Session]]=B8,1,0)+IF(Table44246665727779[[#This Row],[Pre or Post]]="Post",1,0)+IF(D8="Pre",1,0)=4,Table44246665727779[[#This Row],[Post Total]]-K8,""),"")</f>
        <v/>
      </c>
      <c r="P9" s="5" t="b">
        <f>ISNUMBER(Table44246665727779[[#This Row],[Change]])</f>
        <v>0</v>
      </c>
      <c r="Q9" s="5" t="str">
        <f>IF(E8="Yes",Table44246665727779[[#This Row],[Change]],"")</f>
        <v/>
      </c>
      <c r="R9" s="5" t="str">
        <f>IF(E8="No",Table44246665727779[[#This Row],[Change]],"")</f>
        <v/>
      </c>
      <c r="S9" s="5" t="b">
        <f>ISNUMBER(Table44246665727779[[#This Row],[If Pre6 Yes]])</f>
        <v>0</v>
      </c>
      <c r="T9" s="5" t="b">
        <f>ISNUMBER(Table44246665727779[[#This Row],[If Pre6 No]])</f>
        <v>0</v>
      </c>
    </row>
    <row r="10" spans="1:20">
      <c r="A10" s="2" t="s">
        <v>12</v>
      </c>
      <c r="B10" s="2" t="s">
        <v>5</v>
      </c>
      <c r="C10" s="1">
        <v>9</v>
      </c>
      <c r="D10" s="2" t="s">
        <v>16</v>
      </c>
      <c r="E10" s="5"/>
      <c r="F10" s="1">
        <v>3</v>
      </c>
      <c r="G10" s="1">
        <v>3</v>
      </c>
      <c r="H10" s="2" t="s">
        <v>9</v>
      </c>
      <c r="I10" s="6" t="str">
        <f>IF(IF(Table44246665727779[[#This Row],[Pre or Post]]="Pre",1,0)+IF(ISNUMBER(Table44246665727779[[#This Row],[Response]])=TRUE,1,0)=2,1,"")</f>
        <v/>
      </c>
      <c r="J10" s="6">
        <f>IF(IF(Table44246665727779[[#This Row],[Pre or Post]]="Post",1,0)+IF(ISNUMBER(Table44246665727779[[#This Row],[Response]])=TRUE,1,0)=2,1,"")</f>
        <v>1</v>
      </c>
      <c r="K10" s="6" t="str">
        <f>IF(IF(Table44246665727779[[#This Row],[Pre or Post]]="Pre",1,0)+IF(ISNUMBER(Table44246665727779[[#This Row],[Response]])=TRUE,1,0)=2,Table44246665727779[[#This Row],[Response]],"")</f>
        <v/>
      </c>
      <c r="L10" s="6">
        <f>IF(IF(Table44246665727779[[#This Row],[Pre or Post]]="Post",1,0)+IF(ISNUMBER(Table44246665727779[[#This Row],[Response]])=TRUE,1,0)=2,Table44246665727779[[#This Row],[Response]],"")</f>
        <v>3</v>
      </c>
      <c r="M10" s="6" t="str">
        <f>IF(IF(ISNUMBER(K10),1,0)+IF(ISNUMBER(L11),1,0)=2,IF(IF(C11=C10,1,0)+IF(B11=B10,1,0)+IF(D11="Post",1,0)+IF(D10="Pre",1,0)=4,Table44246665727779[[#This Row],[Pre Total]],""),"")</f>
        <v/>
      </c>
      <c r="N10" s="6" t="str">
        <f>IF(IF(ISNUMBER(K9),1,0)+IF(ISNUMBER(Table44246665727779[[#This Row],[Post Total]]),1,0)=2,IF(IF(Table44246665727779[[#This Row],[Student Number]]=C9,1,0)+IF(Table44246665727779[[#This Row],[Session]]=B9,1,0)+IF(Table44246665727779[[#This Row],[Pre or Post]]="Post",1,0)+IF(D9="Pre",1,0)=4,Table44246665727779[[#This Row],[Post Total]],""),"")</f>
        <v/>
      </c>
      <c r="O10" s="6" t="str">
        <f>IF(IF(ISNUMBER(K9),1,0)+IF(ISNUMBER(Table44246665727779[[#This Row],[Post Total]]),1,0)=2,IF(IF(Table44246665727779[[#This Row],[Student Number]]=C9,1,0)+IF(Table44246665727779[[#This Row],[Session]]=B9,1,0)+IF(Table44246665727779[[#This Row],[Pre or Post]]="Post",1,0)+IF(D9="Pre",1,0)=4,Table44246665727779[[#This Row],[Post Total]]-K9,""),"")</f>
        <v/>
      </c>
      <c r="P10" s="6" t="b">
        <f>ISNUMBER(Table44246665727779[[#This Row],[Change]])</f>
        <v>0</v>
      </c>
      <c r="Q10" s="5" t="str">
        <f>IF(E9="Yes",Table44246665727779[[#This Row],[Change]],"")</f>
        <v/>
      </c>
      <c r="R10" s="5" t="str">
        <f>IF(E9="No",Table44246665727779[[#This Row],[Change]],"")</f>
        <v/>
      </c>
      <c r="S10" s="5" t="b">
        <f>ISNUMBER(Table44246665727779[[#This Row],[If Pre6 Yes]])</f>
        <v>0</v>
      </c>
      <c r="T10" s="5" t="b">
        <f>ISNUMBER(Table44246665727779[[#This Row],[If Pre6 No]])</f>
        <v>0</v>
      </c>
    </row>
    <row r="11" spans="1:20">
      <c r="A11" s="2" t="s">
        <v>12</v>
      </c>
      <c r="B11" s="2" t="s">
        <v>5</v>
      </c>
      <c r="C11" s="1">
        <v>10</v>
      </c>
      <c r="D11" s="2" t="s">
        <v>16</v>
      </c>
      <c r="E11" s="5"/>
      <c r="F11" s="1">
        <v>3</v>
      </c>
      <c r="G11" s="1">
        <v>4</v>
      </c>
      <c r="H11" s="2" t="s">
        <v>9</v>
      </c>
      <c r="I11" s="6" t="str">
        <f>IF(IF(Table44246665727779[[#This Row],[Pre or Post]]="Pre",1,0)+IF(ISNUMBER(Table44246665727779[[#This Row],[Response]])=TRUE,1,0)=2,1,"")</f>
        <v/>
      </c>
      <c r="J11" s="6">
        <f>IF(IF(Table44246665727779[[#This Row],[Pre or Post]]="Post",1,0)+IF(ISNUMBER(Table44246665727779[[#This Row],[Response]])=TRUE,1,0)=2,1,"")</f>
        <v>1</v>
      </c>
      <c r="K11" s="6" t="str">
        <f>IF(IF(Table44246665727779[[#This Row],[Pre or Post]]="Pre",1,0)+IF(ISNUMBER(Table44246665727779[[#This Row],[Response]])=TRUE,1,0)=2,Table44246665727779[[#This Row],[Response]],"")</f>
        <v/>
      </c>
      <c r="L11" s="6">
        <f>IF(IF(Table44246665727779[[#This Row],[Pre or Post]]="Post",1,0)+IF(ISNUMBER(Table44246665727779[[#This Row],[Response]])=TRUE,1,0)=2,Table44246665727779[[#This Row],[Response]],"")</f>
        <v>4</v>
      </c>
      <c r="M11" s="6" t="str">
        <f>IF(IF(ISNUMBER(K11),1,0)+IF(ISNUMBER(L12),1,0)=2,IF(IF(C12=C11,1,0)+IF(B12=B11,1,0)+IF(D12="Post",1,0)+IF(D11="Pre",1,0)=4,Table44246665727779[[#This Row],[Pre Total]],""),"")</f>
        <v/>
      </c>
      <c r="N11" s="6" t="str">
        <f>IF(IF(ISNUMBER(K10),1,0)+IF(ISNUMBER(Table44246665727779[[#This Row],[Post Total]]),1,0)=2,IF(IF(Table44246665727779[[#This Row],[Student Number]]=C10,1,0)+IF(Table44246665727779[[#This Row],[Session]]=B10,1,0)+IF(Table44246665727779[[#This Row],[Pre or Post]]="Post",1,0)+IF(D10="Pre",1,0)=4,Table44246665727779[[#This Row],[Post Total]],""),"")</f>
        <v/>
      </c>
      <c r="O11" s="6" t="str">
        <f>IF(IF(ISNUMBER(K10),1,0)+IF(ISNUMBER(Table44246665727779[[#This Row],[Post Total]]),1,0)=2,IF(IF(Table44246665727779[[#This Row],[Student Number]]=C10,1,0)+IF(Table44246665727779[[#This Row],[Session]]=B10,1,0)+IF(Table44246665727779[[#This Row],[Pre or Post]]="Post",1,0)+IF(D10="Pre",1,0)=4,Table44246665727779[[#This Row],[Post Total]]-K10,""),"")</f>
        <v/>
      </c>
      <c r="P11" s="6" t="b">
        <f>ISNUMBER(Table44246665727779[[#This Row],[Change]])</f>
        <v>0</v>
      </c>
      <c r="Q11" s="5" t="str">
        <f>IF(E10="Yes",Table44246665727779[[#This Row],[Change]],"")</f>
        <v/>
      </c>
      <c r="R11" s="5" t="str">
        <f>IF(E10="No",Table44246665727779[[#This Row],[Change]],"")</f>
        <v/>
      </c>
      <c r="S11" s="5" t="b">
        <f>ISNUMBER(Table44246665727779[[#This Row],[If Pre6 Yes]])</f>
        <v>0</v>
      </c>
      <c r="T11" s="5" t="b">
        <f>ISNUMBER(Table44246665727779[[#This Row],[If Pre6 No]])</f>
        <v>0</v>
      </c>
    </row>
    <row r="12" spans="1:20">
      <c r="A12" s="2" t="s">
        <v>12</v>
      </c>
      <c r="B12" s="2" t="s">
        <v>5</v>
      </c>
      <c r="C12" s="1">
        <v>11</v>
      </c>
      <c r="D12" s="2" t="s">
        <v>16</v>
      </c>
      <c r="E12" s="5"/>
      <c r="F12" s="1">
        <v>3</v>
      </c>
      <c r="G12" s="1">
        <v>4</v>
      </c>
      <c r="H12" s="2" t="s">
        <v>9</v>
      </c>
      <c r="I12" s="5" t="str">
        <f>IF(IF(Table44246665727779[[#This Row],[Pre or Post]]="Pre",1,0)+IF(ISNUMBER(Table44246665727779[[#This Row],[Response]])=TRUE,1,0)=2,1,"")</f>
        <v/>
      </c>
      <c r="J12" s="5">
        <f>IF(IF(Table44246665727779[[#This Row],[Pre or Post]]="Post",1,0)+IF(ISNUMBER(Table44246665727779[[#This Row],[Response]])=TRUE,1,0)=2,1,"")</f>
        <v>1</v>
      </c>
      <c r="K12" s="6" t="str">
        <f>IF(IF(Table44246665727779[[#This Row],[Pre or Post]]="Pre",1,0)+IF(ISNUMBER(Table44246665727779[[#This Row],[Response]])=TRUE,1,0)=2,Table44246665727779[[#This Row],[Response]],"")</f>
        <v/>
      </c>
      <c r="L12" s="6">
        <f>IF(IF(Table44246665727779[[#This Row],[Pre or Post]]="Post",1,0)+IF(ISNUMBER(Table44246665727779[[#This Row],[Response]])=TRUE,1,0)=2,Table44246665727779[[#This Row],[Response]],"")</f>
        <v>4</v>
      </c>
      <c r="M12" s="5" t="str">
        <f>IF(IF(ISNUMBER(K12),1,0)+IF(ISNUMBER(L13),1,0)=2,IF(IF(C13=C12,1,0)+IF(B13=B12,1,0)+IF(D13="Post",1,0)+IF(D12="Pre",1,0)=4,Table44246665727779[[#This Row],[Pre Total]],""),"")</f>
        <v/>
      </c>
      <c r="N12" s="5" t="str">
        <f>IF(IF(ISNUMBER(K11),1,0)+IF(ISNUMBER(Table44246665727779[[#This Row],[Post Total]]),1,0)=2,IF(IF(Table44246665727779[[#This Row],[Student Number]]=C11,1,0)+IF(Table44246665727779[[#This Row],[Session]]=B11,1,0)+IF(Table44246665727779[[#This Row],[Pre or Post]]="Post",1,0)+IF(D11="Pre",1,0)=4,Table44246665727779[[#This Row],[Post Total]],""),"")</f>
        <v/>
      </c>
      <c r="O12" s="5" t="str">
        <f>IF(IF(ISNUMBER(K11),1,0)+IF(ISNUMBER(Table44246665727779[[#This Row],[Post Total]]),1,0)=2,IF(IF(Table44246665727779[[#This Row],[Student Number]]=C11,1,0)+IF(Table44246665727779[[#This Row],[Session]]=B11,1,0)+IF(Table44246665727779[[#This Row],[Pre or Post]]="Post",1,0)+IF(D11="Pre",1,0)=4,Table44246665727779[[#This Row],[Post Total]]-K11,""),"")</f>
        <v/>
      </c>
      <c r="P12" s="5" t="b">
        <f>ISNUMBER(Table44246665727779[[#This Row],[Change]])</f>
        <v>0</v>
      </c>
      <c r="Q12" s="5" t="str">
        <f>IF(E11="Yes",Table44246665727779[[#This Row],[Change]],"")</f>
        <v/>
      </c>
      <c r="R12" s="5" t="str">
        <f>IF(E11="No",Table44246665727779[[#This Row],[Change]],"")</f>
        <v/>
      </c>
      <c r="S12" s="5" t="b">
        <f>ISNUMBER(Table44246665727779[[#This Row],[If Pre6 Yes]])</f>
        <v>0</v>
      </c>
      <c r="T12" s="5" t="b">
        <f>ISNUMBER(Table44246665727779[[#This Row],[If Pre6 No]])</f>
        <v>0</v>
      </c>
    </row>
    <row r="13" spans="1:20">
      <c r="A13" s="2" t="s">
        <v>12</v>
      </c>
      <c r="B13" s="2" t="s">
        <v>5</v>
      </c>
      <c r="C13" s="1">
        <v>12</v>
      </c>
      <c r="D13" s="2" t="s">
        <v>16</v>
      </c>
      <c r="E13" s="5"/>
      <c r="F13" s="1">
        <v>3</v>
      </c>
      <c r="G13" s="1">
        <v>4</v>
      </c>
      <c r="H13" s="2" t="s">
        <v>9</v>
      </c>
      <c r="I13" s="5" t="str">
        <f>IF(IF(Table44246665727779[[#This Row],[Pre or Post]]="Pre",1,0)+IF(ISNUMBER(Table44246665727779[[#This Row],[Response]])=TRUE,1,0)=2,1,"")</f>
        <v/>
      </c>
      <c r="J13" s="5">
        <f>IF(IF(Table44246665727779[[#This Row],[Pre or Post]]="Post",1,0)+IF(ISNUMBER(Table44246665727779[[#This Row],[Response]])=TRUE,1,0)=2,1,"")</f>
        <v>1</v>
      </c>
      <c r="K13" s="6" t="str">
        <f>IF(IF(Table44246665727779[[#This Row],[Pre or Post]]="Pre",1,0)+IF(ISNUMBER(Table44246665727779[[#This Row],[Response]])=TRUE,1,0)=2,Table44246665727779[[#This Row],[Response]],"")</f>
        <v/>
      </c>
      <c r="L13" s="6">
        <f>IF(IF(Table44246665727779[[#This Row],[Pre or Post]]="Post",1,0)+IF(ISNUMBER(Table44246665727779[[#This Row],[Response]])=TRUE,1,0)=2,Table44246665727779[[#This Row],[Response]],"")</f>
        <v>4</v>
      </c>
      <c r="M13" s="5" t="str">
        <f>IF(IF(ISNUMBER(K13),1,0)+IF(ISNUMBER(L14),1,0)=2,IF(IF(C14=C13,1,0)+IF(B14=B13,1,0)+IF(D14="Post",1,0)+IF(D13="Pre",1,0)=4,Table44246665727779[[#This Row],[Pre Total]],""),"")</f>
        <v/>
      </c>
      <c r="N13" s="5" t="str">
        <f>IF(IF(ISNUMBER(K12),1,0)+IF(ISNUMBER(Table44246665727779[[#This Row],[Post Total]]),1,0)=2,IF(IF(Table44246665727779[[#This Row],[Student Number]]=C12,1,0)+IF(Table44246665727779[[#This Row],[Session]]=B12,1,0)+IF(Table44246665727779[[#This Row],[Pre or Post]]="Post",1,0)+IF(D12="Pre",1,0)=4,Table44246665727779[[#This Row],[Post Total]],""),"")</f>
        <v/>
      </c>
      <c r="O13" s="5" t="str">
        <f>IF(IF(ISNUMBER(K12),1,0)+IF(ISNUMBER(Table44246665727779[[#This Row],[Post Total]]),1,0)=2,IF(IF(Table44246665727779[[#This Row],[Student Number]]=C12,1,0)+IF(Table44246665727779[[#This Row],[Session]]=B12,1,0)+IF(Table44246665727779[[#This Row],[Pre or Post]]="Post",1,0)+IF(D12="Pre",1,0)=4,Table44246665727779[[#This Row],[Post Total]]-K12,""),"")</f>
        <v/>
      </c>
      <c r="P13" s="5" t="b">
        <f>ISNUMBER(Table44246665727779[[#This Row],[Change]])</f>
        <v>0</v>
      </c>
      <c r="Q13" s="5" t="str">
        <f>IF(E12="Yes",Table44246665727779[[#This Row],[Change]],"")</f>
        <v/>
      </c>
      <c r="R13" s="5" t="str">
        <f>IF(E12="No",Table44246665727779[[#This Row],[Change]],"")</f>
        <v/>
      </c>
      <c r="S13" s="5" t="b">
        <f>ISNUMBER(Table44246665727779[[#This Row],[If Pre6 Yes]])</f>
        <v>0</v>
      </c>
      <c r="T13" s="5" t="b">
        <f>ISNUMBER(Table44246665727779[[#This Row],[If Pre6 No]])</f>
        <v>0</v>
      </c>
    </row>
    <row r="14" spans="1:20">
      <c r="A14" s="2" t="s">
        <v>12</v>
      </c>
      <c r="B14" s="2" t="s">
        <v>5</v>
      </c>
      <c r="C14" s="1">
        <v>13</v>
      </c>
      <c r="D14" s="2" t="s">
        <v>16</v>
      </c>
      <c r="E14" s="5"/>
      <c r="F14" s="1">
        <v>3</v>
      </c>
      <c r="G14" s="1">
        <v>3</v>
      </c>
      <c r="H14" s="2" t="s">
        <v>9</v>
      </c>
      <c r="I14" s="6" t="str">
        <f>IF(IF(Table44246665727779[[#This Row],[Pre or Post]]="Pre",1,0)+IF(ISNUMBER(Table44246665727779[[#This Row],[Response]])=TRUE,1,0)=2,1,"")</f>
        <v/>
      </c>
      <c r="J14" s="6">
        <f>IF(IF(Table44246665727779[[#This Row],[Pre or Post]]="Post",1,0)+IF(ISNUMBER(Table44246665727779[[#This Row],[Response]])=TRUE,1,0)=2,1,"")</f>
        <v>1</v>
      </c>
      <c r="K14" s="6" t="str">
        <f>IF(IF(Table44246665727779[[#This Row],[Pre or Post]]="Pre",1,0)+IF(ISNUMBER(Table44246665727779[[#This Row],[Response]])=TRUE,1,0)=2,Table44246665727779[[#This Row],[Response]],"")</f>
        <v/>
      </c>
      <c r="L14" s="6">
        <f>IF(IF(Table44246665727779[[#This Row],[Pre or Post]]="Post",1,0)+IF(ISNUMBER(Table44246665727779[[#This Row],[Response]])=TRUE,1,0)=2,Table44246665727779[[#This Row],[Response]],"")</f>
        <v>3</v>
      </c>
      <c r="M14" s="6" t="str">
        <f>IF(IF(ISNUMBER(K14),1,0)+IF(ISNUMBER(L15),1,0)=2,IF(IF(C15=C14,1,0)+IF(B15=B14,1,0)+IF(D15="Post",1,0)+IF(D14="Pre",1,0)=4,Table44246665727779[[#This Row],[Pre Total]],""),"")</f>
        <v/>
      </c>
      <c r="N14" s="6" t="str">
        <f>IF(IF(ISNUMBER(K13),1,0)+IF(ISNUMBER(Table44246665727779[[#This Row],[Post Total]]),1,0)=2,IF(IF(Table44246665727779[[#This Row],[Student Number]]=C13,1,0)+IF(Table44246665727779[[#This Row],[Session]]=B13,1,0)+IF(Table44246665727779[[#This Row],[Pre or Post]]="Post",1,0)+IF(D13="Pre",1,0)=4,Table44246665727779[[#This Row],[Post Total]],""),"")</f>
        <v/>
      </c>
      <c r="O14" s="6" t="str">
        <f>IF(IF(ISNUMBER(K13),1,0)+IF(ISNUMBER(Table44246665727779[[#This Row],[Post Total]]),1,0)=2,IF(IF(Table44246665727779[[#This Row],[Student Number]]=C13,1,0)+IF(Table44246665727779[[#This Row],[Session]]=B13,1,0)+IF(Table44246665727779[[#This Row],[Pre or Post]]="Post",1,0)+IF(D13="Pre",1,0)=4,Table44246665727779[[#This Row],[Post Total]]-K13,""),"")</f>
        <v/>
      </c>
      <c r="P14" s="6" t="b">
        <f>ISNUMBER(Table44246665727779[[#This Row],[Change]])</f>
        <v>0</v>
      </c>
      <c r="Q14" s="5" t="str">
        <f>IF(E13="Yes",Table44246665727779[[#This Row],[Change]],"")</f>
        <v/>
      </c>
      <c r="R14" s="5" t="str">
        <f>IF(E13="No",Table44246665727779[[#This Row],[Change]],"")</f>
        <v/>
      </c>
      <c r="S14" s="5" t="b">
        <f>ISNUMBER(Table44246665727779[[#This Row],[If Pre6 Yes]])</f>
        <v>0</v>
      </c>
      <c r="T14" s="5" t="b">
        <f>ISNUMBER(Table44246665727779[[#This Row],[If Pre6 No]])</f>
        <v>0</v>
      </c>
    </row>
    <row r="15" spans="1:20">
      <c r="A15" s="2" t="s">
        <v>12</v>
      </c>
      <c r="B15" s="2" t="s">
        <v>5</v>
      </c>
      <c r="C15" s="1">
        <v>14</v>
      </c>
      <c r="D15" s="2" t="s">
        <v>16</v>
      </c>
      <c r="E15" s="5"/>
      <c r="F15" s="1">
        <v>3</v>
      </c>
      <c r="G15" s="1">
        <v>2</v>
      </c>
      <c r="H15" s="2" t="s">
        <v>9</v>
      </c>
      <c r="I15" s="6" t="str">
        <f>IF(IF(Table44246665727779[[#This Row],[Pre or Post]]="Pre",1,0)+IF(ISNUMBER(Table44246665727779[[#This Row],[Response]])=TRUE,1,0)=2,1,"")</f>
        <v/>
      </c>
      <c r="J15" s="6">
        <f>IF(IF(Table44246665727779[[#This Row],[Pre or Post]]="Post",1,0)+IF(ISNUMBER(Table44246665727779[[#This Row],[Response]])=TRUE,1,0)=2,1,"")</f>
        <v>1</v>
      </c>
      <c r="K15" s="6" t="str">
        <f>IF(IF(Table44246665727779[[#This Row],[Pre or Post]]="Pre",1,0)+IF(ISNUMBER(Table44246665727779[[#This Row],[Response]])=TRUE,1,0)=2,Table44246665727779[[#This Row],[Response]],"")</f>
        <v/>
      </c>
      <c r="L15" s="6">
        <f>IF(IF(Table44246665727779[[#This Row],[Pre or Post]]="Post",1,0)+IF(ISNUMBER(Table44246665727779[[#This Row],[Response]])=TRUE,1,0)=2,Table44246665727779[[#This Row],[Response]],"")</f>
        <v>2</v>
      </c>
      <c r="M15" s="6" t="str">
        <f>IF(IF(ISNUMBER(K15),1,0)+IF(ISNUMBER(L16),1,0)=2,IF(IF(C16=C15,1,0)+IF(B16=B15,1,0)+IF(D16="Post",1,0)+IF(D15="Pre",1,0)=4,Table44246665727779[[#This Row],[Pre Total]],""),"")</f>
        <v/>
      </c>
      <c r="N15" s="6" t="str">
        <f>IF(IF(ISNUMBER(K14),1,0)+IF(ISNUMBER(Table44246665727779[[#This Row],[Post Total]]),1,0)=2,IF(IF(Table44246665727779[[#This Row],[Student Number]]=C14,1,0)+IF(Table44246665727779[[#This Row],[Session]]=B14,1,0)+IF(Table44246665727779[[#This Row],[Pre or Post]]="Post",1,0)+IF(D14="Pre",1,0)=4,Table44246665727779[[#This Row],[Post Total]],""),"")</f>
        <v/>
      </c>
      <c r="O15" s="6" t="str">
        <f>IF(IF(ISNUMBER(K14),1,0)+IF(ISNUMBER(Table44246665727779[[#This Row],[Post Total]]),1,0)=2,IF(IF(Table44246665727779[[#This Row],[Student Number]]=C14,1,0)+IF(Table44246665727779[[#This Row],[Session]]=B14,1,0)+IF(Table44246665727779[[#This Row],[Pre or Post]]="Post",1,0)+IF(D14="Pre",1,0)=4,Table44246665727779[[#This Row],[Post Total]]-K14,""),"")</f>
        <v/>
      </c>
      <c r="P15" s="6" t="b">
        <f>ISNUMBER(Table44246665727779[[#This Row],[Change]])</f>
        <v>0</v>
      </c>
      <c r="Q15" s="5" t="str">
        <f>IF(E14="Yes",Table44246665727779[[#This Row],[Change]],"")</f>
        <v/>
      </c>
      <c r="R15" s="5" t="str">
        <f>IF(E14="No",Table44246665727779[[#This Row],[Change]],"")</f>
        <v/>
      </c>
      <c r="S15" s="5" t="b">
        <f>ISNUMBER(Table44246665727779[[#This Row],[If Pre6 Yes]])</f>
        <v>0</v>
      </c>
      <c r="T15" s="5" t="b">
        <f>ISNUMBER(Table44246665727779[[#This Row],[If Pre6 No]])</f>
        <v>0</v>
      </c>
    </row>
    <row r="16" spans="1:20">
      <c r="A16" s="2" t="s">
        <v>12</v>
      </c>
      <c r="B16" s="2" t="s">
        <v>5</v>
      </c>
      <c r="C16" s="1">
        <v>15</v>
      </c>
      <c r="D16" s="2" t="s">
        <v>16</v>
      </c>
      <c r="E16" s="5"/>
      <c r="F16" s="1">
        <v>3</v>
      </c>
      <c r="G16" s="1">
        <v>3</v>
      </c>
      <c r="H16" s="2" t="s">
        <v>9</v>
      </c>
      <c r="I16" s="6" t="str">
        <f>IF(IF(Table44246665727779[[#This Row],[Pre or Post]]="Pre",1,0)+IF(ISNUMBER(Table44246665727779[[#This Row],[Response]])=TRUE,1,0)=2,1,"")</f>
        <v/>
      </c>
      <c r="J16" s="6">
        <f>IF(IF(Table44246665727779[[#This Row],[Pre or Post]]="Post",1,0)+IF(ISNUMBER(Table44246665727779[[#This Row],[Response]])=TRUE,1,0)=2,1,"")</f>
        <v>1</v>
      </c>
      <c r="K16" s="6" t="str">
        <f>IF(IF(Table44246665727779[[#This Row],[Pre or Post]]="Pre",1,0)+IF(ISNUMBER(Table44246665727779[[#This Row],[Response]])=TRUE,1,0)=2,Table44246665727779[[#This Row],[Response]],"")</f>
        <v/>
      </c>
      <c r="L16" s="6">
        <f>IF(IF(Table44246665727779[[#This Row],[Pre or Post]]="Post",1,0)+IF(ISNUMBER(Table44246665727779[[#This Row],[Response]])=TRUE,1,0)=2,Table44246665727779[[#This Row],[Response]],"")</f>
        <v>3</v>
      </c>
      <c r="M16" s="6" t="str">
        <f>IF(IF(ISNUMBER(K16),1,0)+IF(ISNUMBER(L17),1,0)=2,IF(IF(C17=C16,1,0)+IF(B17=B16,1,0)+IF(D17="Post",1,0)+IF(D16="Pre",1,0)=4,Table44246665727779[[#This Row],[Pre Total]],""),"")</f>
        <v/>
      </c>
      <c r="N16" s="6" t="str">
        <f>IF(IF(ISNUMBER(K15),1,0)+IF(ISNUMBER(Table44246665727779[[#This Row],[Post Total]]),1,0)=2,IF(IF(Table44246665727779[[#This Row],[Student Number]]=C15,1,0)+IF(Table44246665727779[[#This Row],[Session]]=B15,1,0)+IF(Table44246665727779[[#This Row],[Pre or Post]]="Post",1,0)+IF(D15="Pre",1,0)=4,Table44246665727779[[#This Row],[Post Total]],""),"")</f>
        <v/>
      </c>
      <c r="O16" s="6" t="str">
        <f>IF(IF(ISNUMBER(K15),1,0)+IF(ISNUMBER(Table44246665727779[[#This Row],[Post Total]]),1,0)=2,IF(IF(Table44246665727779[[#This Row],[Student Number]]=C15,1,0)+IF(Table44246665727779[[#This Row],[Session]]=B15,1,0)+IF(Table44246665727779[[#This Row],[Pre or Post]]="Post",1,0)+IF(D15="Pre",1,0)=4,Table44246665727779[[#This Row],[Post Total]]-K15,""),"")</f>
        <v/>
      </c>
      <c r="P16" s="6" t="b">
        <f>ISNUMBER(Table44246665727779[[#This Row],[Change]])</f>
        <v>0</v>
      </c>
      <c r="Q16" s="5" t="str">
        <f>IF(E15="Yes",Table44246665727779[[#This Row],[Change]],"")</f>
        <v/>
      </c>
      <c r="R16" s="5" t="str">
        <f>IF(E15="No",Table44246665727779[[#This Row],[Change]],"")</f>
        <v/>
      </c>
      <c r="S16" s="5" t="b">
        <f>ISNUMBER(Table44246665727779[[#This Row],[If Pre6 Yes]])</f>
        <v>0</v>
      </c>
      <c r="T16" s="5" t="b">
        <f>ISNUMBER(Table44246665727779[[#This Row],[If Pre6 No]])</f>
        <v>0</v>
      </c>
    </row>
    <row r="17" spans="1:20">
      <c r="A17" s="2" t="s">
        <v>12</v>
      </c>
      <c r="B17" s="2" t="s">
        <v>5</v>
      </c>
      <c r="C17" s="1">
        <v>16</v>
      </c>
      <c r="D17" s="2" t="s">
        <v>16</v>
      </c>
      <c r="E17" s="5"/>
      <c r="F17" s="1">
        <v>3</v>
      </c>
      <c r="G17" s="1">
        <v>4</v>
      </c>
      <c r="H17" s="2" t="s">
        <v>9</v>
      </c>
      <c r="I17" s="6" t="str">
        <f>IF(IF(Table44246665727779[[#This Row],[Pre or Post]]="Pre",1,0)+IF(ISNUMBER(Table44246665727779[[#This Row],[Response]])=TRUE,1,0)=2,1,"")</f>
        <v/>
      </c>
      <c r="J17" s="6">
        <f>IF(IF(Table44246665727779[[#This Row],[Pre or Post]]="Post",1,0)+IF(ISNUMBER(Table44246665727779[[#This Row],[Response]])=TRUE,1,0)=2,1,"")</f>
        <v>1</v>
      </c>
      <c r="K17" s="6" t="str">
        <f>IF(IF(Table44246665727779[[#This Row],[Pre or Post]]="Pre",1,0)+IF(ISNUMBER(Table44246665727779[[#This Row],[Response]])=TRUE,1,0)=2,Table44246665727779[[#This Row],[Response]],"")</f>
        <v/>
      </c>
      <c r="L17" s="6">
        <f>IF(IF(Table44246665727779[[#This Row],[Pre or Post]]="Post",1,0)+IF(ISNUMBER(Table44246665727779[[#This Row],[Response]])=TRUE,1,0)=2,Table44246665727779[[#This Row],[Response]],"")</f>
        <v>4</v>
      </c>
      <c r="M17" s="6" t="str">
        <f>IF(IF(ISNUMBER(K17),1,0)+IF(ISNUMBER(L18),1,0)=2,IF(IF(C18=C17,1,0)+IF(B18=B17,1,0)+IF(D18="Post",1,0)+IF(D17="Pre",1,0)=4,Table44246665727779[[#This Row],[Pre Total]],""),"")</f>
        <v/>
      </c>
      <c r="N17" s="6" t="str">
        <f>IF(IF(ISNUMBER(K16),1,0)+IF(ISNUMBER(Table44246665727779[[#This Row],[Post Total]]),1,0)=2,IF(IF(Table44246665727779[[#This Row],[Student Number]]=C16,1,0)+IF(Table44246665727779[[#This Row],[Session]]=B16,1,0)+IF(Table44246665727779[[#This Row],[Pre or Post]]="Post",1,0)+IF(D16="Pre",1,0)=4,Table44246665727779[[#This Row],[Post Total]],""),"")</f>
        <v/>
      </c>
      <c r="O17" s="6" t="str">
        <f>IF(IF(ISNUMBER(K16),1,0)+IF(ISNUMBER(Table44246665727779[[#This Row],[Post Total]]),1,0)=2,IF(IF(Table44246665727779[[#This Row],[Student Number]]=C16,1,0)+IF(Table44246665727779[[#This Row],[Session]]=B16,1,0)+IF(Table44246665727779[[#This Row],[Pre or Post]]="Post",1,0)+IF(D16="Pre",1,0)=4,Table44246665727779[[#This Row],[Post Total]]-K16,""),"")</f>
        <v/>
      </c>
      <c r="P17" s="6" t="b">
        <f>ISNUMBER(Table44246665727779[[#This Row],[Change]])</f>
        <v>0</v>
      </c>
      <c r="Q17" s="5" t="str">
        <f>IF(E16="Yes",Table44246665727779[[#This Row],[Change]],"")</f>
        <v/>
      </c>
      <c r="R17" s="5" t="str">
        <f>IF(E16="No",Table44246665727779[[#This Row],[Change]],"")</f>
        <v/>
      </c>
      <c r="S17" s="5" t="b">
        <f>ISNUMBER(Table44246665727779[[#This Row],[If Pre6 Yes]])</f>
        <v>0</v>
      </c>
      <c r="T17" s="5" t="b">
        <f>ISNUMBER(Table44246665727779[[#This Row],[If Pre6 No]])</f>
        <v>0</v>
      </c>
    </row>
    <row r="18" spans="1:20">
      <c r="A18" s="2" t="s">
        <v>12</v>
      </c>
      <c r="B18" s="2" t="s">
        <v>5</v>
      </c>
      <c r="C18" s="1">
        <v>17</v>
      </c>
      <c r="D18" s="2" t="s">
        <v>16</v>
      </c>
      <c r="E18" s="5"/>
      <c r="F18" s="1">
        <v>3</v>
      </c>
      <c r="G18" s="1">
        <v>4</v>
      </c>
      <c r="H18" s="2" t="s">
        <v>9</v>
      </c>
      <c r="I18" s="5" t="str">
        <f>IF(IF(Table44246665727779[[#This Row],[Pre or Post]]="Pre",1,0)+IF(ISNUMBER(Table44246665727779[[#This Row],[Response]])=TRUE,1,0)=2,1,"")</f>
        <v/>
      </c>
      <c r="J18" s="5">
        <f>IF(IF(Table44246665727779[[#This Row],[Pre or Post]]="Post",1,0)+IF(ISNUMBER(Table44246665727779[[#This Row],[Response]])=TRUE,1,0)=2,1,"")</f>
        <v>1</v>
      </c>
      <c r="K18" s="6" t="str">
        <f>IF(IF(Table44246665727779[[#This Row],[Pre or Post]]="Pre",1,0)+IF(ISNUMBER(Table44246665727779[[#This Row],[Response]])=TRUE,1,0)=2,Table44246665727779[[#This Row],[Response]],"")</f>
        <v/>
      </c>
      <c r="L18" s="6">
        <f>IF(IF(Table44246665727779[[#This Row],[Pre or Post]]="Post",1,0)+IF(ISNUMBER(Table44246665727779[[#This Row],[Response]])=TRUE,1,0)=2,Table44246665727779[[#This Row],[Response]],"")</f>
        <v>4</v>
      </c>
      <c r="M18" s="5" t="str">
        <f>IF(IF(ISNUMBER(K18),1,0)+IF(ISNUMBER(L19),1,0)=2,IF(IF(C19=C18,1,0)+IF(B19=B18,1,0)+IF(D19="Post",1,0)+IF(D18="Pre",1,0)=4,Table44246665727779[[#This Row],[Pre Total]],""),"")</f>
        <v/>
      </c>
      <c r="N18" s="5" t="str">
        <f>IF(IF(ISNUMBER(K17),1,0)+IF(ISNUMBER(Table44246665727779[[#This Row],[Post Total]]),1,0)=2,IF(IF(Table44246665727779[[#This Row],[Student Number]]=C17,1,0)+IF(Table44246665727779[[#This Row],[Session]]=B17,1,0)+IF(Table44246665727779[[#This Row],[Pre or Post]]="Post",1,0)+IF(D17="Pre",1,0)=4,Table44246665727779[[#This Row],[Post Total]],""),"")</f>
        <v/>
      </c>
      <c r="O18" s="5" t="str">
        <f>IF(IF(ISNUMBER(K17),1,0)+IF(ISNUMBER(Table44246665727779[[#This Row],[Post Total]]),1,0)=2,IF(IF(Table44246665727779[[#This Row],[Student Number]]=C17,1,0)+IF(Table44246665727779[[#This Row],[Session]]=B17,1,0)+IF(Table44246665727779[[#This Row],[Pre or Post]]="Post",1,0)+IF(D17="Pre",1,0)=4,Table44246665727779[[#This Row],[Post Total]]-K17,""),"")</f>
        <v/>
      </c>
      <c r="P18" s="5" t="b">
        <f>ISNUMBER(Table44246665727779[[#This Row],[Change]])</f>
        <v>0</v>
      </c>
      <c r="Q18" s="5" t="str">
        <f>IF(E17="Yes",Table44246665727779[[#This Row],[Change]],"")</f>
        <v/>
      </c>
      <c r="R18" s="5" t="str">
        <f>IF(E17="No",Table44246665727779[[#This Row],[Change]],"")</f>
        <v/>
      </c>
      <c r="S18" s="5" t="b">
        <f>ISNUMBER(Table44246665727779[[#This Row],[If Pre6 Yes]])</f>
        <v>0</v>
      </c>
      <c r="T18" s="5" t="b">
        <f>ISNUMBER(Table44246665727779[[#This Row],[If Pre6 No]])</f>
        <v>0</v>
      </c>
    </row>
    <row r="19" spans="1:20">
      <c r="A19" s="2" t="s">
        <v>12</v>
      </c>
      <c r="B19" s="2" t="s">
        <v>5</v>
      </c>
      <c r="C19" s="1">
        <v>18</v>
      </c>
      <c r="D19" s="2" t="s">
        <v>16</v>
      </c>
      <c r="E19" s="5"/>
      <c r="F19" s="1">
        <v>3</v>
      </c>
      <c r="G19" s="1">
        <v>4</v>
      </c>
      <c r="H19" s="2" t="s">
        <v>9</v>
      </c>
      <c r="I19" s="5" t="str">
        <f>IF(IF(Table44246665727779[[#This Row],[Pre or Post]]="Pre",1,0)+IF(ISNUMBER(Table44246665727779[[#This Row],[Response]])=TRUE,1,0)=2,1,"")</f>
        <v/>
      </c>
      <c r="J19" s="5">
        <f>IF(IF(Table44246665727779[[#This Row],[Pre or Post]]="Post",1,0)+IF(ISNUMBER(Table44246665727779[[#This Row],[Response]])=TRUE,1,0)=2,1,"")</f>
        <v>1</v>
      </c>
      <c r="K19" s="6" t="str">
        <f>IF(IF(Table44246665727779[[#This Row],[Pre or Post]]="Pre",1,0)+IF(ISNUMBER(Table44246665727779[[#This Row],[Response]])=TRUE,1,0)=2,Table44246665727779[[#This Row],[Response]],"")</f>
        <v/>
      </c>
      <c r="L19" s="6">
        <f>IF(IF(Table44246665727779[[#This Row],[Pre or Post]]="Post",1,0)+IF(ISNUMBER(Table44246665727779[[#This Row],[Response]])=TRUE,1,0)=2,Table44246665727779[[#This Row],[Response]],"")</f>
        <v>4</v>
      </c>
      <c r="M19" s="5" t="str">
        <f>IF(IF(ISNUMBER(K19),1,0)+IF(ISNUMBER(L20),1,0)=2,IF(IF(C20=C19,1,0)+IF(B20=B19,1,0)+IF(D20="Post",1,0)+IF(D19="Pre",1,0)=4,Table44246665727779[[#This Row],[Pre Total]],""),"")</f>
        <v/>
      </c>
      <c r="N19" s="5" t="str">
        <f>IF(IF(ISNUMBER(K18),1,0)+IF(ISNUMBER(Table44246665727779[[#This Row],[Post Total]]),1,0)=2,IF(IF(Table44246665727779[[#This Row],[Student Number]]=C18,1,0)+IF(Table44246665727779[[#This Row],[Session]]=B18,1,0)+IF(Table44246665727779[[#This Row],[Pre or Post]]="Post",1,0)+IF(D18="Pre",1,0)=4,Table44246665727779[[#This Row],[Post Total]],""),"")</f>
        <v/>
      </c>
      <c r="O19" s="5" t="str">
        <f>IF(IF(ISNUMBER(K18),1,0)+IF(ISNUMBER(Table44246665727779[[#This Row],[Post Total]]),1,0)=2,IF(IF(Table44246665727779[[#This Row],[Student Number]]=C18,1,0)+IF(Table44246665727779[[#This Row],[Session]]=B18,1,0)+IF(Table44246665727779[[#This Row],[Pre or Post]]="Post",1,0)+IF(D18="Pre",1,0)=4,Table44246665727779[[#This Row],[Post Total]]-K18,""),"")</f>
        <v/>
      </c>
      <c r="P19" s="5" t="b">
        <f>ISNUMBER(Table44246665727779[[#This Row],[Change]])</f>
        <v>0</v>
      </c>
      <c r="Q19" s="5" t="str">
        <f>IF(E18="Yes",Table44246665727779[[#This Row],[Change]],"")</f>
        <v/>
      </c>
      <c r="R19" s="5" t="str">
        <f>IF(E18="No",Table44246665727779[[#This Row],[Change]],"")</f>
        <v/>
      </c>
      <c r="S19" s="5" t="b">
        <f>ISNUMBER(Table44246665727779[[#This Row],[If Pre6 Yes]])</f>
        <v>0</v>
      </c>
      <c r="T19" s="5" t="b">
        <f>ISNUMBER(Table44246665727779[[#This Row],[If Pre6 No]])</f>
        <v>0</v>
      </c>
    </row>
    <row r="20" spans="1:20">
      <c r="A20" s="2" t="s">
        <v>12</v>
      </c>
      <c r="B20" s="2" t="s">
        <v>5</v>
      </c>
      <c r="C20" s="2">
        <v>19</v>
      </c>
      <c r="D20" s="2" t="s">
        <v>16</v>
      </c>
      <c r="E20" s="5"/>
      <c r="F20" s="1">
        <v>3</v>
      </c>
      <c r="G20" s="2">
        <v>4</v>
      </c>
      <c r="H20" s="2" t="s">
        <v>9</v>
      </c>
      <c r="I20" s="5" t="str">
        <f>IF(IF(Table44246665727779[[#This Row],[Pre or Post]]="Pre",1,0)+IF(ISNUMBER(Table44246665727779[[#This Row],[Response]])=TRUE,1,0)=2,1,"")</f>
        <v/>
      </c>
      <c r="J20" s="5">
        <f>IF(IF(Table44246665727779[[#This Row],[Pre or Post]]="Post",1,0)+IF(ISNUMBER(Table44246665727779[[#This Row],[Response]])=TRUE,1,0)=2,1,"")</f>
        <v>1</v>
      </c>
      <c r="K20" s="6" t="str">
        <f>IF(IF(Table44246665727779[[#This Row],[Pre or Post]]="Pre",1,0)+IF(ISNUMBER(Table44246665727779[[#This Row],[Response]])=TRUE,1,0)=2,Table44246665727779[[#This Row],[Response]],"")</f>
        <v/>
      </c>
      <c r="L20" s="6">
        <f>IF(IF(Table44246665727779[[#This Row],[Pre or Post]]="Post",1,0)+IF(ISNUMBER(Table44246665727779[[#This Row],[Response]])=TRUE,1,0)=2,Table44246665727779[[#This Row],[Response]],"")</f>
        <v>4</v>
      </c>
      <c r="M20" s="5" t="str">
        <f>IF(IF(ISNUMBER(K20),1,0)+IF(ISNUMBER(L21),1,0)=2,IF(IF(C21=C20,1,0)+IF(B21=B20,1,0)+IF(D21="Post",1,0)+IF(D20="Pre",1,0)=4,Table44246665727779[[#This Row],[Pre Total]],""),"")</f>
        <v/>
      </c>
      <c r="N20" s="5" t="str">
        <f>IF(IF(ISNUMBER(K19),1,0)+IF(ISNUMBER(Table44246665727779[[#This Row],[Post Total]]),1,0)=2,IF(IF(Table44246665727779[[#This Row],[Student Number]]=C19,1,0)+IF(Table44246665727779[[#This Row],[Session]]=B19,1,0)+IF(Table44246665727779[[#This Row],[Pre or Post]]="Post",1,0)+IF(D19="Pre",1,0)=4,Table44246665727779[[#This Row],[Post Total]],""),"")</f>
        <v/>
      </c>
      <c r="O20" s="5" t="str">
        <f>IF(IF(ISNUMBER(K19),1,0)+IF(ISNUMBER(Table44246665727779[[#This Row],[Post Total]]),1,0)=2,IF(IF(Table44246665727779[[#This Row],[Student Number]]=C19,1,0)+IF(Table44246665727779[[#This Row],[Session]]=B19,1,0)+IF(Table44246665727779[[#This Row],[Pre or Post]]="Post",1,0)+IF(D19="Pre",1,0)=4,Table44246665727779[[#This Row],[Post Total]]-K19,""),"")</f>
        <v/>
      </c>
      <c r="P20" s="5" t="b">
        <f>ISNUMBER(Table44246665727779[[#This Row],[Change]])</f>
        <v>0</v>
      </c>
      <c r="Q20" s="5" t="str">
        <f>IF(E19="Yes",Table44246665727779[[#This Row],[Change]],"")</f>
        <v/>
      </c>
      <c r="R20" s="5" t="str">
        <f>IF(E19="No",Table44246665727779[[#This Row],[Change]],"")</f>
        <v/>
      </c>
      <c r="S20" s="5" t="b">
        <f>ISNUMBER(Table44246665727779[[#This Row],[If Pre6 Yes]])</f>
        <v>0</v>
      </c>
      <c r="T20" s="5" t="b">
        <f>ISNUMBER(Table44246665727779[[#This Row],[If Pre6 No]])</f>
        <v>0</v>
      </c>
    </row>
    <row r="21" spans="1:20">
      <c r="A21" s="2" t="s">
        <v>12</v>
      </c>
      <c r="B21" s="2" t="s">
        <v>5</v>
      </c>
      <c r="C21" s="2">
        <v>20</v>
      </c>
      <c r="D21" s="2" t="s">
        <v>16</v>
      </c>
      <c r="E21" s="5"/>
      <c r="F21" s="1">
        <v>3</v>
      </c>
      <c r="G21" s="2">
        <v>4</v>
      </c>
      <c r="H21" s="2" t="s">
        <v>9</v>
      </c>
      <c r="I21" s="5" t="str">
        <f>IF(IF(Table44246665727779[[#This Row],[Pre or Post]]="Pre",1,0)+IF(ISNUMBER(Table44246665727779[[#This Row],[Response]])=TRUE,1,0)=2,1,"")</f>
        <v/>
      </c>
      <c r="J21" s="5">
        <f>IF(IF(Table44246665727779[[#This Row],[Pre or Post]]="Post",1,0)+IF(ISNUMBER(Table44246665727779[[#This Row],[Response]])=TRUE,1,0)=2,1,"")</f>
        <v>1</v>
      </c>
      <c r="K21" s="6" t="str">
        <f>IF(IF(Table44246665727779[[#This Row],[Pre or Post]]="Pre",1,0)+IF(ISNUMBER(Table44246665727779[[#This Row],[Response]])=TRUE,1,0)=2,Table44246665727779[[#This Row],[Response]],"")</f>
        <v/>
      </c>
      <c r="L21" s="6">
        <f>IF(IF(Table44246665727779[[#This Row],[Pre or Post]]="Post",1,0)+IF(ISNUMBER(Table44246665727779[[#This Row],[Response]])=TRUE,1,0)=2,Table44246665727779[[#This Row],[Response]],"")</f>
        <v>4</v>
      </c>
      <c r="M21" s="5" t="str">
        <f>IF(IF(ISNUMBER(K21),1,0)+IF(ISNUMBER(L22),1,0)=2,IF(IF(C22=C21,1,0)+IF(B22=B21,1,0)+IF(D22="Post",1,0)+IF(D21="Pre",1,0)=4,Table44246665727779[[#This Row],[Pre Total]],""),"")</f>
        <v/>
      </c>
      <c r="N21" s="5" t="str">
        <f>IF(IF(ISNUMBER(K20),1,0)+IF(ISNUMBER(Table44246665727779[[#This Row],[Post Total]]),1,0)=2,IF(IF(Table44246665727779[[#This Row],[Student Number]]=C20,1,0)+IF(Table44246665727779[[#This Row],[Session]]=B20,1,0)+IF(Table44246665727779[[#This Row],[Pre or Post]]="Post",1,0)+IF(D20="Pre",1,0)=4,Table44246665727779[[#This Row],[Post Total]],""),"")</f>
        <v/>
      </c>
      <c r="O21" s="5" t="str">
        <f>IF(IF(ISNUMBER(K20),1,0)+IF(ISNUMBER(Table44246665727779[[#This Row],[Post Total]]),1,0)=2,IF(IF(Table44246665727779[[#This Row],[Student Number]]=C20,1,0)+IF(Table44246665727779[[#This Row],[Session]]=B20,1,0)+IF(Table44246665727779[[#This Row],[Pre or Post]]="Post",1,0)+IF(D20="Pre",1,0)=4,Table44246665727779[[#This Row],[Post Total]]-K20,""),"")</f>
        <v/>
      </c>
      <c r="P21" s="5" t="b">
        <f>ISNUMBER(Table44246665727779[[#This Row],[Change]])</f>
        <v>0</v>
      </c>
      <c r="Q21" s="5" t="str">
        <f>IF(E20="Yes",Table44246665727779[[#This Row],[Change]],"")</f>
        <v/>
      </c>
      <c r="R21" s="5" t="str">
        <f>IF(E20="No",Table44246665727779[[#This Row],[Change]],"")</f>
        <v/>
      </c>
      <c r="S21" s="5" t="b">
        <f>ISNUMBER(Table44246665727779[[#This Row],[If Pre6 Yes]])</f>
        <v>0</v>
      </c>
      <c r="T21" s="5" t="b">
        <f>ISNUMBER(Table44246665727779[[#This Row],[If Pre6 No]])</f>
        <v>0</v>
      </c>
    </row>
    <row r="22" spans="1:20">
      <c r="A22" s="2" t="s">
        <v>12</v>
      </c>
      <c r="B22" s="2" t="s">
        <v>5</v>
      </c>
      <c r="C22" s="2">
        <v>21</v>
      </c>
      <c r="D22" s="2" t="s">
        <v>16</v>
      </c>
      <c r="E22" s="5"/>
      <c r="F22" s="1">
        <v>3</v>
      </c>
      <c r="G22" s="2">
        <v>3</v>
      </c>
      <c r="H22" s="2" t="s">
        <v>9</v>
      </c>
      <c r="I22" s="6" t="str">
        <f>IF(IF(Table44246665727779[[#This Row],[Pre or Post]]="Pre",1,0)+IF(ISNUMBER(Table44246665727779[[#This Row],[Response]])=TRUE,1,0)=2,1,"")</f>
        <v/>
      </c>
      <c r="J22" s="6">
        <f>IF(IF(Table44246665727779[[#This Row],[Pre or Post]]="Post",1,0)+IF(ISNUMBER(Table44246665727779[[#This Row],[Response]])=TRUE,1,0)=2,1,"")</f>
        <v>1</v>
      </c>
      <c r="K22" s="6" t="str">
        <f>IF(IF(Table44246665727779[[#This Row],[Pre or Post]]="Pre",1,0)+IF(ISNUMBER(Table44246665727779[[#This Row],[Response]])=TRUE,1,0)=2,Table44246665727779[[#This Row],[Response]],"")</f>
        <v/>
      </c>
      <c r="L22" s="6">
        <f>IF(IF(Table44246665727779[[#This Row],[Pre or Post]]="Post",1,0)+IF(ISNUMBER(Table44246665727779[[#This Row],[Response]])=TRUE,1,0)=2,Table44246665727779[[#This Row],[Response]],"")</f>
        <v>3</v>
      </c>
      <c r="M22" s="6" t="str">
        <f>IF(IF(ISNUMBER(K22),1,0)+IF(ISNUMBER(L23),1,0)=2,IF(IF(C23=C22,1,0)+IF(B23=B22,1,0)+IF(D23="Post",1,0)+IF(D22="Pre",1,0)=4,Table44246665727779[[#This Row],[Pre Total]],""),"")</f>
        <v/>
      </c>
      <c r="N22" s="6" t="str">
        <f>IF(IF(ISNUMBER(K21),1,0)+IF(ISNUMBER(Table44246665727779[[#This Row],[Post Total]]),1,0)=2,IF(IF(Table44246665727779[[#This Row],[Student Number]]=C21,1,0)+IF(Table44246665727779[[#This Row],[Session]]=B21,1,0)+IF(Table44246665727779[[#This Row],[Pre or Post]]="Post",1,0)+IF(D21="Pre",1,0)=4,Table44246665727779[[#This Row],[Post Total]],""),"")</f>
        <v/>
      </c>
      <c r="O22" s="6" t="str">
        <f>IF(IF(ISNUMBER(K21),1,0)+IF(ISNUMBER(Table44246665727779[[#This Row],[Post Total]]),1,0)=2,IF(IF(Table44246665727779[[#This Row],[Student Number]]=C21,1,0)+IF(Table44246665727779[[#This Row],[Session]]=B21,1,0)+IF(Table44246665727779[[#This Row],[Pre or Post]]="Post",1,0)+IF(D21="Pre",1,0)=4,Table44246665727779[[#This Row],[Post Total]]-K21,""),"")</f>
        <v/>
      </c>
      <c r="P22" s="6" t="b">
        <f>ISNUMBER(Table44246665727779[[#This Row],[Change]])</f>
        <v>0</v>
      </c>
      <c r="Q22" s="5" t="str">
        <f>IF(E21="Yes",Table44246665727779[[#This Row],[Change]],"")</f>
        <v/>
      </c>
      <c r="R22" s="5" t="str">
        <f>IF(E21="No",Table44246665727779[[#This Row],[Change]],"")</f>
        <v/>
      </c>
      <c r="S22" s="5" t="b">
        <f>ISNUMBER(Table44246665727779[[#This Row],[If Pre6 Yes]])</f>
        <v>0</v>
      </c>
      <c r="T22" s="5" t="b">
        <f>ISNUMBER(Table44246665727779[[#This Row],[If Pre6 No]])</f>
        <v>0</v>
      </c>
    </row>
    <row r="23" spans="1:20">
      <c r="A23" s="2" t="s">
        <v>12</v>
      </c>
      <c r="B23" s="2" t="s">
        <v>5</v>
      </c>
      <c r="C23" s="2">
        <v>22</v>
      </c>
      <c r="D23" s="2" t="s">
        <v>16</v>
      </c>
      <c r="E23" s="5"/>
      <c r="F23" s="1">
        <v>3</v>
      </c>
      <c r="G23" s="2">
        <v>3</v>
      </c>
      <c r="H23" s="2" t="s">
        <v>9</v>
      </c>
      <c r="I23" s="5" t="str">
        <f>IF(IF(Table44246665727779[[#This Row],[Pre or Post]]="Pre",1,0)+IF(ISNUMBER(Table44246665727779[[#This Row],[Response]])=TRUE,1,0)=2,1,"")</f>
        <v/>
      </c>
      <c r="J23" s="5">
        <f>IF(IF(Table44246665727779[[#This Row],[Pre or Post]]="Post",1,0)+IF(ISNUMBER(Table44246665727779[[#This Row],[Response]])=TRUE,1,0)=2,1,"")</f>
        <v>1</v>
      </c>
      <c r="K23" s="6" t="str">
        <f>IF(IF(Table44246665727779[[#This Row],[Pre or Post]]="Pre",1,0)+IF(ISNUMBER(Table44246665727779[[#This Row],[Response]])=TRUE,1,0)=2,Table44246665727779[[#This Row],[Response]],"")</f>
        <v/>
      </c>
      <c r="L23" s="6">
        <f>IF(IF(Table44246665727779[[#This Row],[Pre or Post]]="Post",1,0)+IF(ISNUMBER(Table44246665727779[[#This Row],[Response]])=TRUE,1,0)=2,Table44246665727779[[#This Row],[Response]],"")</f>
        <v>3</v>
      </c>
      <c r="M23" s="5" t="str">
        <f>IF(IF(ISNUMBER(K23),1,0)+IF(ISNUMBER(L24),1,0)=2,IF(IF(C24=C23,1,0)+IF(B24=B23,1,0)+IF(D24="Post",1,0)+IF(D23="Pre",1,0)=4,Table44246665727779[[#This Row],[Pre Total]],""),"")</f>
        <v/>
      </c>
      <c r="N23" s="5" t="str">
        <f>IF(IF(ISNUMBER(K22),1,0)+IF(ISNUMBER(Table44246665727779[[#This Row],[Post Total]]),1,0)=2,IF(IF(Table44246665727779[[#This Row],[Student Number]]=C22,1,0)+IF(Table44246665727779[[#This Row],[Session]]=B22,1,0)+IF(Table44246665727779[[#This Row],[Pre or Post]]="Post",1,0)+IF(D22="Pre",1,0)=4,Table44246665727779[[#This Row],[Post Total]],""),"")</f>
        <v/>
      </c>
      <c r="O23" s="5" t="str">
        <f>IF(IF(ISNUMBER(K22),1,0)+IF(ISNUMBER(Table44246665727779[[#This Row],[Post Total]]),1,0)=2,IF(IF(Table44246665727779[[#This Row],[Student Number]]=C22,1,0)+IF(Table44246665727779[[#This Row],[Session]]=B22,1,0)+IF(Table44246665727779[[#This Row],[Pre or Post]]="Post",1,0)+IF(D22="Pre",1,0)=4,Table44246665727779[[#This Row],[Post Total]]-K22,""),"")</f>
        <v/>
      </c>
      <c r="P23" s="5" t="b">
        <f>ISNUMBER(Table44246665727779[[#This Row],[Change]])</f>
        <v>0</v>
      </c>
      <c r="Q23" s="5" t="str">
        <f>IF(E22="Yes",Table44246665727779[[#This Row],[Change]],"")</f>
        <v/>
      </c>
      <c r="R23" s="5" t="str">
        <f>IF(E22="No",Table44246665727779[[#This Row],[Change]],"")</f>
        <v/>
      </c>
      <c r="S23" s="5" t="b">
        <f>ISNUMBER(Table44246665727779[[#This Row],[If Pre6 Yes]])</f>
        <v>0</v>
      </c>
      <c r="T23" s="5" t="b">
        <f>ISNUMBER(Table44246665727779[[#This Row],[If Pre6 No]])</f>
        <v>0</v>
      </c>
    </row>
    <row r="24" spans="1:20">
      <c r="A24" s="2" t="s">
        <v>12</v>
      </c>
      <c r="B24" s="2" t="s">
        <v>5</v>
      </c>
      <c r="C24" s="2">
        <v>23</v>
      </c>
      <c r="D24" s="2" t="s">
        <v>16</v>
      </c>
      <c r="E24" s="5"/>
      <c r="F24" s="1">
        <v>3</v>
      </c>
      <c r="G24" s="2">
        <v>3</v>
      </c>
      <c r="H24" s="2" t="s">
        <v>9</v>
      </c>
      <c r="I24" s="6" t="str">
        <f>IF(IF(Table44246665727779[[#This Row],[Pre or Post]]="Pre",1,0)+IF(ISNUMBER(Table44246665727779[[#This Row],[Response]])=TRUE,1,0)=2,1,"")</f>
        <v/>
      </c>
      <c r="J24" s="6">
        <f>IF(IF(Table44246665727779[[#This Row],[Pre or Post]]="Post",1,0)+IF(ISNUMBER(Table44246665727779[[#This Row],[Response]])=TRUE,1,0)=2,1,"")</f>
        <v>1</v>
      </c>
      <c r="K24" s="6" t="str">
        <f>IF(IF(Table44246665727779[[#This Row],[Pre or Post]]="Pre",1,0)+IF(ISNUMBER(Table44246665727779[[#This Row],[Response]])=TRUE,1,0)=2,Table44246665727779[[#This Row],[Response]],"")</f>
        <v/>
      </c>
      <c r="L24" s="6">
        <f>IF(IF(Table44246665727779[[#This Row],[Pre or Post]]="Post",1,0)+IF(ISNUMBER(Table44246665727779[[#This Row],[Response]])=TRUE,1,0)=2,Table44246665727779[[#This Row],[Response]],"")</f>
        <v>3</v>
      </c>
      <c r="M24" s="6" t="str">
        <f>IF(IF(ISNUMBER(K24),1,0)+IF(ISNUMBER(L25),1,0)=2,IF(IF(C25=C24,1,0)+IF(B25=B24,1,0)+IF(D25="Post",1,0)+IF(D24="Pre",1,0)=4,Table44246665727779[[#This Row],[Pre Total]],""),"")</f>
        <v/>
      </c>
      <c r="N24" s="6" t="str">
        <f>IF(IF(ISNUMBER(K23),1,0)+IF(ISNUMBER(Table44246665727779[[#This Row],[Post Total]]),1,0)=2,IF(IF(Table44246665727779[[#This Row],[Student Number]]=C23,1,0)+IF(Table44246665727779[[#This Row],[Session]]=B23,1,0)+IF(Table44246665727779[[#This Row],[Pre or Post]]="Post",1,0)+IF(D23="Pre",1,0)=4,Table44246665727779[[#This Row],[Post Total]],""),"")</f>
        <v/>
      </c>
      <c r="O24" s="6" t="str">
        <f>IF(IF(ISNUMBER(K23),1,0)+IF(ISNUMBER(Table44246665727779[[#This Row],[Post Total]]),1,0)=2,IF(IF(Table44246665727779[[#This Row],[Student Number]]=C23,1,0)+IF(Table44246665727779[[#This Row],[Session]]=B23,1,0)+IF(Table44246665727779[[#This Row],[Pre or Post]]="Post",1,0)+IF(D23="Pre",1,0)=4,Table44246665727779[[#This Row],[Post Total]]-K23,""),"")</f>
        <v/>
      </c>
      <c r="P24" s="6" t="b">
        <f>ISNUMBER(Table44246665727779[[#This Row],[Change]])</f>
        <v>0</v>
      </c>
      <c r="Q24" s="5" t="str">
        <f>IF(E23="Yes",Table44246665727779[[#This Row],[Change]],"")</f>
        <v/>
      </c>
      <c r="R24" s="5" t="str">
        <f>IF(E23="No",Table44246665727779[[#This Row],[Change]],"")</f>
        <v/>
      </c>
      <c r="S24" s="5" t="b">
        <f>ISNUMBER(Table44246665727779[[#This Row],[If Pre6 Yes]])</f>
        <v>0</v>
      </c>
      <c r="T24" s="5" t="b">
        <f>ISNUMBER(Table44246665727779[[#This Row],[If Pre6 No]])</f>
        <v>0</v>
      </c>
    </row>
    <row r="25" spans="1:20">
      <c r="A25" s="2" t="s">
        <v>12</v>
      </c>
      <c r="B25" s="2" t="s">
        <v>5</v>
      </c>
      <c r="C25" s="2">
        <v>24</v>
      </c>
      <c r="D25" s="2" t="s">
        <v>16</v>
      </c>
      <c r="E25" s="5"/>
      <c r="F25" s="1">
        <v>3</v>
      </c>
      <c r="G25" s="2">
        <v>4</v>
      </c>
      <c r="H25" s="2" t="s">
        <v>9</v>
      </c>
      <c r="I25" s="6" t="str">
        <f>IF(IF(Table44246665727779[[#This Row],[Pre or Post]]="Pre",1,0)+IF(ISNUMBER(Table44246665727779[[#This Row],[Response]])=TRUE,1,0)=2,1,"")</f>
        <v/>
      </c>
      <c r="J25" s="6">
        <f>IF(IF(Table44246665727779[[#This Row],[Pre or Post]]="Post",1,0)+IF(ISNUMBER(Table44246665727779[[#This Row],[Response]])=TRUE,1,0)=2,1,"")</f>
        <v>1</v>
      </c>
      <c r="K25" s="6" t="str">
        <f>IF(IF(Table44246665727779[[#This Row],[Pre or Post]]="Pre",1,0)+IF(ISNUMBER(Table44246665727779[[#This Row],[Response]])=TRUE,1,0)=2,Table44246665727779[[#This Row],[Response]],"")</f>
        <v/>
      </c>
      <c r="L25" s="6">
        <f>IF(IF(Table44246665727779[[#This Row],[Pre or Post]]="Post",1,0)+IF(ISNUMBER(Table44246665727779[[#This Row],[Response]])=TRUE,1,0)=2,Table44246665727779[[#This Row],[Response]],"")</f>
        <v>4</v>
      </c>
      <c r="M25" s="6" t="str">
        <f>IF(IF(ISNUMBER(K25),1,0)+IF(ISNUMBER(#REF!),1,0)=2,IF(IF(#REF!=C25,1,0)+IF(#REF!=B25,1,0)+IF(#REF!="Post",1,0)+IF(D25="Pre",1,0)=4,Table44246665727779[[#This Row],[Pre Total]],""),"")</f>
        <v/>
      </c>
      <c r="N25" s="6" t="str">
        <f>IF(IF(ISNUMBER(K24),1,0)+IF(ISNUMBER(Table44246665727779[[#This Row],[Post Total]]),1,0)=2,IF(IF(Table44246665727779[[#This Row],[Student Number]]=C24,1,0)+IF(Table44246665727779[[#This Row],[Session]]=B24,1,0)+IF(Table44246665727779[[#This Row],[Pre or Post]]="Post",1,0)+IF(D24="Pre",1,0)=4,Table44246665727779[[#This Row],[Post Total]],""),"")</f>
        <v/>
      </c>
      <c r="O25" s="6" t="str">
        <f>IF(IF(ISNUMBER(K24),1,0)+IF(ISNUMBER(Table44246665727779[[#This Row],[Post Total]]),1,0)=2,IF(IF(Table44246665727779[[#This Row],[Student Number]]=C24,1,0)+IF(Table44246665727779[[#This Row],[Session]]=B24,1,0)+IF(Table44246665727779[[#This Row],[Pre or Post]]="Post",1,0)+IF(D24="Pre",1,0)=4,Table44246665727779[[#This Row],[Post Total]]-K24,""),"")</f>
        <v/>
      </c>
      <c r="P25" s="6" t="b">
        <f>ISNUMBER(Table44246665727779[[#This Row],[Change]])</f>
        <v>0</v>
      </c>
      <c r="Q25" s="5" t="str">
        <f>IF(E24="Yes",Table44246665727779[[#This Row],[Change]],"")</f>
        <v/>
      </c>
      <c r="R25" s="5" t="str">
        <f>IF(E24="No",Table44246665727779[[#This Row],[Change]],"")</f>
        <v/>
      </c>
      <c r="S25" s="5" t="b">
        <f>ISNUMBER(Table44246665727779[[#This Row],[If Pre6 Yes]])</f>
        <v>0</v>
      </c>
      <c r="T25" s="5" t="b">
        <f>ISNUMBER(Table44246665727779[[#This Row],[If Pre6 No]])</f>
        <v>0</v>
      </c>
    </row>
    <row r="26" spans="1:20">
      <c r="A26" s="2" t="s">
        <v>12</v>
      </c>
      <c r="B26" s="2" t="s">
        <v>21</v>
      </c>
      <c r="C26" s="1">
        <v>1</v>
      </c>
      <c r="D26" s="2" t="s">
        <v>6</v>
      </c>
      <c r="E26" s="5" t="s">
        <v>8</v>
      </c>
      <c r="F26" s="1">
        <v>10</v>
      </c>
      <c r="G26" s="1">
        <v>4</v>
      </c>
      <c r="H26" s="2" t="s">
        <v>8</v>
      </c>
      <c r="I26" s="5">
        <f>IF(IF(Table44246665727779[[#This Row],[Pre or Post]]="Pre",1,0)+IF(ISNUMBER(Table44246665727779[[#This Row],[Response]])=TRUE,1,0)=2,1,"")</f>
        <v>1</v>
      </c>
      <c r="J26" s="5" t="str">
        <f>IF(IF(Table44246665727779[[#This Row],[Pre or Post]]="Post",1,0)+IF(ISNUMBER(Table44246665727779[[#This Row],[Response]])=TRUE,1,0)=2,1,"")</f>
        <v/>
      </c>
      <c r="K26" s="6">
        <f>IF(IF(Table44246665727779[[#This Row],[Pre or Post]]="Pre",1,0)+IF(ISNUMBER(Table44246665727779[[#This Row],[Response]])=TRUE,1,0)=2,Table44246665727779[[#This Row],[Response]],"")</f>
        <v>4</v>
      </c>
      <c r="L26" s="6" t="str">
        <f>IF(IF(Table44246665727779[[#This Row],[Pre or Post]]="Post",1,0)+IF(ISNUMBER(Table44246665727779[[#This Row],[Response]])=TRUE,1,0)=2,Table44246665727779[[#This Row],[Response]],"")</f>
        <v/>
      </c>
      <c r="M26" s="5">
        <f>IF(IF(ISNUMBER(K26),1,0)+IF(ISNUMBER(L27),1,0)=2,IF(IF(C27=C26,1,0)+IF(B27=B26,1,0)+IF(D27="Post",1,0)+IF(D26="Pre",1,0)=4,Table44246665727779[[#This Row],[Pre Total]],""),"")</f>
        <v>4</v>
      </c>
      <c r="N26" s="5" t="str">
        <f>IF(IF(ISNUMBER(K25),1,0)+IF(ISNUMBER(Table44246665727779[[#This Row],[Post Total]]),1,0)=2,IF(IF(Table44246665727779[[#This Row],[Student Number]]=C25,1,0)+IF(Table44246665727779[[#This Row],[Session]]=B25,1,0)+IF(Table44246665727779[[#This Row],[Pre or Post]]="Post",1,0)+IF(D25="Pre",1,0)=4,Table44246665727779[[#This Row],[Post Total]],""),"")</f>
        <v/>
      </c>
      <c r="O26" s="5" t="str">
        <f>IF(IF(ISNUMBER(K25),1,0)+IF(ISNUMBER(Table44246665727779[[#This Row],[Post Total]]),1,0)=2,IF(IF(Table44246665727779[[#This Row],[Student Number]]=C25,1,0)+IF(Table44246665727779[[#This Row],[Session]]=B25,1,0)+IF(Table44246665727779[[#This Row],[Pre or Post]]="Post",1,0)+IF(D25="Pre",1,0)=4,Table44246665727779[[#This Row],[Post Total]]-K25,""),"")</f>
        <v/>
      </c>
      <c r="P26" s="5" t="b">
        <f>ISNUMBER(Table44246665727779[[#This Row],[Change]])</f>
        <v>0</v>
      </c>
      <c r="Q26" s="5" t="str">
        <f>IF(E25="Yes",Table44246665727779[[#This Row],[Change]],"")</f>
        <v/>
      </c>
      <c r="R26" s="5" t="str">
        <f>IF(E25="No",Table44246665727779[[#This Row],[Change]],"")</f>
        <v/>
      </c>
      <c r="S26" s="5" t="b">
        <f>ISNUMBER(Table44246665727779[[#This Row],[If Pre6 Yes]])</f>
        <v>0</v>
      </c>
      <c r="T26" s="5" t="b">
        <f>ISNUMBER(Table44246665727779[[#This Row],[If Pre6 No]])</f>
        <v>0</v>
      </c>
    </row>
    <row r="27" spans="1:20">
      <c r="A27" s="2" t="s">
        <v>12</v>
      </c>
      <c r="B27" s="2" t="s">
        <v>21</v>
      </c>
      <c r="C27" s="1">
        <v>1</v>
      </c>
      <c r="D27" s="2" t="s">
        <v>16</v>
      </c>
      <c r="E27" s="5"/>
      <c r="F27" s="1">
        <v>3</v>
      </c>
      <c r="G27" s="1">
        <v>5</v>
      </c>
      <c r="H27" s="2" t="s">
        <v>8</v>
      </c>
      <c r="I27" s="5" t="str">
        <f>IF(IF(Table44246665727779[[#This Row],[Pre or Post]]="Pre",1,0)+IF(ISNUMBER(Table44246665727779[[#This Row],[Response]])=TRUE,1,0)=2,1,"")</f>
        <v/>
      </c>
      <c r="J27" s="5">
        <f>IF(IF(Table44246665727779[[#This Row],[Pre or Post]]="Post",1,0)+IF(ISNUMBER(Table44246665727779[[#This Row],[Response]])=TRUE,1,0)=2,1,"")</f>
        <v>1</v>
      </c>
      <c r="K27" s="6" t="str">
        <f>IF(IF(Table44246665727779[[#This Row],[Pre or Post]]="Pre",1,0)+IF(ISNUMBER(Table44246665727779[[#This Row],[Response]])=TRUE,1,0)=2,Table44246665727779[[#This Row],[Response]],"")</f>
        <v/>
      </c>
      <c r="L27" s="6">
        <f>IF(IF(Table44246665727779[[#This Row],[Pre or Post]]="Post",1,0)+IF(ISNUMBER(Table44246665727779[[#This Row],[Response]])=TRUE,1,0)=2,Table44246665727779[[#This Row],[Response]],"")</f>
        <v>5</v>
      </c>
      <c r="M27" s="5" t="str">
        <f>IF(IF(ISNUMBER(K27),1,0)+IF(ISNUMBER(L28),1,0)=2,IF(IF(C28=C27,1,0)+IF(B28=B27,1,0)+IF(D28="Post",1,0)+IF(D27="Pre",1,0)=4,Table44246665727779[[#This Row],[Pre Total]],""),"")</f>
        <v/>
      </c>
      <c r="N27" s="5">
        <f>IF(IF(ISNUMBER(K26),1,0)+IF(ISNUMBER(Table44246665727779[[#This Row],[Post Total]]),1,0)=2,IF(IF(Table44246665727779[[#This Row],[Student Number]]=C26,1,0)+IF(Table44246665727779[[#This Row],[Session]]=B26,1,0)+IF(Table44246665727779[[#This Row],[Pre or Post]]="Post",1,0)+IF(D26="Pre",1,0)=4,Table44246665727779[[#This Row],[Post Total]],""),"")</f>
        <v>5</v>
      </c>
      <c r="O27" s="5">
        <f>IF(IF(ISNUMBER(K26),1,0)+IF(ISNUMBER(Table44246665727779[[#This Row],[Post Total]]),1,0)=2,IF(IF(Table44246665727779[[#This Row],[Student Number]]=C26,1,0)+IF(Table44246665727779[[#This Row],[Session]]=B26,1,0)+IF(Table44246665727779[[#This Row],[Pre or Post]]="Post",1,0)+IF(D26="Pre",1,0)=4,Table44246665727779[[#This Row],[Post Total]]-K26,""),"")</f>
        <v>1</v>
      </c>
      <c r="P27" s="5" t="b">
        <f>ISNUMBER(Table44246665727779[[#This Row],[Change]])</f>
        <v>1</v>
      </c>
      <c r="Q27" s="5">
        <f>IF(E26="Yes",Table44246665727779[[#This Row],[Change]],"")</f>
        <v>1</v>
      </c>
      <c r="R27" s="5" t="str">
        <f>IF(E26="No",Table44246665727779[[#This Row],[Change]],"")</f>
        <v/>
      </c>
      <c r="S27" s="5" t="b">
        <f>ISNUMBER(Table44246665727779[[#This Row],[If Pre6 Yes]])</f>
        <v>1</v>
      </c>
      <c r="T27" s="5" t="b">
        <f>ISNUMBER(Table44246665727779[[#This Row],[If Pre6 No]])</f>
        <v>0</v>
      </c>
    </row>
    <row r="28" spans="1:20">
      <c r="A28" s="2" t="s">
        <v>12</v>
      </c>
      <c r="B28" s="2" t="s">
        <v>21</v>
      </c>
      <c r="C28" s="1">
        <v>2</v>
      </c>
      <c r="D28" s="2" t="s">
        <v>6</v>
      </c>
      <c r="E28" s="5" t="s">
        <v>8</v>
      </c>
      <c r="F28" s="1">
        <v>10</v>
      </c>
      <c r="G28" s="1">
        <v>3</v>
      </c>
      <c r="H28" s="2" t="s">
        <v>8</v>
      </c>
      <c r="I28" s="5">
        <f>IF(IF(Table44246665727779[[#This Row],[Pre or Post]]="Pre",1,0)+IF(ISNUMBER(Table44246665727779[[#This Row],[Response]])=TRUE,1,0)=2,1,"")</f>
        <v>1</v>
      </c>
      <c r="J28" s="5" t="str">
        <f>IF(IF(Table44246665727779[[#This Row],[Pre or Post]]="Post",1,0)+IF(ISNUMBER(Table44246665727779[[#This Row],[Response]])=TRUE,1,0)=2,1,"")</f>
        <v/>
      </c>
      <c r="K28" s="6">
        <f>IF(IF(Table44246665727779[[#This Row],[Pre or Post]]="Pre",1,0)+IF(ISNUMBER(Table44246665727779[[#This Row],[Response]])=TRUE,1,0)=2,Table44246665727779[[#This Row],[Response]],"")</f>
        <v>3</v>
      </c>
      <c r="L28" s="6" t="str">
        <f>IF(IF(Table44246665727779[[#This Row],[Pre or Post]]="Post",1,0)+IF(ISNUMBER(Table44246665727779[[#This Row],[Response]])=TRUE,1,0)=2,Table44246665727779[[#This Row],[Response]],"")</f>
        <v/>
      </c>
      <c r="M28" s="5">
        <f>IF(IF(ISNUMBER(K28),1,0)+IF(ISNUMBER(L29),1,0)=2,IF(IF(C29=C28,1,0)+IF(B29=B28,1,0)+IF(D29="Post",1,0)+IF(D28="Pre",1,0)=4,Table44246665727779[[#This Row],[Pre Total]],""),"")</f>
        <v>3</v>
      </c>
      <c r="N28" s="5" t="str">
        <f>IF(IF(ISNUMBER(K27),1,0)+IF(ISNUMBER(Table44246665727779[[#This Row],[Post Total]]),1,0)=2,IF(IF(Table44246665727779[[#This Row],[Student Number]]=C27,1,0)+IF(Table44246665727779[[#This Row],[Session]]=B27,1,0)+IF(Table44246665727779[[#This Row],[Pre or Post]]="Post",1,0)+IF(D27="Pre",1,0)=4,Table44246665727779[[#This Row],[Post Total]],""),"")</f>
        <v/>
      </c>
      <c r="O28" s="5" t="str">
        <f>IF(IF(ISNUMBER(K27),1,0)+IF(ISNUMBER(Table44246665727779[[#This Row],[Post Total]]),1,0)=2,IF(IF(Table44246665727779[[#This Row],[Student Number]]=C27,1,0)+IF(Table44246665727779[[#This Row],[Session]]=B27,1,0)+IF(Table44246665727779[[#This Row],[Pre or Post]]="Post",1,0)+IF(D27="Pre",1,0)=4,Table44246665727779[[#This Row],[Post Total]]-K27,""),"")</f>
        <v/>
      </c>
      <c r="P28" s="5" t="b">
        <f>ISNUMBER(Table44246665727779[[#This Row],[Change]])</f>
        <v>0</v>
      </c>
      <c r="Q28" s="5" t="str">
        <f>IF(E27="Yes",Table44246665727779[[#This Row],[Change]],"")</f>
        <v/>
      </c>
      <c r="R28" s="5" t="str">
        <f>IF(E27="No",Table44246665727779[[#This Row],[Change]],"")</f>
        <v/>
      </c>
      <c r="S28" s="5" t="b">
        <f>ISNUMBER(Table44246665727779[[#This Row],[If Pre6 Yes]])</f>
        <v>0</v>
      </c>
      <c r="T28" s="5" t="b">
        <f>ISNUMBER(Table44246665727779[[#This Row],[If Pre6 No]])</f>
        <v>0</v>
      </c>
    </row>
    <row r="29" spans="1:20">
      <c r="A29" s="2" t="s">
        <v>12</v>
      </c>
      <c r="B29" s="2" t="s">
        <v>21</v>
      </c>
      <c r="C29" s="1">
        <v>2</v>
      </c>
      <c r="D29" s="2" t="s">
        <v>16</v>
      </c>
      <c r="E29" s="5"/>
      <c r="F29" s="1">
        <v>3</v>
      </c>
      <c r="G29" s="1">
        <v>2</v>
      </c>
      <c r="H29" s="2" t="s">
        <v>8</v>
      </c>
      <c r="I29" s="6" t="str">
        <f>IF(IF(Table44246665727779[[#This Row],[Pre or Post]]="Pre",1,0)+IF(ISNUMBER(Table44246665727779[[#This Row],[Response]])=TRUE,1,0)=2,1,"")</f>
        <v/>
      </c>
      <c r="J29" s="6">
        <f>IF(IF(Table44246665727779[[#This Row],[Pre or Post]]="Post",1,0)+IF(ISNUMBER(Table44246665727779[[#This Row],[Response]])=TRUE,1,0)=2,1,"")</f>
        <v>1</v>
      </c>
      <c r="K29" s="6" t="str">
        <f>IF(IF(Table44246665727779[[#This Row],[Pre or Post]]="Pre",1,0)+IF(ISNUMBER(Table44246665727779[[#This Row],[Response]])=TRUE,1,0)=2,Table44246665727779[[#This Row],[Response]],"")</f>
        <v/>
      </c>
      <c r="L29" s="6">
        <f>IF(IF(Table44246665727779[[#This Row],[Pre or Post]]="Post",1,0)+IF(ISNUMBER(Table44246665727779[[#This Row],[Response]])=TRUE,1,0)=2,Table44246665727779[[#This Row],[Response]],"")</f>
        <v>2</v>
      </c>
      <c r="M29" s="6" t="str">
        <f>IF(IF(ISNUMBER(K29),1,0)+IF(ISNUMBER(L30),1,0)=2,IF(IF(C30=C29,1,0)+IF(B30=B29,1,0)+IF(D30="Post",1,0)+IF(D29="Pre",1,0)=4,Table44246665727779[[#This Row],[Pre Total]],""),"")</f>
        <v/>
      </c>
      <c r="N29" s="6">
        <f>IF(IF(ISNUMBER(K28),1,0)+IF(ISNUMBER(Table44246665727779[[#This Row],[Post Total]]),1,0)=2,IF(IF(Table44246665727779[[#This Row],[Student Number]]=C28,1,0)+IF(Table44246665727779[[#This Row],[Session]]=B28,1,0)+IF(Table44246665727779[[#This Row],[Pre or Post]]="Post",1,0)+IF(D28="Pre",1,0)=4,Table44246665727779[[#This Row],[Post Total]],""),"")</f>
        <v>2</v>
      </c>
      <c r="O29" s="6">
        <f>IF(IF(ISNUMBER(K28),1,0)+IF(ISNUMBER(Table44246665727779[[#This Row],[Post Total]]),1,0)=2,IF(IF(Table44246665727779[[#This Row],[Student Number]]=C28,1,0)+IF(Table44246665727779[[#This Row],[Session]]=B28,1,0)+IF(Table44246665727779[[#This Row],[Pre or Post]]="Post",1,0)+IF(D28="Pre",1,0)=4,Table44246665727779[[#This Row],[Post Total]]-K28,""),"")</f>
        <v>-1</v>
      </c>
      <c r="P29" s="6" t="b">
        <f>ISNUMBER(Table44246665727779[[#This Row],[Change]])</f>
        <v>1</v>
      </c>
      <c r="Q29" s="5">
        <f>IF(E28="Yes",Table44246665727779[[#This Row],[Change]],"")</f>
        <v>-1</v>
      </c>
      <c r="R29" s="5" t="str">
        <f>IF(E28="No",Table44246665727779[[#This Row],[Change]],"")</f>
        <v/>
      </c>
      <c r="S29" s="5" t="b">
        <f>ISNUMBER(Table44246665727779[[#This Row],[If Pre6 Yes]])</f>
        <v>1</v>
      </c>
      <c r="T29" s="5" t="b">
        <f>ISNUMBER(Table44246665727779[[#This Row],[If Pre6 No]])</f>
        <v>0</v>
      </c>
    </row>
    <row r="30" spans="1:20">
      <c r="A30" s="2" t="s">
        <v>12</v>
      </c>
      <c r="B30" s="2" t="s">
        <v>21</v>
      </c>
      <c r="C30" s="1">
        <v>3</v>
      </c>
      <c r="D30" s="2" t="s">
        <v>6</v>
      </c>
      <c r="E30" s="5" t="s">
        <v>8</v>
      </c>
      <c r="F30" s="1">
        <v>10</v>
      </c>
      <c r="G30" s="1">
        <v>3</v>
      </c>
      <c r="H30" s="2" t="s">
        <v>8</v>
      </c>
      <c r="I30" s="5">
        <f>IF(IF(Table44246665727779[[#This Row],[Pre or Post]]="Pre",1,0)+IF(ISNUMBER(Table44246665727779[[#This Row],[Response]])=TRUE,1,0)=2,1,"")</f>
        <v>1</v>
      </c>
      <c r="J30" s="5" t="str">
        <f>IF(IF(Table44246665727779[[#This Row],[Pre or Post]]="Post",1,0)+IF(ISNUMBER(Table44246665727779[[#This Row],[Response]])=TRUE,1,0)=2,1,"")</f>
        <v/>
      </c>
      <c r="K30" s="6">
        <f>IF(IF(Table44246665727779[[#This Row],[Pre or Post]]="Pre",1,0)+IF(ISNUMBER(Table44246665727779[[#This Row],[Response]])=TRUE,1,0)=2,Table44246665727779[[#This Row],[Response]],"")</f>
        <v>3</v>
      </c>
      <c r="L30" s="6" t="str">
        <f>IF(IF(Table44246665727779[[#This Row],[Pre or Post]]="Post",1,0)+IF(ISNUMBER(Table44246665727779[[#This Row],[Response]])=TRUE,1,0)=2,Table44246665727779[[#This Row],[Response]],"")</f>
        <v/>
      </c>
      <c r="M30" s="5">
        <f>IF(IF(ISNUMBER(K30),1,0)+IF(ISNUMBER(L31),1,0)=2,IF(IF(C31=C30,1,0)+IF(B31=B30,1,0)+IF(D31="Post",1,0)+IF(D30="Pre",1,0)=4,Table44246665727779[[#This Row],[Pre Total]],""),"")</f>
        <v>3</v>
      </c>
      <c r="N30" s="5" t="str">
        <f>IF(IF(ISNUMBER(K29),1,0)+IF(ISNUMBER(Table44246665727779[[#This Row],[Post Total]]),1,0)=2,IF(IF(Table44246665727779[[#This Row],[Student Number]]=C29,1,0)+IF(Table44246665727779[[#This Row],[Session]]=B29,1,0)+IF(Table44246665727779[[#This Row],[Pre or Post]]="Post",1,0)+IF(D29="Pre",1,0)=4,Table44246665727779[[#This Row],[Post Total]],""),"")</f>
        <v/>
      </c>
      <c r="O30" s="5" t="str">
        <f>IF(IF(ISNUMBER(K29),1,0)+IF(ISNUMBER(Table44246665727779[[#This Row],[Post Total]]),1,0)=2,IF(IF(Table44246665727779[[#This Row],[Student Number]]=C29,1,0)+IF(Table44246665727779[[#This Row],[Session]]=B29,1,0)+IF(Table44246665727779[[#This Row],[Pre or Post]]="Post",1,0)+IF(D29="Pre",1,0)=4,Table44246665727779[[#This Row],[Post Total]]-K29,""),"")</f>
        <v/>
      </c>
      <c r="P30" s="5" t="b">
        <f>ISNUMBER(Table44246665727779[[#This Row],[Change]])</f>
        <v>0</v>
      </c>
      <c r="Q30" s="5" t="str">
        <f>IF(E29="Yes",Table44246665727779[[#This Row],[Change]],"")</f>
        <v/>
      </c>
      <c r="R30" s="5" t="str">
        <f>IF(E29="No",Table44246665727779[[#This Row],[Change]],"")</f>
        <v/>
      </c>
      <c r="S30" s="5" t="b">
        <f>ISNUMBER(Table44246665727779[[#This Row],[If Pre6 Yes]])</f>
        <v>0</v>
      </c>
      <c r="T30" s="5" t="b">
        <f>ISNUMBER(Table44246665727779[[#This Row],[If Pre6 No]])</f>
        <v>0</v>
      </c>
    </row>
    <row r="31" spans="1:20">
      <c r="A31" s="2" t="s">
        <v>12</v>
      </c>
      <c r="B31" s="2" t="s">
        <v>21</v>
      </c>
      <c r="C31" s="1">
        <v>3</v>
      </c>
      <c r="D31" s="2" t="s">
        <v>16</v>
      </c>
      <c r="E31" s="5"/>
      <c r="F31" s="1">
        <v>3</v>
      </c>
      <c r="G31" s="1">
        <v>3</v>
      </c>
      <c r="H31" s="2" t="s">
        <v>8</v>
      </c>
      <c r="I31" s="5" t="str">
        <f>IF(IF(Table44246665727779[[#This Row],[Pre or Post]]="Pre",1,0)+IF(ISNUMBER(Table44246665727779[[#This Row],[Response]])=TRUE,1,0)=2,1,"")</f>
        <v/>
      </c>
      <c r="J31" s="5">
        <f>IF(IF(Table44246665727779[[#This Row],[Pre or Post]]="Post",1,0)+IF(ISNUMBER(Table44246665727779[[#This Row],[Response]])=TRUE,1,0)=2,1,"")</f>
        <v>1</v>
      </c>
      <c r="K31" s="6" t="str">
        <f>IF(IF(Table44246665727779[[#This Row],[Pre or Post]]="Pre",1,0)+IF(ISNUMBER(Table44246665727779[[#This Row],[Response]])=TRUE,1,0)=2,Table44246665727779[[#This Row],[Response]],"")</f>
        <v/>
      </c>
      <c r="L31" s="6">
        <f>IF(IF(Table44246665727779[[#This Row],[Pre or Post]]="Post",1,0)+IF(ISNUMBER(Table44246665727779[[#This Row],[Response]])=TRUE,1,0)=2,Table44246665727779[[#This Row],[Response]],"")</f>
        <v>3</v>
      </c>
      <c r="M31" s="5" t="str">
        <f>IF(IF(ISNUMBER(K31),1,0)+IF(ISNUMBER(L32),1,0)=2,IF(IF(C32=C31,1,0)+IF(B32=B31,1,0)+IF(D32="Post",1,0)+IF(D31="Pre",1,0)=4,Table44246665727779[[#This Row],[Pre Total]],""),"")</f>
        <v/>
      </c>
      <c r="N31" s="5">
        <f>IF(IF(ISNUMBER(K30),1,0)+IF(ISNUMBER(Table44246665727779[[#This Row],[Post Total]]),1,0)=2,IF(IF(Table44246665727779[[#This Row],[Student Number]]=C30,1,0)+IF(Table44246665727779[[#This Row],[Session]]=B30,1,0)+IF(Table44246665727779[[#This Row],[Pre or Post]]="Post",1,0)+IF(D30="Pre",1,0)=4,Table44246665727779[[#This Row],[Post Total]],""),"")</f>
        <v>3</v>
      </c>
      <c r="O31" s="5">
        <f>IF(IF(ISNUMBER(K30),1,0)+IF(ISNUMBER(Table44246665727779[[#This Row],[Post Total]]),1,0)=2,IF(IF(Table44246665727779[[#This Row],[Student Number]]=C30,1,0)+IF(Table44246665727779[[#This Row],[Session]]=B30,1,0)+IF(Table44246665727779[[#This Row],[Pre or Post]]="Post",1,0)+IF(D30="Pre",1,0)=4,Table44246665727779[[#This Row],[Post Total]]-K30,""),"")</f>
        <v>0</v>
      </c>
      <c r="P31" s="5" t="b">
        <f>ISNUMBER(Table44246665727779[[#This Row],[Change]])</f>
        <v>1</v>
      </c>
      <c r="Q31" s="5">
        <f>IF(E30="Yes",Table44246665727779[[#This Row],[Change]],"")</f>
        <v>0</v>
      </c>
      <c r="R31" s="5" t="str">
        <f>IF(E30="No",Table44246665727779[[#This Row],[Change]],"")</f>
        <v/>
      </c>
      <c r="S31" s="5" t="b">
        <f>ISNUMBER(Table44246665727779[[#This Row],[If Pre6 Yes]])</f>
        <v>1</v>
      </c>
      <c r="T31" s="5" t="b">
        <f>ISNUMBER(Table44246665727779[[#This Row],[If Pre6 No]])</f>
        <v>0</v>
      </c>
    </row>
    <row r="32" spans="1:20">
      <c r="A32" s="2" t="s">
        <v>12</v>
      </c>
      <c r="B32" s="2" t="s">
        <v>21</v>
      </c>
      <c r="C32" s="1">
        <v>4</v>
      </c>
      <c r="D32" s="2" t="s">
        <v>6</v>
      </c>
      <c r="E32" s="5" t="s">
        <v>8</v>
      </c>
      <c r="F32" s="1">
        <v>10</v>
      </c>
      <c r="G32" s="1">
        <v>3</v>
      </c>
      <c r="H32" s="2" t="s">
        <v>8</v>
      </c>
      <c r="I32" s="6">
        <f>IF(IF(Table44246665727779[[#This Row],[Pre or Post]]="Pre",1,0)+IF(ISNUMBER(Table44246665727779[[#This Row],[Response]])=TRUE,1,0)=2,1,"")</f>
        <v>1</v>
      </c>
      <c r="J32" s="6" t="str">
        <f>IF(IF(Table44246665727779[[#This Row],[Pre or Post]]="Post",1,0)+IF(ISNUMBER(Table44246665727779[[#This Row],[Response]])=TRUE,1,0)=2,1,"")</f>
        <v/>
      </c>
      <c r="K32" s="6">
        <f>IF(IF(Table44246665727779[[#This Row],[Pre or Post]]="Pre",1,0)+IF(ISNUMBER(Table44246665727779[[#This Row],[Response]])=TRUE,1,0)=2,Table44246665727779[[#This Row],[Response]],"")</f>
        <v>3</v>
      </c>
      <c r="L32" s="6" t="str">
        <f>IF(IF(Table44246665727779[[#This Row],[Pre or Post]]="Post",1,0)+IF(ISNUMBER(Table44246665727779[[#This Row],[Response]])=TRUE,1,0)=2,Table44246665727779[[#This Row],[Response]],"")</f>
        <v/>
      </c>
      <c r="M32" s="6">
        <f>IF(IF(ISNUMBER(K32),1,0)+IF(ISNUMBER(L33),1,0)=2,IF(IF(C33=C32,1,0)+IF(B33=B32,1,0)+IF(D33="Post",1,0)+IF(D32="Pre",1,0)=4,Table44246665727779[[#This Row],[Pre Total]],""),"")</f>
        <v>3</v>
      </c>
      <c r="N32" s="6" t="str">
        <f>IF(IF(ISNUMBER(K31),1,0)+IF(ISNUMBER(Table44246665727779[[#This Row],[Post Total]]),1,0)=2,IF(IF(Table44246665727779[[#This Row],[Student Number]]=C31,1,0)+IF(Table44246665727779[[#This Row],[Session]]=B31,1,0)+IF(Table44246665727779[[#This Row],[Pre or Post]]="Post",1,0)+IF(D31="Pre",1,0)=4,Table44246665727779[[#This Row],[Post Total]],""),"")</f>
        <v/>
      </c>
      <c r="O32" s="6" t="str">
        <f>IF(IF(ISNUMBER(K31),1,0)+IF(ISNUMBER(Table44246665727779[[#This Row],[Post Total]]),1,0)=2,IF(IF(Table44246665727779[[#This Row],[Student Number]]=C31,1,0)+IF(Table44246665727779[[#This Row],[Session]]=B31,1,0)+IF(Table44246665727779[[#This Row],[Pre or Post]]="Post",1,0)+IF(D31="Pre",1,0)=4,Table44246665727779[[#This Row],[Post Total]]-K31,""),"")</f>
        <v/>
      </c>
      <c r="P32" s="6" t="b">
        <f>ISNUMBER(Table44246665727779[[#This Row],[Change]])</f>
        <v>0</v>
      </c>
      <c r="Q32" s="5" t="str">
        <f>IF(E31="Yes",Table44246665727779[[#This Row],[Change]],"")</f>
        <v/>
      </c>
      <c r="R32" s="5" t="str">
        <f>IF(E31="No",Table44246665727779[[#This Row],[Change]],"")</f>
        <v/>
      </c>
      <c r="S32" s="5" t="b">
        <f>ISNUMBER(Table44246665727779[[#This Row],[If Pre6 Yes]])</f>
        <v>0</v>
      </c>
      <c r="T32" s="5" t="b">
        <f>ISNUMBER(Table44246665727779[[#This Row],[If Pre6 No]])</f>
        <v>0</v>
      </c>
    </row>
    <row r="33" spans="1:20">
      <c r="A33" s="2" t="s">
        <v>12</v>
      </c>
      <c r="B33" s="2" t="s">
        <v>21</v>
      </c>
      <c r="C33" s="1">
        <v>4</v>
      </c>
      <c r="D33" s="2" t="s">
        <v>16</v>
      </c>
      <c r="E33" s="5"/>
      <c r="F33" s="1">
        <v>3</v>
      </c>
      <c r="G33" s="1">
        <v>4</v>
      </c>
      <c r="H33" s="2" t="s">
        <v>8</v>
      </c>
      <c r="I33" s="6" t="str">
        <f>IF(IF(Table44246665727779[[#This Row],[Pre or Post]]="Pre",1,0)+IF(ISNUMBER(Table44246665727779[[#This Row],[Response]])=TRUE,1,0)=2,1,"")</f>
        <v/>
      </c>
      <c r="J33" s="6">
        <f>IF(IF(Table44246665727779[[#This Row],[Pre or Post]]="Post",1,0)+IF(ISNUMBER(Table44246665727779[[#This Row],[Response]])=TRUE,1,0)=2,1,"")</f>
        <v>1</v>
      </c>
      <c r="K33" s="6" t="str">
        <f>IF(IF(Table44246665727779[[#This Row],[Pre or Post]]="Pre",1,0)+IF(ISNUMBER(Table44246665727779[[#This Row],[Response]])=TRUE,1,0)=2,Table44246665727779[[#This Row],[Response]],"")</f>
        <v/>
      </c>
      <c r="L33" s="6">
        <f>IF(IF(Table44246665727779[[#This Row],[Pre or Post]]="Post",1,0)+IF(ISNUMBER(Table44246665727779[[#This Row],[Response]])=TRUE,1,0)=2,Table44246665727779[[#This Row],[Response]],"")</f>
        <v>4</v>
      </c>
      <c r="M33" s="6" t="str">
        <f>IF(IF(ISNUMBER(K33),1,0)+IF(ISNUMBER(L34),1,0)=2,IF(IF(C34=C33,1,0)+IF(B34=B33,1,0)+IF(D34="Post",1,0)+IF(D33="Pre",1,0)=4,Table44246665727779[[#This Row],[Pre Total]],""),"")</f>
        <v/>
      </c>
      <c r="N33" s="6">
        <f>IF(IF(ISNUMBER(K32),1,0)+IF(ISNUMBER(Table44246665727779[[#This Row],[Post Total]]),1,0)=2,IF(IF(Table44246665727779[[#This Row],[Student Number]]=C32,1,0)+IF(Table44246665727779[[#This Row],[Session]]=B32,1,0)+IF(Table44246665727779[[#This Row],[Pre or Post]]="Post",1,0)+IF(D32="Pre",1,0)=4,Table44246665727779[[#This Row],[Post Total]],""),"")</f>
        <v>4</v>
      </c>
      <c r="O33" s="6">
        <f>IF(IF(ISNUMBER(K32),1,0)+IF(ISNUMBER(Table44246665727779[[#This Row],[Post Total]]),1,0)=2,IF(IF(Table44246665727779[[#This Row],[Student Number]]=C32,1,0)+IF(Table44246665727779[[#This Row],[Session]]=B32,1,0)+IF(Table44246665727779[[#This Row],[Pre or Post]]="Post",1,0)+IF(D32="Pre",1,0)=4,Table44246665727779[[#This Row],[Post Total]]-K32,""),"")</f>
        <v>1</v>
      </c>
      <c r="P33" s="6" t="b">
        <f>ISNUMBER(Table44246665727779[[#This Row],[Change]])</f>
        <v>1</v>
      </c>
      <c r="Q33" s="5">
        <f>IF(E32="Yes",Table44246665727779[[#This Row],[Change]],"")</f>
        <v>1</v>
      </c>
      <c r="R33" s="5" t="str">
        <f>IF(E32="No",Table44246665727779[[#This Row],[Change]],"")</f>
        <v/>
      </c>
      <c r="S33" s="5" t="b">
        <f>ISNUMBER(Table44246665727779[[#This Row],[If Pre6 Yes]])</f>
        <v>1</v>
      </c>
      <c r="T33" s="5" t="b">
        <f>ISNUMBER(Table44246665727779[[#This Row],[If Pre6 No]])</f>
        <v>0</v>
      </c>
    </row>
    <row r="34" spans="1:20">
      <c r="A34" s="2" t="s">
        <v>12</v>
      </c>
      <c r="B34" s="2" t="s">
        <v>21</v>
      </c>
      <c r="C34" s="1">
        <v>5</v>
      </c>
      <c r="D34" s="2" t="s">
        <v>6</v>
      </c>
      <c r="E34" s="5" t="s">
        <v>8</v>
      </c>
      <c r="F34" s="1">
        <v>10</v>
      </c>
      <c r="G34" s="1">
        <v>3</v>
      </c>
      <c r="H34" s="2" t="s">
        <v>8</v>
      </c>
      <c r="I34" s="5">
        <f>IF(IF(Table44246665727779[[#This Row],[Pre or Post]]="Pre",1,0)+IF(ISNUMBER(Table44246665727779[[#This Row],[Response]])=TRUE,1,0)=2,1,"")</f>
        <v>1</v>
      </c>
      <c r="J34" s="5" t="str">
        <f>IF(IF(Table44246665727779[[#This Row],[Pre or Post]]="Post",1,0)+IF(ISNUMBER(Table44246665727779[[#This Row],[Response]])=TRUE,1,0)=2,1,"")</f>
        <v/>
      </c>
      <c r="K34" s="6">
        <f>IF(IF(Table44246665727779[[#This Row],[Pre or Post]]="Pre",1,0)+IF(ISNUMBER(Table44246665727779[[#This Row],[Response]])=TRUE,1,0)=2,Table44246665727779[[#This Row],[Response]],"")</f>
        <v>3</v>
      </c>
      <c r="L34" s="6" t="str">
        <f>IF(IF(Table44246665727779[[#This Row],[Pre or Post]]="Post",1,0)+IF(ISNUMBER(Table44246665727779[[#This Row],[Response]])=TRUE,1,0)=2,Table44246665727779[[#This Row],[Response]],"")</f>
        <v/>
      </c>
      <c r="M34" s="5">
        <f>IF(IF(ISNUMBER(K34),1,0)+IF(ISNUMBER(L35),1,0)=2,IF(IF(C35=C34,1,0)+IF(B35=B34,1,0)+IF(D35="Post",1,0)+IF(D34="Pre",1,0)=4,Table44246665727779[[#This Row],[Pre Total]],""),"")</f>
        <v>3</v>
      </c>
      <c r="N34" s="5" t="str">
        <f>IF(IF(ISNUMBER(K33),1,0)+IF(ISNUMBER(Table44246665727779[[#This Row],[Post Total]]),1,0)=2,IF(IF(Table44246665727779[[#This Row],[Student Number]]=C33,1,0)+IF(Table44246665727779[[#This Row],[Session]]=B33,1,0)+IF(Table44246665727779[[#This Row],[Pre or Post]]="Post",1,0)+IF(D33="Pre",1,0)=4,Table44246665727779[[#This Row],[Post Total]],""),"")</f>
        <v/>
      </c>
      <c r="O34" s="5" t="str">
        <f>IF(IF(ISNUMBER(K33),1,0)+IF(ISNUMBER(Table44246665727779[[#This Row],[Post Total]]),1,0)=2,IF(IF(Table44246665727779[[#This Row],[Student Number]]=C33,1,0)+IF(Table44246665727779[[#This Row],[Session]]=B33,1,0)+IF(Table44246665727779[[#This Row],[Pre or Post]]="Post",1,0)+IF(D33="Pre",1,0)=4,Table44246665727779[[#This Row],[Post Total]]-K33,""),"")</f>
        <v/>
      </c>
      <c r="P34" s="5" t="b">
        <f>ISNUMBER(Table44246665727779[[#This Row],[Change]])</f>
        <v>0</v>
      </c>
      <c r="Q34" s="5" t="str">
        <f>IF(E33="Yes",Table44246665727779[[#This Row],[Change]],"")</f>
        <v/>
      </c>
      <c r="R34" s="5" t="str">
        <f>IF(E33="No",Table44246665727779[[#This Row],[Change]],"")</f>
        <v/>
      </c>
      <c r="S34" s="5" t="b">
        <f>ISNUMBER(Table44246665727779[[#This Row],[If Pre6 Yes]])</f>
        <v>0</v>
      </c>
      <c r="T34" s="5" t="b">
        <f>ISNUMBER(Table44246665727779[[#This Row],[If Pre6 No]])</f>
        <v>0</v>
      </c>
    </row>
    <row r="35" spans="1:20">
      <c r="A35" s="2" t="s">
        <v>12</v>
      </c>
      <c r="B35" s="2" t="s">
        <v>21</v>
      </c>
      <c r="C35" s="1">
        <v>5</v>
      </c>
      <c r="D35" s="2" t="s">
        <v>16</v>
      </c>
      <c r="E35" s="5"/>
      <c r="F35" s="1">
        <v>3</v>
      </c>
      <c r="G35" s="1">
        <v>3</v>
      </c>
      <c r="H35" s="2" t="s">
        <v>8</v>
      </c>
      <c r="I35" s="5" t="str">
        <f>IF(IF(Table44246665727779[[#This Row],[Pre or Post]]="Pre",1,0)+IF(ISNUMBER(Table44246665727779[[#This Row],[Response]])=TRUE,1,0)=2,1,"")</f>
        <v/>
      </c>
      <c r="J35" s="5">
        <f>IF(IF(Table44246665727779[[#This Row],[Pre or Post]]="Post",1,0)+IF(ISNUMBER(Table44246665727779[[#This Row],[Response]])=TRUE,1,0)=2,1,"")</f>
        <v>1</v>
      </c>
      <c r="K35" s="6" t="str">
        <f>IF(IF(Table44246665727779[[#This Row],[Pre or Post]]="Pre",1,0)+IF(ISNUMBER(Table44246665727779[[#This Row],[Response]])=TRUE,1,0)=2,Table44246665727779[[#This Row],[Response]],"")</f>
        <v/>
      </c>
      <c r="L35" s="6">
        <f>IF(IF(Table44246665727779[[#This Row],[Pre or Post]]="Post",1,0)+IF(ISNUMBER(Table44246665727779[[#This Row],[Response]])=TRUE,1,0)=2,Table44246665727779[[#This Row],[Response]],"")</f>
        <v>3</v>
      </c>
      <c r="M35" s="5" t="str">
        <f>IF(IF(ISNUMBER(K35),1,0)+IF(ISNUMBER(L36),1,0)=2,IF(IF(C36=C35,1,0)+IF(B36=B35,1,0)+IF(D36="Post",1,0)+IF(D35="Pre",1,0)=4,Table44246665727779[[#This Row],[Pre Total]],""),"")</f>
        <v/>
      </c>
      <c r="N35" s="5">
        <f>IF(IF(ISNUMBER(K34),1,0)+IF(ISNUMBER(Table44246665727779[[#This Row],[Post Total]]),1,0)=2,IF(IF(Table44246665727779[[#This Row],[Student Number]]=C34,1,0)+IF(Table44246665727779[[#This Row],[Session]]=B34,1,0)+IF(Table44246665727779[[#This Row],[Pre or Post]]="Post",1,0)+IF(D34="Pre",1,0)=4,Table44246665727779[[#This Row],[Post Total]],""),"")</f>
        <v>3</v>
      </c>
      <c r="O35" s="5">
        <f>IF(IF(ISNUMBER(K34),1,0)+IF(ISNUMBER(Table44246665727779[[#This Row],[Post Total]]),1,0)=2,IF(IF(Table44246665727779[[#This Row],[Student Number]]=C34,1,0)+IF(Table44246665727779[[#This Row],[Session]]=B34,1,0)+IF(Table44246665727779[[#This Row],[Pre or Post]]="Post",1,0)+IF(D34="Pre",1,0)=4,Table44246665727779[[#This Row],[Post Total]]-K34,""),"")</f>
        <v>0</v>
      </c>
      <c r="P35" s="5" t="b">
        <f>ISNUMBER(Table44246665727779[[#This Row],[Change]])</f>
        <v>1</v>
      </c>
      <c r="Q35" s="5">
        <f>IF(E34="Yes",Table44246665727779[[#This Row],[Change]],"")</f>
        <v>0</v>
      </c>
      <c r="R35" s="5" t="str">
        <f>IF(E34="No",Table44246665727779[[#This Row],[Change]],"")</f>
        <v/>
      </c>
      <c r="S35" s="5" t="b">
        <f>ISNUMBER(Table44246665727779[[#This Row],[If Pre6 Yes]])</f>
        <v>1</v>
      </c>
      <c r="T35" s="5" t="b">
        <f>ISNUMBER(Table44246665727779[[#This Row],[If Pre6 No]])</f>
        <v>0</v>
      </c>
    </row>
    <row r="36" spans="1:20">
      <c r="A36" s="2" t="s">
        <v>12</v>
      </c>
      <c r="B36" s="2" t="s">
        <v>21</v>
      </c>
      <c r="C36" s="1">
        <v>6</v>
      </c>
      <c r="D36" s="2" t="s">
        <v>6</v>
      </c>
      <c r="E36" s="5" t="s">
        <v>8</v>
      </c>
      <c r="F36" s="1">
        <v>10</v>
      </c>
      <c r="G36" s="1">
        <v>3</v>
      </c>
      <c r="H36" s="2" t="s">
        <v>8</v>
      </c>
      <c r="I36" s="6">
        <f>IF(IF(Table44246665727779[[#This Row],[Pre or Post]]="Pre",1,0)+IF(ISNUMBER(Table44246665727779[[#This Row],[Response]])=TRUE,1,0)=2,1,"")</f>
        <v>1</v>
      </c>
      <c r="J36" s="6" t="str">
        <f>IF(IF(Table44246665727779[[#This Row],[Pre or Post]]="Post",1,0)+IF(ISNUMBER(Table44246665727779[[#This Row],[Response]])=TRUE,1,0)=2,1,"")</f>
        <v/>
      </c>
      <c r="K36" s="6">
        <f>IF(IF(Table44246665727779[[#This Row],[Pre or Post]]="Pre",1,0)+IF(ISNUMBER(Table44246665727779[[#This Row],[Response]])=TRUE,1,0)=2,Table44246665727779[[#This Row],[Response]],"")</f>
        <v>3</v>
      </c>
      <c r="L36" s="6" t="str">
        <f>IF(IF(Table44246665727779[[#This Row],[Pre or Post]]="Post",1,0)+IF(ISNUMBER(Table44246665727779[[#This Row],[Response]])=TRUE,1,0)=2,Table44246665727779[[#This Row],[Response]],"")</f>
        <v/>
      </c>
      <c r="M36" s="6">
        <f>IF(IF(ISNUMBER(K36),1,0)+IF(ISNUMBER(L37),1,0)=2,IF(IF(C37=C36,1,0)+IF(B37=B36,1,0)+IF(D37="Post",1,0)+IF(D36="Pre",1,0)=4,Table44246665727779[[#This Row],[Pre Total]],""),"")</f>
        <v>3</v>
      </c>
      <c r="N36" s="6" t="str">
        <f>IF(IF(ISNUMBER(K35),1,0)+IF(ISNUMBER(Table44246665727779[[#This Row],[Post Total]]),1,0)=2,IF(IF(Table44246665727779[[#This Row],[Student Number]]=C35,1,0)+IF(Table44246665727779[[#This Row],[Session]]=B35,1,0)+IF(Table44246665727779[[#This Row],[Pre or Post]]="Post",1,0)+IF(D35="Pre",1,0)=4,Table44246665727779[[#This Row],[Post Total]],""),"")</f>
        <v/>
      </c>
      <c r="O36" s="6" t="str">
        <f>IF(IF(ISNUMBER(K35),1,0)+IF(ISNUMBER(Table44246665727779[[#This Row],[Post Total]]),1,0)=2,IF(IF(Table44246665727779[[#This Row],[Student Number]]=C35,1,0)+IF(Table44246665727779[[#This Row],[Session]]=B35,1,0)+IF(Table44246665727779[[#This Row],[Pre or Post]]="Post",1,0)+IF(D35="Pre",1,0)=4,Table44246665727779[[#This Row],[Post Total]]-K35,""),"")</f>
        <v/>
      </c>
      <c r="P36" s="6" t="b">
        <f>ISNUMBER(Table44246665727779[[#This Row],[Change]])</f>
        <v>0</v>
      </c>
      <c r="Q36" s="5" t="str">
        <f>IF(E35="Yes",Table44246665727779[[#This Row],[Change]],"")</f>
        <v/>
      </c>
      <c r="R36" s="5" t="str">
        <f>IF(E35="No",Table44246665727779[[#This Row],[Change]],"")</f>
        <v/>
      </c>
      <c r="S36" s="5" t="b">
        <f>ISNUMBER(Table44246665727779[[#This Row],[If Pre6 Yes]])</f>
        <v>0</v>
      </c>
      <c r="T36" s="5" t="b">
        <f>ISNUMBER(Table44246665727779[[#This Row],[If Pre6 No]])</f>
        <v>0</v>
      </c>
    </row>
    <row r="37" spans="1:20">
      <c r="A37" s="2" t="s">
        <v>12</v>
      </c>
      <c r="B37" s="2" t="s">
        <v>21</v>
      </c>
      <c r="C37" s="1">
        <v>6</v>
      </c>
      <c r="D37" s="2" t="s">
        <v>16</v>
      </c>
      <c r="E37" s="5"/>
      <c r="F37" s="1">
        <v>3</v>
      </c>
      <c r="G37" s="1">
        <v>4</v>
      </c>
      <c r="H37" s="2" t="s">
        <v>8</v>
      </c>
      <c r="I37" s="6" t="str">
        <f>IF(IF(Table44246665727779[[#This Row],[Pre or Post]]="Pre",1,0)+IF(ISNUMBER(Table44246665727779[[#This Row],[Response]])=TRUE,1,0)=2,1,"")</f>
        <v/>
      </c>
      <c r="J37" s="6">
        <f>IF(IF(Table44246665727779[[#This Row],[Pre or Post]]="Post",1,0)+IF(ISNUMBER(Table44246665727779[[#This Row],[Response]])=TRUE,1,0)=2,1,"")</f>
        <v>1</v>
      </c>
      <c r="K37" s="6" t="str">
        <f>IF(IF(Table44246665727779[[#This Row],[Pre or Post]]="Pre",1,0)+IF(ISNUMBER(Table44246665727779[[#This Row],[Response]])=TRUE,1,0)=2,Table44246665727779[[#This Row],[Response]],"")</f>
        <v/>
      </c>
      <c r="L37" s="6">
        <f>IF(IF(Table44246665727779[[#This Row],[Pre or Post]]="Post",1,0)+IF(ISNUMBER(Table44246665727779[[#This Row],[Response]])=TRUE,1,0)=2,Table44246665727779[[#This Row],[Response]],"")</f>
        <v>4</v>
      </c>
      <c r="M37" s="6" t="str">
        <f>IF(IF(ISNUMBER(K37),1,0)+IF(ISNUMBER(L38),1,0)=2,IF(IF(C38=C37,1,0)+IF(B38=B37,1,0)+IF(D38="Post",1,0)+IF(D37="Pre",1,0)=4,Table44246665727779[[#This Row],[Pre Total]],""),"")</f>
        <v/>
      </c>
      <c r="N37" s="6">
        <f>IF(IF(ISNUMBER(K36),1,0)+IF(ISNUMBER(Table44246665727779[[#This Row],[Post Total]]),1,0)=2,IF(IF(Table44246665727779[[#This Row],[Student Number]]=C36,1,0)+IF(Table44246665727779[[#This Row],[Session]]=B36,1,0)+IF(Table44246665727779[[#This Row],[Pre or Post]]="Post",1,0)+IF(D36="Pre",1,0)=4,Table44246665727779[[#This Row],[Post Total]],""),"")</f>
        <v>4</v>
      </c>
      <c r="O37" s="6">
        <f>IF(IF(ISNUMBER(K36),1,0)+IF(ISNUMBER(Table44246665727779[[#This Row],[Post Total]]),1,0)=2,IF(IF(Table44246665727779[[#This Row],[Student Number]]=C36,1,0)+IF(Table44246665727779[[#This Row],[Session]]=B36,1,0)+IF(Table44246665727779[[#This Row],[Pre or Post]]="Post",1,0)+IF(D36="Pre",1,0)=4,Table44246665727779[[#This Row],[Post Total]]-K36,""),"")</f>
        <v>1</v>
      </c>
      <c r="P37" s="6" t="b">
        <f>ISNUMBER(Table44246665727779[[#This Row],[Change]])</f>
        <v>1</v>
      </c>
      <c r="Q37" s="5">
        <f>IF(E36="Yes",Table44246665727779[[#This Row],[Change]],"")</f>
        <v>1</v>
      </c>
      <c r="R37" s="5" t="str">
        <f>IF(E36="No",Table44246665727779[[#This Row],[Change]],"")</f>
        <v/>
      </c>
      <c r="S37" s="5" t="b">
        <f>ISNUMBER(Table44246665727779[[#This Row],[If Pre6 Yes]])</f>
        <v>1</v>
      </c>
      <c r="T37" s="5" t="b">
        <f>ISNUMBER(Table44246665727779[[#This Row],[If Pre6 No]])</f>
        <v>0</v>
      </c>
    </row>
    <row r="38" spans="1:20">
      <c r="A38" s="2" t="s">
        <v>12</v>
      </c>
      <c r="B38" s="2" t="s">
        <v>21</v>
      </c>
      <c r="C38" s="1">
        <v>7</v>
      </c>
      <c r="D38" s="2" t="s">
        <v>6</v>
      </c>
      <c r="E38" s="5" t="s">
        <v>8</v>
      </c>
      <c r="F38" s="1">
        <v>10</v>
      </c>
      <c r="G38" s="1">
        <v>3</v>
      </c>
      <c r="H38" s="2" t="s">
        <v>8</v>
      </c>
      <c r="I38" s="5">
        <f>IF(IF(Table44246665727779[[#This Row],[Pre or Post]]="Pre",1,0)+IF(ISNUMBER(Table44246665727779[[#This Row],[Response]])=TRUE,1,0)=2,1,"")</f>
        <v>1</v>
      </c>
      <c r="J38" s="5" t="str">
        <f>IF(IF(Table44246665727779[[#This Row],[Pre or Post]]="Post",1,0)+IF(ISNUMBER(Table44246665727779[[#This Row],[Response]])=TRUE,1,0)=2,1,"")</f>
        <v/>
      </c>
      <c r="K38" s="6">
        <f>IF(IF(Table44246665727779[[#This Row],[Pre or Post]]="Pre",1,0)+IF(ISNUMBER(Table44246665727779[[#This Row],[Response]])=TRUE,1,0)=2,Table44246665727779[[#This Row],[Response]],"")</f>
        <v>3</v>
      </c>
      <c r="L38" s="6" t="str">
        <f>IF(IF(Table44246665727779[[#This Row],[Pre or Post]]="Post",1,0)+IF(ISNUMBER(Table44246665727779[[#This Row],[Response]])=TRUE,1,0)=2,Table44246665727779[[#This Row],[Response]],"")</f>
        <v/>
      </c>
      <c r="M38" s="5">
        <f>IF(IF(ISNUMBER(K38),1,0)+IF(ISNUMBER(L39),1,0)=2,IF(IF(C39=C38,1,0)+IF(B39=B38,1,0)+IF(D39="Post",1,0)+IF(D38="Pre",1,0)=4,Table44246665727779[[#This Row],[Pre Total]],""),"")</f>
        <v>3</v>
      </c>
      <c r="N38" s="5" t="str">
        <f>IF(IF(ISNUMBER(K37),1,0)+IF(ISNUMBER(Table44246665727779[[#This Row],[Post Total]]),1,0)=2,IF(IF(Table44246665727779[[#This Row],[Student Number]]=C37,1,0)+IF(Table44246665727779[[#This Row],[Session]]=B37,1,0)+IF(Table44246665727779[[#This Row],[Pre or Post]]="Post",1,0)+IF(D37="Pre",1,0)=4,Table44246665727779[[#This Row],[Post Total]],""),"")</f>
        <v/>
      </c>
      <c r="O38" s="5" t="str">
        <f>IF(IF(ISNUMBER(K37),1,0)+IF(ISNUMBER(Table44246665727779[[#This Row],[Post Total]]),1,0)=2,IF(IF(Table44246665727779[[#This Row],[Student Number]]=C37,1,0)+IF(Table44246665727779[[#This Row],[Session]]=B37,1,0)+IF(Table44246665727779[[#This Row],[Pre or Post]]="Post",1,0)+IF(D37="Pre",1,0)=4,Table44246665727779[[#This Row],[Post Total]]-K37,""),"")</f>
        <v/>
      </c>
      <c r="P38" s="5" t="b">
        <f>ISNUMBER(Table44246665727779[[#This Row],[Change]])</f>
        <v>0</v>
      </c>
      <c r="Q38" s="5" t="str">
        <f>IF(E37="Yes",Table44246665727779[[#This Row],[Change]],"")</f>
        <v/>
      </c>
      <c r="R38" s="5" t="str">
        <f>IF(E37="No",Table44246665727779[[#This Row],[Change]],"")</f>
        <v/>
      </c>
      <c r="S38" s="5" t="b">
        <f>ISNUMBER(Table44246665727779[[#This Row],[If Pre6 Yes]])</f>
        <v>0</v>
      </c>
      <c r="T38" s="5" t="b">
        <f>ISNUMBER(Table44246665727779[[#This Row],[If Pre6 No]])</f>
        <v>0</v>
      </c>
    </row>
    <row r="39" spans="1:20">
      <c r="A39" s="2" t="s">
        <v>12</v>
      </c>
      <c r="B39" s="2" t="s">
        <v>21</v>
      </c>
      <c r="C39" s="1">
        <v>7</v>
      </c>
      <c r="D39" s="2" t="s">
        <v>16</v>
      </c>
      <c r="E39" s="5"/>
      <c r="F39" s="1">
        <v>3</v>
      </c>
      <c r="G39" s="1">
        <v>3</v>
      </c>
      <c r="H39" s="2" t="s">
        <v>8</v>
      </c>
      <c r="I39" s="6" t="str">
        <f>IF(IF(Table44246665727779[[#This Row],[Pre or Post]]="Pre",1,0)+IF(ISNUMBER(Table44246665727779[[#This Row],[Response]])=TRUE,1,0)=2,1,"")</f>
        <v/>
      </c>
      <c r="J39" s="6">
        <f>IF(IF(Table44246665727779[[#This Row],[Pre or Post]]="Post",1,0)+IF(ISNUMBER(Table44246665727779[[#This Row],[Response]])=TRUE,1,0)=2,1,"")</f>
        <v>1</v>
      </c>
      <c r="K39" s="6" t="str">
        <f>IF(IF(Table44246665727779[[#This Row],[Pre or Post]]="Pre",1,0)+IF(ISNUMBER(Table44246665727779[[#This Row],[Response]])=TRUE,1,0)=2,Table44246665727779[[#This Row],[Response]],"")</f>
        <v/>
      </c>
      <c r="L39" s="6">
        <f>IF(IF(Table44246665727779[[#This Row],[Pre or Post]]="Post",1,0)+IF(ISNUMBER(Table44246665727779[[#This Row],[Response]])=TRUE,1,0)=2,Table44246665727779[[#This Row],[Response]],"")</f>
        <v>3</v>
      </c>
      <c r="M39" s="6" t="str">
        <f>IF(IF(ISNUMBER(K39),1,0)+IF(ISNUMBER(L40),1,0)=2,IF(IF(C40=C39,1,0)+IF(B40=B39,1,0)+IF(D40="Post",1,0)+IF(D39="Pre",1,0)=4,Table44246665727779[[#This Row],[Pre Total]],""),"")</f>
        <v/>
      </c>
      <c r="N39" s="6">
        <f>IF(IF(ISNUMBER(K38),1,0)+IF(ISNUMBER(Table44246665727779[[#This Row],[Post Total]]),1,0)=2,IF(IF(Table44246665727779[[#This Row],[Student Number]]=C38,1,0)+IF(Table44246665727779[[#This Row],[Session]]=B38,1,0)+IF(Table44246665727779[[#This Row],[Pre or Post]]="Post",1,0)+IF(D38="Pre",1,0)=4,Table44246665727779[[#This Row],[Post Total]],""),"")</f>
        <v>3</v>
      </c>
      <c r="O39" s="6">
        <f>IF(IF(ISNUMBER(K38),1,0)+IF(ISNUMBER(Table44246665727779[[#This Row],[Post Total]]),1,0)=2,IF(IF(Table44246665727779[[#This Row],[Student Number]]=C38,1,0)+IF(Table44246665727779[[#This Row],[Session]]=B38,1,0)+IF(Table44246665727779[[#This Row],[Pre or Post]]="Post",1,0)+IF(D38="Pre",1,0)=4,Table44246665727779[[#This Row],[Post Total]]-K38,""),"")</f>
        <v>0</v>
      </c>
      <c r="P39" s="6" t="b">
        <f>ISNUMBER(Table44246665727779[[#This Row],[Change]])</f>
        <v>1</v>
      </c>
      <c r="Q39" s="5">
        <f>IF(E38="Yes",Table44246665727779[[#This Row],[Change]],"")</f>
        <v>0</v>
      </c>
      <c r="R39" s="5" t="str">
        <f>IF(E38="No",Table44246665727779[[#This Row],[Change]],"")</f>
        <v/>
      </c>
      <c r="S39" s="5" t="b">
        <f>ISNUMBER(Table44246665727779[[#This Row],[If Pre6 Yes]])</f>
        <v>1</v>
      </c>
      <c r="T39" s="5" t="b">
        <f>ISNUMBER(Table44246665727779[[#This Row],[If Pre6 No]])</f>
        <v>0</v>
      </c>
    </row>
    <row r="40" spans="1:20">
      <c r="A40" s="2" t="s">
        <v>12</v>
      </c>
      <c r="B40" s="2" t="s">
        <v>21</v>
      </c>
      <c r="C40" s="1">
        <v>8</v>
      </c>
      <c r="D40" s="2" t="s">
        <v>6</v>
      </c>
      <c r="E40" s="5" t="s">
        <v>8</v>
      </c>
      <c r="F40" s="1">
        <v>10</v>
      </c>
      <c r="G40" s="1">
        <v>2</v>
      </c>
      <c r="H40" s="2" t="s">
        <v>8</v>
      </c>
      <c r="I40" s="5">
        <f>IF(IF(Table44246665727779[[#This Row],[Pre or Post]]="Pre",1,0)+IF(ISNUMBER(Table44246665727779[[#This Row],[Response]])=TRUE,1,0)=2,1,"")</f>
        <v>1</v>
      </c>
      <c r="J40" s="5" t="str">
        <f>IF(IF(Table44246665727779[[#This Row],[Pre or Post]]="Post",1,0)+IF(ISNUMBER(Table44246665727779[[#This Row],[Response]])=TRUE,1,0)=2,1,"")</f>
        <v/>
      </c>
      <c r="K40" s="6">
        <f>IF(IF(Table44246665727779[[#This Row],[Pre or Post]]="Pre",1,0)+IF(ISNUMBER(Table44246665727779[[#This Row],[Response]])=TRUE,1,0)=2,Table44246665727779[[#This Row],[Response]],"")</f>
        <v>2</v>
      </c>
      <c r="L40" s="6" t="str">
        <f>IF(IF(Table44246665727779[[#This Row],[Pre or Post]]="Post",1,0)+IF(ISNUMBER(Table44246665727779[[#This Row],[Response]])=TRUE,1,0)=2,Table44246665727779[[#This Row],[Response]],"")</f>
        <v/>
      </c>
      <c r="M40" s="5">
        <f>IF(IF(ISNUMBER(K40),1,0)+IF(ISNUMBER(L41),1,0)=2,IF(IF(C41=C40,1,0)+IF(B41=B40,1,0)+IF(D41="Post",1,0)+IF(D40="Pre",1,0)=4,Table44246665727779[[#This Row],[Pre Total]],""),"")</f>
        <v>2</v>
      </c>
      <c r="N40" s="5" t="str">
        <f>IF(IF(ISNUMBER(K39),1,0)+IF(ISNUMBER(Table44246665727779[[#This Row],[Post Total]]),1,0)=2,IF(IF(Table44246665727779[[#This Row],[Student Number]]=C39,1,0)+IF(Table44246665727779[[#This Row],[Session]]=B39,1,0)+IF(Table44246665727779[[#This Row],[Pre or Post]]="Post",1,0)+IF(D39="Pre",1,0)=4,Table44246665727779[[#This Row],[Post Total]],""),"")</f>
        <v/>
      </c>
      <c r="O40" s="5" t="str">
        <f>IF(IF(ISNUMBER(K39),1,0)+IF(ISNUMBER(Table44246665727779[[#This Row],[Post Total]]),1,0)=2,IF(IF(Table44246665727779[[#This Row],[Student Number]]=C39,1,0)+IF(Table44246665727779[[#This Row],[Session]]=B39,1,0)+IF(Table44246665727779[[#This Row],[Pre or Post]]="Post",1,0)+IF(D39="Pre",1,0)=4,Table44246665727779[[#This Row],[Post Total]]-K39,""),"")</f>
        <v/>
      </c>
      <c r="P40" s="5" t="b">
        <f>ISNUMBER(Table44246665727779[[#This Row],[Change]])</f>
        <v>0</v>
      </c>
      <c r="Q40" s="5" t="str">
        <f>IF(E39="Yes",Table44246665727779[[#This Row],[Change]],"")</f>
        <v/>
      </c>
      <c r="R40" s="5" t="str">
        <f>IF(E39="No",Table44246665727779[[#This Row],[Change]],"")</f>
        <v/>
      </c>
      <c r="S40" s="5" t="b">
        <f>ISNUMBER(Table44246665727779[[#This Row],[If Pre6 Yes]])</f>
        <v>0</v>
      </c>
      <c r="T40" s="5" t="b">
        <f>ISNUMBER(Table44246665727779[[#This Row],[If Pre6 No]])</f>
        <v>0</v>
      </c>
    </row>
    <row r="41" spans="1:20">
      <c r="A41" s="2" t="s">
        <v>12</v>
      </c>
      <c r="B41" s="2" t="s">
        <v>21</v>
      </c>
      <c r="C41" s="1">
        <v>8</v>
      </c>
      <c r="D41" s="2" t="s">
        <v>16</v>
      </c>
      <c r="E41" s="5"/>
      <c r="F41" s="1">
        <v>3</v>
      </c>
      <c r="G41" s="1">
        <v>3</v>
      </c>
      <c r="H41" s="2" t="s">
        <v>8</v>
      </c>
      <c r="I41" s="5" t="str">
        <f>IF(IF(Table44246665727779[[#This Row],[Pre or Post]]="Pre",1,0)+IF(ISNUMBER(Table44246665727779[[#This Row],[Response]])=TRUE,1,0)=2,1,"")</f>
        <v/>
      </c>
      <c r="J41" s="5">
        <f>IF(IF(Table44246665727779[[#This Row],[Pre or Post]]="Post",1,0)+IF(ISNUMBER(Table44246665727779[[#This Row],[Response]])=TRUE,1,0)=2,1,"")</f>
        <v>1</v>
      </c>
      <c r="K41" s="6" t="str">
        <f>IF(IF(Table44246665727779[[#This Row],[Pre or Post]]="Pre",1,0)+IF(ISNUMBER(Table44246665727779[[#This Row],[Response]])=TRUE,1,0)=2,Table44246665727779[[#This Row],[Response]],"")</f>
        <v/>
      </c>
      <c r="L41" s="6">
        <f>IF(IF(Table44246665727779[[#This Row],[Pre or Post]]="Post",1,0)+IF(ISNUMBER(Table44246665727779[[#This Row],[Response]])=TRUE,1,0)=2,Table44246665727779[[#This Row],[Response]],"")</f>
        <v>3</v>
      </c>
      <c r="M41" s="5" t="str">
        <f>IF(IF(ISNUMBER(K41),1,0)+IF(ISNUMBER(L42),1,0)=2,IF(IF(C42=C41,1,0)+IF(B42=B41,1,0)+IF(D42="Post",1,0)+IF(D41="Pre",1,0)=4,Table44246665727779[[#This Row],[Pre Total]],""),"")</f>
        <v/>
      </c>
      <c r="N41" s="5">
        <f>IF(IF(ISNUMBER(K40),1,0)+IF(ISNUMBER(Table44246665727779[[#This Row],[Post Total]]),1,0)=2,IF(IF(Table44246665727779[[#This Row],[Student Number]]=C40,1,0)+IF(Table44246665727779[[#This Row],[Session]]=B40,1,0)+IF(Table44246665727779[[#This Row],[Pre or Post]]="Post",1,0)+IF(D40="Pre",1,0)=4,Table44246665727779[[#This Row],[Post Total]],""),"")</f>
        <v>3</v>
      </c>
      <c r="O41" s="5">
        <f>IF(IF(ISNUMBER(K40),1,0)+IF(ISNUMBER(Table44246665727779[[#This Row],[Post Total]]),1,0)=2,IF(IF(Table44246665727779[[#This Row],[Student Number]]=C40,1,0)+IF(Table44246665727779[[#This Row],[Session]]=B40,1,0)+IF(Table44246665727779[[#This Row],[Pre or Post]]="Post",1,0)+IF(D40="Pre",1,0)=4,Table44246665727779[[#This Row],[Post Total]]-K40,""),"")</f>
        <v>1</v>
      </c>
      <c r="P41" s="5" t="b">
        <f>ISNUMBER(Table44246665727779[[#This Row],[Change]])</f>
        <v>1</v>
      </c>
      <c r="Q41" s="5">
        <f>IF(E40="Yes",Table44246665727779[[#This Row],[Change]],"")</f>
        <v>1</v>
      </c>
      <c r="R41" s="5" t="str">
        <f>IF(E40="No",Table44246665727779[[#This Row],[Change]],"")</f>
        <v/>
      </c>
      <c r="S41" s="5" t="b">
        <f>ISNUMBER(Table44246665727779[[#This Row],[If Pre6 Yes]])</f>
        <v>1</v>
      </c>
      <c r="T41" s="5" t="b">
        <f>ISNUMBER(Table44246665727779[[#This Row],[If Pre6 No]])</f>
        <v>0</v>
      </c>
    </row>
    <row r="42" spans="1:20">
      <c r="A42" s="2" t="s">
        <v>12</v>
      </c>
      <c r="B42" s="2" t="s">
        <v>21</v>
      </c>
      <c r="C42" s="1">
        <v>9</v>
      </c>
      <c r="D42" s="2" t="s">
        <v>6</v>
      </c>
      <c r="E42" s="5" t="s">
        <v>8</v>
      </c>
      <c r="F42" s="1">
        <v>10</v>
      </c>
      <c r="G42" s="1">
        <v>4</v>
      </c>
      <c r="H42" s="2" t="s">
        <v>8</v>
      </c>
      <c r="I42" s="6">
        <f>IF(IF(Table44246665727779[[#This Row],[Pre or Post]]="Pre",1,0)+IF(ISNUMBER(Table44246665727779[[#This Row],[Response]])=TRUE,1,0)=2,1,"")</f>
        <v>1</v>
      </c>
      <c r="J42" s="6" t="str">
        <f>IF(IF(Table44246665727779[[#This Row],[Pre or Post]]="Post",1,0)+IF(ISNUMBER(Table44246665727779[[#This Row],[Response]])=TRUE,1,0)=2,1,"")</f>
        <v/>
      </c>
      <c r="K42" s="6">
        <f>IF(IF(Table44246665727779[[#This Row],[Pre or Post]]="Pre",1,0)+IF(ISNUMBER(Table44246665727779[[#This Row],[Response]])=TRUE,1,0)=2,Table44246665727779[[#This Row],[Response]],"")</f>
        <v>4</v>
      </c>
      <c r="L42" s="6" t="str">
        <f>IF(IF(Table44246665727779[[#This Row],[Pre or Post]]="Post",1,0)+IF(ISNUMBER(Table44246665727779[[#This Row],[Response]])=TRUE,1,0)=2,Table44246665727779[[#This Row],[Response]],"")</f>
        <v/>
      </c>
      <c r="M42" s="6">
        <f>IF(IF(ISNUMBER(K42),1,0)+IF(ISNUMBER(L43),1,0)=2,IF(IF(C43=C42,1,0)+IF(B43=B42,1,0)+IF(D43="Post",1,0)+IF(D42="Pre",1,0)=4,Table44246665727779[[#This Row],[Pre Total]],""),"")</f>
        <v>4</v>
      </c>
      <c r="N42" s="6" t="str">
        <f>IF(IF(ISNUMBER(K41),1,0)+IF(ISNUMBER(Table44246665727779[[#This Row],[Post Total]]),1,0)=2,IF(IF(Table44246665727779[[#This Row],[Student Number]]=C41,1,0)+IF(Table44246665727779[[#This Row],[Session]]=B41,1,0)+IF(Table44246665727779[[#This Row],[Pre or Post]]="Post",1,0)+IF(D41="Pre",1,0)=4,Table44246665727779[[#This Row],[Post Total]],""),"")</f>
        <v/>
      </c>
      <c r="O42" s="6" t="str">
        <f>IF(IF(ISNUMBER(K41),1,0)+IF(ISNUMBER(Table44246665727779[[#This Row],[Post Total]]),1,0)=2,IF(IF(Table44246665727779[[#This Row],[Student Number]]=C41,1,0)+IF(Table44246665727779[[#This Row],[Session]]=B41,1,0)+IF(Table44246665727779[[#This Row],[Pre or Post]]="Post",1,0)+IF(D41="Pre",1,0)=4,Table44246665727779[[#This Row],[Post Total]]-K41,""),"")</f>
        <v/>
      </c>
      <c r="P42" s="6" t="b">
        <f>ISNUMBER(Table44246665727779[[#This Row],[Change]])</f>
        <v>0</v>
      </c>
      <c r="Q42" s="5" t="str">
        <f>IF(E41="Yes",Table44246665727779[[#This Row],[Change]],"")</f>
        <v/>
      </c>
      <c r="R42" s="5" t="str">
        <f>IF(E41="No",Table44246665727779[[#This Row],[Change]],"")</f>
        <v/>
      </c>
      <c r="S42" s="5" t="b">
        <f>ISNUMBER(Table44246665727779[[#This Row],[If Pre6 Yes]])</f>
        <v>0</v>
      </c>
      <c r="T42" s="5" t="b">
        <f>ISNUMBER(Table44246665727779[[#This Row],[If Pre6 No]])</f>
        <v>0</v>
      </c>
    </row>
    <row r="43" spans="1:20">
      <c r="A43" s="2" t="s">
        <v>12</v>
      </c>
      <c r="B43" s="2" t="s">
        <v>21</v>
      </c>
      <c r="C43" s="1">
        <v>9</v>
      </c>
      <c r="D43" s="2" t="s">
        <v>16</v>
      </c>
      <c r="E43" s="5"/>
      <c r="F43" s="1">
        <v>3</v>
      </c>
      <c r="G43" s="1">
        <v>4</v>
      </c>
      <c r="H43" s="2" t="s">
        <v>8</v>
      </c>
      <c r="I43" s="5" t="str">
        <f>IF(IF(Table44246665727779[[#This Row],[Pre or Post]]="Pre",1,0)+IF(ISNUMBER(Table44246665727779[[#This Row],[Response]])=TRUE,1,0)=2,1,"")</f>
        <v/>
      </c>
      <c r="J43" s="5">
        <f>IF(IF(Table44246665727779[[#This Row],[Pre or Post]]="Post",1,0)+IF(ISNUMBER(Table44246665727779[[#This Row],[Response]])=TRUE,1,0)=2,1,"")</f>
        <v>1</v>
      </c>
      <c r="K43" s="6" t="str">
        <f>IF(IF(Table44246665727779[[#This Row],[Pre or Post]]="Pre",1,0)+IF(ISNUMBER(Table44246665727779[[#This Row],[Response]])=TRUE,1,0)=2,Table44246665727779[[#This Row],[Response]],"")</f>
        <v/>
      </c>
      <c r="L43" s="6">
        <f>IF(IF(Table44246665727779[[#This Row],[Pre or Post]]="Post",1,0)+IF(ISNUMBER(Table44246665727779[[#This Row],[Response]])=TRUE,1,0)=2,Table44246665727779[[#This Row],[Response]],"")</f>
        <v>4</v>
      </c>
      <c r="M43" s="5" t="str">
        <f>IF(IF(ISNUMBER(K43),1,0)+IF(ISNUMBER(L44),1,0)=2,IF(IF(C44=C43,1,0)+IF(B44=B43,1,0)+IF(D44="Post",1,0)+IF(D43="Pre",1,0)=4,Table44246665727779[[#This Row],[Pre Total]],""),"")</f>
        <v/>
      </c>
      <c r="N43" s="5">
        <f>IF(IF(ISNUMBER(K42),1,0)+IF(ISNUMBER(Table44246665727779[[#This Row],[Post Total]]),1,0)=2,IF(IF(Table44246665727779[[#This Row],[Student Number]]=C42,1,0)+IF(Table44246665727779[[#This Row],[Session]]=B42,1,0)+IF(Table44246665727779[[#This Row],[Pre or Post]]="Post",1,0)+IF(D42="Pre",1,0)=4,Table44246665727779[[#This Row],[Post Total]],""),"")</f>
        <v>4</v>
      </c>
      <c r="O43" s="5">
        <f>IF(IF(ISNUMBER(K42),1,0)+IF(ISNUMBER(Table44246665727779[[#This Row],[Post Total]]),1,0)=2,IF(IF(Table44246665727779[[#This Row],[Student Number]]=C42,1,0)+IF(Table44246665727779[[#This Row],[Session]]=B42,1,0)+IF(Table44246665727779[[#This Row],[Pre or Post]]="Post",1,0)+IF(D42="Pre",1,0)=4,Table44246665727779[[#This Row],[Post Total]]-K42,""),"")</f>
        <v>0</v>
      </c>
      <c r="P43" s="5" t="b">
        <f>ISNUMBER(Table44246665727779[[#This Row],[Change]])</f>
        <v>1</v>
      </c>
      <c r="Q43" s="5">
        <f>IF(E42="Yes",Table44246665727779[[#This Row],[Change]],"")</f>
        <v>0</v>
      </c>
      <c r="R43" s="5" t="str">
        <f>IF(E42="No",Table44246665727779[[#This Row],[Change]],"")</f>
        <v/>
      </c>
      <c r="S43" s="5" t="b">
        <f>ISNUMBER(Table44246665727779[[#This Row],[If Pre6 Yes]])</f>
        <v>1</v>
      </c>
      <c r="T43" s="5" t="b">
        <f>ISNUMBER(Table44246665727779[[#This Row],[If Pre6 No]])</f>
        <v>0</v>
      </c>
    </row>
    <row r="44" spans="1:20">
      <c r="A44" s="2" t="s">
        <v>12</v>
      </c>
      <c r="B44" s="2" t="s">
        <v>21</v>
      </c>
      <c r="C44" s="1">
        <v>10</v>
      </c>
      <c r="D44" s="2" t="s">
        <v>6</v>
      </c>
      <c r="E44" s="5" t="s">
        <v>9</v>
      </c>
      <c r="F44" s="1">
        <v>10</v>
      </c>
      <c r="G44" s="1">
        <v>5</v>
      </c>
      <c r="H44" s="2" t="s">
        <v>8</v>
      </c>
      <c r="I44" s="5">
        <f>IF(IF(Table44246665727779[[#This Row],[Pre or Post]]="Pre",1,0)+IF(ISNUMBER(Table44246665727779[[#This Row],[Response]])=TRUE,1,0)=2,1,"")</f>
        <v>1</v>
      </c>
      <c r="J44" s="5" t="str">
        <f>IF(IF(Table44246665727779[[#This Row],[Pre or Post]]="Post",1,0)+IF(ISNUMBER(Table44246665727779[[#This Row],[Response]])=TRUE,1,0)=2,1,"")</f>
        <v/>
      </c>
      <c r="K44" s="6">
        <f>IF(IF(Table44246665727779[[#This Row],[Pre or Post]]="Pre",1,0)+IF(ISNUMBER(Table44246665727779[[#This Row],[Response]])=TRUE,1,0)=2,Table44246665727779[[#This Row],[Response]],"")</f>
        <v>5</v>
      </c>
      <c r="L44" s="6" t="str">
        <f>IF(IF(Table44246665727779[[#This Row],[Pre or Post]]="Post",1,0)+IF(ISNUMBER(Table44246665727779[[#This Row],[Response]])=TRUE,1,0)=2,Table44246665727779[[#This Row],[Response]],"")</f>
        <v/>
      </c>
      <c r="M44" s="5">
        <f>IF(IF(ISNUMBER(K44),1,0)+IF(ISNUMBER(L45),1,0)=2,IF(IF(C45=C44,1,0)+IF(B45=B44,1,0)+IF(D45="Post",1,0)+IF(D44="Pre",1,0)=4,Table44246665727779[[#This Row],[Pre Total]],""),"")</f>
        <v>5</v>
      </c>
      <c r="N44" s="5" t="str">
        <f>IF(IF(ISNUMBER(K43),1,0)+IF(ISNUMBER(Table44246665727779[[#This Row],[Post Total]]),1,0)=2,IF(IF(Table44246665727779[[#This Row],[Student Number]]=C43,1,0)+IF(Table44246665727779[[#This Row],[Session]]=B43,1,0)+IF(Table44246665727779[[#This Row],[Pre or Post]]="Post",1,0)+IF(D43="Pre",1,0)=4,Table44246665727779[[#This Row],[Post Total]],""),"")</f>
        <v/>
      </c>
      <c r="O44" s="5" t="str">
        <f>IF(IF(ISNUMBER(K43),1,0)+IF(ISNUMBER(Table44246665727779[[#This Row],[Post Total]]),1,0)=2,IF(IF(Table44246665727779[[#This Row],[Student Number]]=C43,1,0)+IF(Table44246665727779[[#This Row],[Session]]=B43,1,0)+IF(Table44246665727779[[#This Row],[Pre or Post]]="Post",1,0)+IF(D43="Pre",1,0)=4,Table44246665727779[[#This Row],[Post Total]]-K43,""),"")</f>
        <v/>
      </c>
      <c r="P44" s="5" t="b">
        <f>ISNUMBER(Table44246665727779[[#This Row],[Change]])</f>
        <v>0</v>
      </c>
      <c r="Q44" s="5" t="str">
        <f>IF(E43="Yes",Table44246665727779[[#This Row],[Change]],"")</f>
        <v/>
      </c>
      <c r="R44" s="5" t="str">
        <f>IF(E43="No",Table44246665727779[[#This Row],[Change]],"")</f>
        <v/>
      </c>
      <c r="S44" s="5" t="b">
        <f>ISNUMBER(Table44246665727779[[#This Row],[If Pre6 Yes]])</f>
        <v>0</v>
      </c>
      <c r="T44" s="5" t="b">
        <f>ISNUMBER(Table44246665727779[[#This Row],[If Pre6 No]])</f>
        <v>0</v>
      </c>
    </row>
    <row r="45" spans="1:20">
      <c r="A45" s="2" t="s">
        <v>12</v>
      </c>
      <c r="B45" s="2" t="s">
        <v>21</v>
      </c>
      <c r="C45" s="1">
        <v>10</v>
      </c>
      <c r="D45" s="2" t="s">
        <v>16</v>
      </c>
      <c r="E45" s="5"/>
      <c r="F45" s="1">
        <v>3</v>
      </c>
      <c r="G45" s="1">
        <v>5</v>
      </c>
      <c r="H45" s="2" t="s">
        <v>8</v>
      </c>
      <c r="I45" s="5" t="str">
        <f>IF(IF(Table44246665727779[[#This Row],[Pre or Post]]="Pre",1,0)+IF(ISNUMBER(Table44246665727779[[#This Row],[Response]])=TRUE,1,0)=2,1,"")</f>
        <v/>
      </c>
      <c r="J45" s="5">
        <f>IF(IF(Table44246665727779[[#This Row],[Pre or Post]]="Post",1,0)+IF(ISNUMBER(Table44246665727779[[#This Row],[Response]])=TRUE,1,0)=2,1,"")</f>
        <v>1</v>
      </c>
      <c r="K45" s="6" t="str">
        <f>IF(IF(Table44246665727779[[#This Row],[Pre or Post]]="Pre",1,0)+IF(ISNUMBER(Table44246665727779[[#This Row],[Response]])=TRUE,1,0)=2,Table44246665727779[[#This Row],[Response]],"")</f>
        <v/>
      </c>
      <c r="L45" s="6">
        <f>IF(IF(Table44246665727779[[#This Row],[Pre or Post]]="Post",1,0)+IF(ISNUMBER(Table44246665727779[[#This Row],[Response]])=TRUE,1,0)=2,Table44246665727779[[#This Row],[Response]],"")</f>
        <v>5</v>
      </c>
      <c r="M45" s="5" t="str">
        <f>IF(IF(ISNUMBER(K45),1,0)+IF(ISNUMBER(L46),1,0)=2,IF(IF(C46=C45,1,0)+IF(B46=B45,1,0)+IF(D46="Post",1,0)+IF(D45="Pre",1,0)=4,Table44246665727779[[#This Row],[Pre Total]],""),"")</f>
        <v/>
      </c>
      <c r="N45" s="5">
        <f>IF(IF(ISNUMBER(K44),1,0)+IF(ISNUMBER(Table44246665727779[[#This Row],[Post Total]]),1,0)=2,IF(IF(Table44246665727779[[#This Row],[Student Number]]=C44,1,0)+IF(Table44246665727779[[#This Row],[Session]]=B44,1,0)+IF(Table44246665727779[[#This Row],[Pre or Post]]="Post",1,0)+IF(D44="Pre",1,0)=4,Table44246665727779[[#This Row],[Post Total]],""),"")</f>
        <v>5</v>
      </c>
      <c r="O45" s="5">
        <f>IF(IF(ISNUMBER(K44),1,0)+IF(ISNUMBER(Table44246665727779[[#This Row],[Post Total]]),1,0)=2,IF(IF(Table44246665727779[[#This Row],[Student Number]]=C44,1,0)+IF(Table44246665727779[[#This Row],[Session]]=B44,1,0)+IF(Table44246665727779[[#This Row],[Pre or Post]]="Post",1,0)+IF(D44="Pre",1,0)=4,Table44246665727779[[#This Row],[Post Total]]-K44,""),"")</f>
        <v>0</v>
      </c>
      <c r="P45" s="5" t="b">
        <f>ISNUMBER(Table44246665727779[[#This Row],[Change]])</f>
        <v>1</v>
      </c>
      <c r="Q45" s="5" t="str">
        <f>IF(E44="Yes",Table44246665727779[[#This Row],[Change]],"")</f>
        <v/>
      </c>
      <c r="R45" s="5">
        <f>IF(E44="No",Table44246665727779[[#This Row],[Change]],"")</f>
        <v>0</v>
      </c>
      <c r="S45" s="5" t="b">
        <f>ISNUMBER(Table44246665727779[[#This Row],[If Pre6 Yes]])</f>
        <v>0</v>
      </c>
      <c r="T45" s="5" t="b">
        <f>ISNUMBER(Table44246665727779[[#This Row],[If Pre6 No]])</f>
        <v>1</v>
      </c>
    </row>
    <row r="46" spans="1:20">
      <c r="A46" s="2" t="s">
        <v>12</v>
      </c>
      <c r="B46" s="2" t="s">
        <v>21</v>
      </c>
      <c r="C46" s="1">
        <v>11</v>
      </c>
      <c r="D46" s="2" t="s">
        <v>6</v>
      </c>
      <c r="E46" s="5" t="s">
        <v>8</v>
      </c>
      <c r="F46" s="1">
        <v>10</v>
      </c>
      <c r="G46" s="1">
        <v>4</v>
      </c>
      <c r="H46" s="2" t="s">
        <v>8</v>
      </c>
      <c r="I46" s="6">
        <f>IF(IF(Table44246665727779[[#This Row],[Pre or Post]]="Pre",1,0)+IF(ISNUMBER(Table44246665727779[[#This Row],[Response]])=TRUE,1,0)=2,1,"")</f>
        <v>1</v>
      </c>
      <c r="J46" s="6" t="str">
        <f>IF(IF(Table44246665727779[[#This Row],[Pre or Post]]="Post",1,0)+IF(ISNUMBER(Table44246665727779[[#This Row],[Response]])=TRUE,1,0)=2,1,"")</f>
        <v/>
      </c>
      <c r="K46" s="6">
        <f>IF(IF(Table44246665727779[[#This Row],[Pre or Post]]="Pre",1,0)+IF(ISNUMBER(Table44246665727779[[#This Row],[Response]])=TRUE,1,0)=2,Table44246665727779[[#This Row],[Response]],"")</f>
        <v>4</v>
      </c>
      <c r="L46" s="6" t="str">
        <f>IF(IF(Table44246665727779[[#This Row],[Pre or Post]]="Post",1,0)+IF(ISNUMBER(Table44246665727779[[#This Row],[Response]])=TRUE,1,0)=2,Table44246665727779[[#This Row],[Response]],"")</f>
        <v/>
      </c>
      <c r="M46" s="6">
        <f>IF(IF(ISNUMBER(K46),1,0)+IF(ISNUMBER(L47),1,0)=2,IF(IF(C47=C46,1,0)+IF(B47=B46,1,0)+IF(D47="Post",1,0)+IF(D46="Pre",1,0)=4,Table44246665727779[[#This Row],[Pre Total]],""),"")</f>
        <v>4</v>
      </c>
      <c r="N46" s="6" t="str">
        <f>IF(IF(ISNUMBER(K45),1,0)+IF(ISNUMBER(Table44246665727779[[#This Row],[Post Total]]),1,0)=2,IF(IF(Table44246665727779[[#This Row],[Student Number]]=C45,1,0)+IF(Table44246665727779[[#This Row],[Session]]=B45,1,0)+IF(Table44246665727779[[#This Row],[Pre or Post]]="Post",1,0)+IF(D45="Pre",1,0)=4,Table44246665727779[[#This Row],[Post Total]],""),"")</f>
        <v/>
      </c>
      <c r="O46" s="6" t="str">
        <f>IF(IF(ISNUMBER(K45),1,0)+IF(ISNUMBER(Table44246665727779[[#This Row],[Post Total]]),1,0)=2,IF(IF(Table44246665727779[[#This Row],[Student Number]]=C45,1,0)+IF(Table44246665727779[[#This Row],[Session]]=B45,1,0)+IF(Table44246665727779[[#This Row],[Pre or Post]]="Post",1,0)+IF(D45="Pre",1,0)=4,Table44246665727779[[#This Row],[Post Total]]-K45,""),"")</f>
        <v/>
      </c>
      <c r="P46" s="6" t="b">
        <f>ISNUMBER(Table44246665727779[[#This Row],[Change]])</f>
        <v>0</v>
      </c>
      <c r="Q46" s="5" t="str">
        <f>IF(E45="Yes",Table44246665727779[[#This Row],[Change]],"")</f>
        <v/>
      </c>
      <c r="R46" s="5" t="str">
        <f>IF(E45="No",Table44246665727779[[#This Row],[Change]],"")</f>
        <v/>
      </c>
      <c r="S46" s="5" t="b">
        <f>ISNUMBER(Table44246665727779[[#This Row],[If Pre6 Yes]])</f>
        <v>0</v>
      </c>
      <c r="T46" s="5" t="b">
        <f>ISNUMBER(Table44246665727779[[#This Row],[If Pre6 No]])</f>
        <v>0</v>
      </c>
    </row>
    <row r="47" spans="1:20">
      <c r="A47" s="2" t="s">
        <v>12</v>
      </c>
      <c r="B47" s="2" t="s">
        <v>21</v>
      </c>
      <c r="C47" s="1">
        <v>11</v>
      </c>
      <c r="D47" s="2" t="s">
        <v>16</v>
      </c>
      <c r="E47" s="5"/>
      <c r="F47" s="1">
        <v>3</v>
      </c>
      <c r="G47" s="1">
        <v>4</v>
      </c>
      <c r="H47" s="2" t="s">
        <v>8</v>
      </c>
      <c r="I47" s="5" t="str">
        <f>IF(IF(Table44246665727779[[#This Row],[Pre or Post]]="Pre",1,0)+IF(ISNUMBER(Table44246665727779[[#This Row],[Response]])=TRUE,1,0)=2,1,"")</f>
        <v/>
      </c>
      <c r="J47" s="5">
        <f>IF(IF(Table44246665727779[[#This Row],[Pre or Post]]="Post",1,0)+IF(ISNUMBER(Table44246665727779[[#This Row],[Response]])=TRUE,1,0)=2,1,"")</f>
        <v>1</v>
      </c>
      <c r="K47" s="6" t="str">
        <f>IF(IF(Table44246665727779[[#This Row],[Pre or Post]]="Pre",1,0)+IF(ISNUMBER(Table44246665727779[[#This Row],[Response]])=TRUE,1,0)=2,Table44246665727779[[#This Row],[Response]],"")</f>
        <v/>
      </c>
      <c r="L47" s="6">
        <f>IF(IF(Table44246665727779[[#This Row],[Pre or Post]]="Post",1,0)+IF(ISNUMBER(Table44246665727779[[#This Row],[Response]])=TRUE,1,0)=2,Table44246665727779[[#This Row],[Response]],"")</f>
        <v>4</v>
      </c>
      <c r="M47" s="5" t="str">
        <f>IF(IF(ISNUMBER(K47),1,0)+IF(ISNUMBER(L48),1,0)=2,IF(IF(C48=C47,1,0)+IF(B48=B47,1,0)+IF(D48="Post",1,0)+IF(D47="Pre",1,0)=4,Table44246665727779[[#This Row],[Pre Total]],""),"")</f>
        <v/>
      </c>
      <c r="N47" s="5">
        <f>IF(IF(ISNUMBER(K46),1,0)+IF(ISNUMBER(Table44246665727779[[#This Row],[Post Total]]),1,0)=2,IF(IF(Table44246665727779[[#This Row],[Student Number]]=C46,1,0)+IF(Table44246665727779[[#This Row],[Session]]=B46,1,0)+IF(Table44246665727779[[#This Row],[Pre or Post]]="Post",1,0)+IF(D46="Pre",1,0)=4,Table44246665727779[[#This Row],[Post Total]],""),"")</f>
        <v>4</v>
      </c>
      <c r="O47" s="5">
        <f>IF(IF(ISNUMBER(K46),1,0)+IF(ISNUMBER(Table44246665727779[[#This Row],[Post Total]]),1,0)=2,IF(IF(Table44246665727779[[#This Row],[Student Number]]=C46,1,0)+IF(Table44246665727779[[#This Row],[Session]]=B46,1,0)+IF(Table44246665727779[[#This Row],[Pre or Post]]="Post",1,0)+IF(D46="Pre",1,0)=4,Table44246665727779[[#This Row],[Post Total]]-K46,""),"")</f>
        <v>0</v>
      </c>
      <c r="P47" s="5" t="b">
        <f>ISNUMBER(Table44246665727779[[#This Row],[Change]])</f>
        <v>1</v>
      </c>
      <c r="Q47" s="5">
        <f>IF(E46="Yes",Table44246665727779[[#This Row],[Change]],"")</f>
        <v>0</v>
      </c>
      <c r="R47" s="5" t="str">
        <f>IF(E46="No",Table44246665727779[[#This Row],[Change]],"")</f>
        <v/>
      </c>
      <c r="S47" s="5" t="b">
        <f>ISNUMBER(Table44246665727779[[#This Row],[If Pre6 Yes]])</f>
        <v>1</v>
      </c>
      <c r="T47" s="5" t="b">
        <f>ISNUMBER(Table44246665727779[[#This Row],[If Pre6 No]])</f>
        <v>0</v>
      </c>
    </row>
    <row r="48" spans="1:20">
      <c r="A48" s="2" t="s">
        <v>12</v>
      </c>
      <c r="B48" s="2" t="s">
        <v>21</v>
      </c>
      <c r="C48" s="1">
        <v>12</v>
      </c>
      <c r="D48" s="2" t="s">
        <v>6</v>
      </c>
      <c r="E48" s="5" t="s">
        <v>8</v>
      </c>
      <c r="F48" s="1">
        <v>10</v>
      </c>
      <c r="G48" s="1">
        <v>1</v>
      </c>
      <c r="H48" s="2" t="s">
        <v>8</v>
      </c>
      <c r="I48" s="6">
        <f>IF(IF(Table44246665727779[[#This Row],[Pre or Post]]="Pre",1,0)+IF(ISNUMBER(Table44246665727779[[#This Row],[Response]])=TRUE,1,0)=2,1,"")</f>
        <v>1</v>
      </c>
      <c r="J48" s="6" t="str">
        <f>IF(IF(Table44246665727779[[#This Row],[Pre or Post]]="Post",1,0)+IF(ISNUMBER(Table44246665727779[[#This Row],[Response]])=TRUE,1,0)=2,1,"")</f>
        <v/>
      </c>
      <c r="K48" s="6">
        <f>IF(IF(Table44246665727779[[#This Row],[Pre or Post]]="Pre",1,0)+IF(ISNUMBER(Table44246665727779[[#This Row],[Response]])=TRUE,1,0)=2,Table44246665727779[[#This Row],[Response]],"")</f>
        <v>1</v>
      </c>
      <c r="L48" s="6" t="str">
        <f>IF(IF(Table44246665727779[[#This Row],[Pre or Post]]="Post",1,0)+IF(ISNUMBER(Table44246665727779[[#This Row],[Response]])=TRUE,1,0)=2,Table44246665727779[[#This Row],[Response]],"")</f>
        <v/>
      </c>
      <c r="M48" s="6">
        <f>IF(IF(ISNUMBER(K48),1,0)+IF(ISNUMBER(L49),1,0)=2,IF(IF(C49=C48,1,0)+IF(B49=B48,1,0)+IF(D49="Post",1,0)+IF(D48="Pre",1,0)=4,Table44246665727779[[#This Row],[Pre Total]],""),"")</f>
        <v>1</v>
      </c>
      <c r="N48" s="6" t="str">
        <f>IF(IF(ISNUMBER(K47),1,0)+IF(ISNUMBER(Table44246665727779[[#This Row],[Post Total]]),1,0)=2,IF(IF(Table44246665727779[[#This Row],[Student Number]]=C47,1,0)+IF(Table44246665727779[[#This Row],[Session]]=B47,1,0)+IF(Table44246665727779[[#This Row],[Pre or Post]]="Post",1,0)+IF(D47="Pre",1,0)=4,Table44246665727779[[#This Row],[Post Total]],""),"")</f>
        <v/>
      </c>
      <c r="O48" s="6" t="str">
        <f>IF(IF(ISNUMBER(K47),1,0)+IF(ISNUMBER(Table44246665727779[[#This Row],[Post Total]]),1,0)=2,IF(IF(Table44246665727779[[#This Row],[Student Number]]=C47,1,0)+IF(Table44246665727779[[#This Row],[Session]]=B47,1,0)+IF(Table44246665727779[[#This Row],[Pre or Post]]="Post",1,0)+IF(D47="Pre",1,0)=4,Table44246665727779[[#This Row],[Post Total]]-K47,""),"")</f>
        <v/>
      </c>
      <c r="P48" s="6" t="b">
        <f>ISNUMBER(Table44246665727779[[#This Row],[Change]])</f>
        <v>0</v>
      </c>
      <c r="Q48" s="5" t="str">
        <f>IF(E47="Yes",Table44246665727779[[#This Row],[Change]],"")</f>
        <v/>
      </c>
      <c r="R48" s="5" t="str">
        <f>IF(E47="No",Table44246665727779[[#This Row],[Change]],"")</f>
        <v/>
      </c>
      <c r="S48" s="5" t="b">
        <f>ISNUMBER(Table44246665727779[[#This Row],[If Pre6 Yes]])</f>
        <v>0</v>
      </c>
      <c r="T48" s="5" t="b">
        <f>ISNUMBER(Table44246665727779[[#This Row],[If Pre6 No]])</f>
        <v>0</v>
      </c>
    </row>
    <row r="49" spans="1:20">
      <c r="A49" s="2" t="s">
        <v>12</v>
      </c>
      <c r="B49" s="2" t="s">
        <v>21</v>
      </c>
      <c r="C49" s="1">
        <v>12</v>
      </c>
      <c r="D49" s="2" t="s">
        <v>16</v>
      </c>
      <c r="E49" s="5"/>
      <c r="F49" s="1">
        <v>3</v>
      </c>
      <c r="G49" s="1">
        <v>1</v>
      </c>
      <c r="H49" s="2" t="s">
        <v>8</v>
      </c>
      <c r="I49" s="6" t="str">
        <f>IF(IF(Table44246665727779[[#This Row],[Pre or Post]]="Pre",1,0)+IF(ISNUMBER(Table44246665727779[[#This Row],[Response]])=TRUE,1,0)=2,1,"")</f>
        <v/>
      </c>
      <c r="J49" s="6">
        <f>IF(IF(Table44246665727779[[#This Row],[Pre or Post]]="Post",1,0)+IF(ISNUMBER(Table44246665727779[[#This Row],[Response]])=TRUE,1,0)=2,1,"")</f>
        <v>1</v>
      </c>
      <c r="K49" s="6" t="str">
        <f>IF(IF(Table44246665727779[[#This Row],[Pre or Post]]="Pre",1,0)+IF(ISNUMBER(Table44246665727779[[#This Row],[Response]])=TRUE,1,0)=2,Table44246665727779[[#This Row],[Response]],"")</f>
        <v/>
      </c>
      <c r="L49" s="6">
        <f>IF(IF(Table44246665727779[[#This Row],[Pre or Post]]="Post",1,0)+IF(ISNUMBER(Table44246665727779[[#This Row],[Response]])=TRUE,1,0)=2,Table44246665727779[[#This Row],[Response]],"")</f>
        <v>1</v>
      </c>
      <c r="M49" s="6" t="str">
        <f>IF(IF(ISNUMBER(K49),1,0)+IF(ISNUMBER(L50),1,0)=2,IF(IF(C50=C49,1,0)+IF(B50=B49,1,0)+IF(D50="Post",1,0)+IF(D49="Pre",1,0)=4,Table44246665727779[[#This Row],[Pre Total]],""),"")</f>
        <v/>
      </c>
      <c r="N49" s="6">
        <f>IF(IF(ISNUMBER(K48),1,0)+IF(ISNUMBER(Table44246665727779[[#This Row],[Post Total]]),1,0)=2,IF(IF(Table44246665727779[[#This Row],[Student Number]]=C48,1,0)+IF(Table44246665727779[[#This Row],[Session]]=B48,1,0)+IF(Table44246665727779[[#This Row],[Pre or Post]]="Post",1,0)+IF(D48="Pre",1,0)=4,Table44246665727779[[#This Row],[Post Total]],""),"")</f>
        <v>1</v>
      </c>
      <c r="O49" s="6">
        <f>IF(IF(ISNUMBER(K48),1,0)+IF(ISNUMBER(Table44246665727779[[#This Row],[Post Total]]),1,0)=2,IF(IF(Table44246665727779[[#This Row],[Student Number]]=C48,1,0)+IF(Table44246665727779[[#This Row],[Session]]=B48,1,0)+IF(Table44246665727779[[#This Row],[Pre or Post]]="Post",1,0)+IF(D48="Pre",1,0)=4,Table44246665727779[[#This Row],[Post Total]]-K48,""),"")</f>
        <v>0</v>
      </c>
      <c r="P49" s="6" t="b">
        <f>ISNUMBER(Table44246665727779[[#This Row],[Change]])</f>
        <v>1</v>
      </c>
      <c r="Q49" s="5">
        <f>IF(E48="Yes",Table44246665727779[[#This Row],[Change]],"")</f>
        <v>0</v>
      </c>
      <c r="R49" s="5" t="str">
        <f>IF(E48="No",Table44246665727779[[#This Row],[Change]],"")</f>
        <v/>
      </c>
      <c r="S49" s="5" t="b">
        <f>ISNUMBER(Table44246665727779[[#This Row],[If Pre6 Yes]])</f>
        <v>1</v>
      </c>
      <c r="T49" s="5" t="b">
        <f>ISNUMBER(Table44246665727779[[#This Row],[If Pre6 No]])</f>
        <v>0</v>
      </c>
    </row>
    <row r="50" spans="1:20">
      <c r="A50" s="2" t="s">
        <v>12</v>
      </c>
      <c r="B50" s="2" t="s">
        <v>21</v>
      </c>
      <c r="C50" s="1">
        <v>13</v>
      </c>
      <c r="D50" s="2" t="s">
        <v>6</v>
      </c>
      <c r="E50" s="5" t="s">
        <v>8</v>
      </c>
      <c r="F50" s="1">
        <v>10</v>
      </c>
      <c r="G50" s="1">
        <v>4</v>
      </c>
      <c r="H50" s="2" t="s">
        <v>8</v>
      </c>
      <c r="I50" s="6">
        <f>IF(IF(Table44246665727779[[#This Row],[Pre or Post]]="Pre",1,0)+IF(ISNUMBER(Table44246665727779[[#This Row],[Response]])=TRUE,1,0)=2,1,"")</f>
        <v>1</v>
      </c>
      <c r="J50" s="6" t="str">
        <f>IF(IF(Table44246665727779[[#This Row],[Pre or Post]]="Post",1,0)+IF(ISNUMBER(Table44246665727779[[#This Row],[Response]])=TRUE,1,0)=2,1,"")</f>
        <v/>
      </c>
      <c r="K50" s="6">
        <f>IF(IF(Table44246665727779[[#This Row],[Pre or Post]]="Pre",1,0)+IF(ISNUMBER(Table44246665727779[[#This Row],[Response]])=TRUE,1,0)=2,Table44246665727779[[#This Row],[Response]],"")</f>
        <v>4</v>
      </c>
      <c r="L50" s="6" t="str">
        <f>IF(IF(Table44246665727779[[#This Row],[Pre or Post]]="Post",1,0)+IF(ISNUMBER(Table44246665727779[[#This Row],[Response]])=TRUE,1,0)=2,Table44246665727779[[#This Row],[Response]],"")</f>
        <v/>
      </c>
      <c r="M50" s="6">
        <f>IF(IF(ISNUMBER(K50),1,0)+IF(ISNUMBER(L51),1,0)=2,IF(IF(C51=C50,1,0)+IF(B51=B50,1,0)+IF(D51="Post",1,0)+IF(D50="Pre",1,0)=4,Table44246665727779[[#This Row],[Pre Total]],""),"")</f>
        <v>4</v>
      </c>
      <c r="N50" s="6" t="str">
        <f>IF(IF(ISNUMBER(K49),1,0)+IF(ISNUMBER(Table44246665727779[[#This Row],[Post Total]]),1,0)=2,IF(IF(Table44246665727779[[#This Row],[Student Number]]=C49,1,0)+IF(Table44246665727779[[#This Row],[Session]]=B49,1,0)+IF(Table44246665727779[[#This Row],[Pre or Post]]="Post",1,0)+IF(D49="Pre",1,0)=4,Table44246665727779[[#This Row],[Post Total]],""),"")</f>
        <v/>
      </c>
      <c r="O50" s="6" t="str">
        <f>IF(IF(ISNUMBER(K49),1,0)+IF(ISNUMBER(Table44246665727779[[#This Row],[Post Total]]),1,0)=2,IF(IF(Table44246665727779[[#This Row],[Student Number]]=C49,1,0)+IF(Table44246665727779[[#This Row],[Session]]=B49,1,0)+IF(Table44246665727779[[#This Row],[Pre or Post]]="Post",1,0)+IF(D49="Pre",1,0)=4,Table44246665727779[[#This Row],[Post Total]]-K49,""),"")</f>
        <v/>
      </c>
      <c r="P50" s="6" t="b">
        <f>ISNUMBER(Table44246665727779[[#This Row],[Change]])</f>
        <v>0</v>
      </c>
      <c r="Q50" s="5" t="str">
        <f>IF(E49="Yes",Table44246665727779[[#This Row],[Change]],"")</f>
        <v/>
      </c>
      <c r="R50" s="5" t="str">
        <f>IF(E49="No",Table44246665727779[[#This Row],[Change]],"")</f>
        <v/>
      </c>
      <c r="S50" s="5" t="b">
        <f>ISNUMBER(Table44246665727779[[#This Row],[If Pre6 Yes]])</f>
        <v>0</v>
      </c>
      <c r="T50" s="5" t="b">
        <f>ISNUMBER(Table44246665727779[[#This Row],[If Pre6 No]])</f>
        <v>0</v>
      </c>
    </row>
    <row r="51" spans="1:20">
      <c r="A51" s="2" t="s">
        <v>12</v>
      </c>
      <c r="B51" s="2" t="s">
        <v>21</v>
      </c>
      <c r="C51" s="1">
        <v>13</v>
      </c>
      <c r="D51" s="2" t="s">
        <v>16</v>
      </c>
      <c r="E51" s="5"/>
      <c r="F51" s="1">
        <v>3</v>
      </c>
      <c r="G51" s="1">
        <v>4</v>
      </c>
      <c r="H51" s="2" t="s">
        <v>8</v>
      </c>
      <c r="I51" s="5" t="str">
        <f>IF(IF(Table44246665727779[[#This Row],[Pre or Post]]="Pre",1,0)+IF(ISNUMBER(Table44246665727779[[#This Row],[Response]])=TRUE,1,0)=2,1,"")</f>
        <v/>
      </c>
      <c r="J51" s="5">
        <f>IF(IF(Table44246665727779[[#This Row],[Pre or Post]]="Post",1,0)+IF(ISNUMBER(Table44246665727779[[#This Row],[Response]])=TRUE,1,0)=2,1,"")</f>
        <v>1</v>
      </c>
      <c r="K51" s="6" t="str">
        <f>IF(IF(Table44246665727779[[#This Row],[Pre or Post]]="Pre",1,0)+IF(ISNUMBER(Table44246665727779[[#This Row],[Response]])=TRUE,1,0)=2,Table44246665727779[[#This Row],[Response]],"")</f>
        <v/>
      </c>
      <c r="L51" s="6">
        <f>IF(IF(Table44246665727779[[#This Row],[Pre or Post]]="Post",1,0)+IF(ISNUMBER(Table44246665727779[[#This Row],[Response]])=TRUE,1,0)=2,Table44246665727779[[#This Row],[Response]],"")</f>
        <v>4</v>
      </c>
      <c r="M51" s="5" t="str">
        <f>IF(IF(ISNUMBER(K51),1,0)+IF(ISNUMBER(L52),1,0)=2,IF(IF(C52=C51,1,0)+IF(B52=B51,1,0)+IF(D52="Post",1,0)+IF(D51="Pre",1,0)=4,Table44246665727779[[#This Row],[Pre Total]],""),"")</f>
        <v/>
      </c>
      <c r="N51" s="5">
        <f>IF(IF(ISNUMBER(K50),1,0)+IF(ISNUMBER(Table44246665727779[[#This Row],[Post Total]]),1,0)=2,IF(IF(Table44246665727779[[#This Row],[Student Number]]=C50,1,0)+IF(Table44246665727779[[#This Row],[Session]]=B50,1,0)+IF(Table44246665727779[[#This Row],[Pre or Post]]="Post",1,0)+IF(D50="Pre",1,0)=4,Table44246665727779[[#This Row],[Post Total]],""),"")</f>
        <v>4</v>
      </c>
      <c r="O51" s="5">
        <f>IF(IF(ISNUMBER(K50),1,0)+IF(ISNUMBER(Table44246665727779[[#This Row],[Post Total]]),1,0)=2,IF(IF(Table44246665727779[[#This Row],[Student Number]]=C50,1,0)+IF(Table44246665727779[[#This Row],[Session]]=B50,1,0)+IF(Table44246665727779[[#This Row],[Pre or Post]]="Post",1,0)+IF(D50="Pre",1,0)=4,Table44246665727779[[#This Row],[Post Total]]-K50,""),"")</f>
        <v>0</v>
      </c>
      <c r="P51" s="5" t="b">
        <f>ISNUMBER(Table44246665727779[[#This Row],[Change]])</f>
        <v>1</v>
      </c>
      <c r="Q51" s="5">
        <f>IF(E50="Yes",Table44246665727779[[#This Row],[Change]],"")</f>
        <v>0</v>
      </c>
      <c r="R51" s="5" t="str">
        <f>IF(E50="No",Table44246665727779[[#This Row],[Change]],"")</f>
        <v/>
      </c>
      <c r="S51" s="5" t="b">
        <f>ISNUMBER(Table44246665727779[[#This Row],[If Pre6 Yes]])</f>
        <v>1</v>
      </c>
      <c r="T51" s="5" t="b">
        <f>ISNUMBER(Table44246665727779[[#This Row],[If Pre6 No]])</f>
        <v>0</v>
      </c>
    </row>
    <row r="52" spans="1:20">
      <c r="A52" s="2" t="s">
        <v>12</v>
      </c>
      <c r="B52" s="2" t="s">
        <v>21</v>
      </c>
      <c r="C52" s="1">
        <v>14</v>
      </c>
      <c r="D52" s="2" t="s">
        <v>6</v>
      </c>
      <c r="E52" s="5" t="s">
        <v>8</v>
      </c>
      <c r="F52" s="1">
        <v>10</v>
      </c>
      <c r="G52" s="1">
        <v>2</v>
      </c>
      <c r="H52" s="2" t="s">
        <v>8</v>
      </c>
      <c r="I52" s="6">
        <f>IF(IF(Table44246665727779[[#This Row],[Pre or Post]]="Pre",1,0)+IF(ISNUMBER(Table44246665727779[[#This Row],[Response]])=TRUE,1,0)=2,1,"")</f>
        <v>1</v>
      </c>
      <c r="J52" s="6" t="str">
        <f>IF(IF(Table44246665727779[[#This Row],[Pre or Post]]="Post",1,0)+IF(ISNUMBER(Table44246665727779[[#This Row],[Response]])=TRUE,1,0)=2,1,"")</f>
        <v/>
      </c>
      <c r="K52" s="6">
        <f>IF(IF(Table44246665727779[[#This Row],[Pre or Post]]="Pre",1,0)+IF(ISNUMBER(Table44246665727779[[#This Row],[Response]])=TRUE,1,0)=2,Table44246665727779[[#This Row],[Response]],"")</f>
        <v>2</v>
      </c>
      <c r="L52" s="6" t="str">
        <f>IF(IF(Table44246665727779[[#This Row],[Pre or Post]]="Post",1,0)+IF(ISNUMBER(Table44246665727779[[#This Row],[Response]])=TRUE,1,0)=2,Table44246665727779[[#This Row],[Response]],"")</f>
        <v/>
      </c>
      <c r="M52" s="6">
        <f>IF(IF(ISNUMBER(K52),1,0)+IF(ISNUMBER(L53),1,0)=2,IF(IF(C53=C52,1,0)+IF(B53=B52,1,0)+IF(D53="Post",1,0)+IF(D52="Pre",1,0)=4,Table44246665727779[[#This Row],[Pre Total]],""),"")</f>
        <v>2</v>
      </c>
      <c r="N52" s="6" t="str">
        <f>IF(IF(ISNUMBER(K51),1,0)+IF(ISNUMBER(Table44246665727779[[#This Row],[Post Total]]),1,0)=2,IF(IF(Table44246665727779[[#This Row],[Student Number]]=C51,1,0)+IF(Table44246665727779[[#This Row],[Session]]=B51,1,0)+IF(Table44246665727779[[#This Row],[Pre or Post]]="Post",1,0)+IF(D51="Pre",1,0)=4,Table44246665727779[[#This Row],[Post Total]],""),"")</f>
        <v/>
      </c>
      <c r="O52" s="6" t="str">
        <f>IF(IF(ISNUMBER(K51),1,0)+IF(ISNUMBER(Table44246665727779[[#This Row],[Post Total]]),1,0)=2,IF(IF(Table44246665727779[[#This Row],[Student Number]]=C51,1,0)+IF(Table44246665727779[[#This Row],[Session]]=B51,1,0)+IF(Table44246665727779[[#This Row],[Pre or Post]]="Post",1,0)+IF(D51="Pre",1,0)=4,Table44246665727779[[#This Row],[Post Total]]-K51,""),"")</f>
        <v/>
      </c>
      <c r="P52" s="6" t="b">
        <f>ISNUMBER(Table44246665727779[[#This Row],[Change]])</f>
        <v>0</v>
      </c>
      <c r="Q52" s="5" t="str">
        <f>IF(E51="Yes",Table44246665727779[[#This Row],[Change]],"")</f>
        <v/>
      </c>
      <c r="R52" s="5" t="str">
        <f>IF(E51="No",Table44246665727779[[#This Row],[Change]],"")</f>
        <v/>
      </c>
      <c r="S52" s="5" t="b">
        <f>ISNUMBER(Table44246665727779[[#This Row],[If Pre6 Yes]])</f>
        <v>0</v>
      </c>
      <c r="T52" s="5" t="b">
        <f>ISNUMBER(Table44246665727779[[#This Row],[If Pre6 No]])</f>
        <v>0</v>
      </c>
    </row>
    <row r="53" spans="1:20">
      <c r="A53" s="2" t="s">
        <v>12</v>
      </c>
      <c r="B53" s="2" t="s">
        <v>21</v>
      </c>
      <c r="C53" s="1">
        <v>14</v>
      </c>
      <c r="D53" s="2" t="s">
        <v>16</v>
      </c>
      <c r="E53" s="5"/>
      <c r="F53" s="1">
        <v>3</v>
      </c>
      <c r="G53" s="1">
        <v>3</v>
      </c>
      <c r="H53" s="2" t="s">
        <v>8</v>
      </c>
      <c r="I53" s="5" t="str">
        <f>IF(IF(Table44246665727779[[#This Row],[Pre or Post]]="Pre",1,0)+IF(ISNUMBER(Table44246665727779[[#This Row],[Response]])=TRUE,1,0)=2,1,"")</f>
        <v/>
      </c>
      <c r="J53" s="5">
        <f>IF(IF(Table44246665727779[[#This Row],[Pre or Post]]="Post",1,0)+IF(ISNUMBER(Table44246665727779[[#This Row],[Response]])=TRUE,1,0)=2,1,"")</f>
        <v>1</v>
      </c>
      <c r="K53" s="6" t="str">
        <f>IF(IF(Table44246665727779[[#This Row],[Pre or Post]]="Pre",1,0)+IF(ISNUMBER(Table44246665727779[[#This Row],[Response]])=TRUE,1,0)=2,Table44246665727779[[#This Row],[Response]],"")</f>
        <v/>
      </c>
      <c r="L53" s="6">
        <f>IF(IF(Table44246665727779[[#This Row],[Pre or Post]]="Post",1,0)+IF(ISNUMBER(Table44246665727779[[#This Row],[Response]])=TRUE,1,0)=2,Table44246665727779[[#This Row],[Response]],"")</f>
        <v>3</v>
      </c>
      <c r="M53" s="5" t="str">
        <f>IF(IF(ISNUMBER(K53),1,0)+IF(ISNUMBER(L54),1,0)=2,IF(IF(C54=C53,1,0)+IF(B54=B53,1,0)+IF(D54="Post",1,0)+IF(D53="Pre",1,0)=4,Table44246665727779[[#This Row],[Pre Total]],""),"")</f>
        <v/>
      </c>
      <c r="N53" s="5">
        <f>IF(IF(ISNUMBER(K52),1,0)+IF(ISNUMBER(Table44246665727779[[#This Row],[Post Total]]),1,0)=2,IF(IF(Table44246665727779[[#This Row],[Student Number]]=C52,1,0)+IF(Table44246665727779[[#This Row],[Session]]=B52,1,0)+IF(Table44246665727779[[#This Row],[Pre or Post]]="Post",1,0)+IF(D52="Pre",1,0)=4,Table44246665727779[[#This Row],[Post Total]],""),"")</f>
        <v>3</v>
      </c>
      <c r="O53" s="5">
        <f>IF(IF(ISNUMBER(K52),1,0)+IF(ISNUMBER(Table44246665727779[[#This Row],[Post Total]]),1,0)=2,IF(IF(Table44246665727779[[#This Row],[Student Number]]=C52,1,0)+IF(Table44246665727779[[#This Row],[Session]]=B52,1,0)+IF(Table44246665727779[[#This Row],[Pre or Post]]="Post",1,0)+IF(D52="Pre",1,0)=4,Table44246665727779[[#This Row],[Post Total]]-K52,""),"")</f>
        <v>1</v>
      </c>
      <c r="P53" s="5" t="b">
        <f>ISNUMBER(Table44246665727779[[#This Row],[Change]])</f>
        <v>1</v>
      </c>
      <c r="Q53" s="5">
        <f>IF(E52="Yes",Table44246665727779[[#This Row],[Change]],"")</f>
        <v>1</v>
      </c>
      <c r="R53" s="5" t="str">
        <f>IF(E52="No",Table44246665727779[[#This Row],[Change]],"")</f>
        <v/>
      </c>
      <c r="S53" s="5" t="b">
        <f>ISNUMBER(Table44246665727779[[#This Row],[If Pre6 Yes]])</f>
        <v>1</v>
      </c>
      <c r="T53" s="5" t="b">
        <f>ISNUMBER(Table44246665727779[[#This Row],[If Pre6 No]])</f>
        <v>0</v>
      </c>
    </row>
    <row r="54" spans="1:20">
      <c r="A54" s="2" t="s">
        <v>12</v>
      </c>
      <c r="B54" s="2" t="s">
        <v>21</v>
      </c>
      <c r="C54" s="1">
        <v>15</v>
      </c>
      <c r="D54" s="2" t="s">
        <v>6</v>
      </c>
      <c r="E54" s="5" t="s">
        <v>8</v>
      </c>
      <c r="F54" s="1">
        <v>10</v>
      </c>
      <c r="G54" s="1">
        <v>2</v>
      </c>
      <c r="H54" s="2" t="s">
        <v>8</v>
      </c>
      <c r="I54" s="5">
        <f>IF(IF(Table44246665727779[[#This Row],[Pre or Post]]="Pre",1,0)+IF(ISNUMBER(Table44246665727779[[#This Row],[Response]])=TRUE,1,0)=2,1,"")</f>
        <v>1</v>
      </c>
      <c r="J54" s="5" t="str">
        <f>IF(IF(Table44246665727779[[#This Row],[Pre or Post]]="Post",1,0)+IF(ISNUMBER(Table44246665727779[[#This Row],[Response]])=TRUE,1,0)=2,1,"")</f>
        <v/>
      </c>
      <c r="K54" s="6">
        <f>IF(IF(Table44246665727779[[#This Row],[Pre or Post]]="Pre",1,0)+IF(ISNUMBER(Table44246665727779[[#This Row],[Response]])=TRUE,1,0)=2,Table44246665727779[[#This Row],[Response]],"")</f>
        <v>2</v>
      </c>
      <c r="L54" s="6" t="str">
        <f>IF(IF(Table44246665727779[[#This Row],[Pre or Post]]="Post",1,0)+IF(ISNUMBER(Table44246665727779[[#This Row],[Response]])=TRUE,1,0)=2,Table44246665727779[[#This Row],[Response]],"")</f>
        <v/>
      </c>
      <c r="M54" s="5">
        <f>IF(IF(ISNUMBER(K54),1,0)+IF(ISNUMBER(L55),1,0)=2,IF(IF(C55=C54,1,0)+IF(B55=B54,1,0)+IF(D55="Post",1,0)+IF(D54="Pre",1,0)=4,Table44246665727779[[#This Row],[Pre Total]],""),"")</f>
        <v>2</v>
      </c>
      <c r="N54" s="5" t="str">
        <f>IF(IF(ISNUMBER(K53),1,0)+IF(ISNUMBER(Table44246665727779[[#This Row],[Post Total]]),1,0)=2,IF(IF(Table44246665727779[[#This Row],[Student Number]]=C53,1,0)+IF(Table44246665727779[[#This Row],[Session]]=B53,1,0)+IF(Table44246665727779[[#This Row],[Pre or Post]]="Post",1,0)+IF(D53="Pre",1,0)=4,Table44246665727779[[#This Row],[Post Total]],""),"")</f>
        <v/>
      </c>
      <c r="O54" s="5" t="str">
        <f>IF(IF(ISNUMBER(K53),1,0)+IF(ISNUMBER(Table44246665727779[[#This Row],[Post Total]]),1,0)=2,IF(IF(Table44246665727779[[#This Row],[Student Number]]=C53,1,0)+IF(Table44246665727779[[#This Row],[Session]]=B53,1,0)+IF(Table44246665727779[[#This Row],[Pre or Post]]="Post",1,0)+IF(D53="Pre",1,0)=4,Table44246665727779[[#This Row],[Post Total]]-K53,""),"")</f>
        <v/>
      </c>
      <c r="P54" s="5" t="b">
        <f>ISNUMBER(Table44246665727779[[#This Row],[Change]])</f>
        <v>0</v>
      </c>
      <c r="Q54" s="5" t="str">
        <f>IF(E53="Yes",Table44246665727779[[#This Row],[Change]],"")</f>
        <v/>
      </c>
      <c r="R54" s="5" t="str">
        <f>IF(E53="No",Table44246665727779[[#This Row],[Change]],"")</f>
        <v/>
      </c>
      <c r="S54" s="5" t="b">
        <f>ISNUMBER(Table44246665727779[[#This Row],[If Pre6 Yes]])</f>
        <v>0</v>
      </c>
      <c r="T54" s="5" t="b">
        <f>ISNUMBER(Table44246665727779[[#This Row],[If Pre6 No]])</f>
        <v>0</v>
      </c>
    </row>
    <row r="55" spans="1:20">
      <c r="A55" s="2" t="s">
        <v>12</v>
      </c>
      <c r="B55" s="2" t="s">
        <v>21</v>
      </c>
      <c r="C55" s="1">
        <v>15</v>
      </c>
      <c r="D55" s="2" t="s">
        <v>16</v>
      </c>
      <c r="E55" s="5"/>
      <c r="F55" s="1">
        <v>3</v>
      </c>
      <c r="G55" s="1">
        <v>2</v>
      </c>
      <c r="H55" s="2" t="s">
        <v>8</v>
      </c>
      <c r="I55" s="5" t="str">
        <f>IF(IF(Table44246665727779[[#This Row],[Pre or Post]]="Pre",1,0)+IF(ISNUMBER(Table44246665727779[[#This Row],[Response]])=TRUE,1,0)=2,1,"")</f>
        <v/>
      </c>
      <c r="J55" s="5">
        <f>IF(IF(Table44246665727779[[#This Row],[Pre or Post]]="Post",1,0)+IF(ISNUMBER(Table44246665727779[[#This Row],[Response]])=TRUE,1,0)=2,1,"")</f>
        <v>1</v>
      </c>
      <c r="K55" s="6" t="str">
        <f>IF(IF(Table44246665727779[[#This Row],[Pre or Post]]="Pre",1,0)+IF(ISNUMBER(Table44246665727779[[#This Row],[Response]])=TRUE,1,0)=2,Table44246665727779[[#This Row],[Response]],"")</f>
        <v/>
      </c>
      <c r="L55" s="6">
        <f>IF(IF(Table44246665727779[[#This Row],[Pre or Post]]="Post",1,0)+IF(ISNUMBER(Table44246665727779[[#This Row],[Response]])=TRUE,1,0)=2,Table44246665727779[[#This Row],[Response]],"")</f>
        <v>2</v>
      </c>
      <c r="M55" s="5" t="str">
        <f>IF(IF(ISNUMBER(K55),1,0)+IF(ISNUMBER(L56),1,0)=2,IF(IF(C56=C55,1,0)+IF(B56=B55,1,0)+IF(D56="Post",1,0)+IF(D55="Pre",1,0)=4,Table44246665727779[[#This Row],[Pre Total]],""),"")</f>
        <v/>
      </c>
      <c r="N55" s="5">
        <f>IF(IF(ISNUMBER(K54),1,0)+IF(ISNUMBER(Table44246665727779[[#This Row],[Post Total]]),1,0)=2,IF(IF(Table44246665727779[[#This Row],[Student Number]]=C54,1,0)+IF(Table44246665727779[[#This Row],[Session]]=B54,1,0)+IF(Table44246665727779[[#This Row],[Pre or Post]]="Post",1,0)+IF(D54="Pre",1,0)=4,Table44246665727779[[#This Row],[Post Total]],""),"")</f>
        <v>2</v>
      </c>
      <c r="O55" s="5">
        <f>IF(IF(ISNUMBER(K54),1,0)+IF(ISNUMBER(Table44246665727779[[#This Row],[Post Total]]),1,0)=2,IF(IF(Table44246665727779[[#This Row],[Student Number]]=C54,1,0)+IF(Table44246665727779[[#This Row],[Session]]=B54,1,0)+IF(Table44246665727779[[#This Row],[Pre or Post]]="Post",1,0)+IF(D54="Pre",1,0)=4,Table44246665727779[[#This Row],[Post Total]]-K54,""),"")</f>
        <v>0</v>
      </c>
      <c r="P55" s="5" t="b">
        <f>ISNUMBER(Table44246665727779[[#This Row],[Change]])</f>
        <v>1</v>
      </c>
      <c r="Q55" s="5">
        <f>IF(E54="Yes",Table44246665727779[[#This Row],[Change]],"")</f>
        <v>0</v>
      </c>
      <c r="R55" s="5" t="str">
        <f>IF(E54="No",Table44246665727779[[#This Row],[Change]],"")</f>
        <v/>
      </c>
      <c r="S55" s="5" t="b">
        <f>ISNUMBER(Table44246665727779[[#This Row],[If Pre6 Yes]])</f>
        <v>1</v>
      </c>
      <c r="T55" s="5" t="b">
        <f>ISNUMBER(Table44246665727779[[#This Row],[If Pre6 No]])</f>
        <v>0</v>
      </c>
    </row>
    <row r="56" spans="1:20">
      <c r="A56" s="2" t="s">
        <v>12</v>
      </c>
      <c r="B56" s="2" t="s">
        <v>21</v>
      </c>
      <c r="C56" s="1">
        <v>16</v>
      </c>
      <c r="D56" s="2" t="s">
        <v>6</v>
      </c>
      <c r="E56" s="5" t="s">
        <v>8</v>
      </c>
      <c r="F56" s="1">
        <v>10</v>
      </c>
      <c r="G56" s="1">
        <v>3</v>
      </c>
      <c r="H56" s="2" t="s">
        <v>8</v>
      </c>
      <c r="I56" s="5">
        <f>IF(IF(Table44246665727779[[#This Row],[Pre or Post]]="Pre",1,0)+IF(ISNUMBER(Table44246665727779[[#This Row],[Response]])=TRUE,1,0)=2,1,"")</f>
        <v>1</v>
      </c>
      <c r="J56" s="5" t="str">
        <f>IF(IF(Table44246665727779[[#This Row],[Pre or Post]]="Post",1,0)+IF(ISNUMBER(Table44246665727779[[#This Row],[Response]])=TRUE,1,0)=2,1,"")</f>
        <v/>
      </c>
      <c r="K56" s="6">
        <f>IF(IF(Table44246665727779[[#This Row],[Pre or Post]]="Pre",1,0)+IF(ISNUMBER(Table44246665727779[[#This Row],[Response]])=TRUE,1,0)=2,Table44246665727779[[#This Row],[Response]],"")</f>
        <v>3</v>
      </c>
      <c r="L56" s="6" t="str">
        <f>IF(IF(Table44246665727779[[#This Row],[Pre or Post]]="Post",1,0)+IF(ISNUMBER(Table44246665727779[[#This Row],[Response]])=TRUE,1,0)=2,Table44246665727779[[#This Row],[Response]],"")</f>
        <v/>
      </c>
      <c r="M56" s="5">
        <f>IF(IF(ISNUMBER(K56),1,0)+IF(ISNUMBER(L57),1,0)=2,IF(IF(C57=C56,1,0)+IF(B57=B56,1,0)+IF(D57="Post",1,0)+IF(D56="Pre",1,0)=4,Table44246665727779[[#This Row],[Pre Total]],""),"")</f>
        <v>3</v>
      </c>
      <c r="N56" s="5" t="str">
        <f>IF(IF(ISNUMBER(K55),1,0)+IF(ISNUMBER(Table44246665727779[[#This Row],[Post Total]]),1,0)=2,IF(IF(Table44246665727779[[#This Row],[Student Number]]=C55,1,0)+IF(Table44246665727779[[#This Row],[Session]]=B55,1,0)+IF(Table44246665727779[[#This Row],[Pre or Post]]="Post",1,0)+IF(D55="Pre",1,0)=4,Table44246665727779[[#This Row],[Post Total]],""),"")</f>
        <v/>
      </c>
      <c r="O56" s="5" t="str">
        <f>IF(IF(ISNUMBER(K55),1,0)+IF(ISNUMBER(Table44246665727779[[#This Row],[Post Total]]),1,0)=2,IF(IF(Table44246665727779[[#This Row],[Student Number]]=C55,1,0)+IF(Table44246665727779[[#This Row],[Session]]=B55,1,0)+IF(Table44246665727779[[#This Row],[Pre or Post]]="Post",1,0)+IF(D55="Pre",1,0)=4,Table44246665727779[[#This Row],[Post Total]]-K55,""),"")</f>
        <v/>
      </c>
      <c r="P56" s="5" t="b">
        <f>ISNUMBER(Table44246665727779[[#This Row],[Change]])</f>
        <v>0</v>
      </c>
      <c r="Q56" s="5" t="str">
        <f>IF(E55="Yes",Table44246665727779[[#This Row],[Change]],"")</f>
        <v/>
      </c>
      <c r="R56" s="5" t="str">
        <f>IF(E55="No",Table44246665727779[[#This Row],[Change]],"")</f>
        <v/>
      </c>
      <c r="S56" s="5" t="b">
        <f>ISNUMBER(Table44246665727779[[#This Row],[If Pre6 Yes]])</f>
        <v>0</v>
      </c>
      <c r="T56" s="5" t="b">
        <f>ISNUMBER(Table44246665727779[[#This Row],[If Pre6 No]])</f>
        <v>0</v>
      </c>
    </row>
    <row r="57" spans="1:20">
      <c r="A57" s="2" t="s">
        <v>12</v>
      </c>
      <c r="B57" s="2" t="s">
        <v>21</v>
      </c>
      <c r="C57" s="1">
        <v>16</v>
      </c>
      <c r="D57" s="2" t="s">
        <v>16</v>
      </c>
      <c r="E57" s="5"/>
      <c r="F57" s="1">
        <v>3</v>
      </c>
      <c r="G57" s="1">
        <v>3</v>
      </c>
      <c r="H57" s="2" t="s">
        <v>8</v>
      </c>
      <c r="I57" s="5" t="str">
        <f>IF(IF(Table44246665727779[[#This Row],[Pre or Post]]="Pre",1,0)+IF(ISNUMBER(Table44246665727779[[#This Row],[Response]])=TRUE,1,0)=2,1,"")</f>
        <v/>
      </c>
      <c r="J57" s="5">
        <f>IF(IF(Table44246665727779[[#This Row],[Pre or Post]]="Post",1,0)+IF(ISNUMBER(Table44246665727779[[#This Row],[Response]])=TRUE,1,0)=2,1,"")</f>
        <v>1</v>
      </c>
      <c r="K57" s="6" t="str">
        <f>IF(IF(Table44246665727779[[#This Row],[Pre or Post]]="Pre",1,0)+IF(ISNUMBER(Table44246665727779[[#This Row],[Response]])=TRUE,1,0)=2,Table44246665727779[[#This Row],[Response]],"")</f>
        <v/>
      </c>
      <c r="L57" s="6">
        <f>IF(IF(Table44246665727779[[#This Row],[Pre or Post]]="Post",1,0)+IF(ISNUMBER(Table44246665727779[[#This Row],[Response]])=TRUE,1,0)=2,Table44246665727779[[#This Row],[Response]],"")</f>
        <v>3</v>
      </c>
      <c r="M57" s="5" t="str">
        <f>IF(IF(ISNUMBER(K57),1,0)+IF(ISNUMBER(L58),1,0)=2,IF(IF(C58=C57,1,0)+IF(B58=B57,1,0)+IF(D58="Post",1,0)+IF(D57="Pre",1,0)=4,Table44246665727779[[#This Row],[Pre Total]],""),"")</f>
        <v/>
      </c>
      <c r="N57" s="5">
        <f>IF(IF(ISNUMBER(K56),1,0)+IF(ISNUMBER(Table44246665727779[[#This Row],[Post Total]]),1,0)=2,IF(IF(Table44246665727779[[#This Row],[Student Number]]=C56,1,0)+IF(Table44246665727779[[#This Row],[Session]]=B56,1,0)+IF(Table44246665727779[[#This Row],[Pre or Post]]="Post",1,0)+IF(D56="Pre",1,0)=4,Table44246665727779[[#This Row],[Post Total]],""),"")</f>
        <v>3</v>
      </c>
      <c r="O57" s="5">
        <f>IF(IF(ISNUMBER(K56),1,0)+IF(ISNUMBER(Table44246665727779[[#This Row],[Post Total]]),1,0)=2,IF(IF(Table44246665727779[[#This Row],[Student Number]]=C56,1,0)+IF(Table44246665727779[[#This Row],[Session]]=B56,1,0)+IF(Table44246665727779[[#This Row],[Pre or Post]]="Post",1,0)+IF(D56="Pre",1,0)=4,Table44246665727779[[#This Row],[Post Total]]-K56,""),"")</f>
        <v>0</v>
      </c>
      <c r="P57" s="5" t="b">
        <f>ISNUMBER(Table44246665727779[[#This Row],[Change]])</f>
        <v>1</v>
      </c>
      <c r="Q57" s="5">
        <f>IF(E56="Yes",Table44246665727779[[#This Row],[Change]],"")</f>
        <v>0</v>
      </c>
      <c r="R57" s="5" t="str">
        <f>IF(E56="No",Table44246665727779[[#This Row],[Change]],"")</f>
        <v/>
      </c>
      <c r="S57" s="5" t="b">
        <f>ISNUMBER(Table44246665727779[[#This Row],[If Pre6 Yes]])</f>
        <v>1</v>
      </c>
      <c r="T57" s="5" t="b">
        <f>ISNUMBER(Table44246665727779[[#This Row],[If Pre6 No]])</f>
        <v>0</v>
      </c>
    </row>
    <row r="58" spans="1:20">
      <c r="A58" s="2" t="s">
        <v>12</v>
      </c>
      <c r="B58" s="2" t="s">
        <v>21</v>
      </c>
      <c r="C58" s="1">
        <v>17</v>
      </c>
      <c r="D58" s="2" t="s">
        <v>6</v>
      </c>
      <c r="E58" s="5" t="s">
        <v>8</v>
      </c>
      <c r="F58" s="1">
        <v>10</v>
      </c>
      <c r="G58" s="1">
        <v>1</v>
      </c>
      <c r="H58" s="2" t="s">
        <v>8</v>
      </c>
      <c r="I58" s="5">
        <f>IF(IF(Table44246665727779[[#This Row],[Pre or Post]]="Pre",1,0)+IF(ISNUMBER(Table44246665727779[[#This Row],[Response]])=TRUE,1,0)=2,1,"")</f>
        <v>1</v>
      </c>
      <c r="J58" s="5" t="str">
        <f>IF(IF(Table44246665727779[[#This Row],[Pre or Post]]="Post",1,0)+IF(ISNUMBER(Table44246665727779[[#This Row],[Response]])=TRUE,1,0)=2,1,"")</f>
        <v/>
      </c>
      <c r="K58" s="6">
        <f>IF(IF(Table44246665727779[[#This Row],[Pre or Post]]="Pre",1,0)+IF(ISNUMBER(Table44246665727779[[#This Row],[Response]])=TRUE,1,0)=2,Table44246665727779[[#This Row],[Response]],"")</f>
        <v>1</v>
      </c>
      <c r="L58" s="6" t="str">
        <f>IF(IF(Table44246665727779[[#This Row],[Pre or Post]]="Post",1,0)+IF(ISNUMBER(Table44246665727779[[#This Row],[Response]])=TRUE,1,0)=2,Table44246665727779[[#This Row],[Response]],"")</f>
        <v/>
      </c>
      <c r="M58" s="5">
        <f>IF(IF(ISNUMBER(K58),1,0)+IF(ISNUMBER(L59),1,0)=2,IF(IF(C59=C58,1,0)+IF(B59=B58,1,0)+IF(D59="Post",1,0)+IF(D58="Pre",1,0)=4,Table44246665727779[[#This Row],[Pre Total]],""),"")</f>
        <v>1</v>
      </c>
      <c r="N58" s="5" t="str">
        <f>IF(IF(ISNUMBER(K57),1,0)+IF(ISNUMBER(Table44246665727779[[#This Row],[Post Total]]),1,0)=2,IF(IF(Table44246665727779[[#This Row],[Student Number]]=C57,1,0)+IF(Table44246665727779[[#This Row],[Session]]=B57,1,0)+IF(Table44246665727779[[#This Row],[Pre or Post]]="Post",1,0)+IF(D57="Pre",1,0)=4,Table44246665727779[[#This Row],[Post Total]],""),"")</f>
        <v/>
      </c>
      <c r="O58" s="5" t="str">
        <f>IF(IF(ISNUMBER(K57),1,0)+IF(ISNUMBER(Table44246665727779[[#This Row],[Post Total]]),1,0)=2,IF(IF(Table44246665727779[[#This Row],[Student Number]]=C57,1,0)+IF(Table44246665727779[[#This Row],[Session]]=B57,1,0)+IF(Table44246665727779[[#This Row],[Pre or Post]]="Post",1,0)+IF(D57="Pre",1,0)=4,Table44246665727779[[#This Row],[Post Total]]-K57,""),"")</f>
        <v/>
      </c>
      <c r="P58" s="5" t="b">
        <f>ISNUMBER(Table44246665727779[[#This Row],[Change]])</f>
        <v>0</v>
      </c>
      <c r="Q58" s="5" t="str">
        <f>IF(E57="Yes",Table44246665727779[[#This Row],[Change]],"")</f>
        <v/>
      </c>
      <c r="R58" s="5" t="str">
        <f>IF(E57="No",Table44246665727779[[#This Row],[Change]],"")</f>
        <v/>
      </c>
      <c r="S58" s="5" t="b">
        <f>ISNUMBER(Table44246665727779[[#This Row],[If Pre6 Yes]])</f>
        <v>0</v>
      </c>
      <c r="T58" s="5" t="b">
        <f>ISNUMBER(Table44246665727779[[#This Row],[If Pre6 No]])</f>
        <v>0</v>
      </c>
    </row>
    <row r="59" spans="1:20">
      <c r="A59" s="2" t="s">
        <v>12</v>
      </c>
      <c r="B59" s="2" t="s">
        <v>21</v>
      </c>
      <c r="C59" s="1">
        <v>17</v>
      </c>
      <c r="D59" s="2" t="s">
        <v>16</v>
      </c>
      <c r="E59" s="5"/>
      <c r="F59" s="1">
        <v>3</v>
      </c>
      <c r="G59" s="1">
        <v>1</v>
      </c>
      <c r="H59" s="2" t="s">
        <v>8</v>
      </c>
      <c r="I59" s="5" t="str">
        <f>IF(IF(Table44246665727779[[#This Row],[Pre or Post]]="Pre",1,0)+IF(ISNUMBER(Table44246665727779[[#This Row],[Response]])=TRUE,1,0)=2,1,"")</f>
        <v/>
      </c>
      <c r="J59" s="5">
        <f>IF(IF(Table44246665727779[[#This Row],[Pre or Post]]="Post",1,0)+IF(ISNUMBER(Table44246665727779[[#This Row],[Response]])=TRUE,1,0)=2,1,"")</f>
        <v>1</v>
      </c>
      <c r="K59" s="6" t="str">
        <f>IF(IF(Table44246665727779[[#This Row],[Pre or Post]]="Pre",1,0)+IF(ISNUMBER(Table44246665727779[[#This Row],[Response]])=TRUE,1,0)=2,Table44246665727779[[#This Row],[Response]],"")</f>
        <v/>
      </c>
      <c r="L59" s="6">
        <f>IF(IF(Table44246665727779[[#This Row],[Pre or Post]]="Post",1,0)+IF(ISNUMBER(Table44246665727779[[#This Row],[Response]])=TRUE,1,0)=2,Table44246665727779[[#This Row],[Response]],"")</f>
        <v>1</v>
      </c>
      <c r="M59" s="5" t="str">
        <f>IF(IF(ISNUMBER(K59),1,0)+IF(ISNUMBER(L60),1,0)=2,IF(IF(C60=C59,1,0)+IF(B60=B59,1,0)+IF(D60="Post",1,0)+IF(D59="Pre",1,0)=4,Table44246665727779[[#This Row],[Pre Total]],""),"")</f>
        <v/>
      </c>
      <c r="N59" s="5">
        <f>IF(IF(ISNUMBER(K58),1,0)+IF(ISNUMBER(Table44246665727779[[#This Row],[Post Total]]),1,0)=2,IF(IF(Table44246665727779[[#This Row],[Student Number]]=C58,1,0)+IF(Table44246665727779[[#This Row],[Session]]=B58,1,0)+IF(Table44246665727779[[#This Row],[Pre or Post]]="Post",1,0)+IF(D58="Pre",1,0)=4,Table44246665727779[[#This Row],[Post Total]],""),"")</f>
        <v>1</v>
      </c>
      <c r="O59" s="5">
        <f>IF(IF(ISNUMBER(K58),1,0)+IF(ISNUMBER(Table44246665727779[[#This Row],[Post Total]]),1,0)=2,IF(IF(Table44246665727779[[#This Row],[Student Number]]=C58,1,0)+IF(Table44246665727779[[#This Row],[Session]]=B58,1,0)+IF(Table44246665727779[[#This Row],[Pre or Post]]="Post",1,0)+IF(D58="Pre",1,0)=4,Table44246665727779[[#This Row],[Post Total]]-K58,""),"")</f>
        <v>0</v>
      </c>
      <c r="P59" s="5" t="b">
        <f>ISNUMBER(Table44246665727779[[#This Row],[Change]])</f>
        <v>1</v>
      </c>
      <c r="Q59" s="5">
        <f>IF(E58="Yes",Table44246665727779[[#This Row],[Change]],"")</f>
        <v>0</v>
      </c>
      <c r="R59" s="5" t="str">
        <f>IF(E58="No",Table44246665727779[[#This Row],[Change]],"")</f>
        <v/>
      </c>
      <c r="S59" s="5" t="b">
        <f>ISNUMBER(Table44246665727779[[#This Row],[If Pre6 Yes]])</f>
        <v>1</v>
      </c>
      <c r="T59" s="5" t="b">
        <f>ISNUMBER(Table44246665727779[[#This Row],[If Pre6 No]])</f>
        <v>0</v>
      </c>
    </row>
    <row r="60" spans="1:20">
      <c r="A60" s="2" t="s">
        <v>12</v>
      </c>
      <c r="B60" s="2" t="s">
        <v>21</v>
      </c>
      <c r="C60" s="1">
        <v>18</v>
      </c>
      <c r="D60" s="2" t="s">
        <v>6</v>
      </c>
      <c r="E60" s="5" t="s">
        <v>8</v>
      </c>
      <c r="F60" s="1">
        <v>10</v>
      </c>
      <c r="G60" s="1">
        <v>5</v>
      </c>
      <c r="H60" s="2" t="s">
        <v>8</v>
      </c>
      <c r="I60" s="5">
        <f>IF(IF(Table44246665727779[[#This Row],[Pre or Post]]="Pre",1,0)+IF(ISNUMBER(Table44246665727779[[#This Row],[Response]])=TRUE,1,0)=2,1,"")</f>
        <v>1</v>
      </c>
      <c r="J60" s="5" t="str">
        <f>IF(IF(Table44246665727779[[#This Row],[Pre or Post]]="Post",1,0)+IF(ISNUMBER(Table44246665727779[[#This Row],[Response]])=TRUE,1,0)=2,1,"")</f>
        <v/>
      </c>
      <c r="K60" s="6">
        <f>IF(IF(Table44246665727779[[#This Row],[Pre or Post]]="Pre",1,0)+IF(ISNUMBER(Table44246665727779[[#This Row],[Response]])=TRUE,1,0)=2,Table44246665727779[[#This Row],[Response]],"")</f>
        <v>5</v>
      </c>
      <c r="L60" s="6" t="str">
        <f>IF(IF(Table44246665727779[[#This Row],[Pre or Post]]="Post",1,0)+IF(ISNUMBER(Table44246665727779[[#This Row],[Response]])=TRUE,1,0)=2,Table44246665727779[[#This Row],[Response]],"")</f>
        <v/>
      </c>
      <c r="M60" s="5">
        <f>IF(IF(ISNUMBER(K60),1,0)+IF(ISNUMBER(L61),1,0)=2,IF(IF(C61=C60,1,0)+IF(B61=B60,1,0)+IF(D61="Post",1,0)+IF(D60="Pre",1,0)=4,Table44246665727779[[#This Row],[Pre Total]],""),"")</f>
        <v>5</v>
      </c>
      <c r="N60" s="5" t="str">
        <f>IF(IF(ISNUMBER(K59),1,0)+IF(ISNUMBER(Table44246665727779[[#This Row],[Post Total]]),1,0)=2,IF(IF(Table44246665727779[[#This Row],[Student Number]]=C59,1,0)+IF(Table44246665727779[[#This Row],[Session]]=B59,1,0)+IF(Table44246665727779[[#This Row],[Pre or Post]]="Post",1,0)+IF(D59="Pre",1,0)=4,Table44246665727779[[#This Row],[Post Total]],""),"")</f>
        <v/>
      </c>
      <c r="O60" s="5" t="str">
        <f>IF(IF(ISNUMBER(K59),1,0)+IF(ISNUMBER(Table44246665727779[[#This Row],[Post Total]]),1,0)=2,IF(IF(Table44246665727779[[#This Row],[Student Number]]=C59,1,0)+IF(Table44246665727779[[#This Row],[Session]]=B59,1,0)+IF(Table44246665727779[[#This Row],[Pre or Post]]="Post",1,0)+IF(D59="Pre",1,0)=4,Table44246665727779[[#This Row],[Post Total]]-K59,""),"")</f>
        <v/>
      </c>
      <c r="P60" s="5" t="b">
        <f>ISNUMBER(Table44246665727779[[#This Row],[Change]])</f>
        <v>0</v>
      </c>
      <c r="Q60" s="5" t="str">
        <f>IF(E59="Yes",Table44246665727779[[#This Row],[Change]],"")</f>
        <v/>
      </c>
      <c r="R60" s="5" t="str">
        <f>IF(E59="No",Table44246665727779[[#This Row],[Change]],"")</f>
        <v/>
      </c>
      <c r="S60" s="5" t="b">
        <f>ISNUMBER(Table44246665727779[[#This Row],[If Pre6 Yes]])</f>
        <v>0</v>
      </c>
      <c r="T60" s="5" t="b">
        <f>ISNUMBER(Table44246665727779[[#This Row],[If Pre6 No]])</f>
        <v>0</v>
      </c>
    </row>
    <row r="61" spans="1:20">
      <c r="A61" s="2" t="s">
        <v>12</v>
      </c>
      <c r="B61" s="2" t="s">
        <v>21</v>
      </c>
      <c r="C61" s="1">
        <v>18</v>
      </c>
      <c r="D61" s="2" t="s">
        <v>16</v>
      </c>
      <c r="E61" s="5"/>
      <c r="F61" s="1">
        <v>3</v>
      </c>
      <c r="G61" s="1">
        <v>4</v>
      </c>
      <c r="H61" s="2" t="s">
        <v>8</v>
      </c>
      <c r="I61" s="6" t="str">
        <f>IF(IF(Table44246665727779[[#This Row],[Pre or Post]]="Pre",1,0)+IF(ISNUMBER(Table44246665727779[[#This Row],[Response]])=TRUE,1,0)=2,1,"")</f>
        <v/>
      </c>
      <c r="J61" s="6">
        <f>IF(IF(Table44246665727779[[#This Row],[Pre or Post]]="Post",1,0)+IF(ISNUMBER(Table44246665727779[[#This Row],[Response]])=TRUE,1,0)=2,1,"")</f>
        <v>1</v>
      </c>
      <c r="K61" s="6" t="str">
        <f>IF(IF(Table44246665727779[[#This Row],[Pre or Post]]="Pre",1,0)+IF(ISNUMBER(Table44246665727779[[#This Row],[Response]])=TRUE,1,0)=2,Table44246665727779[[#This Row],[Response]],"")</f>
        <v/>
      </c>
      <c r="L61" s="6">
        <f>IF(IF(Table44246665727779[[#This Row],[Pre or Post]]="Post",1,0)+IF(ISNUMBER(Table44246665727779[[#This Row],[Response]])=TRUE,1,0)=2,Table44246665727779[[#This Row],[Response]],"")</f>
        <v>4</v>
      </c>
      <c r="M61" s="6" t="str">
        <f>IF(IF(ISNUMBER(K61),1,0)+IF(ISNUMBER(L62),1,0)=2,IF(IF(C62=C61,1,0)+IF(B62=B61,1,0)+IF(D62="Post",1,0)+IF(D61="Pre",1,0)=4,Table44246665727779[[#This Row],[Pre Total]],""),"")</f>
        <v/>
      </c>
      <c r="N61" s="6">
        <f>IF(IF(ISNUMBER(K60),1,0)+IF(ISNUMBER(Table44246665727779[[#This Row],[Post Total]]),1,0)=2,IF(IF(Table44246665727779[[#This Row],[Student Number]]=C60,1,0)+IF(Table44246665727779[[#This Row],[Session]]=B60,1,0)+IF(Table44246665727779[[#This Row],[Pre or Post]]="Post",1,0)+IF(D60="Pre",1,0)=4,Table44246665727779[[#This Row],[Post Total]],""),"")</f>
        <v>4</v>
      </c>
      <c r="O61" s="6">
        <f>IF(IF(ISNUMBER(K60),1,0)+IF(ISNUMBER(Table44246665727779[[#This Row],[Post Total]]),1,0)=2,IF(IF(Table44246665727779[[#This Row],[Student Number]]=C60,1,0)+IF(Table44246665727779[[#This Row],[Session]]=B60,1,0)+IF(Table44246665727779[[#This Row],[Pre or Post]]="Post",1,0)+IF(D60="Pre",1,0)=4,Table44246665727779[[#This Row],[Post Total]]-K60,""),"")</f>
        <v>-1</v>
      </c>
      <c r="P61" s="6" t="b">
        <f>ISNUMBER(Table44246665727779[[#This Row],[Change]])</f>
        <v>1</v>
      </c>
      <c r="Q61" s="5">
        <f>IF(E60="Yes",Table44246665727779[[#This Row],[Change]],"")</f>
        <v>-1</v>
      </c>
      <c r="R61" s="5" t="str">
        <f>IF(E60="No",Table44246665727779[[#This Row],[Change]],"")</f>
        <v/>
      </c>
      <c r="S61" s="5" t="b">
        <f>ISNUMBER(Table44246665727779[[#This Row],[If Pre6 Yes]])</f>
        <v>1</v>
      </c>
      <c r="T61" s="5" t="b">
        <f>ISNUMBER(Table44246665727779[[#This Row],[If Pre6 No]])</f>
        <v>0</v>
      </c>
    </row>
    <row r="62" spans="1:20">
      <c r="A62" s="2" t="s">
        <v>12</v>
      </c>
      <c r="B62" s="2" t="s">
        <v>21</v>
      </c>
      <c r="C62" s="1">
        <v>19</v>
      </c>
      <c r="D62" s="2" t="s">
        <v>6</v>
      </c>
      <c r="E62" s="5" t="s">
        <v>8</v>
      </c>
      <c r="F62" s="1">
        <v>10</v>
      </c>
      <c r="G62" s="1">
        <v>3</v>
      </c>
      <c r="H62" s="2" t="s">
        <v>8</v>
      </c>
      <c r="I62" s="6">
        <f>IF(IF(Table44246665727779[[#This Row],[Pre or Post]]="Pre",1,0)+IF(ISNUMBER(Table44246665727779[[#This Row],[Response]])=TRUE,1,0)=2,1,"")</f>
        <v>1</v>
      </c>
      <c r="J62" s="6" t="str">
        <f>IF(IF(Table44246665727779[[#This Row],[Pre or Post]]="Post",1,0)+IF(ISNUMBER(Table44246665727779[[#This Row],[Response]])=TRUE,1,0)=2,1,"")</f>
        <v/>
      </c>
      <c r="K62" s="6">
        <f>IF(IF(Table44246665727779[[#This Row],[Pre or Post]]="Pre",1,0)+IF(ISNUMBER(Table44246665727779[[#This Row],[Response]])=TRUE,1,0)=2,Table44246665727779[[#This Row],[Response]],"")</f>
        <v>3</v>
      </c>
      <c r="L62" s="6" t="str">
        <f>IF(IF(Table44246665727779[[#This Row],[Pre or Post]]="Post",1,0)+IF(ISNUMBER(Table44246665727779[[#This Row],[Response]])=TRUE,1,0)=2,Table44246665727779[[#This Row],[Response]],"")</f>
        <v/>
      </c>
      <c r="M62" s="6">
        <f>IF(IF(ISNUMBER(K62),1,0)+IF(ISNUMBER(L63),1,0)=2,IF(IF(C63=C62,1,0)+IF(B63=B62,1,0)+IF(D63="Post",1,0)+IF(D62="Pre",1,0)=4,Table44246665727779[[#This Row],[Pre Total]],""),"")</f>
        <v>3</v>
      </c>
      <c r="N62" s="6" t="str">
        <f>IF(IF(ISNUMBER(K61),1,0)+IF(ISNUMBER(Table44246665727779[[#This Row],[Post Total]]),1,0)=2,IF(IF(Table44246665727779[[#This Row],[Student Number]]=C61,1,0)+IF(Table44246665727779[[#This Row],[Session]]=B61,1,0)+IF(Table44246665727779[[#This Row],[Pre or Post]]="Post",1,0)+IF(D61="Pre",1,0)=4,Table44246665727779[[#This Row],[Post Total]],""),"")</f>
        <v/>
      </c>
      <c r="O62" s="6" t="str">
        <f>IF(IF(ISNUMBER(K61),1,0)+IF(ISNUMBER(Table44246665727779[[#This Row],[Post Total]]),1,0)=2,IF(IF(Table44246665727779[[#This Row],[Student Number]]=C61,1,0)+IF(Table44246665727779[[#This Row],[Session]]=B61,1,0)+IF(Table44246665727779[[#This Row],[Pre or Post]]="Post",1,0)+IF(D61="Pre",1,0)=4,Table44246665727779[[#This Row],[Post Total]]-K61,""),"")</f>
        <v/>
      </c>
      <c r="P62" s="6" t="b">
        <f>ISNUMBER(Table44246665727779[[#This Row],[Change]])</f>
        <v>0</v>
      </c>
      <c r="Q62" s="5" t="str">
        <f>IF(E61="Yes",Table44246665727779[[#This Row],[Change]],"")</f>
        <v/>
      </c>
      <c r="R62" s="5" t="str">
        <f>IF(E61="No",Table44246665727779[[#This Row],[Change]],"")</f>
        <v/>
      </c>
      <c r="S62" s="5" t="b">
        <f>ISNUMBER(Table44246665727779[[#This Row],[If Pre6 Yes]])</f>
        <v>0</v>
      </c>
      <c r="T62" s="5" t="b">
        <f>ISNUMBER(Table44246665727779[[#This Row],[If Pre6 No]])</f>
        <v>0</v>
      </c>
    </row>
    <row r="63" spans="1:20">
      <c r="A63" s="2" t="s">
        <v>12</v>
      </c>
      <c r="B63" s="2" t="s">
        <v>21</v>
      </c>
      <c r="C63" s="1">
        <v>19</v>
      </c>
      <c r="D63" s="2" t="s">
        <v>16</v>
      </c>
      <c r="E63" s="5"/>
      <c r="F63" s="1">
        <v>3</v>
      </c>
      <c r="G63" s="1">
        <v>2</v>
      </c>
      <c r="H63" s="2" t="s">
        <v>8</v>
      </c>
      <c r="I63" s="6" t="str">
        <f>IF(IF(Table44246665727779[[#This Row],[Pre or Post]]="Pre",1,0)+IF(ISNUMBER(Table44246665727779[[#This Row],[Response]])=TRUE,1,0)=2,1,"")</f>
        <v/>
      </c>
      <c r="J63" s="6">
        <f>IF(IF(Table44246665727779[[#This Row],[Pre or Post]]="Post",1,0)+IF(ISNUMBER(Table44246665727779[[#This Row],[Response]])=TRUE,1,0)=2,1,"")</f>
        <v>1</v>
      </c>
      <c r="K63" s="6" t="str">
        <f>IF(IF(Table44246665727779[[#This Row],[Pre or Post]]="Pre",1,0)+IF(ISNUMBER(Table44246665727779[[#This Row],[Response]])=TRUE,1,0)=2,Table44246665727779[[#This Row],[Response]],"")</f>
        <v/>
      </c>
      <c r="L63" s="6">
        <f>IF(IF(Table44246665727779[[#This Row],[Pre or Post]]="Post",1,0)+IF(ISNUMBER(Table44246665727779[[#This Row],[Response]])=TRUE,1,0)=2,Table44246665727779[[#This Row],[Response]],"")</f>
        <v>2</v>
      </c>
      <c r="M63" s="6" t="str">
        <f>IF(IF(ISNUMBER(K63),1,0)+IF(ISNUMBER(L64),1,0)=2,IF(IF(C64=C63,1,0)+IF(B64=B63,1,0)+IF(D64="Post",1,0)+IF(D63="Pre",1,0)=4,Table44246665727779[[#This Row],[Pre Total]],""),"")</f>
        <v/>
      </c>
      <c r="N63" s="6">
        <f>IF(IF(ISNUMBER(K62),1,0)+IF(ISNUMBER(Table44246665727779[[#This Row],[Post Total]]),1,0)=2,IF(IF(Table44246665727779[[#This Row],[Student Number]]=C62,1,0)+IF(Table44246665727779[[#This Row],[Session]]=B62,1,0)+IF(Table44246665727779[[#This Row],[Pre or Post]]="Post",1,0)+IF(D62="Pre",1,0)=4,Table44246665727779[[#This Row],[Post Total]],""),"")</f>
        <v>2</v>
      </c>
      <c r="O63" s="6">
        <f>IF(IF(ISNUMBER(K62),1,0)+IF(ISNUMBER(Table44246665727779[[#This Row],[Post Total]]),1,0)=2,IF(IF(Table44246665727779[[#This Row],[Student Number]]=C62,1,0)+IF(Table44246665727779[[#This Row],[Session]]=B62,1,0)+IF(Table44246665727779[[#This Row],[Pre or Post]]="Post",1,0)+IF(D62="Pre",1,0)=4,Table44246665727779[[#This Row],[Post Total]]-K62,""),"")</f>
        <v>-1</v>
      </c>
      <c r="P63" s="6" t="b">
        <f>ISNUMBER(Table44246665727779[[#This Row],[Change]])</f>
        <v>1</v>
      </c>
      <c r="Q63" s="5">
        <f>IF(E62="Yes",Table44246665727779[[#This Row],[Change]],"")</f>
        <v>-1</v>
      </c>
      <c r="R63" s="5" t="str">
        <f>IF(E62="No",Table44246665727779[[#This Row],[Change]],"")</f>
        <v/>
      </c>
      <c r="S63" s="5" t="b">
        <f>ISNUMBER(Table44246665727779[[#This Row],[If Pre6 Yes]])</f>
        <v>1</v>
      </c>
      <c r="T63" s="5" t="b">
        <f>ISNUMBER(Table44246665727779[[#This Row],[If Pre6 No]])</f>
        <v>0</v>
      </c>
    </row>
    <row r="64" spans="1:20">
      <c r="A64" s="2" t="s">
        <v>12</v>
      </c>
      <c r="B64" s="2" t="s">
        <v>21</v>
      </c>
      <c r="C64" s="1">
        <v>20</v>
      </c>
      <c r="D64" s="2" t="s">
        <v>6</v>
      </c>
      <c r="E64" s="5" t="s">
        <v>8</v>
      </c>
      <c r="F64" s="1">
        <v>10</v>
      </c>
      <c r="G64" s="1">
        <v>3</v>
      </c>
      <c r="H64" s="2" t="s">
        <v>8</v>
      </c>
      <c r="I64" s="6">
        <f>IF(IF(Table44246665727779[[#This Row],[Pre or Post]]="Pre",1,0)+IF(ISNUMBER(Table44246665727779[[#This Row],[Response]])=TRUE,1,0)=2,1,"")</f>
        <v>1</v>
      </c>
      <c r="J64" s="6" t="str">
        <f>IF(IF(Table44246665727779[[#This Row],[Pre or Post]]="Post",1,0)+IF(ISNUMBER(Table44246665727779[[#This Row],[Response]])=TRUE,1,0)=2,1,"")</f>
        <v/>
      </c>
      <c r="K64" s="6">
        <f>IF(IF(Table44246665727779[[#This Row],[Pre or Post]]="Pre",1,0)+IF(ISNUMBER(Table44246665727779[[#This Row],[Response]])=TRUE,1,0)=2,Table44246665727779[[#This Row],[Response]],"")</f>
        <v>3</v>
      </c>
      <c r="L64" s="6" t="str">
        <f>IF(IF(Table44246665727779[[#This Row],[Pre or Post]]="Post",1,0)+IF(ISNUMBER(Table44246665727779[[#This Row],[Response]])=TRUE,1,0)=2,Table44246665727779[[#This Row],[Response]],"")</f>
        <v/>
      </c>
      <c r="M64" s="6">
        <f>IF(IF(ISNUMBER(K64),1,0)+IF(ISNUMBER(L65),1,0)=2,IF(IF(C65=C64,1,0)+IF(B65=B64,1,0)+IF(D65="Post",1,0)+IF(D64="Pre",1,0)=4,Table44246665727779[[#This Row],[Pre Total]],""),"")</f>
        <v>3</v>
      </c>
      <c r="N64" s="6" t="str">
        <f>IF(IF(ISNUMBER(K63),1,0)+IF(ISNUMBER(Table44246665727779[[#This Row],[Post Total]]),1,0)=2,IF(IF(Table44246665727779[[#This Row],[Student Number]]=C63,1,0)+IF(Table44246665727779[[#This Row],[Session]]=B63,1,0)+IF(Table44246665727779[[#This Row],[Pre or Post]]="Post",1,0)+IF(D63="Pre",1,0)=4,Table44246665727779[[#This Row],[Post Total]],""),"")</f>
        <v/>
      </c>
      <c r="O64" s="6" t="str">
        <f>IF(IF(ISNUMBER(K63),1,0)+IF(ISNUMBER(Table44246665727779[[#This Row],[Post Total]]),1,0)=2,IF(IF(Table44246665727779[[#This Row],[Student Number]]=C63,1,0)+IF(Table44246665727779[[#This Row],[Session]]=B63,1,0)+IF(Table44246665727779[[#This Row],[Pre or Post]]="Post",1,0)+IF(D63="Pre",1,0)=4,Table44246665727779[[#This Row],[Post Total]]-K63,""),"")</f>
        <v/>
      </c>
      <c r="P64" s="6" t="b">
        <f>ISNUMBER(Table44246665727779[[#This Row],[Change]])</f>
        <v>0</v>
      </c>
      <c r="Q64" s="5" t="str">
        <f>IF(E63="Yes",Table44246665727779[[#This Row],[Change]],"")</f>
        <v/>
      </c>
      <c r="R64" s="5" t="str">
        <f>IF(E63="No",Table44246665727779[[#This Row],[Change]],"")</f>
        <v/>
      </c>
      <c r="S64" s="5" t="b">
        <f>ISNUMBER(Table44246665727779[[#This Row],[If Pre6 Yes]])</f>
        <v>0</v>
      </c>
      <c r="T64" s="5" t="b">
        <f>ISNUMBER(Table44246665727779[[#This Row],[If Pre6 No]])</f>
        <v>0</v>
      </c>
    </row>
    <row r="65" spans="1:20">
      <c r="A65" s="2" t="s">
        <v>12</v>
      </c>
      <c r="B65" s="2" t="s">
        <v>21</v>
      </c>
      <c r="C65" s="1">
        <v>20</v>
      </c>
      <c r="D65" s="2" t="s">
        <v>16</v>
      </c>
      <c r="E65" s="5"/>
      <c r="F65" s="1">
        <v>3</v>
      </c>
      <c r="G65" s="1">
        <v>3</v>
      </c>
      <c r="H65" s="2" t="s">
        <v>8</v>
      </c>
      <c r="I65" s="6" t="str">
        <f>IF(IF(Table44246665727779[[#This Row],[Pre or Post]]="Pre",1,0)+IF(ISNUMBER(Table44246665727779[[#This Row],[Response]])=TRUE,1,0)=2,1,"")</f>
        <v/>
      </c>
      <c r="J65" s="6">
        <f>IF(IF(Table44246665727779[[#This Row],[Pre or Post]]="Post",1,0)+IF(ISNUMBER(Table44246665727779[[#This Row],[Response]])=TRUE,1,0)=2,1,"")</f>
        <v>1</v>
      </c>
      <c r="K65" s="6" t="str">
        <f>IF(IF(Table44246665727779[[#This Row],[Pre or Post]]="Pre",1,0)+IF(ISNUMBER(Table44246665727779[[#This Row],[Response]])=TRUE,1,0)=2,Table44246665727779[[#This Row],[Response]],"")</f>
        <v/>
      </c>
      <c r="L65" s="6">
        <f>IF(IF(Table44246665727779[[#This Row],[Pre or Post]]="Post",1,0)+IF(ISNUMBER(Table44246665727779[[#This Row],[Response]])=TRUE,1,0)=2,Table44246665727779[[#This Row],[Response]],"")</f>
        <v>3</v>
      </c>
      <c r="M65" s="6" t="str">
        <f>IF(IF(ISNUMBER(K65),1,0)+IF(ISNUMBER(L66),1,0)=2,IF(IF(C66=C65,1,0)+IF(B66=B65,1,0)+IF(D66="Post",1,0)+IF(D65="Pre",1,0)=4,Table44246665727779[[#This Row],[Pre Total]],""),"")</f>
        <v/>
      </c>
      <c r="N65" s="6">
        <f>IF(IF(ISNUMBER(K64),1,0)+IF(ISNUMBER(Table44246665727779[[#This Row],[Post Total]]),1,0)=2,IF(IF(Table44246665727779[[#This Row],[Student Number]]=C64,1,0)+IF(Table44246665727779[[#This Row],[Session]]=B64,1,0)+IF(Table44246665727779[[#This Row],[Pre or Post]]="Post",1,0)+IF(D64="Pre",1,0)=4,Table44246665727779[[#This Row],[Post Total]],""),"")</f>
        <v>3</v>
      </c>
      <c r="O65" s="6">
        <f>IF(IF(ISNUMBER(K64),1,0)+IF(ISNUMBER(Table44246665727779[[#This Row],[Post Total]]),1,0)=2,IF(IF(Table44246665727779[[#This Row],[Student Number]]=C64,1,0)+IF(Table44246665727779[[#This Row],[Session]]=B64,1,0)+IF(Table44246665727779[[#This Row],[Pre or Post]]="Post",1,0)+IF(D64="Pre",1,0)=4,Table44246665727779[[#This Row],[Post Total]]-K64,""),"")</f>
        <v>0</v>
      </c>
      <c r="P65" s="6" t="b">
        <f>ISNUMBER(Table44246665727779[[#This Row],[Change]])</f>
        <v>1</v>
      </c>
      <c r="Q65" s="5">
        <f>IF(E64="Yes",Table44246665727779[[#This Row],[Change]],"")</f>
        <v>0</v>
      </c>
      <c r="R65" s="5" t="str">
        <f>IF(E64="No",Table44246665727779[[#This Row],[Change]],"")</f>
        <v/>
      </c>
      <c r="S65" s="5" t="b">
        <f>ISNUMBER(Table44246665727779[[#This Row],[If Pre6 Yes]])</f>
        <v>1</v>
      </c>
      <c r="T65" s="5" t="b">
        <f>ISNUMBER(Table44246665727779[[#This Row],[If Pre6 No]])</f>
        <v>0</v>
      </c>
    </row>
    <row r="66" spans="1:20">
      <c r="A66" s="2" t="s">
        <v>12</v>
      </c>
      <c r="B66" s="2" t="s">
        <v>21</v>
      </c>
      <c r="C66" s="1">
        <v>21</v>
      </c>
      <c r="D66" s="2" t="s">
        <v>6</v>
      </c>
      <c r="E66" s="5" t="s">
        <v>8</v>
      </c>
      <c r="F66" s="1">
        <v>10</v>
      </c>
      <c r="G66" s="1">
        <v>1</v>
      </c>
      <c r="H66" s="2" t="s">
        <v>8</v>
      </c>
      <c r="I66" s="6">
        <f>IF(IF(Table44246665727779[[#This Row],[Pre or Post]]="Pre",1,0)+IF(ISNUMBER(Table44246665727779[[#This Row],[Response]])=TRUE,1,0)=2,1,"")</f>
        <v>1</v>
      </c>
      <c r="J66" s="6" t="str">
        <f>IF(IF(Table44246665727779[[#This Row],[Pre or Post]]="Post",1,0)+IF(ISNUMBER(Table44246665727779[[#This Row],[Response]])=TRUE,1,0)=2,1,"")</f>
        <v/>
      </c>
      <c r="K66" s="6">
        <f>IF(IF(Table44246665727779[[#This Row],[Pre or Post]]="Pre",1,0)+IF(ISNUMBER(Table44246665727779[[#This Row],[Response]])=TRUE,1,0)=2,Table44246665727779[[#This Row],[Response]],"")</f>
        <v>1</v>
      </c>
      <c r="L66" s="6" t="str">
        <f>IF(IF(Table44246665727779[[#This Row],[Pre or Post]]="Post",1,0)+IF(ISNUMBER(Table44246665727779[[#This Row],[Response]])=TRUE,1,0)=2,Table44246665727779[[#This Row],[Response]],"")</f>
        <v/>
      </c>
      <c r="M66" s="6">
        <f>IF(IF(ISNUMBER(K66),1,0)+IF(ISNUMBER(L67),1,0)=2,IF(IF(C67=C66,1,0)+IF(B67=B66,1,0)+IF(D67="Post",1,0)+IF(D66="Pre",1,0)=4,Table44246665727779[[#This Row],[Pre Total]],""),"")</f>
        <v>1</v>
      </c>
      <c r="N66" s="6" t="str">
        <f>IF(IF(ISNUMBER(K65),1,0)+IF(ISNUMBER(Table44246665727779[[#This Row],[Post Total]]),1,0)=2,IF(IF(Table44246665727779[[#This Row],[Student Number]]=C65,1,0)+IF(Table44246665727779[[#This Row],[Session]]=B65,1,0)+IF(Table44246665727779[[#This Row],[Pre or Post]]="Post",1,0)+IF(D65="Pre",1,0)=4,Table44246665727779[[#This Row],[Post Total]],""),"")</f>
        <v/>
      </c>
      <c r="O66" s="6" t="str">
        <f>IF(IF(ISNUMBER(K65),1,0)+IF(ISNUMBER(Table44246665727779[[#This Row],[Post Total]]),1,0)=2,IF(IF(Table44246665727779[[#This Row],[Student Number]]=C65,1,0)+IF(Table44246665727779[[#This Row],[Session]]=B65,1,0)+IF(Table44246665727779[[#This Row],[Pre or Post]]="Post",1,0)+IF(D65="Pre",1,0)=4,Table44246665727779[[#This Row],[Post Total]]-K65,""),"")</f>
        <v/>
      </c>
      <c r="P66" s="6" t="b">
        <f>ISNUMBER(Table44246665727779[[#This Row],[Change]])</f>
        <v>0</v>
      </c>
      <c r="Q66" s="5" t="str">
        <f>IF(E65="Yes",Table44246665727779[[#This Row],[Change]],"")</f>
        <v/>
      </c>
      <c r="R66" s="5" t="str">
        <f>IF(E65="No",Table44246665727779[[#This Row],[Change]],"")</f>
        <v/>
      </c>
      <c r="S66" s="5" t="b">
        <f>ISNUMBER(Table44246665727779[[#This Row],[If Pre6 Yes]])</f>
        <v>0</v>
      </c>
      <c r="T66" s="5" t="b">
        <f>ISNUMBER(Table44246665727779[[#This Row],[If Pre6 No]])</f>
        <v>0</v>
      </c>
    </row>
    <row r="67" spans="1:20">
      <c r="A67" s="2" t="s">
        <v>12</v>
      </c>
      <c r="B67" s="2" t="s">
        <v>21</v>
      </c>
      <c r="C67" s="1">
        <v>21</v>
      </c>
      <c r="D67" s="2" t="s">
        <v>16</v>
      </c>
      <c r="E67" s="5"/>
      <c r="F67" s="1">
        <v>3</v>
      </c>
      <c r="G67" s="1">
        <v>1</v>
      </c>
      <c r="H67" s="2" t="s">
        <v>8</v>
      </c>
      <c r="I67" s="6" t="str">
        <f>IF(IF(Table44246665727779[[#This Row],[Pre or Post]]="Pre",1,0)+IF(ISNUMBER(Table44246665727779[[#This Row],[Response]])=TRUE,1,0)=2,1,"")</f>
        <v/>
      </c>
      <c r="J67" s="6">
        <f>IF(IF(Table44246665727779[[#This Row],[Pre or Post]]="Post",1,0)+IF(ISNUMBER(Table44246665727779[[#This Row],[Response]])=TRUE,1,0)=2,1,"")</f>
        <v>1</v>
      </c>
      <c r="K67" s="6" t="str">
        <f>IF(IF(Table44246665727779[[#This Row],[Pre or Post]]="Pre",1,0)+IF(ISNUMBER(Table44246665727779[[#This Row],[Response]])=TRUE,1,0)=2,Table44246665727779[[#This Row],[Response]],"")</f>
        <v/>
      </c>
      <c r="L67" s="6">
        <f>IF(IF(Table44246665727779[[#This Row],[Pre or Post]]="Post",1,0)+IF(ISNUMBER(Table44246665727779[[#This Row],[Response]])=TRUE,1,0)=2,Table44246665727779[[#This Row],[Response]],"")</f>
        <v>1</v>
      </c>
      <c r="M67" s="6" t="str">
        <f>IF(IF(ISNUMBER(K67),1,0)+IF(ISNUMBER(L68),1,0)=2,IF(IF(C68=C67,1,0)+IF(B68=B67,1,0)+IF(D68="Post",1,0)+IF(D67="Pre",1,0)=4,Table44246665727779[[#This Row],[Pre Total]],""),"")</f>
        <v/>
      </c>
      <c r="N67" s="6">
        <f>IF(IF(ISNUMBER(K66),1,0)+IF(ISNUMBER(Table44246665727779[[#This Row],[Post Total]]),1,0)=2,IF(IF(Table44246665727779[[#This Row],[Student Number]]=C66,1,0)+IF(Table44246665727779[[#This Row],[Session]]=B66,1,0)+IF(Table44246665727779[[#This Row],[Pre or Post]]="Post",1,0)+IF(D66="Pre",1,0)=4,Table44246665727779[[#This Row],[Post Total]],""),"")</f>
        <v>1</v>
      </c>
      <c r="O67" s="6">
        <f>IF(IF(ISNUMBER(K66),1,0)+IF(ISNUMBER(Table44246665727779[[#This Row],[Post Total]]),1,0)=2,IF(IF(Table44246665727779[[#This Row],[Student Number]]=C66,1,0)+IF(Table44246665727779[[#This Row],[Session]]=B66,1,0)+IF(Table44246665727779[[#This Row],[Pre or Post]]="Post",1,0)+IF(D66="Pre",1,0)=4,Table44246665727779[[#This Row],[Post Total]]-K66,""),"")</f>
        <v>0</v>
      </c>
      <c r="P67" s="6" t="b">
        <f>ISNUMBER(Table44246665727779[[#This Row],[Change]])</f>
        <v>1</v>
      </c>
      <c r="Q67" s="5">
        <f>IF(E66="Yes",Table44246665727779[[#This Row],[Change]],"")</f>
        <v>0</v>
      </c>
      <c r="R67" s="5" t="str">
        <f>IF(E66="No",Table44246665727779[[#This Row],[Change]],"")</f>
        <v/>
      </c>
      <c r="S67" s="5" t="b">
        <f>ISNUMBER(Table44246665727779[[#This Row],[If Pre6 Yes]])</f>
        <v>1</v>
      </c>
      <c r="T67" s="5" t="b">
        <f>ISNUMBER(Table44246665727779[[#This Row],[If Pre6 No]])</f>
        <v>0</v>
      </c>
    </row>
    <row r="68" spans="1:20">
      <c r="A68" s="2" t="s">
        <v>12</v>
      </c>
      <c r="B68" s="2" t="s">
        <v>21</v>
      </c>
      <c r="C68" s="1">
        <v>22</v>
      </c>
      <c r="D68" s="2" t="s">
        <v>6</v>
      </c>
      <c r="E68" s="5" t="s">
        <v>8</v>
      </c>
      <c r="F68" s="1">
        <v>10</v>
      </c>
      <c r="G68" s="1">
        <v>5</v>
      </c>
      <c r="H68" s="2" t="s">
        <v>8</v>
      </c>
      <c r="I68" s="5">
        <f>IF(IF(Table44246665727779[[#This Row],[Pre or Post]]="Pre",1,0)+IF(ISNUMBER(Table44246665727779[[#This Row],[Response]])=TRUE,1,0)=2,1,"")</f>
        <v>1</v>
      </c>
      <c r="J68" s="5" t="str">
        <f>IF(IF(Table44246665727779[[#This Row],[Pre or Post]]="Post",1,0)+IF(ISNUMBER(Table44246665727779[[#This Row],[Response]])=TRUE,1,0)=2,1,"")</f>
        <v/>
      </c>
      <c r="K68" s="6">
        <f>IF(IF(Table44246665727779[[#This Row],[Pre or Post]]="Pre",1,0)+IF(ISNUMBER(Table44246665727779[[#This Row],[Response]])=TRUE,1,0)=2,Table44246665727779[[#This Row],[Response]],"")</f>
        <v>5</v>
      </c>
      <c r="L68" s="6" t="str">
        <f>IF(IF(Table44246665727779[[#This Row],[Pre or Post]]="Post",1,0)+IF(ISNUMBER(Table44246665727779[[#This Row],[Response]])=TRUE,1,0)=2,Table44246665727779[[#This Row],[Response]],"")</f>
        <v/>
      </c>
      <c r="M68" s="5">
        <f>IF(IF(ISNUMBER(K68),1,0)+IF(ISNUMBER(L69),1,0)=2,IF(IF(C69=C68,1,0)+IF(B69=B68,1,0)+IF(D69="Post",1,0)+IF(D68="Pre",1,0)=4,Table44246665727779[[#This Row],[Pre Total]],""),"")</f>
        <v>5</v>
      </c>
      <c r="N68" s="5" t="str">
        <f>IF(IF(ISNUMBER(K67),1,0)+IF(ISNUMBER(Table44246665727779[[#This Row],[Post Total]]),1,0)=2,IF(IF(Table44246665727779[[#This Row],[Student Number]]=C67,1,0)+IF(Table44246665727779[[#This Row],[Session]]=B67,1,0)+IF(Table44246665727779[[#This Row],[Pre or Post]]="Post",1,0)+IF(D67="Pre",1,0)=4,Table44246665727779[[#This Row],[Post Total]],""),"")</f>
        <v/>
      </c>
      <c r="O68" s="5" t="str">
        <f>IF(IF(ISNUMBER(K67),1,0)+IF(ISNUMBER(Table44246665727779[[#This Row],[Post Total]]),1,0)=2,IF(IF(Table44246665727779[[#This Row],[Student Number]]=C67,1,0)+IF(Table44246665727779[[#This Row],[Session]]=B67,1,0)+IF(Table44246665727779[[#This Row],[Pre or Post]]="Post",1,0)+IF(D67="Pre",1,0)=4,Table44246665727779[[#This Row],[Post Total]]-K67,""),"")</f>
        <v/>
      </c>
      <c r="P68" s="5" t="b">
        <f>ISNUMBER(Table44246665727779[[#This Row],[Change]])</f>
        <v>0</v>
      </c>
      <c r="Q68" s="5" t="str">
        <f>IF(E67="Yes",Table44246665727779[[#This Row],[Change]],"")</f>
        <v/>
      </c>
      <c r="R68" s="5" t="str">
        <f>IF(E67="No",Table44246665727779[[#This Row],[Change]],"")</f>
        <v/>
      </c>
      <c r="S68" s="5" t="b">
        <f>ISNUMBER(Table44246665727779[[#This Row],[If Pre6 Yes]])</f>
        <v>0</v>
      </c>
      <c r="T68" s="5" t="b">
        <f>ISNUMBER(Table44246665727779[[#This Row],[If Pre6 No]])</f>
        <v>0</v>
      </c>
    </row>
    <row r="69" spans="1:20">
      <c r="A69" s="2" t="s">
        <v>12</v>
      </c>
      <c r="B69" s="2" t="s">
        <v>21</v>
      </c>
      <c r="C69" s="1">
        <v>22</v>
      </c>
      <c r="D69" s="2" t="s">
        <v>16</v>
      </c>
      <c r="E69" s="5"/>
      <c r="F69" s="1">
        <v>3</v>
      </c>
      <c r="G69" s="1">
        <v>3</v>
      </c>
      <c r="H69" s="2" t="s">
        <v>8</v>
      </c>
      <c r="I69" s="6" t="str">
        <f>IF(IF(Table44246665727779[[#This Row],[Pre or Post]]="Pre",1,0)+IF(ISNUMBER(Table44246665727779[[#This Row],[Response]])=TRUE,1,0)=2,1,"")</f>
        <v/>
      </c>
      <c r="J69" s="6">
        <f>IF(IF(Table44246665727779[[#This Row],[Pre or Post]]="Post",1,0)+IF(ISNUMBER(Table44246665727779[[#This Row],[Response]])=TRUE,1,0)=2,1,"")</f>
        <v>1</v>
      </c>
      <c r="K69" s="6" t="str">
        <f>IF(IF(Table44246665727779[[#This Row],[Pre or Post]]="Pre",1,0)+IF(ISNUMBER(Table44246665727779[[#This Row],[Response]])=TRUE,1,0)=2,Table44246665727779[[#This Row],[Response]],"")</f>
        <v/>
      </c>
      <c r="L69" s="6">
        <f>IF(IF(Table44246665727779[[#This Row],[Pre or Post]]="Post",1,0)+IF(ISNUMBER(Table44246665727779[[#This Row],[Response]])=TRUE,1,0)=2,Table44246665727779[[#This Row],[Response]],"")</f>
        <v>3</v>
      </c>
      <c r="M69" s="6" t="str">
        <f>IF(IF(ISNUMBER(K69),1,0)+IF(ISNUMBER(L70),1,0)=2,IF(IF(C70=C69,1,0)+IF(B70=B69,1,0)+IF(D70="Post",1,0)+IF(D69="Pre",1,0)=4,Table44246665727779[[#This Row],[Pre Total]],""),"")</f>
        <v/>
      </c>
      <c r="N69" s="6">
        <f>IF(IF(ISNUMBER(K68),1,0)+IF(ISNUMBER(Table44246665727779[[#This Row],[Post Total]]),1,0)=2,IF(IF(Table44246665727779[[#This Row],[Student Number]]=C68,1,0)+IF(Table44246665727779[[#This Row],[Session]]=B68,1,0)+IF(Table44246665727779[[#This Row],[Pre or Post]]="Post",1,0)+IF(D68="Pre",1,0)=4,Table44246665727779[[#This Row],[Post Total]],""),"")</f>
        <v>3</v>
      </c>
      <c r="O69" s="6">
        <f>IF(IF(ISNUMBER(K68),1,0)+IF(ISNUMBER(Table44246665727779[[#This Row],[Post Total]]),1,0)=2,IF(IF(Table44246665727779[[#This Row],[Student Number]]=C68,1,0)+IF(Table44246665727779[[#This Row],[Session]]=B68,1,0)+IF(Table44246665727779[[#This Row],[Pre or Post]]="Post",1,0)+IF(D68="Pre",1,0)=4,Table44246665727779[[#This Row],[Post Total]]-K68,""),"")</f>
        <v>-2</v>
      </c>
      <c r="P69" s="6" t="b">
        <f>ISNUMBER(Table44246665727779[[#This Row],[Change]])</f>
        <v>1</v>
      </c>
      <c r="Q69" s="5">
        <f>IF(E68="Yes",Table44246665727779[[#This Row],[Change]],"")</f>
        <v>-2</v>
      </c>
      <c r="R69" s="5" t="str">
        <f>IF(E68="No",Table44246665727779[[#This Row],[Change]],"")</f>
        <v/>
      </c>
      <c r="S69" s="5" t="b">
        <f>ISNUMBER(Table44246665727779[[#This Row],[If Pre6 Yes]])</f>
        <v>1</v>
      </c>
      <c r="T69" s="5" t="b">
        <f>ISNUMBER(Table44246665727779[[#This Row],[If Pre6 No]])</f>
        <v>0</v>
      </c>
    </row>
    <row r="70" spans="1:20">
      <c r="A70" s="2" t="s">
        <v>12</v>
      </c>
      <c r="B70" s="2" t="s">
        <v>21</v>
      </c>
      <c r="C70" s="1">
        <v>23</v>
      </c>
      <c r="D70" s="2" t="s">
        <v>6</v>
      </c>
      <c r="E70" s="5" t="s">
        <v>8</v>
      </c>
      <c r="F70" s="1">
        <v>10</v>
      </c>
      <c r="G70" s="1">
        <v>3</v>
      </c>
      <c r="H70" s="2" t="s">
        <v>8</v>
      </c>
      <c r="I70" s="5">
        <f>IF(IF(Table44246665727779[[#This Row],[Pre or Post]]="Pre",1,0)+IF(ISNUMBER(Table44246665727779[[#This Row],[Response]])=TRUE,1,0)=2,1,"")</f>
        <v>1</v>
      </c>
      <c r="J70" s="5" t="str">
        <f>IF(IF(Table44246665727779[[#This Row],[Pre or Post]]="Post",1,0)+IF(ISNUMBER(Table44246665727779[[#This Row],[Response]])=TRUE,1,0)=2,1,"")</f>
        <v/>
      </c>
      <c r="K70" s="6">
        <f>IF(IF(Table44246665727779[[#This Row],[Pre or Post]]="Pre",1,0)+IF(ISNUMBER(Table44246665727779[[#This Row],[Response]])=TRUE,1,0)=2,Table44246665727779[[#This Row],[Response]],"")</f>
        <v>3</v>
      </c>
      <c r="L70" s="6" t="str">
        <f>IF(IF(Table44246665727779[[#This Row],[Pre or Post]]="Post",1,0)+IF(ISNUMBER(Table44246665727779[[#This Row],[Response]])=TRUE,1,0)=2,Table44246665727779[[#This Row],[Response]],"")</f>
        <v/>
      </c>
      <c r="M70" s="5">
        <f>IF(IF(ISNUMBER(K70),1,0)+IF(ISNUMBER(L71),1,0)=2,IF(IF(C71=C70,1,0)+IF(B71=B70,1,0)+IF(D71="Post",1,0)+IF(D70="Pre",1,0)=4,Table44246665727779[[#This Row],[Pre Total]],""),"")</f>
        <v>3</v>
      </c>
      <c r="N70" s="5" t="str">
        <f>IF(IF(ISNUMBER(K69),1,0)+IF(ISNUMBER(Table44246665727779[[#This Row],[Post Total]]),1,0)=2,IF(IF(Table44246665727779[[#This Row],[Student Number]]=C69,1,0)+IF(Table44246665727779[[#This Row],[Session]]=B69,1,0)+IF(Table44246665727779[[#This Row],[Pre or Post]]="Post",1,0)+IF(D69="Pre",1,0)=4,Table44246665727779[[#This Row],[Post Total]],""),"")</f>
        <v/>
      </c>
      <c r="O70" s="5" t="str">
        <f>IF(IF(ISNUMBER(K69),1,0)+IF(ISNUMBER(Table44246665727779[[#This Row],[Post Total]]),1,0)=2,IF(IF(Table44246665727779[[#This Row],[Student Number]]=C69,1,0)+IF(Table44246665727779[[#This Row],[Session]]=B69,1,0)+IF(Table44246665727779[[#This Row],[Pre or Post]]="Post",1,0)+IF(D69="Pre",1,0)=4,Table44246665727779[[#This Row],[Post Total]]-K69,""),"")</f>
        <v/>
      </c>
      <c r="P70" s="5" t="b">
        <f>ISNUMBER(Table44246665727779[[#This Row],[Change]])</f>
        <v>0</v>
      </c>
      <c r="Q70" s="5" t="str">
        <f>IF(E69="Yes",Table44246665727779[[#This Row],[Change]],"")</f>
        <v/>
      </c>
      <c r="R70" s="5" t="str">
        <f>IF(E69="No",Table44246665727779[[#This Row],[Change]],"")</f>
        <v/>
      </c>
      <c r="S70" s="5" t="b">
        <f>ISNUMBER(Table44246665727779[[#This Row],[If Pre6 Yes]])</f>
        <v>0</v>
      </c>
      <c r="T70" s="5" t="b">
        <f>ISNUMBER(Table44246665727779[[#This Row],[If Pre6 No]])</f>
        <v>0</v>
      </c>
    </row>
    <row r="71" spans="1:20">
      <c r="A71" s="2" t="s">
        <v>12</v>
      </c>
      <c r="B71" s="2" t="s">
        <v>21</v>
      </c>
      <c r="C71" s="1">
        <v>23</v>
      </c>
      <c r="D71" s="2" t="s">
        <v>16</v>
      </c>
      <c r="E71" s="5"/>
      <c r="F71" s="1">
        <v>3</v>
      </c>
      <c r="G71" s="1">
        <v>3</v>
      </c>
      <c r="H71" s="2" t="s">
        <v>8</v>
      </c>
      <c r="I71" s="5" t="str">
        <f>IF(IF(Table44246665727779[[#This Row],[Pre or Post]]="Pre",1,0)+IF(ISNUMBER(Table44246665727779[[#This Row],[Response]])=TRUE,1,0)=2,1,"")</f>
        <v/>
      </c>
      <c r="J71" s="5">
        <f>IF(IF(Table44246665727779[[#This Row],[Pre or Post]]="Post",1,0)+IF(ISNUMBER(Table44246665727779[[#This Row],[Response]])=TRUE,1,0)=2,1,"")</f>
        <v>1</v>
      </c>
      <c r="K71" s="6" t="str">
        <f>IF(IF(Table44246665727779[[#This Row],[Pre or Post]]="Pre",1,0)+IF(ISNUMBER(Table44246665727779[[#This Row],[Response]])=TRUE,1,0)=2,Table44246665727779[[#This Row],[Response]],"")</f>
        <v/>
      </c>
      <c r="L71" s="6">
        <f>IF(IF(Table44246665727779[[#This Row],[Pre or Post]]="Post",1,0)+IF(ISNUMBER(Table44246665727779[[#This Row],[Response]])=TRUE,1,0)=2,Table44246665727779[[#This Row],[Response]],"")</f>
        <v>3</v>
      </c>
      <c r="M71" s="5" t="str">
        <f>IF(IF(ISNUMBER(K71),1,0)+IF(ISNUMBER(L72),1,0)=2,IF(IF(C72=C71,1,0)+IF(B72=B71,1,0)+IF(D72="Post",1,0)+IF(D71="Pre",1,0)=4,Table44246665727779[[#This Row],[Pre Total]],""),"")</f>
        <v/>
      </c>
      <c r="N71" s="5">
        <f>IF(IF(ISNUMBER(K70),1,0)+IF(ISNUMBER(Table44246665727779[[#This Row],[Post Total]]),1,0)=2,IF(IF(Table44246665727779[[#This Row],[Student Number]]=C70,1,0)+IF(Table44246665727779[[#This Row],[Session]]=B70,1,0)+IF(Table44246665727779[[#This Row],[Pre or Post]]="Post",1,0)+IF(D70="Pre",1,0)=4,Table44246665727779[[#This Row],[Post Total]],""),"")</f>
        <v>3</v>
      </c>
      <c r="O71" s="5">
        <f>IF(IF(ISNUMBER(K70),1,0)+IF(ISNUMBER(Table44246665727779[[#This Row],[Post Total]]),1,0)=2,IF(IF(Table44246665727779[[#This Row],[Student Number]]=C70,1,0)+IF(Table44246665727779[[#This Row],[Session]]=B70,1,0)+IF(Table44246665727779[[#This Row],[Pre or Post]]="Post",1,0)+IF(D70="Pre",1,0)=4,Table44246665727779[[#This Row],[Post Total]]-K70,""),"")</f>
        <v>0</v>
      </c>
      <c r="P71" s="5" t="b">
        <f>ISNUMBER(Table44246665727779[[#This Row],[Change]])</f>
        <v>1</v>
      </c>
      <c r="Q71" s="5">
        <f>IF(E70="Yes",Table44246665727779[[#This Row],[Change]],"")</f>
        <v>0</v>
      </c>
      <c r="R71" s="5" t="str">
        <f>IF(E70="No",Table44246665727779[[#This Row],[Change]],"")</f>
        <v/>
      </c>
      <c r="S71" s="5" t="b">
        <f>ISNUMBER(Table44246665727779[[#This Row],[If Pre6 Yes]])</f>
        <v>1</v>
      </c>
      <c r="T71" s="5" t="b">
        <f>ISNUMBER(Table44246665727779[[#This Row],[If Pre6 No]])</f>
        <v>0</v>
      </c>
    </row>
    <row r="72" spans="1:20">
      <c r="A72" s="1" t="s">
        <v>12</v>
      </c>
      <c r="B72" s="1" t="s">
        <v>10</v>
      </c>
      <c r="C72" s="1">
        <v>1</v>
      </c>
      <c r="D72" s="1" t="s">
        <v>6</v>
      </c>
      <c r="E72" s="5" t="s">
        <v>8</v>
      </c>
      <c r="F72" s="1">
        <v>10</v>
      </c>
      <c r="G72" s="1">
        <v>3</v>
      </c>
      <c r="H72" s="1" t="s">
        <v>8</v>
      </c>
      <c r="I72" s="5">
        <f>IF(IF(Table44246665727779[[#This Row],[Pre or Post]]="Pre",1,0)+IF(ISNUMBER(Table44246665727779[[#This Row],[Response]])=TRUE,1,0)=2,1,"")</f>
        <v>1</v>
      </c>
      <c r="J72" s="5" t="str">
        <f>IF(IF(Table44246665727779[[#This Row],[Pre or Post]]="Post",1,0)+IF(ISNUMBER(Table44246665727779[[#This Row],[Response]])=TRUE,1,0)=2,1,"")</f>
        <v/>
      </c>
      <c r="K72" s="6">
        <f>IF(IF(Table44246665727779[[#This Row],[Pre or Post]]="Pre",1,0)+IF(ISNUMBER(Table44246665727779[[#This Row],[Response]])=TRUE,1,0)=2,Table44246665727779[[#This Row],[Response]],"")</f>
        <v>3</v>
      </c>
      <c r="L72" s="6" t="str">
        <f>IF(IF(Table44246665727779[[#This Row],[Pre or Post]]="Post",1,0)+IF(ISNUMBER(Table44246665727779[[#This Row],[Response]])=TRUE,1,0)=2,Table44246665727779[[#This Row],[Response]],"")</f>
        <v/>
      </c>
      <c r="M72" s="5">
        <f>IF(IF(ISNUMBER(K72),1,0)+IF(ISNUMBER(L73),1,0)=2,IF(IF(C73=C72,1,0)+IF(B73=B72,1,0)+IF(D73="Post",1,0)+IF(D72="Pre",1,0)=4,Table44246665727779[[#This Row],[Pre Total]],""),"")</f>
        <v>3</v>
      </c>
      <c r="N72" s="5" t="str">
        <f>IF(IF(ISNUMBER(K71),1,0)+IF(ISNUMBER(Table44246665727779[[#This Row],[Post Total]]),1,0)=2,IF(IF(Table44246665727779[[#This Row],[Student Number]]=C71,1,0)+IF(Table44246665727779[[#This Row],[Session]]=B71,1,0)+IF(Table44246665727779[[#This Row],[Pre or Post]]="Post",1,0)+IF(D71="Pre",1,0)=4,Table44246665727779[[#This Row],[Post Total]],""),"")</f>
        <v/>
      </c>
      <c r="O72" s="5" t="str">
        <f>IF(IF(ISNUMBER(K71),1,0)+IF(ISNUMBER(Table44246665727779[[#This Row],[Post Total]]),1,0)=2,IF(IF(Table44246665727779[[#This Row],[Student Number]]=C71,1,0)+IF(Table44246665727779[[#This Row],[Session]]=B71,1,0)+IF(Table44246665727779[[#This Row],[Pre or Post]]="Post",1,0)+IF(D71="Pre",1,0)=4,Table44246665727779[[#This Row],[Post Total]]-K71,""),"")</f>
        <v/>
      </c>
      <c r="P72" s="5" t="b">
        <f>ISNUMBER(Table44246665727779[[#This Row],[Change]])</f>
        <v>0</v>
      </c>
      <c r="Q72" s="5" t="str">
        <f>IF(E71="Yes",Table44246665727779[[#This Row],[Change]],"")</f>
        <v/>
      </c>
      <c r="R72" s="5" t="str">
        <f>IF(E71="No",Table44246665727779[[#This Row],[Change]],"")</f>
        <v/>
      </c>
      <c r="S72" s="5" t="b">
        <f>ISNUMBER(Table44246665727779[[#This Row],[If Pre6 Yes]])</f>
        <v>0</v>
      </c>
      <c r="T72" s="5" t="b">
        <f>ISNUMBER(Table44246665727779[[#This Row],[If Pre6 No]])</f>
        <v>0</v>
      </c>
    </row>
    <row r="73" spans="1:20">
      <c r="A73" s="1" t="s">
        <v>12</v>
      </c>
      <c r="B73" s="1" t="s">
        <v>10</v>
      </c>
      <c r="C73" s="1">
        <v>1</v>
      </c>
      <c r="D73" s="1" t="s">
        <v>16</v>
      </c>
      <c r="E73" s="5"/>
      <c r="F73" s="1">
        <v>3</v>
      </c>
      <c r="G73" s="1">
        <v>3</v>
      </c>
      <c r="H73" s="1" t="s">
        <v>8</v>
      </c>
      <c r="I73" s="5" t="str">
        <f>IF(IF(Table44246665727779[[#This Row],[Pre or Post]]="Pre",1,0)+IF(ISNUMBER(Table44246665727779[[#This Row],[Response]])=TRUE,1,0)=2,1,"")</f>
        <v/>
      </c>
      <c r="J73" s="5">
        <f>IF(IF(Table44246665727779[[#This Row],[Pre or Post]]="Post",1,0)+IF(ISNUMBER(Table44246665727779[[#This Row],[Response]])=TRUE,1,0)=2,1,"")</f>
        <v>1</v>
      </c>
      <c r="K73" s="6" t="str">
        <f>IF(IF(Table44246665727779[[#This Row],[Pre or Post]]="Pre",1,0)+IF(ISNUMBER(Table44246665727779[[#This Row],[Response]])=TRUE,1,0)=2,Table44246665727779[[#This Row],[Response]],"")</f>
        <v/>
      </c>
      <c r="L73" s="6">
        <f>IF(IF(Table44246665727779[[#This Row],[Pre or Post]]="Post",1,0)+IF(ISNUMBER(Table44246665727779[[#This Row],[Response]])=TRUE,1,0)=2,Table44246665727779[[#This Row],[Response]],"")</f>
        <v>3</v>
      </c>
      <c r="M73" s="5" t="str">
        <f>IF(IF(ISNUMBER(K73),1,0)+IF(ISNUMBER(L74),1,0)=2,IF(IF(C74=C73,1,0)+IF(B74=B73,1,0)+IF(D74="Post",1,0)+IF(D73="Pre",1,0)=4,Table44246665727779[[#This Row],[Pre Total]],""),"")</f>
        <v/>
      </c>
      <c r="N73" s="5">
        <f>IF(IF(ISNUMBER(K72),1,0)+IF(ISNUMBER(Table44246665727779[[#This Row],[Post Total]]),1,0)=2,IF(IF(Table44246665727779[[#This Row],[Student Number]]=C72,1,0)+IF(Table44246665727779[[#This Row],[Session]]=B72,1,0)+IF(Table44246665727779[[#This Row],[Pre or Post]]="Post",1,0)+IF(D72="Pre",1,0)=4,Table44246665727779[[#This Row],[Post Total]],""),"")</f>
        <v>3</v>
      </c>
      <c r="O73" s="5">
        <f>IF(IF(ISNUMBER(K72),1,0)+IF(ISNUMBER(Table44246665727779[[#This Row],[Post Total]]),1,0)=2,IF(IF(Table44246665727779[[#This Row],[Student Number]]=C72,1,0)+IF(Table44246665727779[[#This Row],[Session]]=B72,1,0)+IF(Table44246665727779[[#This Row],[Pre or Post]]="Post",1,0)+IF(D72="Pre",1,0)=4,Table44246665727779[[#This Row],[Post Total]]-K72,""),"")</f>
        <v>0</v>
      </c>
      <c r="P73" s="5" t="b">
        <f>ISNUMBER(Table44246665727779[[#This Row],[Change]])</f>
        <v>1</v>
      </c>
      <c r="Q73" s="5">
        <f>IF(E72="Yes",Table44246665727779[[#This Row],[Change]],"")</f>
        <v>0</v>
      </c>
      <c r="R73" s="5" t="str">
        <f>IF(E72="No",Table44246665727779[[#This Row],[Change]],"")</f>
        <v/>
      </c>
      <c r="S73" s="5" t="b">
        <f>ISNUMBER(Table44246665727779[[#This Row],[If Pre6 Yes]])</f>
        <v>1</v>
      </c>
      <c r="T73" s="5" t="b">
        <f>ISNUMBER(Table44246665727779[[#This Row],[If Pre6 No]])</f>
        <v>0</v>
      </c>
    </row>
    <row r="74" spans="1:20">
      <c r="A74" s="1" t="s">
        <v>12</v>
      </c>
      <c r="B74" s="1" t="s">
        <v>10</v>
      </c>
      <c r="C74" s="1">
        <v>2</v>
      </c>
      <c r="D74" s="1" t="s">
        <v>6</v>
      </c>
      <c r="E74" s="5" t="s">
        <v>8</v>
      </c>
      <c r="F74" s="1">
        <v>10</v>
      </c>
      <c r="G74" s="1">
        <v>3</v>
      </c>
      <c r="H74" s="1" t="s">
        <v>8</v>
      </c>
      <c r="I74" s="5">
        <f>IF(IF(Table44246665727779[[#This Row],[Pre or Post]]="Pre",1,0)+IF(ISNUMBER(Table44246665727779[[#This Row],[Response]])=TRUE,1,0)=2,1,"")</f>
        <v>1</v>
      </c>
      <c r="J74" s="5" t="str">
        <f>IF(IF(Table44246665727779[[#This Row],[Pre or Post]]="Post",1,0)+IF(ISNUMBER(Table44246665727779[[#This Row],[Response]])=TRUE,1,0)=2,1,"")</f>
        <v/>
      </c>
      <c r="K74" s="6">
        <f>IF(IF(Table44246665727779[[#This Row],[Pre or Post]]="Pre",1,0)+IF(ISNUMBER(Table44246665727779[[#This Row],[Response]])=TRUE,1,0)=2,Table44246665727779[[#This Row],[Response]],"")</f>
        <v>3</v>
      </c>
      <c r="L74" s="6" t="str">
        <f>IF(IF(Table44246665727779[[#This Row],[Pre or Post]]="Post",1,0)+IF(ISNUMBER(Table44246665727779[[#This Row],[Response]])=TRUE,1,0)=2,Table44246665727779[[#This Row],[Response]],"")</f>
        <v/>
      </c>
      <c r="M74" s="5">
        <f>IF(IF(ISNUMBER(K74),1,0)+IF(ISNUMBER(L75),1,0)=2,IF(IF(C75=C74,1,0)+IF(B75=B74,1,0)+IF(D75="Post",1,0)+IF(D74="Pre",1,0)=4,Table44246665727779[[#This Row],[Pre Total]],""),"")</f>
        <v>3</v>
      </c>
      <c r="N74" s="5" t="str">
        <f>IF(IF(ISNUMBER(K73),1,0)+IF(ISNUMBER(Table44246665727779[[#This Row],[Post Total]]),1,0)=2,IF(IF(Table44246665727779[[#This Row],[Student Number]]=C73,1,0)+IF(Table44246665727779[[#This Row],[Session]]=B73,1,0)+IF(Table44246665727779[[#This Row],[Pre or Post]]="Post",1,0)+IF(D73="Pre",1,0)=4,Table44246665727779[[#This Row],[Post Total]],""),"")</f>
        <v/>
      </c>
      <c r="O74" s="5" t="str">
        <f>IF(IF(ISNUMBER(K73),1,0)+IF(ISNUMBER(Table44246665727779[[#This Row],[Post Total]]),1,0)=2,IF(IF(Table44246665727779[[#This Row],[Student Number]]=C73,1,0)+IF(Table44246665727779[[#This Row],[Session]]=B73,1,0)+IF(Table44246665727779[[#This Row],[Pre or Post]]="Post",1,0)+IF(D73="Pre",1,0)=4,Table44246665727779[[#This Row],[Post Total]]-K73,""),"")</f>
        <v/>
      </c>
      <c r="P74" s="5" t="b">
        <f>ISNUMBER(Table44246665727779[[#This Row],[Change]])</f>
        <v>0</v>
      </c>
      <c r="Q74" s="5" t="str">
        <f>IF(E73="Yes",Table44246665727779[[#This Row],[Change]],"")</f>
        <v/>
      </c>
      <c r="R74" s="5" t="str">
        <f>IF(E73="No",Table44246665727779[[#This Row],[Change]],"")</f>
        <v/>
      </c>
      <c r="S74" s="5" t="b">
        <f>ISNUMBER(Table44246665727779[[#This Row],[If Pre6 Yes]])</f>
        <v>0</v>
      </c>
      <c r="T74" s="5" t="b">
        <f>ISNUMBER(Table44246665727779[[#This Row],[If Pre6 No]])</f>
        <v>0</v>
      </c>
    </row>
    <row r="75" spans="1:20">
      <c r="A75" s="1" t="s">
        <v>12</v>
      </c>
      <c r="B75" s="1" t="s">
        <v>10</v>
      </c>
      <c r="C75" s="1">
        <v>2</v>
      </c>
      <c r="D75" s="1" t="s">
        <v>16</v>
      </c>
      <c r="E75" s="5"/>
      <c r="F75" s="1">
        <v>3</v>
      </c>
      <c r="G75" s="1">
        <v>3</v>
      </c>
      <c r="H75" s="1" t="s">
        <v>8</v>
      </c>
      <c r="I75" s="5" t="str">
        <f>IF(IF(Table44246665727779[[#This Row],[Pre or Post]]="Pre",1,0)+IF(ISNUMBER(Table44246665727779[[#This Row],[Response]])=TRUE,1,0)=2,1,"")</f>
        <v/>
      </c>
      <c r="J75" s="5">
        <f>IF(IF(Table44246665727779[[#This Row],[Pre or Post]]="Post",1,0)+IF(ISNUMBER(Table44246665727779[[#This Row],[Response]])=TRUE,1,0)=2,1,"")</f>
        <v>1</v>
      </c>
      <c r="K75" s="6" t="str">
        <f>IF(IF(Table44246665727779[[#This Row],[Pre or Post]]="Pre",1,0)+IF(ISNUMBER(Table44246665727779[[#This Row],[Response]])=TRUE,1,0)=2,Table44246665727779[[#This Row],[Response]],"")</f>
        <v/>
      </c>
      <c r="L75" s="6">
        <f>IF(IF(Table44246665727779[[#This Row],[Pre or Post]]="Post",1,0)+IF(ISNUMBER(Table44246665727779[[#This Row],[Response]])=TRUE,1,0)=2,Table44246665727779[[#This Row],[Response]],"")</f>
        <v>3</v>
      </c>
      <c r="M75" s="5" t="str">
        <f>IF(IF(ISNUMBER(K75),1,0)+IF(ISNUMBER(L76),1,0)=2,IF(IF(C76=C75,1,0)+IF(B76=B75,1,0)+IF(D76="Post",1,0)+IF(D75="Pre",1,0)=4,Table44246665727779[[#This Row],[Pre Total]],""),"")</f>
        <v/>
      </c>
      <c r="N75" s="5">
        <f>IF(IF(ISNUMBER(K74),1,0)+IF(ISNUMBER(Table44246665727779[[#This Row],[Post Total]]),1,0)=2,IF(IF(Table44246665727779[[#This Row],[Student Number]]=C74,1,0)+IF(Table44246665727779[[#This Row],[Session]]=B74,1,0)+IF(Table44246665727779[[#This Row],[Pre or Post]]="Post",1,0)+IF(D74="Pre",1,0)=4,Table44246665727779[[#This Row],[Post Total]],""),"")</f>
        <v>3</v>
      </c>
      <c r="O75" s="5">
        <f>IF(IF(ISNUMBER(K74),1,0)+IF(ISNUMBER(Table44246665727779[[#This Row],[Post Total]]),1,0)=2,IF(IF(Table44246665727779[[#This Row],[Student Number]]=C74,1,0)+IF(Table44246665727779[[#This Row],[Session]]=B74,1,0)+IF(Table44246665727779[[#This Row],[Pre or Post]]="Post",1,0)+IF(D74="Pre",1,0)=4,Table44246665727779[[#This Row],[Post Total]]-K74,""),"")</f>
        <v>0</v>
      </c>
      <c r="P75" s="5" t="b">
        <f>ISNUMBER(Table44246665727779[[#This Row],[Change]])</f>
        <v>1</v>
      </c>
      <c r="Q75" s="5">
        <f>IF(E74="Yes",Table44246665727779[[#This Row],[Change]],"")</f>
        <v>0</v>
      </c>
      <c r="R75" s="5" t="str">
        <f>IF(E74="No",Table44246665727779[[#This Row],[Change]],"")</f>
        <v/>
      </c>
      <c r="S75" s="5" t="b">
        <f>ISNUMBER(Table44246665727779[[#This Row],[If Pre6 Yes]])</f>
        <v>1</v>
      </c>
      <c r="T75" s="5" t="b">
        <f>ISNUMBER(Table44246665727779[[#This Row],[If Pre6 No]])</f>
        <v>0</v>
      </c>
    </row>
    <row r="76" spans="1:20">
      <c r="A76" s="1" t="s">
        <v>12</v>
      </c>
      <c r="B76" s="1" t="s">
        <v>10</v>
      </c>
      <c r="C76" s="1">
        <v>3</v>
      </c>
      <c r="D76" s="1" t="s">
        <v>6</v>
      </c>
      <c r="E76" s="5" t="s">
        <v>8</v>
      </c>
      <c r="F76" s="1">
        <v>10</v>
      </c>
      <c r="G76" s="1">
        <v>5</v>
      </c>
      <c r="H76" s="1" t="s">
        <v>8</v>
      </c>
      <c r="I76" s="6">
        <f>IF(IF(Table44246665727779[[#This Row],[Pre or Post]]="Pre",1,0)+IF(ISNUMBER(Table44246665727779[[#This Row],[Response]])=TRUE,1,0)=2,1,"")</f>
        <v>1</v>
      </c>
      <c r="J76" s="6" t="str">
        <f>IF(IF(Table44246665727779[[#This Row],[Pre or Post]]="Post",1,0)+IF(ISNUMBER(Table44246665727779[[#This Row],[Response]])=TRUE,1,0)=2,1,"")</f>
        <v/>
      </c>
      <c r="K76" s="6">
        <f>IF(IF(Table44246665727779[[#This Row],[Pre or Post]]="Pre",1,0)+IF(ISNUMBER(Table44246665727779[[#This Row],[Response]])=TRUE,1,0)=2,Table44246665727779[[#This Row],[Response]],"")</f>
        <v>5</v>
      </c>
      <c r="L76" s="6" t="str">
        <f>IF(IF(Table44246665727779[[#This Row],[Pre or Post]]="Post",1,0)+IF(ISNUMBER(Table44246665727779[[#This Row],[Response]])=TRUE,1,0)=2,Table44246665727779[[#This Row],[Response]],"")</f>
        <v/>
      </c>
      <c r="M76" s="6">
        <f>IF(IF(ISNUMBER(K76),1,0)+IF(ISNUMBER(L77),1,0)=2,IF(IF(C77=C76,1,0)+IF(B77=B76,1,0)+IF(D77="Post",1,0)+IF(D76="Pre",1,0)=4,Table44246665727779[[#This Row],[Pre Total]],""),"")</f>
        <v>5</v>
      </c>
      <c r="N76" s="6" t="str">
        <f>IF(IF(ISNUMBER(K75),1,0)+IF(ISNUMBER(Table44246665727779[[#This Row],[Post Total]]),1,0)=2,IF(IF(Table44246665727779[[#This Row],[Student Number]]=C75,1,0)+IF(Table44246665727779[[#This Row],[Session]]=B75,1,0)+IF(Table44246665727779[[#This Row],[Pre or Post]]="Post",1,0)+IF(D75="Pre",1,0)=4,Table44246665727779[[#This Row],[Post Total]],""),"")</f>
        <v/>
      </c>
      <c r="O76" s="6" t="str">
        <f>IF(IF(ISNUMBER(K75),1,0)+IF(ISNUMBER(Table44246665727779[[#This Row],[Post Total]]),1,0)=2,IF(IF(Table44246665727779[[#This Row],[Student Number]]=C75,1,0)+IF(Table44246665727779[[#This Row],[Session]]=B75,1,0)+IF(Table44246665727779[[#This Row],[Pre or Post]]="Post",1,0)+IF(D75="Pre",1,0)=4,Table44246665727779[[#This Row],[Post Total]]-K75,""),"")</f>
        <v/>
      </c>
      <c r="P76" s="6" t="b">
        <f>ISNUMBER(Table44246665727779[[#This Row],[Change]])</f>
        <v>0</v>
      </c>
      <c r="Q76" s="5" t="str">
        <f>IF(E75="Yes",Table44246665727779[[#This Row],[Change]],"")</f>
        <v/>
      </c>
      <c r="R76" s="5" t="str">
        <f>IF(E75="No",Table44246665727779[[#This Row],[Change]],"")</f>
        <v/>
      </c>
      <c r="S76" s="5" t="b">
        <f>ISNUMBER(Table44246665727779[[#This Row],[If Pre6 Yes]])</f>
        <v>0</v>
      </c>
      <c r="T76" s="5" t="b">
        <f>ISNUMBER(Table44246665727779[[#This Row],[If Pre6 No]])</f>
        <v>0</v>
      </c>
    </row>
    <row r="77" spans="1:20">
      <c r="A77" s="1" t="s">
        <v>12</v>
      </c>
      <c r="B77" s="1" t="s">
        <v>10</v>
      </c>
      <c r="C77" s="1">
        <v>3</v>
      </c>
      <c r="D77" s="1" t="s">
        <v>16</v>
      </c>
      <c r="E77" s="5"/>
      <c r="F77" s="1">
        <v>3</v>
      </c>
      <c r="G77" s="1">
        <v>5</v>
      </c>
      <c r="H77" s="1" t="s">
        <v>8</v>
      </c>
      <c r="I77" s="5" t="str">
        <f>IF(IF(Table44246665727779[[#This Row],[Pre or Post]]="Pre",1,0)+IF(ISNUMBER(Table44246665727779[[#This Row],[Response]])=TRUE,1,0)=2,1,"")</f>
        <v/>
      </c>
      <c r="J77" s="5">
        <f>IF(IF(Table44246665727779[[#This Row],[Pre or Post]]="Post",1,0)+IF(ISNUMBER(Table44246665727779[[#This Row],[Response]])=TRUE,1,0)=2,1,"")</f>
        <v>1</v>
      </c>
      <c r="K77" s="6" t="str">
        <f>IF(IF(Table44246665727779[[#This Row],[Pre or Post]]="Pre",1,0)+IF(ISNUMBER(Table44246665727779[[#This Row],[Response]])=TRUE,1,0)=2,Table44246665727779[[#This Row],[Response]],"")</f>
        <v/>
      </c>
      <c r="L77" s="6">
        <f>IF(IF(Table44246665727779[[#This Row],[Pre or Post]]="Post",1,0)+IF(ISNUMBER(Table44246665727779[[#This Row],[Response]])=TRUE,1,0)=2,Table44246665727779[[#This Row],[Response]],"")</f>
        <v>5</v>
      </c>
      <c r="M77" s="5" t="str">
        <f>IF(IF(ISNUMBER(K77),1,0)+IF(ISNUMBER(L78),1,0)=2,IF(IF(C78=C77,1,0)+IF(B78=B77,1,0)+IF(D78="Post",1,0)+IF(D77="Pre",1,0)=4,Table44246665727779[[#This Row],[Pre Total]],""),"")</f>
        <v/>
      </c>
      <c r="N77" s="5">
        <f>IF(IF(ISNUMBER(K76),1,0)+IF(ISNUMBER(Table44246665727779[[#This Row],[Post Total]]),1,0)=2,IF(IF(Table44246665727779[[#This Row],[Student Number]]=C76,1,0)+IF(Table44246665727779[[#This Row],[Session]]=B76,1,0)+IF(Table44246665727779[[#This Row],[Pre or Post]]="Post",1,0)+IF(D76="Pre",1,0)=4,Table44246665727779[[#This Row],[Post Total]],""),"")</f>
        <v>5</v>
      </c>
      <c r="O77" s="5">
        <f>IF(IF(ISNUMBER(K76),1,0)+IF(ISNUMBER(Table44246665727779[[#This Row],[Post Total]]),1,0)=2,IF(IF(Table44246665727779[[#This Row],[Student Number]]=C76,1,0)+IF(Table44246665727779[[#This Row],[Session]]=B76,1,0)+IF(Table44246665727779[[#This Row],[Pre or Post]]="Post",1,0)+IF(D76="Pre",1,0)=4,Table44246665727779[[#This Row],[Post Total]]-K76,""),"")</f>
        <v>0</v>
      </c>
      <c r="P77" s="5" t="b">
        <f>ISNUMBER(Table44246665727779[[#This Row],[Change]])</f>
        <v>1</v>
      </c>
      <c r="Q77" s="5">
        <f>IF(E76="Yes",Table44246665727779[[#This Row],[Change]],"")</f>
        <v>0</v>
      </c>
      <c r="R77" s="5" t="str">
        <f>IF(E76="No",Table44246665727779[[#This Row],[Change]],"")</f>
        <v/>
      </c>
      <c r="S77" s="5" t="b">
        <f>ISNUMBER(Table44246665727779[[#This Row],[If Pre6 Yes]])</f>
        <v>1</v>
      </c>
      <c r="T77" s="5" t="b">
        <f>ISNUMBER(Table44246665727779[[#This Row],[If Pre6 No]])</f>
        <v>0</v>
      </c>
    </row>
    <row r="78" spans="1:20">
      <c r="A78" s="1" t="s">
        <v>12</v>
      </c>
      <c r="B78" s="1" t="s">
        <v>10</v>
      </c>
      <c r="C78" s="1">
        <v>4</v>
      </c>
      <c r="D78" s="1" t="s">
        <v>6</v>
      </c>
      <c r="E78" s="5" t="s">
        <v>8</v>
      </c>
      <c r="F78" s="1">
        <v>10</v>
      </c>
      <c r="G78" s="1">
        <v>4</v>
      </c>
      <c r="H78" s="1" t="s">
        <v>8</v>
      </c>
      <c r="I78" s="6">
        <f>IF(IF(Table44246665727779[[#This Row],[Pre or Post]]="Pre",1,0)+IF(ISNUMBER(Table44246665727779[[#This Row],[Response]])=TRUE,1,0)=2,1,"")</f>
        <v>1</v>
      </c>
      <c r="J78" s="6" t="str">
        <f>IF(IF(Table44246665727779[[#This Row],[Pre or Post]]="Post",1,0)+IF(ISNUMBER(Table44246665727779[[#This Row],[Response]])=TRUE,1,0)=2,1,"")</f>
        <v/>
      </c>
      <c r="K78" s="6">
        <f>IF(IF(Table44246665727779[[#This Row],[Pre or Post]]="Pre",1,0)+IF(ISNUMBER(Table44246665727779[[#This Row],[Response]])=TRUE,1,0)=2,Table44246665727779[[#This Row],[Response]],"")</f>
        <v>4</v>
      </c>
      <c r="L78" s="6" t="str">
        <f>IF(IF(Table44246665727779[[#This Row],[Pre or Post]]="Post",1,0)+IF(ISNUMBER(Table44246665727779[[#This Row],[Response]])=TRUE,1,0)=2,Table44246665727779[[#This Row],[Response]],"")</f>
        <v/>
      </c>
      <c r="M78" s="6">
        <f>IF(IF(ISNUMBER(K78),1,0)+IF(ISNUMBER(L79),1,0)=2,IF(IF(C79=C78,1,0)+IF(B79=B78,1,0)+IF(D79="Post",1,0)+IF(D78="Pre",1,0)=4,Table44246665727779[[#This Row],[Pre Total]],""),"")</f>
        <v>4</v>
      </c>
      <c r="N78" s="6" t="str">
        <f>IF(IF(ISNUMBER(K77),1,0)+IF(ISNUMBER(Table44246665727779[[#This Row],[Post Total]]),1,0)=2,IF(IF(Table44246665727779[[#This Row],[Student Number]]=C77,1,0)+IF(Table44246665727779[[#This Row],[Session]]=B77,1,0)+IF(Table44246665727779[[#This Row],[Pre or Post]]="Post",1,0)+IF(D77="Pre",1,0)=4,Table44246665727779[[#This Row],[Post Total]],""),"")</f>
        <v/>
      </c>
      <c r="O78" s="6" t="str">
        <f>IF(IF(ISNUMBER(K77),1,0)+IF(ISNUMBER(Table44246665727779[[#This Row],[Post Total]]),1,0)=2,IF(IF(Table44246665727779[[#This Row],[Student Number]]=C77,1,0)+IF(Table44246665727779[[#This Row],[Session]]=B77,1,0)+IF(Table44246665727779[[#This Row],[Pre or Post]]="Post",1,0)+IF(D77="Pre",1,0)=4,Table44246665727779[[#This Row],[Post Total]]-K77,""),"")</f>
        <v/>
      </c>
      <c r="P78" s="6" t="b">
        <f>ISNUMBER(Table44246665727779[[#This Row],[Change]])</f>
        <v>0</v>
      </c>
      <c r="Q78" s="5" t="str">
        <f>IF(E77="Yes",Table44246665727779[[#This Row],[Change]],"")</f>
        <v/>
      </c>
      <c r="R78" s="5" t="str">
        <f>IF(E77="No",Table44246665727779[[#This Row],[Change]],"")</f>
        <v/>
      </c>
      <c r="S78" s="5" t="b">
        <f>ISNUMBER(Table44246665727779[[#This Row],[If Pre6 Yes]])</f>
        <v>0</v>
      </c>
      <c r="T78" s="5" t="b">
        <f>ISNUMBER(Table44246665727779[[#This Row],[If Pre6 No]])</f>
        <v>0</v>
      </c>
    </row>
    <row r="79" spans="1:20">
      <c r="A79" s="1" t="s">
        <v>12</v>
      </c>
      <c r="B79" s="1" t="s">
        <v>10</v>
      </c>
      <c r="C79" s="1">
        <v>4</v>
      </c>
      <c r="D79" s="1" t="s">
        <v>16</v>
      </c>
      <c r="E79" s="5"/>
      <c r="F79" s="1">
        <v>3</v>
      </c>
      <c r="G79" s="1">
        <v>4</v>
      </c>
      <c r="H79" s="1" t="s">
        <v>8</v>
      </c>
      <c r="I79" s="6" t="str">
        <f>IF(IF(Table44246665727779[[#This Row],[Pre or Post]]="Pre",1,0)+IF(ISNUMBER(Table44246665727779[[#This Row],[Response]])=TRUE,1,0)=2,1,"")</f>
        <v/>
      </c>
      <c r="J79" s="6">
        <f>IF(IF(Table44246665727779[[#This Row],[Pre or Post]]="Post",1,0)+IF(ISNUMBER(Table44246665727779[[#This Row],[Response]])=TRUE,1,0)=2,1,"")</f>
        <v>1</v>
      </c>
      <c r="K79" s="6" t="str">
        <f>IF(IF(Table44246665727779[[#This Row],[Pre or Post]]="Pre",1,0)+IF(ISNUMBER(Table44246665727779[[#This Row],[Response]])=TRUE,1,0)=2,Table44246665727779[[#This Row],[Response]],"")</f>
        <v/>
      </c>
      <c r="L79" s="6">
        <f>IF(IF(Table44246665727779[[#This Row],[Pre or Post]]="Post",1,0)+IF(ISNUMBER(Table44246665727779[[#This Row],[Response]])=TRUE,1,0)=2,Table44246665727779[[#This Row],[Response]],"")</f>
        <v>4</v>
      </c>
      <c r="M79" s="6" t="str">
        <f>IF(IF(ISNUMBER(K79),1,0)+IF(ISNUMBER(L80),1,0)=2,IF(IF(C80=C79,1,0)+IF(B80=B79,1,0)+IF(D80="Post",1,0)+IF(D79="Pre",1,0)=4,Table44246665727779[[#This Row],[Pre Total]],""),"")</f>
        <v/>
      </c>
      <c r="N79" s="6">
        <f>IF(IF(ISNUMBER(K78),1,0)+IF(ISNUMBER(Table44246665727779[[#This Row],[Post Total]]),1,0)=2,IF(IF(Table44246665727779[[#This Row],[Student Number]]=C78,1,0)+IF(Table44246665727779[[#This Row],[Session]]=B78,1,0)+IF(Table44246665727779[[#This Row],[Pre or Post]]="Post",1,0)+IF(D78="Pre",1,0)=4,Table44246665727779[[#This Row],[Post Total]],""),"")</f>
        <v>4</v>
      </c>
      <c r="O79" s="6">
        <f>IF(IF(ISNUMBER(K78),1,0)+IF(ISNUMBER(Table44246665727779[[#This Row],[Post Total]]),1,0)=2,IF(IF(Table44246665727779[[#This Row],[Student Number]]=C78,1,0)+IF(Table44246665727779[[#This Row],[Session]]=B78,1,0)+IF(Table44246665727779[[#This Row],[Pre or Post]]="Post",1,0)+IF(D78="Pre",1,0)=4,Table44246665727779[[#This Row],[Post Total]]-K78,""),"")</f>
        <v>0</v>
      </c>
      <c r="P79" s="6" t="b">
        <f>ISNUMBER(Table44246665727779[[#This Row],[Change]])</f>
        <v>1</v>
      </c>
      <c r="Q79" s="5">
        <f>IF(E78="Yes",Table44246665727779[[#This Row],[Change]],"")</f>
        <v>0</v>
      </c>
      <c r="R79" s="5" t="str">
        <f>IF(E78="No",Table44246665727779[[#This Row],[Change]],"")</f>
        <v/>
      </c>
      <c r="S79" s="5" t="b">
        <f>ISNUMBER(Table44246665727779[[#This Row],[If Pre6 Yes]])</f>
        <v>1</v>
      </c>
      <c r="T79" s="5" t="b">
        <f>ISNUMBER(Table44246665727779[[#This Row],[If Pre6 No]])</f>
        <v>0</v>
      </c>
    </row>
    <row r="80" spans="1:20">
      <c r="A80" s="1" t="s">
        <v>12</v>
      </c>
      <c r="B80" s="1" t="s">
        <v>10</v>
      </c>
      <c r="C80" s="1">
        <v>5</v>
      </c>
      <c r="D80" s="1" t="s">
        <v>6</v>
      </c>
      <c r="E80" s="5" t="s">
        <v>8</v>
      </c>
      <c r="F80" s="1">
        <v>10</v>
      </c>
      <c r="G80" s="1">
        <v>4</v>
      </c>
      <c r="H80" s="1" t="s">
        <v>8</v>
      </c>
      <c r="I80" s="5">
        <f>IF(IF(Table44246665727779[[#This Row],[Pre or Post]]="Pre",1,0)+IF(ISNUMBER(Table44246665727779[[#This Row],[Response]])=TRUE,1,0)=2,1,"")</f>
        <v>1</v>
      </c>
      <c r="J80" s="5" t="str">
        <f>IF(IF(Table44246665727779[[#This Row],[Pre or Post]]="Post",1,0)+IF(ISNUMBER(Table44246665727779[[#This Row],[Response]])=TRUE,1,0)=2,1,"")</f>
        <v/>
      </c>
      <c r="K80" s="6">
        <f>IF(IF(Table44246665727779[[#This Row],[Pre or Post]]="Pre",1,0)+IF(ISNUMBER(Table44246665727779[[#This Row],[Response]])=TRUE,1,0)=2,Table44246665727779[[#This Row],[Response]],"")</f>
        <v>4</v>
      </c>
      <c r="L80" s="6" t="str">
        <f>IF(IF(Table44246665727779[[#This Row],[Pre or Post]]="Post",1,0)+IF(ISNUMBER(Table44246665727779[[#This Row],[Response]])=TRUE,1,0)=2,Table44246665727779[[#This Row],[Response]],"")</f>
        <v/>
      </c>
      <c r="M80" s="5">
        <f>IF(IF(ISNUMBER(K80),1,0)+IF(ISNUMBER(L81),1,0)=2,IF(IF(C81=C80,1,0)+IF(B81=B80,1,0)+IF(D81="Post",1,0)+IF(D80="Pre",1,0)=4,Table44246665727779[[#This Row],[Pre Total]],""),"")</f>
        <v>4</v>
      </c>
      <c r="N80" s="5" t="str">
        <f>IF(IF(ISNUMBER(K79),1,0)+IF(ISNUMBER(Table44246665727779[[#This Row],[Post Total]]),1,0)=2,IF(IF(Table44246665727779[[#This Row],[Student Number]]=C79,1,0)+IF(Table44246665727779[[#This Row],[Session]]=B79,1,0)+IF(Table44246665727779[[#This Row],[Pre or Post]]="Post",1,0)+IF(D79="Pre",1,0)=4,Table44246665727779[[#This Row],[Post Total]],""),"")</f>
        <v/>
      </c>
      <c r="O80" s="5" t="str">
        <f>IF(IF(ISNUMBER(K79),1,0)+IF(ISNUMBER(Table44246665727779[[#This Row],[Post Total]]),1,0)=2,IF(IF(Table44246665727779[[#This Row],[Student Number]]=C79,1,0)+IF(Table44246665727779[[#This Row],[Session]]=B79,1,0)+IF(Table44246665727779[[#This Row],[Pre or Post]]="Post",1,0)+IF(D79="Pre",1,0)=4,Table44246665727779[[#This Row],[Post Total]]-K79,""),"")</f>
        <v/>
      </c>
      <c r="P80" s="5" t="b">
        <f>ISNUMBER(Table44246665727779[[#This Row],[Change]])</f>
        <v>0</v>
      </c>
      <c r="Q80" s="5" t="str">
        <f>IF(E79="Yes",Table44246665727779[[#This Row],[Change]],"")</f>
        <v/>
      </c>
      <c r="R80" s="5" t="str">
        <f>IF(E79="No",Table44246665727779[[#This Row],[Change]],"")</f>
        <v/>
      </c>
      <c r="S80" s="5" t="b">
        <f>ISNUMBER(Table44246665727779[[#This Row],[If Pre6 Yes]])</f>
        <v>0</v>
      </c>
      <c r="T80" s="5" t="b">
        <f>ISNUMBER(Table44246665727779[[#This Row],[If Pre6 No]])</f>
        <v>0</v>
      </c>
    </row>
    <row r="81" spans="1:20">
      <c r="A81" s="1" t="s">
        <v>12</v>
      </c>
      <c r="B81" s="1" t="s">
        <v>10</v>
      </c>
      <c r="C81" s="1">
        <v>5</v>
      </c>
      <c r="D81" s="1" t="s">
        <v>16</v>
      </c>
      <c r="E81" s="5"/>
      <c r="F81" s="1">
        <v>3</v>
      </c>
      <c r="G81" s="1">
        <v>4</v>
      </c>
      <c r="H81" s="1" t="s">
        <v>8</v>
      </c>
      <c r="I81" s="5" t="str">
        <f>IF(IF(Table44246665727779[[#This Row],[Pre or Post]]="Pre",1,0)+IF(ISNUMBER(Table44246665727779[[#This Row],[Response]])=TRUE,1,0)=2,1,"")</f>
        <v/>
      </c>
      <c r="J81" s="5">
        <f>IF(IF(Table44246665727779[[#This Row],[Pre or Post]]="Post",1,0)+IF(ISNUMBER(Table44246665727779[[#This Row],[Response]])=TRUE,1,0)=2,1,"")</f>
        <v>1</v>
      </c>
      <c r="K81" s="6" t="str">
        <f>IF(IF(Table44246665727779[[#This Row],[Pre or Post]]="Pre",1,0)+IF(ISNUMBER(Table44246665727779[[#This Row],[Response]])=TRUE,1,0)=2,Table44246665727779[[#This Row],[Response]],"")</f>
        <v/>
      </c>
      <c r="L81" s="6">
        <f>IF(IF(Table44246665727779[[#This Row],[Pre or Post]]="Post",1,0)+IF(ISNUMBER(Table44246665727779[[#This Row],[Response]])=TRUE,1,0)=2,Table44246665727779[[#This Row],[Response]],"")</f>
        <v>4</v>
      </c>
      <c r="M81" s="5" t="str">
        <f>IF(IF(ISNUMBER(K81),1,0)+IF(ISNUMBER(L82),1,0)=2,IF(IF(C82=C81,1,0)+IF(B82=B81,1,0)+IF(D82="Post",1,0)+IF(D81="Pre",1,0)=4,Table44246665727779[[#This Row],[Pre Total]],""),"")</f>
        <v/>
      </c>
      <c r="N81" s="5">
        <f>IF(IF(ISNUMBER(K80),1,0)+IF(ISNUMBER(Table44246665727779[[#This Row],[Post Total]]),1,0)=2,IF(IF(Table44246665727779[[#This Row],[Student Number]]=C80,1,0)+IF(Table44246665727779[[#This Row],[Session]]=B80,1,0)+IF(Table44246665727779[[#This Row],[Pre or Post]]="Post",1,0)+IF(D80="Pre",1,0)=4,Table44246665727779[[#This Row],[Post Total]],""),"")</f>
        <v>4</v>
      </c>
      <c r="O81" s="5">
        <f>IF(IF(ISNUMBER(K80),1,0)+IF(ISNUMBER(Table44246665727779[[#This Row],[Post Total]]),1,0)=2,IF(IF(Table44246665727779[[#This Row],[Student Number]]=C80,1,0)+IF(Table44246665727779[[#This Row],[Session]]=B80,1,0)+IF(Table44246665727779[[#This Row],[Pre or Post]]="Post",1,0)+IF(D80="Pre",1,0)=4,Table44246665727779[[#This Row],[Post Total]]-K80,""),"")</f>
        <v>0</v>
      </c>
      <c r="P81" s="5" t="b">
        <f>ISNUMBER(Table44246665727779[[#This Row],[Change]])</f>
        <v>1</v>
      </c>
      <c r="Q81" s="5">
        <f>IF(E80="Yes",Table44246665727779[[#This Row],[Change]],"")</f>
        <v>0</v>
      </c>
      <c r="R81" s="5" t="str">
        <f>IF(E80="No",Table44246665727779[[#This Row],[Change]],"")</f>
        <v/>
      </c>
      <c r="S81" s="5" t="b">
        <f>ISNUMBER(Table44246665727779[[#This Row],[If Pre6 Yes]])</f>
        <v>1</v>
      </c>
      <c r="T81" s="5" t="b">
        <f>ISNUMBER(Table44246665727779[[#This Row],[If Pre6 No]])</f>
        <v>0</v>
      </c>
    </row>
    <row r="82" spans="1:20">
      <c r="A82" s="1" t="s">
        <v>12</v>
      </c>
      <c r="B82" s="1" t="s">
        <v>10</v>
      </c>
      <c r="C82" s="1">
        <v>6</v>
      </c>
      <c r="D82" s="1" t="s">
        <v>6</v>
      </c>
      <c r="E82" s="5" t="s">
        <v>8</v>
      </c>
      <c r="F82" s="1">
        <v>10</v>
      </c>
      <c r="G82" s="1">
        <v>4</v>
      </c>
      <c r="H82" s="1" t="s">
        <v>8</v>
      </c>
      <c r="I82" s="5">
        <f>IF(IF(Table44246665727779[[#This Row],[Pre or Post]]="Pre",1,0)+IF(ISNUMBER(Table44246665727779[[#This Row],[Response]])=TRUE,1,0)=2,1,"")</f>
        <v>1</v>
      </c>
      <c r="J82" s="5" t="str">
        <f>IF(IF(Table44246665727779[[#This Row],[Pre or Post]]="Post",1,0)+IF(ISNUMBER(Table44246665727779[[#This Row],[Response]])=TRUE,1,0)=2,1,"")</f>
        <v/>
      </c>
      <c r="K82" s="6">
        <f>IF(IF(Table44246665727779[[#This Row],[Pre or Post]]="Pre",1,0)+IF(ISNUMBER(Table44246665727779[[#This Row],[Response]])=TRUE,1,0)=2,Table44246665727779[[#This Row],[Response]],"")</f>
        <v>4</v>
      </c>
      <c r="L82" s="6" t="str">
        <f>IF(IF(Table44246665727779[[#This Row],[Pre or Post]]="Post",1,0)+IF(ISNUMBER(Table44246665727779[[#This Row],[Response]])=TRUE,1,0)=2,Table44246665727779[[#This Row],[Response]],"")</f>
        <v/>
      </c>
      <c r="M82" s="5">
        <f>IF(IF(ISNUMBER(K82),1,0)+IF(ISNUMBER(L83),1,0)=2,IF(IF(C83=C82,1,0)+IF(B83=B82,1,0)+IF(D83="Post",1,0)+IF(D82="Pre",1,0)=4,Table44246665727779[[#This Row],[Pre Total]],""),"")</f>
        <v>4</v>
      </c>
      <c r="N82" s="5" t="str">
        <f>IF(IF(ISNUMBER(K81),1,0)+IF(ISNUMBER(Table44246665727779[[#This Row],[Post Total]]),1,0)=2,IF(IF(Table44246665727779[[#This Row],[Student Number]]=C81,1,0)+IF(Table44246665727779[[#This Row],[Session]]=B81,1,0)+IF(Table44246665727779[[#This Row],[Pre or Post]]="Post",1,0)+IF(D81="Pre",1,0)=4,Table44246665727779[[#This Row],[Post Total]],""),"")</f>
        <v/>
      </c>
      <c r="O82" s="5" t="str">
        <f>IF(IF(ISNUMBER(K81),1,0)+IF(ISNUMBER(Table44246665727779[[#This Row],[Post Total]]),1,0)=2,IF(IF(Table44246665727779[[#This Row],[Student Number]]=C81,1,0)+IF(Table44246665727779[[#This Row],[Session]]=B81,1,0)+IF(Table44246665727779[[#This Row],[Pre or Post]]="Post",1,0)+IF(D81="Pre",1,0)=4,Table44246665727779[[#This Row],[Post Total]]-K81,""),"")</f>
        <v/>
      </c>
      <c r="P82" s="5" t="b">
        <f>ISNUMBER(Table44246665727779[[#This Row],[Change]])</f>
        <v>0</v>
      </c>
      <c r="Q82" s="5" t="str">
        <f>IF(E81="Yes",Table44246665727779[[#This Row],[Change]],"")</f>
        <v/>
      </c>
      <c r="R82" s="5" t="str">
        <f>IF(E81="No",Table44246665727779[[#This Row],[Change]],"")</f>
        <v/>
      </c>
      <c r="S82" s="5" t="b">
        <f>ISNUMBER(Table44246665727779[[#This Row],[If Pre6 Yes]])</f>
        <v>0</v>
      </c>
      <c r="T82" s="5" t="b">
        <f>ISNUMBER(Table44246665727779[[#This Row],[If Pre6 No]])</f>
        <v>0</v>
      </c>
    </row>
    <row r="83" spans="1:20">
      <c r="A83" s="1" t="s">
        <v>12</v>
      </c>
      <c r="B83" s="1" t="s">
        <v>10</v>
      </c>
      <c r="C83" s="1">
        <v>6</v>
      </c>
      <c r="D83" s="1" t="s">
        <v>16</v>
      </c>
      <c r="E83" s="5"/>
      <c r="F83" s="1">
        <v>3</v>
      </c>
      <c r="G83" s="1">
        <v>4</v>
      </c>
      <c r="H83" s="1" t="s">
        <v>8</v>
      </c>
      <c r="I83" s="6" t="str">
        <f>IF(IF(Table44246665727779[[#This Row],[Pre or Post]]="Pre",1,0)+IF(ISNUMBER(Table44246665727779[[#This Row],[Response]])=TRUE,1,0)=2,1,"")</f>
        <v/>
      </c>
      <c r="J83" s="6">
        <f>IF(IF(Table44246665727779[[#This Row],[Pre or Post]]="Post",1,0)+IF(ISNUMBER(Table44246665727779[[#This Row],[Response]])=TRUE,1,0)=2,1,"")</f>
        <v>1</v>
      </c>
      <c r="K83" s="6" t="str">
        <f>IF(IF(Table44246665727779[[#This Row],[Pre or Post]]="Pre",1,0)+IF(ISNUMBER(Table44246665727779[[#This Row],[Response]])=TRUE,1,0)=2,Table44246665727779[[#This Row],[Response]],"")</f>
        <v/>
      </c>
      <c r="L83" s="6">
        <f>IF(IF(Table44246665727779[[#This Row],[Pre or Post]]="Post",1,0)+IF(ISNUMBER(Table44246665727779[[#This Row],[Response]])=TRUE,1,0)=2,Table44246665727779[[#This Row],[Response]],"")</f>
        <v>4</v>
      </c>
      <c r="M83" s="6" t="str">
        <f>IF(IF(ISNUMBER(K83),1,0)+IF(ISNUMBER(L84),1,0)=2,IF(IF(C84=C83,1,0)+IF(B84=B83,1,0)+IF(D84="Post",1,0)+IF(D83="Pre",1,0)=4,Table44246665727779[[#This Row],[Pre Total]],""),"")</f>
        <v/>
      </c>
      <c r="N83" s="6">
        <f>IF(IF(ISNUMBER(K82),1,0)+IF(ISNUMBER(Table44246665727779[[#This Row],[Post Total]]),1,0)=2,IF(IF(Table44246665727779[[#This Row],[Student Number]]=C82,1,0)+IF(Table44246665727779[[#This Row],[Session]]=B82,1,0)+IF(Table44246665727779[[#This Row],[Pre or Post]]="Post",1,0)+IF(D82="Pre",1,0)=4,Table44246665727779[[#This Row],[Post Total]],""),"")</f>
        <v>4</v>
      </c>
      <c r="O83" s="6">
        <f>IF(IF(ISNUMBER(K82),1,0)+IF(ISNUMBER(Table44246665727779[[#This Row],[Post Total]]),1,0)=2,IF(IF(Table44246665727779[[#This Row],[Student Number]]=C82,1,0)+IF(Table44246665727779[[#This Row],[Session]]=B82,1,0)+IF(Table44246665727779[[#This Row],[Pre or Post]]="Post",1,0)+IF(D82="Pre",1,0)=4,Table44246665727779[[#This Row],[Post Total]]-K82,""),"")</f>
        <v>0</v>
      </c>
      <c r="P83" s="6" t="b">
        <f>ISNUMBER(Table44246665727779[[#This Row],[Change]])</f>
        <v>1</v>
      </c>
      <c r="Q83" s="5">
        <f>IF(E82="Yes",Table44246665727779[[#This Row],[Change]],"")</f>
        <v>0</v>
      </c>
      <c r="R83" s="5" t="str">
        <f>IF(E82="No",Table44246665727779[[#This Row],[Change]],"")</f>
        <v/>
      </c>
      <c r="S83" s="5" t="b">
        <f>ISNUMBER(Table44246665727779[[#This Row],[If Pre6 Yes]])</f>
        <v>1</v>
      </c>
      <c r="T83" s="5" t="b">
        <f>ISNUMBER(Table44246665727779[[#This Row],[If Pre6 No]])</f>
        <v>0</v>
      </c>
    </row>
    <row r="84" spans="1:20">
      <c r="A84" s="1" t="s">
        <v>12</v>
      </c>
      <c r="B84" s="1" t="s">
        <v>10</v>
      </c>
      <c r="C84" s="1">
        <v>7</v>
      </c>
      <c r="D84" s="1" t="s">
        <v>6</v>
      </c>
      <c r="E84" s="5" t="s">
        <v>8</v>
      </c>
      <c r="F84" s="1">
        <v>10</v>
      </c>
      <c r="G84" s="1">
        <v>4</v>
      </c>
      <c r="H84" s="1" t="s">
        <v>8</v>
      </c>
      <c r="I84" s="5">
        <f>IF(IF(Table44246665727779[[#This Row],[Pre or Post]]="Pre",1,0)+IF(ISNUMBER(Table44246665727779[[#This Row],[Response]])=TRUE,1,0)=2,1,"")</f>
        <v>1</v>
      </c>
      <c r="J84" s="5" t="str">
        <f>IF(IF(Table44246665727779[[#This Row],[Pre or Post]]="Post",1,0)+IF(ISNUMBER(Table44246665727779[[#This Row],[Response]])=TRUE,1,0)=2,1,"")</f>
        <v/>
      </c>
      <c r="K84" s="6">
        <f>IF(IF(Table44246665727779[[#This Row],[Pre or Post]]="Pre",1,0)+IF(ISNUMBER(Table44246665727779[[#This Row],[Response]])=TRUE,1,0)=2,Table44246665727779[[#This Row],[Response]],"")</f>
        <v>4</v>
      </c>
      <c r="L84" s="6" t="str">
        <f>IF(IF(Table44246665727779[[#This Row],[Pre or Post]]="Post",1,0)+IF(ISNUMBER(Table44246665727779[[#This Row],[Response]])=TRUE,1,0)=2,Table44246665727779[[#This Row],[Response]],"")</f>
        <v/>
      </c>
      <c r="M84" s="5">
        <f>IF(IF(ISNUMBER(K84),1,0)+IF(ISNUMBER(L85),1,0)=2,IF(IF(C85=C84,1,0)+IF(B85=B84,1,0)+IF(D85="Post",1,0)+IF(D84="Pre",1,0)=4,Table44246665727779[[#This Row],[Pre Total]],""),"")</f>
        <v>4</v>
      </c>
      <c r="N84" s="5" t="str">
        <f>IF(IF(ISNUMBER(K83),1,0)+IF(ISNUMBER(Table44246665727779[[#This Row],[Post Total]]),1,0)=2,IF(IF(Table44246665727779[[#This Row],[Student Number]]=C83,1,0)+IF(Table44246665727779[[#This Row],[Session]]=B83,1,0)+IF(Table44246665727779[[#This Row],[Pre or Post]]="Post",1,0)+IF(D83="Pre",1,0)=4,Table44246665727779[[#This Row],[Post Total]],""),"")</f>
        <v/>
      </c>
      <c r="O84" s="5" t="str">
        <f>IF(IF(ISNUMBER(K83),1,0)+IF(ISNUMBER(Table44246665727779[[#This Row],[Post Total]]),1,0)=2,IF(IF(Table44246665727779[[#This Row],[Student Number]]=C83,1,0)+IF(Table44246665727779[[#This Row],[Session]]=B83,1,0)+IF(Table44246665727779[[#This Row],[Pre or Post]]="Post",1,0)+IF(D83="Pre",1,0)=4,Table44246665727779[[#This Row],[Post Total]]-K83,""),"")</f>
        <v/>
      </c>
      <c r="P84" s="5" t="b">
        <f>ISNUMBER(Table44246665727779[[#This Row],[Change]])</f>
        <v>0</v>
      </c>
      <c r="Q84" s="5" t="str">
        <f>IF(E83="Yes",Table44246665727779[[#This Row],[Change]],"")</f>
        <v/>
      </c>
      <c r="R84" s="5" t="str">
        <f>IF(E83="No",Table44246665727779[[#This Row],[Change]],"")</f>
        <v/>
      </c>
      <c r="S84" s="5" t="b">
        <f>ISNUMBER(Table44246665727779[[#This Row],[If Pre6 Yes]])</f>
        <v>0</v>
      </c>
      <c r="T84" s="5" t="b">
        <f>ISNUMBER(Table44246665727779[[#This Row],[If Pre6 No]])</f>
        <v>0</v>
      </c>
    </row>
    <row r="85" spans="1:20">
      <c r="A85" s="1" t="s">
        <v>12</v>
      </c>
      <c r="B85" s="1" t="s">
        <v>10</v>
      </c>
      <c r="C85" s="1">
        <v>7</v>
      </c>
      <c r="D85" s="1" t="s">
        <v>16</v>
      </c>
      <c r="E85" s="5"/>
      <c r="F85" s="1">
        <v>3</v>
      </c>
      <c r="G85" s="1">
        <v>5</v>
      </c>
      <c r="H85" s="1" t="s">
        <v>8</v>
      </c>
      <c r="I85" s="6" t="str">
        <f>IF(IF(Table44246665727779[[#This Row],[Pre or Post]]="Pre",1,0)+IF(ISNUMBER(Table44246665727779[[#This Row],[Response]])=TRUE,1,0)=2,1,"")</f>
        <v/>
      </c>
      <c r="J85" s="6">
        <f>IF(IF(Table44246665727779[[#This Row],[Pre or Post]]="Post",1,0)+IF(ISNUMBER(Table44246665727779[[#This Row],[Response]])=TRUE,1,0)=2,1,"")</f>
        <v>1</v>
      </c>
      <c r="K85" s="6" t="str">
        <f>IF(IF(Table44246665727779[[#This Row],[Pre or Post]]="Pre",1,0)+IF(ISNUMBER(Table44246665727779[[#This Row],[Response]])=TRUE,1,0)=2,Table44246665727779[[#This Row],[Response]],"")</f>
        <v/>
      </c>
      <c r="L85" s="6">
        <f>IF(IF(Table44246665727779[[#This Row],[Pre or Post]]="Post",1,0)+IF(ISNUMBER(Table44246665727779[[#This Row],[Response]])=TRUE,1,0)=2,Table44246665727779[[#This Row],[Response]],"")</f>
        <v>5</v>
      </c>
      <c r="M85" s="6" t="str">
        <f>IF(IF(ISNUMBER(K85),1,0)+IF(ISNUMBER(L86),1,0)=2,IF(IF(C86=C85,1,0)+IF(B86=B85,1,0)+IF(D86="Post",1,0)+IF(D85="Pre",1,0)=4,Table44246665727779[[#This Row],[Pre Total]],""),"")</f>
        <v/>
      </c>
      <c r="N85" s="6">
        <f>IF(IF(ISNUMBER(K84),1,0)+IF(ISNUMBER(Table44246665727779[[#This Row],[Post Total]]),1,0)=2,IF(IF(Table44246665727779[[#This Row],[Student Number]]=C84,1,0)+IF(Table44246665727779[[#This Row],[Session]]=B84,1,0)+IF(Table44246665727779[[#This Row],[Pre or Post]]="Post",1,0)+IF(D84="Pre",1,0)=4,Table44246665727779[[#This Row],[Post Total]],""),"")</f>
        <v>5</v>
      </c>
      <c r="O85" s="6">
        <f>IF(IF(ISNUMBER(K84),1,0)+IF(ISNUMBER(Table44246665727779[[#This Row],[Post Total]]),1,0)=2,IF(IF(Table44246665727779[[#This Row],[Student Number]]=C84,1,0)+IF(Table44246665727779[[#This Row],[Session]]=B84,1,0)+IF(Table44246665727779[[#This Row],[Pre or Post]]="Post",1,0)+IF(D84="Pre",1,0)=4,Table44246665727779[[#This Row],[Post Total]]-K84,""),"")</f>
        <v>1</v>
      </c>
      <c r="P85" s="6" t="b">
        <f>ISNUMBER(Table44246665727779[[#This Row],[Change]])</f>
        <v>1</v>
      </c>
      <c r="Q85" s="5">
        <f>IF(E84="Yes",Table44246665727779[[#This Row],[Change]],"")</f>
        <v>1</v>
      </c>
      <c r="R85" s="5" t="str">
        <f>IF(E84="No",Table44246665727779[[#This Row],[Change]],"")</f>
        <v/>
      </c>
      <c r="S85" s="5" t="b">
        <f>ISNUMBER(Table44246665727779[[#This Row],[If Pre6 Yes]])</f>
        <v>1</v>
      </c>
      <c r="T85" s="5" t="b">
        <f>ISNUMBER(Table44246665727779[[#This Row],[If Pre6 No]])</f>
        <v>0</v>
      </c>
    </row>
    <row r="86" spans="1:20">
      <c r="A86" s="1" t="s">
        <v>12</v>
      </c>
      <c r="B86" s="1" t="s">
        <v>10</v>
      </c>
      <c r="C86" s="1">
        <v>8</v>
      </c>
      <c r="D86" s="1" t="s">
        <v>6</v>
      </c>
      <c r="E86" s="5" t="s">
        <v>8</v>
      </c>
      <c r="F86" s="1">
        <v>10</v>
      </c>
      <c r="G86" s="1">
        <v>4</v>
      </c>
      <c r="H86" s="1" t="s">
        <v>8</v>
      </c>
      <c r="I86" s="6">
        <f>IF(IF(Table44246665727779[[#This Row],[Pre or Post]]="Pre",1,0)+IF(ISNUMBER(Table44246665727779[[#This Row],[Response]])=TRUE,1,0)=2,1,"")</f>
        <v>1</v>
      </c>
      <c r="J86" s="6" t="str">
        <f>IF(IF(Table44246665727779[[#This Row],[Pre or Post]]="Post",1,0)+IF(ISNUMBER(Table44246665727779[[#This Row],[Response]])=TRUE,1,0)=2,1,"")</f>
        <v/>
      </c>
      <c r="K86" s="6">
        <f>IF(IF(Table44246665727779[[#This Row],[Pre or Post]]="Pre",1,0)+IF(ISNUMBER(Table44246665727779[[#This Row],[Response]])=TRUE,1,0)=2,Table44246665727779[[#This Row],[Response]],"")</f>
        <v>4</v>
      </c>
      <c r="L86" s="6" t="str">
        <f>IF(IF(Table44246665727779[[#This Row],[Pre or Post]]="Post",1,0)+IF(ISNUMBER(Table44246665727779[[#This Row],[Response]])=TRUE,1,0)=2,Table44246665727779[[#This Row],[Response]],"")</f>
        <v/>
      </c>
      <c r="M86" s="6">
        <f>IF(IF(ISNUMBER(K86),1,0)+IF(ISNUMBER(L87),1,0)=2,IF(IF(C87=C86,1,0)+IF(B87=B86,1,0)+IF(D87="Post",1,0)+IF(D86="Pre",1,0)=4,Table44246665727779[[#This Row],[Pre Total]],""),"")</f>
        <v>4</v>
      </c>
      <c r="N86" s="6" t="str">
        <f>IF(IF(ISNUMBER(K85),1,0)+IF(ISNUMBER(Table44246665727779[[#This Row],[Post Total]]),1,0)=2,IF(IF(Table44246665727779[[#This Row],[Student Number]]=C85,1,0)+IF(Table44246665727779[[#This Row],[Session]]=B85,1,0)+IF(Table44246665727779[[#This Row],[Pre or Post]]="Post",1,0)+IF(D85="Pre",1,0)=4,Table44246665727779[[#This Row],[Post Total]],""),"")</f>
        <v/>
      </c>
      <c r="O86" s="6" t="str">
        <f>IF(IF(ISNUMBER(K85),1,0)+IF(ISNUMBER(Table44246665727779[[#This Row],[Post Total]]),1,0)=2,IF(IF(Table44246665727779[[#This Row],[Student Number]]=C85,1,0)+IF(Table44246665727779[[#This Row],[Session]]=B85,1,0)+IF(Table44246665727779[[#This Row],[Pre or Post]]="Post",1,0)+IF(D85="Pre",1,0)=4,Table44246665727779[[#This Row],[Post Total]]-K85,""),"")</f>
        <v/>
      </c>
      <c r="P86" s="6" t="b">
        <f>ISNUMBER(Table44246665727779[[#This Row],[Change]])</f>
        <v>0</v>
      </c>
      <c r="Q86" s="5" t="str">
        <f>IF(E85="Yes",Table44246665727779[[#This Row],[Change]],"")</f>
        <v/>
      </c>
      <c r="R86" s="5" t="str">
        <f>IF(E85="No",Table44246665727779[[#This Row],[Change]],"")</f>
        <v/>
      </c>
      <c r="S86" s="5" t="b">
        <f>ISNUMBER(Table44246665727779[[#This Row],[If Pre6 Yes]])</f>
        <v>0</v>
      </c>
      <c r="T86" s="5" t="b">
        <f>ISNUMBER(Table44246665727779[[#This Row],[If Pre6 No]])</f>
        <v>0</v>
      </c>
    </row>
    <row r="87" spans="1:20">
      <c r="A87" s="1" t="s">
        <v>12</v>
      </c>
      <c r="B87" s="1" t="s">
        <v>10</v>
      </c>
      <c r="C87" s="1">
        <v>8</v>
      </c>
      <c r="D87" s="1" t="s">
        <v>16</v>
      </c>
      <c r="E87" s="5"/>
      <c r="F87" s="1">
        <v>3</v>
      </c>
      <c r="G87" s="1">
        <v>4</v>
      </c>
      <c r="H87" s="1" t="s">
        <v>8</v>
      </c>
      <c r="I87" s="5" t="str">
        <f>IF(IF(Table44246665727779[[#This Row],[Pre or Post]]="Pre",1,0)+IF(ISNUMBER(Table44246665727779[[#This Row],[Response]])=TRUE,1,0)=2,1,"")</f>
        <v/>
      </c>
      <c r="J87" s="5">
        <f>IF(IF(Table44246665727779[[#This Row],[Pre or Post]]="Post",1,0)+IF(ISNUMBER(Table44246665727779[[#This Row],[Response]])=TRUE,1,0)=2,1,"")</f>
        <v>1</v>
      </c>
      <c r="K87" s="6" t="str">
        <f>IF(IF(Table44246665727779[[#This Row],[Pre or Post]]="Pre",1,0)+IF(ISNUMBER(Table44246665727779[[#This Row],[Response]])=TRUE,1,0)=2,Table44246665727779[[#This Row],[Response]],"")</f>
        <v/>
      </c>
      <c r="L87" s="6">
        <f>IF(IF(Table44246665727779[[#This Row],[Pre or Post]]="Post",1,0)+IF(ISNUMBER(Table44246665727779[[#This Row],[Response]])=TRUE,1,0)=2,Table44246665727779[[#This Row],[Response]],"")</f>
        <v>4</v>
      </c>
      <c r="M87" s="5" t="str">
        <f>IF(IF(ISNUMBER(K87),1,0)+IF(ISNUMBER(L88),1,0)=2,IF(IF(C88=C87,1,0)+IF(B88=B87,1,0)+IF(D88="Post",1,0)+IF(D87="Pre",1,0)=4,Table44246665727779[[#This Row],[Pre Total]],""),"")</f>
        <v/>
      </c>
      <c r="N87" s="5">
        <f>IF(IF(ISNUMBER(K86),1,0)+IF(ISNUMBER(Table44246665727779[[#This Row],[Post Total]]),1,0)=2,IF(IF(Table44246665727779[[#This Row],[Student Number]]=C86,1,0)+IF(Table44246665727779[[#This Row],[Session]]=B86,1,0)+IF(Table44246665727779[[#This Row],[Pre or Post]]="Post",1,0)+IF(D86="Pre",1,0)=4,Table44246665727779[[#This Row],[Post Total]],""),"")</f>
        <v>4</v>
      </c>
      <c r="O87" s="5">
        <f>IF(IF(ISNUMBER(K86),1,0)+IF(ISNUMBER(Table44246665727779[[#This Row],[Post Total]]),1,0)=2,IF(IF(Table44246665727779[[#This Row],[Student Number]]=C86,1,0)+IF(Table44246665727779[[#This Row],[Session]]=B86,1,0)+IF(Table44246665727779[[#This Row],[Pre or Post]]="Post",1,0)+IF(D86="Pre",1,0)=4,Table44246665727779[[#This Row],[Post Total]]-K86,""),"")</f>
        <v>0</v>
      </c>
      <c r="P87" s="5" t="b">
        <f>ISNUMBER(Table44246665727779[[#This Row],[Change]])</f>
        <v>1</v>
      </c>
      <c r="Q87" s="5">
        <f>IF(E86="Yes",Table44246665727779[[#This Row],[Change]],"")</f>
        <v>0</v>
      </c>
      <c r="R87" s="5" t="str">
        <f>IF(E86="No",Table44246665727779[[#This Row],[Change]],"")</f>
        <v/>
      </c>
      <c r="S87" s="5" t="b">
        <f>ISNUMBER(Table44246665727779[[#This Row],[If Pre6 Yes]])</f>
        <v>1</v>
      </c>
      <c r="T87" s="5" t="b">
        <f>ISNUMBER(Table44246665727779[[#This Row],[If Pre6 No]])</f>
        <v>0</v>
      </c>
    </row>
    <row r="88" spans="1:20">
      <c r="A88" s="1" t="s">
        <v>12</v>
      </c>
      <c r="B88" s="1" t="s">
        <v>10</v>
      </c>
      <c r="C88" s="1">
        <v>9</v>
      </c>
      <c r="D88" s="1" t="s">
        <v>6</v>
      </c>
      <c r="E88" s="5" t="s">
        <v>8</v>
      </c>
      <c r="F88" s="1">
        <v>10</v>
      </c>
      <c r="G88" s="1">
        <v>3</v>
      </c>
      <c r="H88" s="1" t="s">
        <v>8</v>
      </c>
      <c r="I88" s="5">
        <f>IF(IF(Table44246665727779[[#This Row],[Pre or Post]]="Pre",1,0)+IF(ISNUMBER(Table44246665727779[[#This Row],[Response]])=TRUE,1,0)=2,1,"")</f>
        <v>1</v>
      </c>
      <c r="J88" s="5" t="str">
        <f>IF(IF(Table44246665727779[[#This Row],[Pre or Post]]="Post",1,0)+IF(ISNUMBER(Table44246665727779[[#This Row],[Response]])=TRUE,1,0)=2,1,"")</f>
        <v/>
      </c>
      <c r="K88" s="6">
        <f>IF(IF(Table44246665727779[[#This Row],[Pre or Post]]="Pre",1,0)+IF(ISNUMBER(Table44246665727779[[#This Row],[Response]])=TRUE,1,0)=2,Table44246665727779[[#This Row],[Response]],"")</f>
        <v>3</v>
      </c>
      <c r="L88" s="6" t="str">
        <f>IF(IF(Table44246665727779[[#This Row],[Pre or Post]]="Post",1,0)+IF(ISNUMBER(Table44246665727779[[#This Row],[Response]])=TRUE,1,0)=2,Table44246665727779[[#This Row],[Response]],"")</f>
        <v/>
      </c>
      <c r="M88" s="5">
        <f>IF(IF(ISNUMBER(K88),1,0)+IF(ISNUMBER(L89),1,0)=2,IF(IF(C89=C88,1,0)+IF(B89=B88,1,0)+IF(D89="Post",1,0)+IF(D88="Pre",1,0)=4,Table44246665727779[[#This Row],[Pre Total]],""),"")</f>
        <v>3</v>
      </c>
      <c r="N88" s="5" t="str">
        <f>IF(IF(ISNUMBER(K87),1,0)+IF(ISNUMBER(Table44246665727779[[#This Row],[Post Total]]),1,0)=2,IF(IF(Table44246665727779[[#This Row],[Student Number]]=C87,1,0)+IF(Table44246665727779[[#This Row],[Session]]=B87,1,0)+IF(Table44246665727779[[#This Row],[Pre or Post]]="Post",1,0)+IF(D87="Pre",1,0)=4,Table44246665727779[[#This Row],[Post Total]],""),"")</f>
        <v/>
      </c>
      <c r="O88" s="5" t="str">
        <f>IF(IF(ISNUMBER(K87),1,0)+IF(ISNUMBER(Table44246665727779[[#This Row],[Post Total]]),1,0)=2,IF(IF(Table44246665727779[[#This Row],[Student Number]]=C87,1,0)+IF(Table44246665727779[[#This Row],[Session]]=B87,1,0)+IF(Table44246665727779[[#This Row],[Pre or Post]]="Post",1,0)+IF(D87="Pre",1,0)=4,Table44246665727779[[#This Row],[Post Total]]-K87,""),"")</f>
        <v/>
      </c>
      <c r="P88" s="5" t="b">
        <f>ISNUMBER(Table44246665727779[[#This Row],[Change]])</f>
        <v>0</v>
      </c>
      <c r="Q88" s="5" t="str">
        <f>IF(E87="Yes",Table44246665727779[[#This Row],[Change]],"")</f>
        <v/>
      </c>
      <c r="R88" s="5" t="str">
        <f>IF(E87="No",Table44246665727779[[#This Row],[Change]],"")</f>
        <v/>
      </c>
      <c r="S88" s="5" t="b">
        <f>ISNUMBER(Table44246665727779[[#This Row],[If Pre6 Yes]])</f>
        <v>0</v>
      </c>
      <c r="T88" s="5" t="b">
        <f>ISNUMBER(Table44246665727779[[#This Row],[If Pre6 No]])</f>
        <v>0</v>
      </c>
    </row>
    <row r="89" spans="1:20">
      <c r="A89" s="1" t="s">
        <v>12</v>
      </c>
      <c r="B89" s="1" t="s">
        <v>10</v>
      </c>
      <c r="C89" s="1">
        <v>9</v>
      </c>
      <c r="D89" s="1" t="s">
        <v>16</v>
      </c>
      <c r="E89" s="5"/>
      <c r="F89" s="1">
        <v>3</v>
      </c>
      <c r="G89" s="1">
        <v>4</v>
      </c>
      <c r="H89" s="1" t="s">
        <v>8</v>
      </c>
      <c r="I89" s="5" t="str">
        <f>IF(IF(Table44246665727779[[#This Row],[Pre or Post]]="Pre",1,0)+IF(ISNUMBER(Table44246665727779[[#This Row],[Response]])=TRUE,1,0)=2,1,"")</f>
        <v/>
      </c>
      <c r="J89" s="5">
        <f>IF(IF(Table44246665727779[[#This Row],[Pre or Post]]="Post",1,0)+IF(ISNUMBER(Table44246665727779[[#This Row],[Response]])=TRUE,1,0)=2,1,"")</f>
        <v>1</v>
      </c>
      <c r="K89" s="6" t="str">
        <f>IF(IF(Table44246665727779[[#This Row],[Pre or Post]]="Pre",1,0)+IF(ISNUMBER(Table44246665727779[[#This Row],[Response]])=TRUE,1,0)=2,Table44246665727779[[#This Row],[Response]],"")</f>
        <v/>
      </c>
      <c r="L89" s="6">
        <f>IF(IF(Table44246665727779[[#This Row],[Pre or Post]]="Post",1,0)+IF(ISNUMBER(Table44246665727779[[#This Row],[Response]])=TRUE,1,0)=2,Table44246665727779[[#This Row],[Response]],"")</f>
        <v>4</v>
      </c>
      <c r="M89" s="5" t="str">
        <f>IF(IF(ISNUMBER(K89),1,0)+IF(ISNUMBER(L90),1,0)=2,IF(IF(C90=C89,1,0)+IF(B90=B89,1,0)+IF(D90="Post",1,0)+IF(D89="Pre",1,0)=4,Table44246665727779[[#This Row],[Pre Total]],""),"")</f>
        <v/>
      </c>
      <c r="N89" s="5">
        <f>IF(IF(ISNUMBER(K88),1,0)+IF(ISNUMBER(Table44246665727779[[#This Row],[Post Total]]),1,0)=2,IF(IF(Table44246665727779[[#This Row],[Student Number]]=C88,1,0)+IF(Table44246665727779[[#This Row],[Session]]=B88,1,0)+IF(Table44246665727779[[#This Row],[Pre or Post]]="Post",1,0)+IF(D88="Pre",1,0)=4,Table44246665727779[[#This Row],[Post Total]],""),"")</f>
        <v>4</v>
      </c>
      <c r="O89" s="5">
        <f>IF(IF(ISNUMBER(K88),1,0)+IF(ISNUMBER(Table44246665727779[[#This Row],[Post Total]]),1,0)=2,IF(IF(Table44246665727779[[#This Row],[Student Number]]=C88,1,0)+IF(Table44246665727779[[#This Row],[Session]]=B88,1,0)+IF(Table44246665727779[[#This Row],[Pre or Post]]="Post",1,0)+IF(D88="Pre",1,0)=4,Table44246665727779[[#This Row],[Post Total]]-K88,""),"")</f>
        <v>1</v>
      </c>
      <c r="P89" s="5" t="b">
        <f>ISNUMBER(Table44246665727779[[#This Row],[Change]])</f>
        <v>1</v>
      </c>
      <c r="Q89" s="5">
        <f>IF(E88="Yes",Table44246665727779[[#This Row],[Change]],"")</f>
        <v>1</v>
      </c>
      <c r="R89" s="5" t="str">
        <f>IF(E88="No",Table44246665727779[[#This Row],[Change]],"")</f>
        <v/>
      </c>
      <c r="S89" s="5" t="b">
        <f>ISNUMBER(Table44246665727779[[#This Row],[If Pre6 Yes]])</f>
        <v>1</v>
      </c>
      <c r="T89" s="5" t="b">
        <f>ISNUMBER(Table44246665727779[[#This Row],[If Pre6 No]])</f>
        <v>0</v>
      </c>
    </row>
    <row r="90" spans="1:20">
      <c r="A90" s="1" t="s">
        <v>12</v>
      </c>
      <c r="B90" s="1" t="s">
        <v>10</v>
      </c>
      <c r="C90" s="1">
        <v>10</v>
      </c>
      <c r="D90" s="1" t="s">
        <v>6</v>
      </c>
      <c r="E90" s="5" t="s">
        <v>8</v>
      </c>
      <c r="F90" s="1">
        <v>10</v>
      </c>
      <c r="G90" s="1">
        <v>4</v>
      </c>
      <c r="H90" s="1" t="s">
        <v>8</v>
      </c>
      <c r="I90" s="5">
        <f>IF(IF(Table44246665727779[[#This Row],[Pre or Post]]="Pre",1,0)+IF(ISNUMBER(Table44246665727779[[#This Row],[Response]])=TRUE,1,0)=2,1,"")</f>
        <v>1</v>
      </c>
      <c r="J90" s="5" t="str">
        <f>IF(IF(Table44246665727779[[#This Row],[Pre or Post]]="Post",1,0)+IF(ISNUMBER(Table44246665727779[[#This Row],[Response]])=TRUE,1,0)=2,1,"")</f>
        <v/>
      </c>
      <c r="K90" s="6">
        <f>IF(IF(Table44246665727779[[#This Row],[Pre or Post]]="Pre",1,0)+IF(ISNUMBER(Table44246665727779[[#This Row],[Response]])=TRUE,1,0)=2,Table44246665727779[[#This Row],[Response]],"")</f>
        <v>4</v>
      </c>
      <c r="L90" s="6" t="str">
        <f>IF(IF(Table44246665727779[[#This Row],[Pre or Post]]="Post",1,0)+IF(ISNUMBER(Table44246665727779[[#This Row],[Response]])=TRUE,1,0)=2,Table44246665727779[[#This Row],[Response]],"")</f>
        <v/>
      </c>
      <c r="M90" s="5">
        <f>IF(IF(ISNUMBER(K90),1,0)+IF(ISNUMBER(L91),1,0)=2,IF(IF(C91=C90,1,0)+IF(B91=B90,1,0)+IF(D91="Post",1,0)+IF(D90="Pre",1,0)=4,Table44246665727779[[#This Row],[Pre Total]],""),"")</f>
        <v>4</v>
      </c>
      <c r="N90" s="5" t="str">
        <f>IF(IF(ISNUMBER(K89),1,0)+IF(ISNUMBER(Table44246665727779[[#This Row],[Post Total]]),1,0)=2,IF(IF(Table44246665727779[[#This Row],[Student Number]]=C89,1,0)+IF(Table44246665727779[[#This Row],[Session]]=B89,1,0)+IF(Table44246665727779[[#This Row],[Pre or Post]]="Post",1,0)+IF(D89="Pre",1,0)=4,Table44246665727779[[#This Row],[Post Total]],""),"")</f>
        <v/>
      </c>
      <c r="O90" s="5" t="str">
        <f>IF(IF(ISNUMBER(K89),1,0)+IF(ISNUMBER(Table44246665727779[[#This Row],[Post Total]]),1,0)=2,IF(IF(Table44246665727779[[#This Row],[Student Number]]=C89,1,0)+IF(Table44246665727779[[#This Row],[Session]]=B89,1,0)+IF(Table44246665727779[[#This Row],[Pre or Post]]="Post",1,0)+IF(D89="Pre",1,0)=4,Table44246665727779[[#This Row],[Post Total]]-K89,""),"")</f>
        <v/>
      </c>
      <c r="P90" s="5" t="b">
        <f>ISNUMBER(Table44246665727779[[#This Row],[Change]])</f>
        <v>0</v>
      </c>
      <c r="Q90" s="5" t="str">
        <f>IF(E89="Yes",Table44246665727779[[#This Row],[Change]],"")</f>
        <v/>
      </c>
      <c r="R90" s="5" t="str">
        <f>IF(E89="No",Table44246665727779[[#This Row],[Change]],"")</f>
        <v/>
      </c>
      <c r="S90" s="5" t="b">
        <f>ISNUMBER(Table44246665727779[[#This Row],[If Pre6 Yes]])</f>
        <v>0</v>
      </c>
      <c r="T90" s="5" t="b">
        <f>ISNUMBER(Table44246665727779[[#This Row],[If Pre6 No]])</f>
        <v>0</v>
      </c>
    </row>
    <row r="91" spans="1:20">
      <c r="A91" s="1" t="s">
        <v>12</v>
      </c>
      <c r="B91" s="1" t="s">
        <v>10</v>
      </c>
      <c r="C91" s="1">
        <v>10</v>
      </c>
      <c r="D91" s="1" t="s">
        <v>16</v>
      </c>
      <c r="E91" s="5"/>
      <c r="F91" s="1">
        <v>3</v>
      </c>
      <c r="G91" s="1">
        <v>4</v>
      </c>
      <c r="H91" s="1" t="s">
        <v>8</v>
      </c>
      <c r="I91" s="5" t="str">
        <f>IF(IF(Table44246665727779[[#This Row],[Pre or Post]]="Pre",1,0)+IF(ISNUMBER(Table44246665727779[[#This Row],[Response]])=TRUE,1,0)=2,1,"")</f>
        <v/>
      </c>
      <c r="J91" s="5">
        <f>IF(IF(Table44246665727779[[#This Row],[Pre or Post]]="Post",1,0)+IF(ISNUMBER(Table44246665727779[[#This Row],[Response]])=TRUE,1,0)=2,1,"")</f>
        <v>1</v>
      </c>
      <c r="K91" s="6" t="str">
        <f>IF(IF(Table44246665727779[[#This Row],[Pre or Post]]="Pre",1,0)+IF(ISNUMBER(Table44246665727779[[#This Row],[Response]])=TRUE,1,0)=2,Table44246665727779[[#This Row],[Response]],"")</f>
        <v/>
      </c>
      <c r="L91" s="6">
        <f>IF(IF(Table44246665727779[[#This Row],[Pre or Post]]="Post",1,0)+IF(ISNUMBER(Table44246665727779[[#This Row],[Response]])=TRUE,1,0)=2,Table44246665727779[[#This Row],[Response]],"")</f>
        <v>4</v>
      </c>
      <c r="M91" s="5" t="str">
        <f>IF(IF(ISNUMBER(K91),1,0)+IF(ISNUMBER(L92),1,0)=2,IF(IF(C92=C91,1,0)+IF(B92=B91,1,0)+IF(D92="Post",1,0)+IF(D91="Pre",1,0)=4,Table44246665727779[[#This Row],[Pre Total]],""),"")</f>
        <v/>
      </c>
      <c r="N91" s="5">
        <f>IF(IF(ISNUMBER(K90),1,0)+IF(ISNUMBER(Table44246665727779[[#This Row],[Post Total]]),1,0)=2,IF(IF(Table44246665727779[[#This Row],[Student Number]]=C90,1,0)+IF(Table44246665727779[[#This Row],[Session]]=B90,1,0)+IF(Table44246665727779[[#This Row],[Pre or Post]]="Post",1,0)+IF(D90="Pre",1,0)=4,Table44246665727779[[#This Row],[Post Total]],""),"")</f>
        <v>4</v>
      </c>
      <c r="O91" s="5">
        <f>IF(IF(ISNUMBER(K90),1,0)+IF(ISNUMBER(Table44246665727779[[#This Row],[Post Total]]),1,0)=2,IF(IF(Table44246665727779[[#This Row],[Student Number]]=C90,1,0)+IF(Table44246665727779[[#This Row],[Session]]=B90,1,0)+IF(Table44246665727779[[#This Row],[Pre or Post]]="Post",1,0)+IF(D90="Pre",1,0)=4,Table44246665727779[[#This Row],[Post Total]]-K90,""),"")</f>
        <v>0</v>
      </c>
      <c r="P91" s="5" t="b">
        <f>ISNUMBER(Table44246665727779[[#This Row],[Change]])</f>
        <v>1</v>
      </c>
      <c r="Q91" s="5">
        <f>IF(E90="Yes",Table44246665727779[[#This Row],[Change]],"")</f>
        <v>0</v>
      </c>
      <c r="R91" s="5" t="str">
        <f>IF(E90="No",Table44246665727779[[#This Row],[Change]],"")</f>
        <v/>
      </c>
      <c r="S91" s="5" t="b">
        <f>ISNUMBER(Table44246665727779[[#This Row],[If Pre6 Yes]])</f>
        <v>1</v>
      </c>
      <c r="T91" s="5" t="b">
        <f>ISNUMBER(Table44246665727779[[#This Row],[If Pre6 No]])</f>
        <v>0</v>
      </c>
    </row>
    <row r="92" spans="1:20">
      <c r="A92" s="1" t="s">
        <v>12</v>
      </c>
      <c r="B92" s="1" t="s">
        <v>10</v>
      </c>
      <c r="C92" s="1">
        <v>11</v>
      </c>
      <c r="D92" s="1" t="s">
        <v>6</v>
      </c>
      <c r="E92" s="5" t="s">
        <v>8</v>
      </c>
      <c r="F92" s="1">
        <v>10</v>
      </c>
      <c r="G92" s="1">
        <v>3</v>
      </c>
      <c r="H92" s="1" t="s">
        <v>8</v>
      </c>
      <c r="I92" s="5">
        <f>IF(IF(Table44246665727779[[#This Row],[Pre or Post]]="Pre",1,0)+IF(ISNUMBER(Table44246665727779[[#This Row],[Response]])=TRUE,1,0)=2,1,"")</f>
        <v>1</v>
      </c>
      <c r="J92" s="5" t="str">
        <f>IF(IF(Table44246665727779[[#This Row],[Pre or Post]]="Post",1,0)+IF(ISNUMBER(Table44246665727779[[#This Row],[Response]])=TRUE,1,0)=2,1,"")</f>
        <v/>
      </c>
      <c r="K92" s="6">
        <f>IF(IF(Table44246665727779[[#This Row],[Pre or Post]]="Pre",1,0)+IF(ISNUMBER(Table44246665727779[[#This Row],[Response]])=TRUE,1,0)=2,Table44246665727779[[#This Row],[Response]],"")</f>
        <v>3</v>
      </c>
      <c r="L92" s="6" t="str">
        <f>IF(IF(Table44246665727779[[#This Row],[Pre or Post]]="Post",1,0)+IF(ISNUMBER(Table44246665727779[[#This Row],[Response]])=TRUE,1,0)=2,Table44246665727779[[#This Row],[Response]],"")</f>
        <v/>
      </c>
      <c r="M92" s="5">
        <f>IF(IF(ISNUMBER(K92),1,0)+IF(ISNUMBER(L93),1,0)=2,IF(IF(C93=C92,1,0)+IF(B93=B92,1,0)+IF(D93="Post",1,0)+IF(D92="Pre",1,0)=4,Table44246665727779[[#This Row],[Pre Total]],""),"")</f>
        <v>3</v>
      </c>
      <c r="N92" s="5" t="str">
        <f>IF(IF(ISNUMBER(K91),1,0)+IF(ISNUMBER(Table44246665727779[[#This Row],[Post Total]]),1,0)=2,IF(IF(Table44246665727779[[#This Row],[Student Number]]=C91,1,0)+IF(Table44246665727779[[#This Row],[Session]]=B91,1,0)+IF(Table44246665727779[[#This Row],[Pre or Post]]="Post",1,0)+IF(D91="Pre",1,0)=4,Table44246665727779[[#This Row],[Post Total]],""),"")</f>
        <v/>
      </c>
      <c r="O92" s="5" t="str">
        <f>IF(IF(ISNUMBER(K91),1,0)+IF(ISNUMBER(Table44246665727779[[#This Row],[Post Total]]),1,0)=2,IF(IF(Table44246665727779[[#This Row],[Student Number]]=C91,1,0)+IF(Table44246665727779[[#This Row],[Session]]=B91,1,0)+IF(Table44246665727779[[#This Row],[Pre or Post]]="Post",1,0)+IF(D91="Pre",1,0)=4,Table44246665727779[[#This Row],[Post Total]]-K91,""),"")</f>
        <v/>
      </c>
      <c r="P92" s="5" t="b">
        <f>ISNUMBER(Table44246665727779[[#This Row],[Change]])</f>
        <v>0</v>
      </c>
      <c r="Q92" s="5" t="str">
        <f>IF(E91="Yes",Table44246665727779[[#This Row],[Change]],"")</f>
        <v/>
      </c>
      <c r="R92" s="5" t="str">
        <f>IF(E91="No",Table44246665727779[[#This Row],[Change]],"")</f>
        <v/>
      </c>
      <c r="S92" s="5" t="b">
        <f>ISNUMBER(Table44246665727779[[#This Row],[If Pre6 Yes]])</f>
        <v>0</v>
      </c>
      <c r="T92" s="5" t="b">
        <f>ISNUMBER(Table44246665727779[[#This Row],[If Pre6 No]])</f>
        <v>0</v>
      </c>
    </row>
    <row r="93" spans="1:20">
      <c r="A93" s="1" t="s">
        <v>12</v>
      </c>
      <c r="B93" s="1" t="s">
        <v>10</v>
      </c>
      <c r="C93" s="1">
        <v>11</v>
      </c>
      <c r="D93" s="1" t="s">
        <v>16</v>
      </c>
      <c r="E93" s="5"/>
      <c r="F93" s="1">
        <v>3</v>
      </c>
      <c r="G93" s="1">
        <v>3</v>
      </c>
      <c r="H93" s="1" t="s">
        <v>8</v>
      </c>
      <c r="I93" s="6" t="str">
        <f>IF(IF(Table44246665727779[[#This Row],[Pre or Post]]="Pre",1,0)+IF(ISNUMBER(Table44246665727779[[#This Row],[Response]])=TRUE,1,0)=2,1,"")</f>
        <v/>
      </c>
      <c r="J93" s="6">
        <f>IF(IF(Table44246665727779[[#This Row],[Pre or Post]]="Post",1,0)+IF(ISNUMBER(Table44246665727779[[#This Row],[Response]])=TRUE,1,0)=2,1,"")</f>
        <v>1</v>
      </c>
      <c r="K93" s="6" t="str">
        <f>IF(IF(Table44246665727779[[#This Row],[Pre or Post]]="Pre",1,0)+IF(ISNUMBER(Table44246665727779[[#This Row],[Response]])=TRUE,1,0)=2,Table44246665727779[[#This Row],[Response]],"")</f>
        <v/>
      </c>
      <c r="L93" s="6">
        <f>IF(IF(Table44246665727779[[#This Row],[Pre or Post]]="Post",1,0)+IF(ISNUMBER(Table44246665727779[[#This Row],[Response]])=TRUE,1,0)=2,Table44246665727779[[#This Row],[Response]],"")</f>
        <v>3</v>
      </c>
      <c r="M93" s="6" t="str">
        <f>IF(IF(ISNUMBER(K93),1,0)+IF(ISNUMBER(L94),1,0)=2,IF(IF(C94=C93,1,0)+IF(B94=B93,1,0)+IF(D94="Post",1,0)+IF(D93="Pre",1,0)=4,Table44246665727779[[#This Row],[Pre Total]],""),"")</f>
        <v/>
      </c>
      <c r="N93" s="6">
        <f>IF(IF(ISNUMBER(K92),1,0)+IF(ISNUMBER(Table44246665727779[[#This Row],[Post Total]]),1,0)=2,IF(IF(Table44246665727779[[#This Row],[Student Number]]=C92,1,0)+IF(Table44246665727779[[#This Row],[Session]]=B92,1,0)+IF(Table44246665727779[[#This Row],[Pre or Post]]="Post",1,0)+IF(D92="Pre",1,0)=4,Table44246665727779[[#This Row],[Post Total]],""),"")</f>
        <v>3</v>
      </c>
      <c r="O93" s="6">
        <f>IF(IF(ISNUMBER(K92),1,0)+IF(ISNUMBER(Table44246665727779[[#This Row],[Post Total]]),1,0)=2,IF(IF(Table44246665727779[[#This Row],[Student Number]]=C92,1,0)+IF(Table44246665727779[[#This Row],[Session]]=B92,1,0)+IF(Table44246665727779[[#This Row],[Pre or Post]]="Post",1,0)+IF(D92="Pre",1,0)=4,Table44246665727779[[#This Row],[Post Total]]-K92,""),"")</f>
        <v>0</v>
      </c>
      <c r="P93" s="6" t="b">
        <f>ISNUMBER(Table44246665727779[[#This Row],[Change]])</f>
        <v>1</v>
      </c>
      <c r="Q93" s="5">
        <f>IF(E92="Yes",Table44246665727779[[#This Row],[Change]],"")</f>
        <v>0</v>
      </c>
      <c r="R93" s="5" t="str">
        <f>IF(E92="No",Table44246665727779[[#This Row],[Change]],"")</f>
        <v/>
      </c>
      <c r="S93" s="5" t="b">
        <f>ISNUMBER(Table44246665727779[[#This Row],[If Pre6 Yes]])</f>
        <v>1</v>
      </c>
      <c r="T93" s="5" t="b">
        <f>ISNUMBER(Table44246665727779[[#This Row],[If Pre6 No]])</f>
        <v>0</v>
      </c>
    </row>
    <row r="94" spans="1:20">
      <c r="A94" s="1" t="s">
        <v>12</v>
      </c>
      <c r="B94" s="1" t="s">
        <v>10</v>
      </c>
      <c r="C94" s="1">
        <v>12</v>
      </c>
      <c r="D94" s="1" t="s">
        <v>6</v>
      </c>
      <c r="E94" s="5" t="s">
        <v>8</v>
      </c>
      <c r="F94" s="1">
        <v>10</v>
      </c>
      <c r="G94" s="1">
        <v>5</v>
      </c>
      <c r="H94" s="1" t="s">
        <v>8</v>
      </c>
      <c r="I94" s="5">
        <f>IF(IF(Table44246665727779[[#This Row],[Pre or Post]]="Pre",1,0)+IF(ISNUMBER(Table44246665727779[[#This Row],[Response]])=TRUE,1,0)=2,1,"")</f>
        <v>1</v>
      </c>
      <c r="J94" s="5" t="str">
        <f>IF(IF(Table44246665727779[[#This Row],[Pre or Post]]="Post",1,0)+IF(ISNUMBER(Table44246665727779[[#This Row],[Response]])=TRUE,1,0)=2,1,"")</f>
        <v/>
      </c>
      <c r="K94" s="6">
        <f>IF(IF(Table44246665727779[[#This Row],[Pre or Post]]="Pre",1,0)+IF(ISNUMBER(Table44246665727779[[#This Row],[Response]])=TRUE,1,0)=2,Table44246665727779[[#This Row],[Response]],"")</f>
        <v>5</v>
      </c>
      <c r="L94" s="6" t="str">
        <f>IF(IF(Table44246665727779[[#This Row],[Pre or Post]]="Post",1,0)+IF(ISNUMBER(Table44246665727779[[#This Row],[Response]])=TRUE,1,0)=2,Table44246665727779[[#This Row],[Response]],"")</f>
        <v/>
      </c>
      <c r="M94" s="5">
        <f>IF(IF(ISNUMBER(K94),1,0)+IF(ISNUMBER(L95),1,0)=2,IF(IF(C95=C94,1,0)+IF(B95=B94,1,0)+IF(D95="Post",1,0)+IF(D94="Pre",1,0)=4,Table44246665727779[[#This Row],[Pre Total]],""),"")</f>
        <v>5</v>
      </c>
      <c r="N94" s="5" t="str">
        <f>IF(IF(ISNUMBER(K93),1,0)+IF(ISNUMBER(Table44246665727779[[#This Row],[Post Total]]),1,0)=2,IF(IF(Table44246665727779[[#This Row],[Student Number]]=C93,1,0)+IF(Table44246665727779[[#This Row],[Session]]=B93,1,0)+IF(Table44246665727779[[#This Row],[Pre or Post]]="Post",1,0)+IF(D93="Pre",1,0)=4,Table44246665727779[[#This Row],[Post Total]],""),"")</f>
        <v/>
      </c>
      <c r="O94" s="5" t="str">
        <f>IF(IF(ISNUMBER(K93),1,0)+IF(ISNUMBER(Table44246665727779[[#This Row],[Post Total]]),1,0)=2,IF(IF(Table44246665727779[[#This Row],[Student Number]]=C93,1,0)+IF(Table44246665727779[[#This Row],[Session]]=B93,1,0)+IF(Table44246665727779[[#This Row],[Pre or Post]]="Post",1,0)+IF(D93="Pre",1,0)=4,Table44246665727779[[#This Row],[Post Total]]-K93,""),"")</f>
        <v/>
      </c>
      <c r="P94" s="5" t="b">
        <f>ISNUMBER(Table44246665727779[[#This Row],[Change]])</f>
        <v>0</v>
      </c>
      <c r="Q94" s="5" t="str">
        <f>IF(E93="Yes",Table44246665727779[[#This Row],[Change]],"")</f>
        <v/>
      </c>
      <c r="R94" s="5" t="str">
        <f>IF(E93="No",Table44246665727779[[#This Row],[Change]],"")</f>
        <v/>
      </c>
      <c r="S94" s="5" t="b">
        <f>ISNUMBER(Table44246665727779[[#This Row],[If Pre6 Yes]])</f>
        <v>0</v>
      </c>
      <c r="T94" s="5" t="b">
        <f>ISNUMBER(Table44246665727779[[#This Row],[If Pre6 No]])</f>
        <v>0</v>
      </c>
    </row>
    <row r="95" spans="1:20">
      <c r="A95" s="1" t="s">
        <v>12</v>
      </c>
      <c r="B95" s="1" t="s">
        <v>10</v>
      </c>
      <c r="C95" s="1">
        <v>12</v>
      </c>
      <c r="D95" s="1" t="s">
        <v>16</v>
      </c>
      <c r="E95" s="5"/>
      <c r="F95" s="1">
        <v>3</v>
      </c>
      <c r="G95" s="1">
        <v>5</v>
      </c>
      <c r="H95" s="1" t="s">
        <v>8</v>
      </c>
      <c r="I95" s="6" t="str">
        <f>IF(IF(Table44246665727779[[#This Row],[Pre or Post]]="Pre",1,0)+IF(ISNUMBER(Table44246665727779[[#This Row],[Response]])=TRUE,1,0)=2,1,"")</f>
        <v/>
      </c>
      <c r="J95" s="6">
        <f>IF(IF(Table44246665727779[[#This Row],[Pre or Post]]="Post",1,0)+IF(ISNUMBER(Table44246665727779[[#This Row],[Response]])=TRUE,1,0)=2,1,"")</f>
        <v>1</v>
      </c>
      <c r="K95" s="6" t="str">
        <f>IF(IF(Table44246665727779[[#This Row],[Pre or Post]]="Pre",1,0)+IF(ISNUMBER(Table44246665727779[[#This Row],[Response]])=TRUE,1,0)=2,Table44246665727779[[#This Row],[Response]],"")</f>
        <v/>
      </c>
      <c r="L95" s="6">
        <f>IF(IF(Table44246665727779[[#This Row],[Pre or Post]]="Post",1,0)+IF(ISNUMBER(Table44246665727779[[#This Row],[Response]])=TRUE,1,0)=2,Table44246665727779[[#This Row],[Response]],"")</f>
        <v>5</v>
      </c>
      <c r="M95" s="6" t="str">
        <f>IF(IF(ISNUMBER(K95),1,0)+IF(ISNUMBER(L96),1,0)=2,IF(IF(C96=C95,1,0)+IF(B96=B95,1,0)+IF(D96="Post",1,0)+IF(D95="Pre",1,0)=4,Table44246665727779[[#This Row],[Pre Total]],""),"")</f>
        <v/>
      </c>
      <c r="N95" s="6">
        <f>IF(IF(ISNUMBER(K94),1,0)+IF(ISNUMBER(Table44246665727779[[#This Row],[Post Total]]),1,0)=2,IF(IF(Table44246665727779[[#This Row],[Student Number]]=C94,1,0)+IF(Table44246665727779[[#This Row],[Session]]=B94,1,0)+IF(Table44246665727779[[#This Row],[Pre or Post]]="Post",1,0)+IF(D94="Pre",1,0)=4,Table44246665727779[[#This Row],[Post Total]],""),"")</f>
        <v>5</v>
      </c>
      <c r="O95" s="6">
        <f>IF(IF(ISNUMBER(K94),1,0)+IF(ISNUMBER(Table44246665727779[[#This Row],[Post Total]]),1,0)=2,IF(IF(Table44246665727779[[#This Row],[Student Number]]=C94,1,0)+IF(Table44246665727779[[#This Row],[Session]]=B94,1,0)+IF(Table44246665727779[[#This Row],[Pre or Post]]="Post",1,0)+IF(D94="Pre",1,0)=4,Table44246665727779[[#This Row],[Post Total]]-K94,""),"")</f>
        <v>0</v>
      </c>
      <c r="P95" s="6" t="b">
        <f>ISNUMBER(Table44246665727779[[#This Row],[Change]])</f>
        <v>1</v>
      </c>
      <c r="Q95" s="5">
        <f>IF(E94="Yes",Table44246665727779[[#This Row],[Change]],"")</f>
        <v>0</v>
      </c>
      <c r="R95" s="5" t="str">
        <f>IF(E94="No",Table44246665727779[[#This Row],[Change]],"")</f>
        <v/>
      </c>
      <c r="S95" s="5" t="b">
        <f>ISNUMBER(Table44246665727779[[#This Row],[If Pre6 Yes]])</f>
        <v>1</v>
      </c>
      <c r="T95" s="5" t="b">
        <f>ISNUMBER(Table44246665727779[[#This Row],[If Pre6 No]])</f>
        <v>0</v>
      </c>
    </row>
    <row r="96" spans="1:20">
      <c r="A96" s="1" t="s">
        <v>12</v>
      </c>
      <c r="B96" s="1" t="s">
        <v>10</v>
      </c>
      <c r="C96" s="1">
        <v>13</v>
      </c>
      <c r="D96" s="1" t="s">
        <v>6</v>
      </c>
      <c r="E96" s="5" t="s">
        <v>8</v>
      </c>
      <c r="F96" s="1">
        <v>10</v>
      </c>
      <c r="G96" s="1">
        <v>4</v>
      </c>
      <c r="H96" s="1" t="s">
        <v>8</v>
      </c>
      <c r="I96" s="5">
        <f>IF(IF(Table44246665727779[[#This Row],[Pre or Post]]="Pre",1,0)+IF(ISNUMBER(Table44246665727779[[#This Row],[Response]])=TRUE,1,0)=2,1,"")</f>
        <v>1</v>
      </c>
      <c r="J96" s="5" t="str">
        <f>IF(IF(Table44246665727779[[#This Row],[Pre or Post]]="Post",1,0)+IF(ISNUMBER(Table44246665727779[[#This Row],[Response]])=TRUE,1,0)=2,1,"")</f>
        <v/>
      </c>
      <c r="K96" s="6">
        <f>IF(IF(Table44246665727779[[#This Row],[Pre or Post]]="Pre",1,0)+IF(ISNUMBER(Table44246665727779[[#This Row],[Response]])=TRUE,1,0)=2,Table44246665727779[[#This Row],[Response]],"")</f>
        <v>4</v>
      </c>
      <c r="L96" s="6" t="str">
        <f>IF(IF(Table44246665727779[[#This Row],[Pre or Post]]="Post",1,0)+IF(ISNUMBER(Table44246665727779[[#This Row],[Response]])=TRUE,1,0)=2,Table44246665727779[[#This Row],[Response]],"")</f>
        <v/>
      </c>
      <c r="M96" s="5">
        <f>IF(IF(ISNUMBER(K96),1,0)+IF(ISNUMBER(L97),1,0)=2,IF(IF(C97=C96,1,0)+IF(B97=B96,1,0)+IF(D97="Post",1,0)+IF(D96="Pre",1,0)=4,Table44246665727779[[#This Row],[Pre Total]],""),"")</f>
        <v>4</v>
      </c>
      <c r="N96" s="5" t="str">
        <f>IF(IF(ISNUMBER(K95),1,0)+IF(ISNUMBER(Table44246665727779[[#This Row],[Post Total]]),1,0)=2,IF(IF(Table44246665727779[[#This Row],[Student Number]]=C95,1,0)+IF(Table44246665727779[[#This Row],[Session]]=B95,1,0)+IF(Table44246665727779[[#This Row],[Pre or Post]]="Post",1,0)+IF(D95="Pre",1,0)=4,Table44246665727779[[#This Row],[Post Total]],""),"")</f>
        <v/>
      </c>
      <c r="O96" s="5" t="str">
        <f>IF(IF(ISNUMBER(K95),1,0)+IF(ISNUMBER(Table44246665727779[[#This Row],[Post Total]]),1,0)=2,IF(IF(Table44246665727779[[#This Row],[Student Number]]=C95,1,0)+IF(Table44246665727779[[#This Row],[Session]]=B95,1,0)+IF(Table44246665727779[[#This Row],[Pre or Post]]="Post",1,0)+IF(D95="Pre",1,0)=4,Table44246665727779[[#This Row],[Post Total]]-K95,""),"")</f>
        <v/>
      </c>
      <c r="P96" s="5" t="b">
        <f>ISNUMBER(Table44246665727779[[#This Row],[Change]])</f>
        <v>0</v>
      </c>
      <c r="Q96" s="5" t="str">
        <f>IF(E95="Yes",Table44246665727779[[#This Row],[Change]],"")</f>
        <v/>
      </c>
      <c r="R96" s="5" t="str">
        <f>IF(E95="No",Table44246665727779[[#This Row],[Change]],"")</f>
        <v/>
      </c>
      <c r="S96" s="5" t="b">
        <f>ISNUMBER(Table44246665727779[[#This Row],[If Pre6 Yes]])</f>
        <v>0</v>
      </c>
      <c r="T96" s="5" t="b">
        <f>ISNUMBER(Table44246665727779[[#This Row],[If Pre6 No]])</f>
        <v>0</v>
      </c>
    </row>
    <row r="97" spans="1:20">
      <c r="A97" s="1" t="s">
        <v>12</v>
      </c>
      <c r="B97" s="1" t="s">
        <v>10</v>
      </c>
      <c r="C97" s="1">
        <v>13</v>
      </c>
      <c r="D97" s="1" t="s">
        <v>16</v>
      </c>
      <c r="E97" s="5"/>
      <c r="F97" s="1">
        <v>3</v>
      </c>
      <c r="G97" s="1">
        <v>4</v>
      </c>
      <c r="H97" s="1" t="s">
        <v>8</v>
      </c>
      <c r="I97" s="5" t="str">
        <f>IF(IF(Table44246665727779[[#This Row],[Pre or Post]]="Pre",1,0)+IF(ISNUMBER(Table44246665727779[[#This Row],[Response]])=TRUE,1,0)=2,1,"")</f>
        <v/>
      </c>
      <c r="J97" s="5">
        <f>IF(IF(Table44246665727779[[#This Row],[Pre or Post]]="Post",1,0)+IF(ISNUMBER(Table44246665727779[[#This Row],[Response]])=TRUE,1,0)=2,1,"")</f>
        <v>1</v>
      </c>
      <c r="K97" s="6" t="str">
        <f>IF(IF(Table44246665727779[[#This Row],[Pre or Post]]="Pre",1,0)+IF(ISNUMBER(Table44246665727779[[#This Row],[Response]])=TRUE,1,0)=2,Table44246665727779[[#This Row],[Response]],"")</f>
        <v/>
      </c>
      <c r="L97" s="6">
        <f>IF(IF(Table44246665727779[[#This Row],[Pre or Post]]="Post",1,0)+IF(ISNUMBER(Table44246665727779[[#This Row],[Response]])=TRUE,1,0)=2,Table44246665727779[[#This Row],[Response]],"")</f>
        <v>4</v>
      </c>
      <c r="M97" s="5" t="str">
        <f>IF(IF(ISNUMBER(K97),1,0)+IF(ISNUMBER(L98),1,0)=2,IF(IF(C98=C97,1,0)+IF(B98=B97,1,0)+IF(D98="Post",1,0)+IF(D97="Pre",1,0)=4,Table44246665727779[[#This Row],[Pre Total]],""),"")</f>
        <v/>
      </c>
      <c r="N97" s="5">
        <f>IF(IF(ISNUMBER(K96),1,0)+IF(ISNUMBER(Table44246665727779[[#This Row],[Post Total]]),1,0)=2,IF(IF(Table44246665727779[[#This Row],[Student Number]]=C96,1,0)+IF(Table44246665727779[[#This Row],[Session]]=B96,1,0)+IF(Table44246665727779[[#This Row],[Pre or Post]]="Post",1,0)+IF(D96="Pre",1,0)=4,Table44246665727779[[#This Row],[Post Total]],""),"")</f>
        <v>4</v>
      </c>
      <c r="O97" s="5">
        <f>IF(IF(ISNUMBER(K96),1,0)+IF(ISNUMBER(Table44246665727779[[#This Row],[Post Total]]),1,0)=2,IF(IF(Table44246665727779[[#This Row],[Student Number]]=C96,1,0)+IF(Table44246665727779[[#This Row],[Session]]=B96,1,0)+IF(Table44246665727779[[#This Row],[Pre or Post]]="Post",1,0)+IF(D96="Pre",1,0)=4,Table44246665727779[[#This Row],[Post Total]]-K96,""),"")</f>
        <v>0</v>
      </c>
      <c r="P97" s="5" t="b">
        <f>ISNUMBER(Table44246665727779[[#This Row],[Change]])</f>
        <v>1</v>
      </c>
      <c r="Q97" s="5">
        <f>IF(E96="Yes",Table44246665727779[[#This Row],[Change]],"")</f>
        <v>0</v>
      </c>
      <c r="R97" s="5" t="str">
        <f>IF(E96="No",Table44246665727779[[#This Row],[Change]],"")</f>
        <v/>
      </c>
      <c r="S97" s="5" t="b">
        <f>ISNUMBER(Table44246665727779[[#This Row],[If Pre6 Yes]])</f>
        <v>1</v>
      </c>
      <c r="T97" s="5" t="b">
        <f>ISNUMBER(Table44246665727779[[#This Row],[If Pre6 No]])</f>
        <v>0</v>
      </c>
    </row>
    <row r="98" spans="1:20">
      <c r="A98" s="1" t="s">
        <v>12</v>
      </c>
      <c r="B98" s="1" t="s">
        <v>10</v>
      </c>
      <c r="C98" s="1">
        <v>14</v>
      </c>
      <c r="D98" s="1" t="s">
        <v>6</v>
      </c>
      <c r="E98" s="5" t="s">
        <v>8</v>
      </c>
      <c r="F98" s="1">
        <v>10</v>
      </c>
      <c r="G98" s="1">
        <v>3</v>
      </c>
      <c r="H98" s="1" t="s">
        <v>8</v>
      </c>
      <c r="I98" s="5">
        <f>IF(IF(Table44246665727779[[#This Row],[Pre or Post]]="Pre",1,0)+IF(ISNUMBER(Table44246665727779[[#This Row],[Response]])=TRUE,1,0)=2,1,"")</f>
        <v>1</v>
      </c>
      <c r="J98" s="5" t="str">
        <f>IF(IF(Table44246665727779[[#This Row],[Pre or Post]]="Post",1,0)+IF(ISNUMBER(Table44246665727779[[#This Row],[Response]])=TRUE,1,0)=2,1,"")</f>
        <v/>
      </c>
      <c r="K98" s="6">
        <f>IF(IF(Table44246665727779[[#This Row],[Pre or Post]]="Pre",1,0)+IF(ISNUMBER(Table44246665727779[[#This Row],[Response]])=TRUE,1,0)=2,Table44246665727779[[#This Row],[Response]],"")</f>
        <v>3</v>
      </c>
      <c r="L98" s="6" t="str">
        <f>IF(IF(Table44246665727779[[#This Row],[Pre or Post]]="Post",1,0)+IF(ISNUMBER(Table44246665727779[[#This Row],[Response]])=TRUE,1,0)=2,Table44246665727779[[#This Row],[Response]],"")</f>
        <v/>
      </c>
      <c r="M98" s="5">
        <f>IF(IF(ISNUMBER(K98),1,0)+IF(ISNUMBER(L99),1,0)=2,IF(IF(C99=C98,1,0)+IF(B99=B98,1,0)+IF(D99="Post",1,0)+IF(D98="Pre",1,0)=4,Table44246665727779[[#This Row],[Pre Total]],""),"")</f>
        <v>3</v>
      </c>
      <c r="N98" s="5" t="str">
        <f>IF(IF(ISNUMBER(K97),1,0)+IF(ISNUMBER(Table44246665727779[[#This Row],[Post Total]]),1,0)=2,IF(IF(Table44246665727779[[#This Row],[Student Number]]=C97,1,0)+IF(Table44246665727779[[#This Row],[Session]]=B97,1,0)+IF(Table44246665727779[[#This Row],[Pre or Post]]="Post",1,0)+IF(D97="Pre",1,0)=4,Table44246665727779[[#This Row],[Post Total]],""),"")</f>
        <v/>
      </c>
      <c r="O98" s="5" t="str">
        <f>IF(IF(ISNUMBER(K97),1,0)+IF(ISNUMBER(Table44246665727779[[#This Row],[Post Total]]),1,0)=2,IF(IF(Table44246665727779[[#This Row],[Student Number]]=C97,1,0)+IF(Table44246665727779[[#This Row],[Session]]=B97,1,0)+IF(Table44246665727779[[#This Row],[Pre or Post]]="Post",1,0)+IF(D97="Pre",1,0)=4,Table44246665727779[[#This Row],[Post Total]]-K97,""),"")</f>
        <v/>
      </c>
      <c r="P98" s="5" t="b">
        <f>ISNUMBER(Table44246665727779[[#This Row],[Change]])</f>
        <v>0</v>
      </c>
      <c r="Q98" s="5" t="str">
        <f>IF(E97="Yes",Table44246665727779[[#This Row],[Change]],"")</f>
        <v/>
      </c>
      <c r="R98" s="5" t="str">
        <f>IF(E97="No",Table44246665727779[[#This Row],[Change]],"")</f>
        <v/>
      </c>
      <c r="S98" s="5" t="b">
        <f>ISNUMBER(Table44246665727779[[#This Row],[If Pre6 Yes]])</f>
        <v>0</v>
      </c>
      <c r="T98" s="5" t="b">
        <f>ISNUMBER(Table44246665727779[[#This Row],[If Pre6 No]])</f>
        <v>0</v>
      </c>
    </row>
    <row r="99" spans="1:20">
      <c r="A99" s="1" t="s">
        <v>12</v>
      </c>
      <c r="B99" s="1" t="s">
        <v>10</v>
      </c>
      <c r="C99" s="1">
        <v>14</v>
      </c>
      <c r="D99" s="1" t="s">
        <v>16</v>
      </c>
      <c r="E99" s="5"/>
      <c r="F99" s="1">
        <v>3</v>
      </c>
      <c r="G99" s="1">
        <v>3</v>
      </c>
      <c r="H99" s="1" t="s">
        <v>8</v>
      </c>
      <c r="I99" s="6" t="str">
        <f>IF(IF(Table44246665727779[[#This Row],[Pre or Post]]="Pre",1,0)+IF(ISNUMBER(Table44246665727779[[#This Row],[Response]])=TRUE,1,0)=2,1,"")</f>
        <v/>
      </c>
      <c r="J99" s="6">
        <f>IF(IF(Table44246665727779[[#This Row],[Pre or Post]]="Post",1,0)+IF(ISNUMBER(Table44246665727779[[#This Row],[Response]])=TRUE,1,0)=2,1,"")</f>
        <v>1</v>
      </c>
      <c r="K99" s="6" t="str">
        <f>IF(IF(Table44246665727779[[#This Row],[Pre or Post]]="Pre",1,0)+IF(ISNUMBER(Table44246665727779[[#This Row],[Response]])=TRUE,1,0)=2,Table44246665727779[[#This Row],[Response]],"")</f>
        <v/>
      </c>
      <c r="L99" s="6">
        <f>IF(IF(Table44246665727779[[#This Row],[Pre or Post]]="Post",1,0)+IF(ISNUMBER(Table44246665727779[[#This Row],[Response]])=TRUE,1,0)=2,Table44246665727779[[#This Row],[Response]],"")</f>
        <v>3</v>
      </c>
      <c r="M99" s="6" t="str">
        <f>IF(IF(ISNUMBER(K99),1,0)+IF(ISNUMBER(L100),1,0)=2,IF(IF(C100=C99,1,0)+IF(B100=B99,1,0)+IF(D100="Post",1,0)+IF(D99="Pre",1,0)=4,Table44246665727779[[#This Row],[Pre Total]],""),"")</f>
        <v/>
      </c>
      <c r="N99" s="6">
        <f>IF(IF(ISNUMBER(K98),1,0)+IF(ISNUMBER(Table44246665727779[[#This Row],[Post Total]]),1,0)=2,IF(IF(Table44246665727779[[#This Row],[Student Number]]=C98,1,0)+IF(Table44246665727779[[#This Row],[Session]]=B98,1,0)+IF(Table44246665727779[[#This Row],[Pre or Post]]="Post",1,0)+IF(D98="Pre",1,0)=4,Table44246665727779[[#This Row],[Post Total]],""),"")</f>
        <v>3</v>
      </c>
      <c r="O99" s="6">
        <f>IF(IF(ISNUMBER(K98),1,0)+IF(ISNUMBER(Table44246665727779[[#This Row],[Post Total]]),1,0)=2,IF(IF(Table44246665727779[[#This Row],[Student Number]]=C98,1,0)+IF(Table44246665727779[[#This Row],[Session]]=B98,1,0)+IF(Table44246665727779[[#This Row],[Pre or Post]]="Post",1,0)+IF(D98="Pre",1,0)=4,Table44246665727779[[#This Row],[Post Total]]-K98,""),"")</f>
        <v>0</v>
      </c>
      <c r="P99" s="6" t="b">
        <f>ISNUMBER(Table44246665727779[[#This Row],[Change]])</f>
        <v>1</v>
      </c>
      <c r="Q99" s="5">
        <f>IF(E98="Yes",Table44246665727779[[#This Row],[Change]],"")</f>
        <v>0</v>
      </c>
      <c r="R99" s="5" t="str">
        <f>IF(E98="No",Table44246665727779[[#This Row],[Change]],"")</f>
        <v/>
      </c>
      <c r="S99" s="5" t="b">
        <f>ISNUMBER(Table44246665727779[[#This Row],[If Pre6 Yes]])</f>
        <v>1</v>
      </c>
      <c r="T99" s="5" t="b">
        <f>ISNUMBER(Table44246665727779[[#This Row],[If Pre6 No]])</f>
        <v>0</v>
      </c>
    </row>
    <row r="100" spans="1:20">
      <c r="A100" s="1" t="s">
        <v>12</v>
      </c>
      <c r="B100" s="1" t="s">
        <v>10</v>
      </c>
      <c r="C100" s="1">
        <v>15</v>
      </c>
      <c r="D100" s="1" t="s">
        <v>6</v>
      </c>
      <c r="E100" s="5" t="s">
        <v>8</v>
      </c>
      <c r="F100" s="1">
        <v>10</v>
      </c>
      <c r="G100" s="1">
        <v>4</v>
      </c>
      <c r="H100" s="1" t="s">
        <v>8</v>
      </c>
      <c r="I100" s="5">
        <f>IF(IF(Table44246665727779[[#This Row],[Pre or Post]]="Pre",1,0)+IF(ISNUMBER(Table44246665727779[[#This Row],[Response]])=TRUE,1,0)=2,1,"")</f>
        <v>1</v>
      </c>
      <c r="J100" s="5" t="str">
        <f>IF(IF(Table44246665727779[[#This Row],[Pre or Post]]="Post",1,0)+IF(ISNUMBER(Table44246665727779[[#This Row],[Response]])=TRUE,1,0)=2,1,"")</f>
        <v/>
      </c>
      <c r="K100" s="6">
        <f>IF(IF(Table44246665727779[[#This Row],[Pre or Post]]="Pre",1,0)+IF(ISNUMBER(Table44246665727779[[#This Row],[Response]])=TRUE,1,0)=2,Table44246665727779[[#This Row],[Response]],"")</f>
        <v>4</v>
      </c>
      <c r="L100" s="6" t="str">
        <f>IF(IF(Table44246665727779[[#This Row],[Pre or Post]]="Post",1,0)+IF(ISNUMBER(Table44246665727779[[#This Row],[Response]])=TRUE,1,0)=2,Table44246665727779[[#This Row],[Response]],"")</f>
        <v/>
      </c>
      <c r="M100" s="5">
        <f>IF(IF(ISNUMBER(K100),1,0)+IF(ISNUMBER(L101),1,0)=2,IF(IF(C101=C100,1,0)+IF(B101=B100,1,0)+IF(D101="Post",1,0)+IF(D100="Pre",1,0)=4,Table44246665727779[[#This Row],[Pre Total]],""),"")</f>
        <v>4</v>
      </c>
      <c r="N100" s="5" t="str">
        <f>IF(IF(ISNUMBER(K99),1,0)+IF(ISNUMBER(Table44246665727779[[#This Row],[Post Total]]),1,0)=2,IF(IF(Table44246665727779[[#This Row],[Student Number]]=C99,1,0)+IF(Table44246665727779[[#This Row],[Session]]=B99,1,0)+IF(Table44246665727779[[#This Row],[Pre or Post]]="Post",1,0)+IF(D99="Pre",1,0)=4,Table44246665727779[[#This Row],[Post Total]],""),"")</f>
        <v/>
      </c>
      <c r="O100" s="5" t="str">
        <f>IF(IF(ISNUMBER(K99),1,0)+IF(ISNUMBER(Table44246665727779[[#This Row],[Post Total]]),1,0)=2,IF(IF(Table44246665727779[[#This Row],[Student Number]]=C99,1,0)+IF(Table44246665727779[[#This Row],[Session]]=B99,1,0)+IF(Table44246665727779[[#This Row],[Pre or Post]]="Post",1,0)+IF(D99="Pre",1,0)=4,Table44246665727779[[#This Row],[Post Total]]-K99,""),"")</f>
        <v/>
      </c>
      <c r="P100" s="5" t="b">
        <f>ISNUMBER(Table44246665727779[[#This Row],[Change]])</f>
        <v>0</v>
      </c>
      <c r="Q100" s="5" t="str">
        <f>IF(E99="Yes",Table44246665727779[[#This Row],[Change]],"")</f>
        <v/>
      </c>
      <c r="R100" s="5" t="str">
        <f>IF(E99="No",Table44246665727779[[#This Row],[Change]],"")</f>
        <v/>
      </c>
      <c r="S100" s="5" t="b">
        <f>ISNUMBER(Table44246665727779[[#This Row],[If Pre6 Yes]])</f>
        <v>0</v>
      </c>
      <c r="T100" s="5" t="b">
        <f>ISNUMBER(Table44246665727779[[#This Row],[If Pre6 No]])</f>
        <v>0</v>
      </c>
    </row>
    <row r="101" spans="1:20">
      <c r="A101" s="1" t="s">
        <v>12</v>
      </c>
      <c r="B101" s="1" t="s">
        <v>10</v>
      </c>
      <c r="C101" s="1">
        <v>15</v>
      </c>
      <c r="D101" s="1" t="s">
        <v>16</v>
      </c>
      <c r="E101" s="5"/>
      <c r="F101" s="1">
        <v>3</v>
      </c>
      <c r="G101" s="1">
        <v>3</v>
      </c>
      <c r="H101" s="1" t="s">
        <v>8</v>
      </c>
      <c r="I101" s="5" t="str">
        <f>IF(IF(Table44246665727779[[#This Row],[Pre or Post]]="Pre",1,0)+IF(ISNUMBER(Table44246665727779[[#This Row],[Response]])=TRUE,1,0)=2,1,"")</f>
        <v/>
      </c>
      <c r="J101" s="5">
        <f>IF(IF(Table44246665727779[[#This Row],[Pre or Post]]="Post",1,0)+IF(ISNUMBER(Table44246665727779[[#This Row],[Response]])=TRUE,1,0)=2,1,"")</f>
        <v>1</v>
      </c>
      <c r="K101" s="6" t="str">
        <f>IF(IF(Table44246665727779[[#This Row],[Pre or Post]]="Pre",1,0)+IF(ISNUMBER(Table44246665727779[[#This Row],[Response]])=TRUE,1,0)=2,Table44246665727779[[#This Row],[Response]],"")</f>
        <v/>
      </c>
      <c r="L101" s="6">
        <f>IF(IF(Table44246665727779[[#This Row],[Pre or Post]]="Post",1,0)+IF(ISNUMBER(Table44246665727779[[#This Row],[Response]])=TRUE,1,0)=2,Table44246665727779[[#This Row],[Response]],"")</f>
        <v>3</v>
      </c>
      <c r="M101" s="5" t="str">
        <f>IF(IF(ISNUMBER(K101),1,0)+IF(ISNUMBER(L102),1,0)=2,IF(IF(C102=C101,1,0)+IF(B102=B101,1,0)+IF(D102="Post",1,0)+IF(D101="Pre",1,0)=4,Table44246665727779[[#This Row],[Pre Total]],""),"")</f>
        <v/>
      </c>
      <c r="N101" s="5">
        <f>IF(IF(ISNUMBER(K100),1,0)+IF(ISNUMBER(Table44246665727779[[#This Row],[Post Total]]),1,0)=2,IF(IF(Table44246665727779[[#This Row],[Student Number]]=C100,1,0)+IF(Table44246665727779[[#This Row],[Session]]=B100,1,0)+IF(Table44246665727779[[#This Row],[Pre or Post]]="Post",1,0)+IF(D100="Pre",1,0)=4,Table44246665727779[[#This Row],[Post Total]],""),"")</f>
        <v>3</v>
      </c>
      <c r="O101" s="5">
        <f>IF(IF(ISNUMBER(K100),1,0)+IF(ISNUMBER(Table44246665727779[[#This Row],[Post Total]]),1,0)=2,IF(IF(Table44246665727779[[#This Row],[Student Number]]=C100,1,0)+IF(Table44246665727779[[#This Row],[Session]]=B100,1,0)+IF(Table44246665727779[[#This Row],[Pre or Post]]="Post",1,0)+IF(D100="Pre",1,0)=4,Table44246665727779[[#This Row],[Post Total]]-K100,""),"")</f>
        <v>-1</v>
      </c>
      <c r="P101" s="5" t="b">
        <f>ISNUMBER(Table44246665727779[[#This Row],[Change]])</f>
        <v>1</v>
      </c>
      <c r="Q101" s="5">
        <f>IF(E100="Yes",Table44246665727779[[#This Row],[Change]],"")</f>
        <v>-1</v>
      </c>
      <c r="R101" s="5" t="str">
        <f>IF(E100="No",Table44246665727779[[#This Row],[Change]],"")</f>
        <v/>
      </c>
      <c r="S101" s="5" t="b">
        <f>ISNUMBER(Table44246665727779[[#This Row],[If Pre6 Yes]])</f>
        <v>1</v>
      </c>
      <c r="T101" s="5" t="b">
        <f>ISNUMBER(Table44246665727779[[#This Row],[If Pre6 No]])</f>
        <v>0</v>
      </c>
    </row>
    <row r="102" spans="1:20">
      <c r="A102" s="1" t="s">
        <v>12</v>
      </c>
      <c r="B102" s="1" t="s">
        <v>10</v>
      </c>
      <c r="C102" s="1">
        <v>16</v>
      </c>
      <c r="D102" s="1" t="s">
        <v>6</v>
      </c>
      <c r="E102" s="5" t="s">
        <v>8</v>
      </c>
      <c r="F102" s="1">
        <v>10</v>
      </c>
      <c r="G102" s="1">
        <v>4</v>
      </c>
      <c r="H102" s="1" t="s">
        <v>8</v>
      </c>
      <c r="I102" s="6">
        <f>IF(IF(Table44246665727779[[#This Row],[Pre or Post]]="Pre",1,0)+IF(ISNUMBER(Table44246665727779[[#This Row],[Response]])=TRUE,1,0)=2,1,"")</f>
        <v>1</v>
      </c>
      <c r="J102" s="6" t="str">
        <f>IF(IF(Table44246665727779[[#This Row],[Pre or Post]]="Post",1,0)+IF(ISNUMBER(Table44246665727779[[#This Row],[Response]])=TRUE,1,0)=2,1,"")</f>
        <v/>
      </c>
      <c r="K102" s="6">
        <f>IF(IF(Table44246665727779[[#This Row],[Pre or Post]]="Pre",1,0)+IF(ISNUMBER(Table44246665727779[[#This Row],[Response]])=TRUE,1,0)=2,Table44246665727779[[#This Row],[Response]],"")</f>
        <v>4</v>
      </c>
      <c r="L102" s="6" t="str">
        <f>IF(IF(Table44246665727779[[#This Row],[Pre or Post]]="Post",1,0)+IF(ISNUMBER(Table44246665727779[[#This Row],[Response]])=TRUE,1,0)=2,Table44246665727779[[#This Row],[Response]],"")</f>
        <v/>
      </c>
      <c r="M102" s="6">
        <f>IF(IF(ISNUMBER(K102),1,0)+IF(ISNUMBER(L103),1,0)=2,IF(IF(C103=C102,1,0)+IF(B103=B102,1,0)+IF(D103="Post",1,0)+IF(D102="Pre",1,0)=4,Table44246665727779[[#This Row],[Pre Total]],""),"")</f>
        <v>4</v>
      </c>
      <c r="N102" s="6" t="str">
        <f>IF(IF(ISNUMBER(K101),1,0)+IF(ISNUMBER(Table44246665727779[[#This Row],[Post Total]]),1,0)=2,IF(IF(Table44246665727779[[#This Row],[Student Number]]=C101,1,0)+IF(Table44246665727779[[#This Row],[Session]]=B101,1,0)+IF(Table44246665727779[[#This Row],[Pre or Post]]="Post",1,0)+IF(D101="Pre",1,0)=4,Table44246665727779[[#This Row],[Post Total]],""),"")</f>
        <v/>
      </c>
      <c r="O102" s="6" t="str">
        <f>IF(IF(ISNUMBER(K101),1,0)+IF(ISNUMBER(Table44246665727779[[#This Row],[Post Total]]),1,0)=2,IF(IF(Table44246665727779[[#This Row],[Student Number]]=C101,1,0)+IF(Table44246665727779[[#This Row],[Session]]=B101,1,0)+IF(Table44246665727779[[#This Row],[Pre or Post]]="Post",1,0)+IF(D101="Pre",1,0)=4,Table44246665727779[[#This Row],[Post Total]]-K101,""),"")</f>
        <v/>
      </c>
      <c r="P102" s="6" t="b">
        <f>ISNUMBER(Table44246665727779[[#This Row],[Change]])</f>
        <v>0</v>
      </c>
      <c r="Q102" s="5" t="str">
        <f>IF(E101="Yes",Table44246665727779[[#This Row],[Change]],"")</f>
        <v/>
      </c>
      <c r="R102" s="5" t="str">
        <f>IF(E101="No",Table44246665727779[[#This Row],[Change]],"")</f>
        <v/>
      </c>
      <c r="S102" s="5" t="b">
        <f>ISNUMBER(Table44246665727779[[#This Row],[If Pre6 Yes]])</f>
        <v>0</v>
      </c>
      <c r="T102" s="5" t="b">
        <f>ISNUMBER(Table44246665727779[[#This Row],[If Pre6 No]])</f>
        <v>0</v>
      </c>
    </row>
    <row r="103" spans="1:20">
      <c r="A103" s="1" t="s">
        <v>12</v>
      </c>
      <c r="B103" s="1" t="s">
        <v>10</v>
      </c>
      <c r="C103" s="1">
        <v>16</v>
      </c>
      <c r="D103" s="1" t="s">
        <v>16</v>
      </c>
      <c r="E103" s="5"/>
      <c r="F103" s="1">
        <v>3</v>
      </c>
      <c r="G103" s="1">
        <v>4</v>
      </c>
      <c r="H103" s="1" t="s">
        <v>8</v>
      </c>
      <c r="I103" s="5" t="str">
        <f>IF(IF(Table44246665727779[[#This Row],[Pre or Post]]="Pre",1,0)+IF(ISNUMBER(Table44246665727779[[#This Row],[Response]])=TRUE,1,0)=2,1,"")</f>
        <v/>
      </c>
      <c r="J103" s="5">
        <f>IF(IF(Table44246665727779[[#This Row],[Pre or Post]]="Post",1,0)+IF(ISNUMBER(Table44246665727779[[#This Row],[Response]])=TRUE,1,0)=2,1,"")</f>
        <v>1</v>
      </c>
      <c r="K103" s="6" t="str">
        <f>IF(IF(Table44246665727779[[#This Row],[Pre or Post]]="Pre",1,0)+IF(ISNUMBER(Table44246665727779[[#This Row],[Response]])=TRUE,1,0)=2,Table44246665727779[[#This Row],[Response]],"")</f>
        <v/>
      </c>
      <c r="L103" s="6">
        <f>IF(IF(Table44246665727779[[#This Row],[Pre or Post]]="Post",1,0)+IF(ISNUMBER(Table44246665727779[[#This Row],[Response]])=TRUE,1,0)=2,Table44246665727779[[#This Row],[Response]],"")</f>
        <v>4</v>
      </c>
      <c r="M103" s="5" t="str">
        <f>IF(IF(ISNUMBER(K103),1,0)+IF(ISNUMBER(L104),1,0)=2,IF(IF(C104=C103,1,0)+IF(B104=B103,1,0)+IF(D104="Post",1,0)+IF(D103="Pre",1,0)=4,Table44246665727779[[#This Row],[Pre Total]],""),"")</f>
        <v/>
      </c>
      <c r="N103" s="5">
        <f>IF(IF(ISNUMBER(K102),1,0)+IF(ISNUMBER(Table44246665727779[[#This Row],[Post Total]]),1,0)=2,IF(IF(Table44246665727779[[#This Row],[Student Number]]=C102,1,0)+IF(Table44246665727779[[#This Row],[Session]]=B102,1,0)+IF(Table44246665727779[[#This Row],[Pre or Post]]="Post",1,0)+IF(D102="Pre",1,0)=4,Table44246665727779[[#This Row],[Post Total]],""),"")</f>
        <v>4</v>
      </c>
      <c r="O103" s="5">
        <f>IF(IF(ISNUMBER(K102),1,0)+IF(ISNUMBER(Table44246665727779[[#This Row],[Post Total]]),1,0)=2,IF(IF(Table44246665727779[[#This Row],[Student Number]]=C102,1,0)+IF(Table44246665727779[[#This Row],[Session]]=B102,1,0)+IF(Table44246665727779[[#This Row],[Pre or Post]]="Post",1,0)+IF(D102="Pre",1,0)=4,Table44246665727779[[#This Row],[Post Total]]-K102,""),"")</f>
        <v>0</v>
      </c>
      <c r="P103" s="5" t="b">
        <f>ISNUMBER(Table44246665727779[[#This Row],[Change]])</f>
        <v>1</v>
      </c>
      <c r="Q103" s="5">
        <f>IF(E102="Yes",Table44246665727779[[#This Row],[Change]],"")</f>
        <v>0</v>
      </c>
      <c r="R103" s="5" t="str">
        <f>IF(E102="No",Table44246665727779[[#This Row],[Change]],"")</f>
        <v/>
      </c>
      <c r="S103" s="5" t="b">
        <f>ISNUMBER(Table44246665727779[[#This Row],[If Pre6 Yes]])</f>
        <v>1</v>
      </c>
      <c r="T103" s="5" t="b">
        <f>ISNUMBER(Table44246665727779[[#This Row],[If Pre6 No]])</f>
        <v>0</v>
      </c>
    </row>
    <row r="104" spans="1:20">
      <c r="A104" s="1" t="s">
        <v>12</v>
      </c>
      <c r="B104" s="1" t="s">
        <v>10</v>
      </c>
      <c r="C104" s="1">
        <v>17</v>
      </c>
      <c r="D104" s="1" t="s">
        <v>6</v>
      </c>
      <c r="E104" s="5" t="s">
        <v>8</v>
      </c>
      <c r="F104" s="1">
        <v>10</v>
      </c>
      <c r="G104" s="1">
        <v>4</v>
      </c>
      <c r="H104" s="1" t="s">
        <v>8</v>
      </c>
      <c r="I104" s="5">
        <f>IF(IF(Table44246665727779[[#This Row],[Pre or Post]]="Pre",1,0)+IF(ISNUMBER(Table44246665727779[[#This Row],[Response]])=TRUE,1,0)=2,1,"")</f>
        <v>1</v>
      </c>
      <c r="J104" s="5" t="str">
        <f>IF(IF(Table44246665727779[[#This Row],[Pre or Post]]="Post",1,0)+IF(ISNUMBER(Table44246665727779[[#This Row],[Response]])=TRUE,1,0)=2,1,"")</f>
        <v/>
      </c>
      <c r="K104" s="6">
        <f>IF(IF(Table44246665727779[[#This Row],[Pre or Post]]="Pre",1,0)+IF(ISNUMBER(Table44246665727779[[#This Row],[Response]])=TRUE,1,0)=2,Table44246665727779[[#This Row],[Response]],"")</f>
        <v>4</v>
      </c>
      <c r="L104" s="6" t="str">
        <f>IF(IF(Table44246665727779[[#This Row],[Pre or Post]]="Post",1,0)+IF(ISNUMBER(Table44246665727779[[#This Row],[Response]])=TRUE,1,0)=2,Table44246665727779[[#This Row],[Response]],"")</f>
        <v/>
      </c>
      <c r="M104" s="5">
        <f>IF(IF(ISNUMBER(K104),1,0)+IF(ISNUMBER(L105),1,0)=2,IF(IF(C105=C104,1,0)+IF(B105=B104,1,0)+IF(D105="Post",1,0)+IF(D104="Pre",1,0)=4,Table44246665727779[[#This Row],[Pre Total]],""),"")</f>
        <v>4</v>
      </c>
      <c r="N104" s="5" t="str">
        <f>IF(IF(ISNUMBER(K103),1,0)+IF(ISNUMBER(Table44246665727779[[#This Row],[Post Total]]),1,0)=2,IF(IF(Table44246665727779[[#This Row],[Student Number]]=C103,1,0)+IF(Table44246665727779[[#This Row],[Session]]=B103,1,0)+IF(Table44246665727779[[#This Row],[Pre or Post]]="Post",1,0)+IF(D103="Pre",1,0)=4,Table44246665727779[[#This Row],[Post Total]],""),"")</f>
        <v/>
      </c>
      <c r="O104" s="5" t="str">
        <f>IF(IF(ISNUMBER(K103),1,0)+IF(ISNUMBER(Table44246665727779[[#This Row],[Post Total]]),1,0)=2,IF(IF(Table44246665727779[[#This Row],[Student Number]]=C103,1,0)+IF(Table44246665727779[[#This Row],[Session]]=B103,1,0)+IF(Table44246665727779[[#This Row],[Pre or Post]]="Post",1,0)+IF(D103="Pre",1,0)=4,Table44246665727779[[#This Row],[Post Total]]-K103,""),"")</f>
        <v/>
      </c>
      <c r="P104" s="5" t="b">
        <f>ISNUMBER(Table44246665727779[[#This Row],[Change]])</f>
        <v>0</v>
      </c>
      <c r="Q104" s="5" t="str">
        <f>IF(E103="Yes",Table44246665727779[[#This Row],[Change]],"")</f>
        <v/>
      </c>
      <c r="R104" s="5" t="str">
        <f>IF(E103="No",Table44246665727779[[#This Row],[Change]],"")</f>
        <v/>
      </c>
      <c r="S104" s="5" t="b">
        <f>ISNUMBER(Table44246665727779[[#This Row],[If Pre6 Yes]])</f>
        <v>0</v>
      </c>
      <c r="T104" s="5" t="b">
        <f>ISNUMBER(Table44246665727779[[#This Row],[If Pre6 No]])</f>
        <v>0</v>
      </c>
    </row>
    <row r="105" spans="1:20">
      <c r="A105" s="1" t="s">
        <v>12</v>
      </c>
      <c r="B105" s="1" t="s">
        <v>10</v>
      </c>
      <c r="C105" s="1">
        <v>17</v>
      </c>
      <c r="D105" s="1" t="s">
        <v>16</v>
      </c>
      <c r="E105" s="5"/>
      <c r="F105" s="1">
        <v>3</v>
      </c>
      <c r="G105" s="1">
        <v>5</v>
      </c>
      <c r="H105" s="1" t="s">
        <v>8</v>
      </c>
      <c r="I105" s="5" t="str">
        <f>IF(IF(Table44246665727779[[#This Row],[Pre or Post]]="Pre",1,0)+IF(ISNUMBER(Table44246665727779[[#This Row],[Response]])=TRUE,1,0)=2,1,"")</f>
        <v/>
      </c>
      <c r="J105" s="5">
        <f>IF(IF(Table44246665727779[[#This Row],[Pre or Post]]="Post",1,0)+IF(ISNUMBER(Table44246665727779[[#This Row],[Response]])=TRUE,1,0)=2,1,"")</f>
        <v>1</v>
      </c>
      <c r="K105" s="6" t="str">
        <f>IF(IF(Table44246665727779[[#This Row],[Pre or Post]]="Pre",1,0)+IF(ISNUMBER(Table44246665727779[[#This Row],[Response]])=TRUE,1,0)=2,Table44246665727779[[#This Row],[Response]],"")</f>
        <v/>
      </c>
      <c r="L105" s="6">
        <f>IF(IF(Table44246665727779[[#This Row],[Pre or Post]]="Post",1,0)+IF(ISNUMBER(Table44246665727779[[#This Row],[Response]])=TRUE,1,0)=2,Table44246665727779[[#This Row],[Response]],"")</f>
        <v>5</v>
      </c>
      <c r="M105" s="5" t="str">
        <f>IF(IF(ISNUMBER(K105),1,0)+IF(ISNUMBER(L106),1,0)=2,IF(IF(C106=C105,1,0)+IF(B106=B105,1,0)+IF(D106="Post",1,0)+IF(D105="Pre",1,0)=4,Table44246665727779[[#This Row],[Pre Total]],""),"")</f>
        <v/>
      </c>
      <c r="N105" s="5">
        <f>IF(IF(ISNUMBER(K104),1,0)+IF(ISNUMBER(Table44246665727779[[#This Row],[Post Total]]),1,0)=2,IF(IF(Table44246665727779[[#This Row],[Student Number]]=C104,1,0)+IF(Table44246665727779[[#This Row],[Session]]=B104,1,0)+IF(Table44246665727779[[#This Row],[Pre or Post]]="Post",1,0)+IF(D104="Pre",1,0)=4,Table44246665727779[[#This Row],[Post Total]],""),"")</f>
        <v>5</v>
      </c>
      <c r="O105" s="5">
        <f>IF(IF(ISNUMBER(K104),1,0)+IF(ISNUMBER(Table44246665727779[[#This Row],[Post Total]]),1,0)=2,IF(IF(Table44246665727779[[#This Row],[Student Number]]=C104,1,0)+IF(Table44246665727779[[#This Row],[Session]]=B104,1,0)+IF(Table44246665727779[[#This Row],[Pre or Post]]="Post",1,0)+IF(D104="Pre",1,0)=4,Table44246665727779[[#This Row],[Post Total]]-K104,""),"")</f>
        <v>1</v>
      </c>
      <c r="P105" s="5" t="b">
        <f>ISNUMBER(Table44246665727779[[#This Row],[Change]])</f>
        <v>1</v>
      </c>
      <c r="Q105" s="5">
        <f>IF(E104="Yes",Table44246665727779[[#This Row],[Change]],"")</f>
        <v>1</v>
      </c>
      <c r="R105" s="5" t="str">
        <f>IF(E104="No",Table44246665727779[[#This Row],[Change]],"")</f>
        <v/>
      </c>
      <c r="S105" s="5" t="b">
        <f>ISNUMBER(Table44246665727779[[#This Row],[If Pre6 Yes]])</f>
        <v>1</v>
      </c>
      <c r="T105" s="5" t="b">
        <f>ISNUMBER(Table44246665727779[[#This Row],[If Pre6 No]])</f>
        <v>0</v>
      </c>
    </row>
    <row r="106" spans="1:20">
      <c r="A106" s="1" t="s">
        <v>12</v>
      </c>
      <c r="B106" s="1" t="s">
        <v>10</v>
      </c>
      <c r="C106" s="1">
        <v>18</v>
      </c>
      <c r="D106" s="1" t="s">
        <v>16</v>
      </c>
      <c r="E106" s="5"/>
      <c r="F106" s="1">
        <v>3</v>
      </c>
      <c r="G106" s="1">
        <v>4</v>
      </c>
      <c r="H106" s="1" t="s">
        <v>9</v>
      </c>
      <c r="I106" s="5" t="str">
        <f>IF(IF(Table44246665727779[[#This Row],[Pre or Post]]="Pre",1,0)+IF(ISNUMBER(Table44246665727779[[#This Row],[Response]])=TRUE,1,0)=2,1,"")</f>
        <v/>
      </c>
      <c r="J106" s="5">
        <f>IF(IF(Table44246665727779[[#This Row],[Pre or Post]]="Post",1,0)+IF(ISNUMBER(Table44246665727779[[#This Row],[Response]])=TRUE,1,0)=2,1,"")</f>
        <v>1</v>
      </c>
      <c r="K106" s="6" t="str">
        <f>IF(IF(Table44246665727779[[#This Row],[Pre or Post]]="Pre",1,0)+IF(ISNUMBER(Table44246665727779[[#This Row],[Response]])=TRUE,1,0)=2,Table44246665727779[[#This Row],[Response]],"")</f>
        <v/>
      </c>
      <c r="L106" s="6">
        <f>IF(IF(Table44246665727779[[#This Row],[Pre or Post]]="Post",1,0)+IF(ISNUMBER(Table44246665727779[[#This Row],[Response]])=TRUE,1,0)=2,Table44246665727779[[#This Row],[Response]],"")</f>
        <v>4</v>
      </c>
      <c r="M106" s="5" t="str">
        <f>IF(IF(ISNUMBER(K106),1,0)+IF(ISNUMBER(L107),1,0)=2,IF(IF(C107=C106,1,0)+IF(B107=B106,1,0)+IF(D107="Post",1,0)+IF(D106="Pre",1,0)=4,Table44246665727779[[#This Row],[Pre Total]],""),"")</f>
        <v/>
      </c>
      <c r="N106" s="5" t="str">
        <f>IF(IF(ISNUMBER(K105),1,0)+IF(ISNUMBER(Table44246665727779[[#This Row],[Post Total]]),1,0)=2,IF(IF(Table44246665727779[[#This Row],[Student Number]]=C105,1,0)+IF(Table44246665727779[[#This Row],[Session]]=B105,1,0)+IF(Table44246665727779[[#This Row],[Pre or Post]]="Post",1,0)+IF(D105="Pre",1,0)=4,Table44246665727779[[#This Row],[Post Total]],""),"")</f>
        <v/>
      </c>
      <c r="O106" s="5" t="str">
        <f>IF(IF(ISNUMBER(K105),1,0)+IF(ISNUMBER(Table44246665727779[[#This Row],[Post Total]]),1,0)=2,IF(IF(Table44246665727779[[#This Row],[Student Number]]=C105,1,0)+IF(Table44246665727779[[#This Row],[Session]]=B105,1,0)+IF(Table44246665727779[[#This Row],[Pre or Post]]="Post",1,0)+IF(D105="Pre",1,0)=4,Table44246665727779[[#This Row],[Post Total]]-K105,""),"")</f>
        <v/>
      </c>
      <c r="P106" s="5" t="b">
        <f>ISNUMBER(Table44246665727779[[#This Row],[Change]])</f>
        <v>0</v>
      </c>
      <c r="Q106" s="5" t="str">
        <f>IF(E105="Yes",Table44246665727779[[#This Row],[Change]],"")</f>
        <v/>
      </c>
      <c r="R106" s="5" t="str">
        <f>IF(E105="No",Table44246665727779[[#This Row],[Change]],"")</f>
        <v/>
      </c>
      <c r="S106" s="5" t="b">
        <f>ISNUMBER(Table44246665727779[[#This Row],[If Pre6 Yes]])</f>
        <v>0</v>
      </c>
      <c r="T106" s="5" t="b">
        <f>ISNUMBER(Table44246665727779[[#This Row],[If Pre6 No]])</f>
        <v>0</v>
      </c>
    </row>
    <row r="107" spans="1:20">
      <c r="A107" s="2"/>
      <c r="B107" s="2"/>
      <c r="C107" s="2"/>
      <c r="D107" s="2"/>
      <c r="E107" s="2"/>
      <c r="F107" s="2"/>
      <c r="G107" s="2"/>
      <c r="H107" s="2"/>
      <c r="I107" s="6">
        <f>SUM([Pre Answers])</f>
        <v>40</v>
      </c>
      <c r="J107" s="6">
        <f>SUM([Post Answers])</f>
        <v>65</v>
      </c>
      <c r="K107" s="2">
        <f>SUM([Pre Total])</f>
        <v>135</v>
      </c>
      <c r="L107" s="2">
        <f>SUM([Post Total])</f>
        <v>222</v>
      </c>
      <c r="M107" s="2">
        <f>SUM([Pre Total (Pooled)])</f>
        <v>135</v>
      </c>
      <c r="N107" s="2">
        <f>SUM([Post Total (Pooled)])</f>
        <v>137</v>
      </c>
      <c r="O107" s="2">
        <f>SUM([Change])</f>
        <v>2</v>
      </c>
      <c r="P107" s="2">
        <f>COUNTIF([Number 2 Resp],TRUE)</f>
        <v>40</v>
      </c>
      <c r="Q107" s="2">
        <f>SUM([If Pre6 Yes])</f>
        <v>2</v>
      </c>
      <c r="R107" s="2">
        <f>SUM([If Pre6 No])</f>
        <v>0</v>
      </c>
      <c r="S107" s="2">
        <f>COUNTIF([Pre6 Yes Answers],"TRUE")</f>
        <v>39</v>
      </c>
      <c r="T107" s="2">
        <f>COUNTIF([Pre6 No Answers],"TRUE")</f>
        <v>1</v>
      </c>
    </row>
    <row r="108" spans="1:20">
      <c r="A108" s="2"/>
      <c r="B108" s="2"/>
      <c r="C108" s="2"/>
      <c r="D108" s="2"/>
      <c r="E108" s="2"/>
      <c r="F108" s="2"/>
      <c r="G108" s="2"/>
      <c r="H108" s="2"/>
      <c r="I108" s="6"/>
      <c r="J108" s="6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1" t="s">
        <v>175</v>
      </c>
    </row>
    <row r="110" spans="1:20" ht="30">
      <c r="A110" s="16" t="s">
        <v>207</v>
      </c>
      <c r="B110" s="16" t="s">
        <v>36</v>
      </c>
      <c r="C110" s="16" t="s">
        <v>37</v>
      </c>
      <c r="D110" s="16" t="s">
        <v>68</v>
      </c>
      <c r="E110" s="16" t="s">
        <v>69</v>
      </c>
      <c r="F110" s="16"/>
      <c r="G110" s="16"/>
      <c r="H110" s="16"/>
      <c r="I110" s="16"/>
      <c r="J110" s="16"/>
      <c r="K110" s="16"/>
    </row>
    <row r="111" spans="1:20">
      <c r="A111" s="1" t="s">
        <v>8</v>
      </c>
      <c r="B111" s="1">
        <f>COUNTIF(Table44246665727779[Pre6 Yes or No],"Yes")</f>
        <v>39</v>
      </c>
      <c r="C111" s="1">
        <f>Table44246665727779[[#Totals],[Pre6 Yes Answers]]</f>
        <v>39</v>
      </c>
      <c r="D111" s="1">
        <f>Table44246665727779[[#Totals],[If Pre6 Yes]]/Table512256768737880[[#This Row],[Total Answers]]</f>
        <v>5.128205128205128E-2</v>
      </c>
      <c r="E111" s="1">
        <f>STDEV(Table44246665727779[If Pre6 Yes])</f>
        <v>0.64680257903653504</v>
      </c>
    </row>
    <row r="112" spans="1:20">
      <c r="A112" s="1" t="s">
        <v>9</v>
      </c>
      <c r="B112" s="1">
        <f>COUNTIF(Table44246665727779[Pre6 Yes or No],"No")</f>
        <v>1</v>
      </c>
      <c r="C112" s="1">
        <f>Table44246665727779[[#Totals],[Pre6 No Answers]]</f>
        <v>1</v>
      </c>
      <c r="D112" s="1">
        <f>Table44246665727779[[#Totals],[If Pre6 No]]/Table512256768737880[[#This Row],[Total Answers]]</f>
        <v>0</v>
      </c>
      <c r="E112" s="1" t="e">
        <f>STDEV(Table44246665727779[If Pre6 No])</f>
        <v>#DIV/0!</v>
      </c>
    </row>
    <row r="116" spans="1:5">
      <c r="A116"/>
      <c r="B116" s="16"/>
      <c r="C116" s="16"/>
      <c r="D116" s="16"/>
      <c r="E116" s="16"/>
    </row>
    <row r="117" spans="1:5">
      <c r="A117"/>
      <c r="D117" s="5"/>
    </row>
    <row r="118" spans="1:5">
      <c r="A118"/>
      <c r="D118" s="5"/>
    </row>
  </sheetData>
  <conditionalFormatting sqref="C116 F109 F113:F153 G107:G108 G2:H106">
    <cfRule type="cellIs" dxfId="61" priority="3" operator="equal">
      <formula>"No"</formula>
    </cfRule>
    <cfRule type="cellIs" dxfId="60" priority="4" operator="equal">
      <formula>"Yes"</formula>
    </cfRule>
  </conditionalFormatting>
  <conditionalFormatting sqref="G109 G113:G153 F110:F112 H2:H108">
    <cfRule type="cellIs" dxfId="59" priority="1" operator="equal">
      <formula>"Yes"</formula>
    </cfRule>
    <cfRule type="cellIs" dxfId="58" priority="2" operator="equal">
      <formula>"No"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8"/>
  </sheetPr>
  <dimension ref="A1:F23"/>
  <sheetViews>
    <sheetView workbookViewId="0">
      <selection activeCell="F30" sqref="F30"/>
    </sheetView>
  </sheetViews>
  <sheetFormatPr defaultRowHeight="15"/>
  <cols>
    <col min="1" max="1" width="9.7109375" bestFit="1" customWidth="1"/>
    <col min="2" max="3" width="10.140625" bestFit="1" customWidth="1"/>
    <col min="4" max="4" width="10.85546875" bestFit="1" customWidth="1"/>
    <col min="5" max="5" width="12.7109375" bestFit="1" customWidth="1"/>
    <col min="6" max="6" width="12" bestFit="1" customWidth="1"/>
  </cols>
  <sheetData>
    <row r="1" spans="1:6" ht="45">
      <c r="A1" s="16" t="s">
        <v>180</v>
      </c>
      <c r="B1" s="16" t="s">
        <v>201</v>
      </c>
      <c r="C1" s="16" t="s">
        <v>36</v>
      </c>
      <c r="D1" s="16" t="s">
        <v>37</v>
      </c>
      <c r="E1" s="16" t="s">
        <v>68</v>
      </c>
      <c r="F1" s="16" t="s">
        <v>69</v>
      </c>
    </row>
    <row r="2" spans="1:6">
      <c r="A2" s="1" t="s">
        <v>24</v>
      </c>
      <c r="B2" s="1" t="s">
        <v>8</v>
      </c>
      <c r="C2" s="1">
        <v>59</v>
      </c>
      <c r="D2" s="1">
        <v>55</v>
      </c>
      <c r="E2" s="1">
        <v>0.97272727272727277</v>
      </c>
      <c r="F2" s="1">
        <v>1.5528295016773288</v>
      </c>
    </row>
    <row r="3" spans="1:6">
      <c r="A3" s="1" t="s">
        <v>24</v>
      </c>
      <c r="B3" s="1" t="s">
        <v>9</v>
      </c>
      <c r="C3" s="1">
        <v>2</v>
      </c>
      <c r="D3" s="1">
        <v>2</v>
      </c>
      <c r="E3" s="1">
        <v>2.5</v>
      </c>
      <c r="F3" s="1">
        <v>0.70710678118654757</v>
      </c>
    </row>
    <row r="4" spans="1:6">
      <c r="A4" s="2" t="s">
        <v>12</v>
      </c>
      <c r="B4" s="1" t="s">
        <v>8</v>
      </c>
      <c r="C4" s="1">
        <v>39</v>
      </c>
      <c r="D4" s="1">
        <v>39</v>
      </c>
      <c r="E4" s="1">
        <v>5.128205128205128E-2</v>
      </c>
      <c r="F4" s="1">
        <v>0.64680257903653504</v>
      </c>
    </row>
    <row r="5" spans="1:6">
      <c r="A5" s="2" t="s">
        <v>12</v>
      </c>
      <c r="B5" s="1" t="s">
        <v>9</v>
      </c>
      <c r="C5" s="1">
        <v>1</v>
      </c>
      <c r="D5" s="1">
        <v>1</v>
      </c>
      <c r="E5" s="1">
        <v>0</v>
      </c>
      <c r="F5" s="1" t="e">
        <v>#DIV/0!</v>
      </c>
    </row>
    <row r="6" spans="1:6">
      <c r="A6" s="1"/>
      <c r="B6" s="1"/>
      <c r="C6" s="1"/>
      <c r="D6" s="1"/>
      <c r="E6" s="1"/>
    </row>
    <row r="7" spans="1:6">
      <c r="A7" s="1" t="s">
        <v>181</v>
      </c>
      <c r="B7" s="1"/>
      <c r="C7" s="1"/>
      <c r="D7" s="1"/>
      <c r="E7" s="1"/>
    </row>
    <row r="8" spans="1:6">
      <c r="A8" t="s">
        <v>192</v>
      </c>
    </row>
    <row r="9" spans="1:6">
      <c r="A9" s="3" t="s">
        <v>24</v>
      </c>
      <c r="B9" s="3" t="s">
        <v>8</v>
      </c>
      <c r="C9" s="3">
        <v>59</v>
      </c>
      <c r="D9" s="3">
        <v>55</v>
      </c>
      <c r="E9" s="3">
        <v>0.97272727272727277</v>
      </c>
      <c r="F9" s="20">
        <v>1.5528295016773288</v>
      </c>
    </row>
    <row r="10" spans="1:6">
      <c r="A10" s="3" t="s">
        <v>12</v>
      </c>
      <c r="B10" s="3" t="s">
        <v>8</v>
      </c>
      <c r="C10" s="3">
        <v>39</v>
      </c>
      <c r="D10" s="3">
        <v>39</v>
      </c>
      <c r="E10" s="3">
        <v>5.128205128205128E-2</v>
      </c>
      <c r="F10" s="20">
        <v>0.64680257903653504</v>
      </c>
    </row>
    <row r="11" spans="1:6">
      <c r="A11" t="s">
        <v>212</v>
      </c>
    </row>
    <row r="12" spans="1:6">
      <c r="A12" t="s">
        <v>193</v>
      </c>
    </row>
    <row r="13" spans="1:6">
      <c r="A13" s="21" t="s">
        <v>24</v>
      </c>
      <c r="B13" s="21" t="s">
        <v>9</v>
      </c>
      <c r="C13" s="21">
        <v>2</v>
      </c>
      <c r="D13" s="21">
        <v>2</v>
      </c>
      <c r="E13" s="21">
        <v>2.5</v>
      </c>
      <c r="F13" s="22">
        <v>0.70710678118654757</v>
      </c>
    </row>
    <row r="14" spans="1:6">
      <c r="A14" s="23" t="s">
        <v>12</v>
      </c>
      <c r="B14" s="23" t="s">
        <v>9</v>
      </c>
      <c r="C14" s="23">
        <v>1</v>
      </c>
      <c r="D14" s="23">
        <v>1</v>
      </c>
      <c r="E14" s="23">
        <v>0</v>
      </c>
      <c r="F14" s="24" t="e">
        <v>#DIV/0!</v>
      </c>
    </row>
    <row r="15" spans="1:6">
      <c r="A15" t="s">
        <v>197</v>
      </c>
    </row>
    <row r="16" spans="1:6">
      <c r="A16" t="s">
        <v>194</v>
      </c>
    </row>
    <row r="17" spans="1:6">
      <c r="A17" s="3" t="s">
        <v>24</v>
      </c>
      <c r="B17" s="3" t="s">
        <v>8</v>
      </c>
      <c r="C17" s="3">
        <v>59</v>
      </c>
      <c r="D17" s="3">
        <v>55</v>
      </c>
      <c r="E17" s="3">
        <v>0.97272727272727277</v>
      </c>
      <c r="F17" s="20">
        <v>1.5528295016773288</v>
      </c>
    </row>
    <row r="18" spans="1:6">
      <c r="A18" s="26" t="s">
        <v>24</v>
      </c>
      <c r="B18" s="26" t="s">
        <v>9</v>
      </c>
      <c r="C18" s="26">
        <v>2</v>
      </c>
      <c r="D18" s="26">
        <v>2</v>
      </c>
      <c r="E18" s="26">
        <v>2.5</v>
      </c>
      <c r="F18" s="27">
        <v>0.70710678118654757</v>
      </c>
    </row>
    <row r="19" spans="1:6">
      <c r="A19" t="s">
        <v>197</v>
      </c>
    </row>
    <row r="20" spans="1:6">
      <c r="A20" t="s">
        <v>195</v>
      </c>
    </row>
    <row r="21" spans="1:6">
      <c r="A21" s="3" t="s">
        <v>12</v>
      </c>
      <c r="B21" s="3" t="s">
        <v>8</v>
      </c>
      <c r="C21" s="3">
        <v>39</v>
      </c>
      <c r="D21" s="3">
        <v>39</v>
      </c>
      <c r="E21" s="3">
        <v>5.128205128205128E-2</v>
      </c>
      <c r="F21" s="20">
        <v>0.64680257903653504</v>
      </c>
    </row>
    <row r="22" spans="1:6">
      <c r="A22" s="4" t="s">
        <v>12</v>
      </c>
      <c r="B22" s="4" t="s">
        <v>9</v>
      </c>
      <c r="C22" s="4">
        <v>1</v>
      </c>
      <c r="D22" s="4">
        <v>1</v>
      </c>
      <c r="E22" s="4">
        <v>0</v>
      </c>
      <c r="F22" s="25" t="e">
        <v>#DIV/0!</v>
      </c>
    </row>
    <row r="23" spans="1:6">
      <c r="A23" t="s">
        <v>197</v>
      </c>
    </row>
  </sheetData>
  <pageMargins left="0.7" right="0.7" top="0.75" bottom="0.75" header="0.3" footer="0.3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>
      <selection activeCell="N101" sqref="N101"/>
    </sheetView>
  </sheetViews>
  <sheetFormatPr defaultRowHeight="15"/>
  <cols>
    <col min="1" max="1" width="11" bestFit="1" customWidth="1"/>
    <col min="2" max="2" width="12.7109375" bestFit="1" customWidth="1"/>
    <col min="3" max="3" width="13.5703125" bestFit="1" customWidth="1"/>
    <col min="4" max="4" width="13.140625" bestFit="1" customWidth="1"/>
    <col min="5" max="5" width="25.28515625" bestFit="1" customWidth="1"/>
  </cols>
  <sheetData>
    <row r="1" spans="1:11">
      <c r="A1" s="28" t="s">
        <v>213</v>
      </c>
      <c r="B1" s="28"/>
      <c r="C1" s="28"/>
      <c r="D1" s="28"/>
      <c r="E1" s="28"/>
    </row>
    <row r="2" spans="1:11">
      <c r="A2" t="s">
        <v>135</v>
      </c>
      <c r="B2" t="s">
        <v>36</v>
      </c>
      <c r="C2" t="s">
        <v>37</v>
      </c>
      <c r="D2" t="s">
        <v>68</v>
      </c>
      <c r="E2" t="s">
        <v>69</v>
      </c>
    </row>
    <row r="3" spans="1:11">
      <c r="A3" t="s">
        <v>24</v>
      </c>
      <c r="B3">
        <v>96</v>
      </c>
      <c r="C3">
        <v>94</v>
      </c>
      <c r="D3">
        <v>3.4468085106382977</v>
      </c>
      <c r="E3">
        <v>1.0329727564779798</v>
      </c>
    </row>
    <row r="4" spans="1:11">
      <c r="A4" t="s">
        <v>12</v>
      </c>
      <c r="B4">
        <v>64</v>
      </c>
      <c r="C4">
        <v>58</v>
      </c>
      <c r="D4">
        <v>3.8448275862068964</v>
      </c>
      <c r="E4">
        <v>1.120803661193587</v>
      </c>
    </row>
    <row r="6" spans="1:11">
      <c r="A6" s="28" t="s">
        <v>214</v>
      </c>
      <c r="B6" s="28"/>
      <c r="C6" s="28"/>
      <c r="D6" s="28"/>
    </row>
    <row r="7" spans="1:11">
      <c r="A7" s="16"/>
      <c r="B7" s="13"/>
      <c r="C7" s="16" t="s">
        <v>12</v>
      </c>
      <c r="D7" s="16" t="s">
        <v>24</v>
      </c>
    </row>
    <row r="8" spans="1:11" ht="30">
      <c r="A8" s="16"/>
      <c r="B8" s="13" t="s">
        <v>100</v>
      </c>
      <c r="C8" s="16">
        <f>29/40</f>
        <v>0.72499999999999998</v>
      </c>
      <c r="D8" s="16">
        <f>67/58</f>
        <v>1.1551724137931034</v>
      </c>
    </row>
    <row r="9" spans="1:11" ht="45">
      <c r="B9" s="13" t="s">
        <v>101</v>
      </c>
      <c r="C9" s="16">
        <v>1.3584965294445255</v>
      </c>
      <c r="D9" s="16">
        <v>1.3481855791087807</v>
      </c>
    </row>
    <row r="10" spans="1:11">
      <c r="B10" s="13" t="s">
        <v>93</v>
      </c>
      <c r="C10" s="13">
        <v>40</v>
      </c>
      <c r="D10" s="13">
        <v>58</v>
      </c>
    </row>
    <row r="12" spans="1:11">
      <c r="A12" s="28" t="s">
        <v>215</v>
      </c>
      <c r="B12" s="28"/>
      <c r="D12" s="28" t="s">
        <v>216</v>
      </c>
      <c r="E12" s="28"/>
      <c r="G12" s="28" t="s">
        <v>217</v>
      </c>
      <c r="H12" s="28"/>
      <c r="J12" s="28" t="s">
        <v>218</v>
      </c>
      <c r="K12" s="28"/>
    </row>
    <row r="13" spans="1:11">
      <c r="A13">
        <v>0</v>
      </c>
      <c r="B13">
        <f>(1/($E$3*SQRT(2*PI())))*EXP(-POWER((A13-$D$3),2)/(2*POWER($E$3,2)))</f>
        <v>1.4759579093546172E-3</v>
      </c>
      <c r="D13">
        <v>0</v>
      </c>
      <c r="E13">
        <f>(1/($E$4*SQRT(2*PI())))*EXP(-POWER((D13-$D$4),2)/(2*POWER($E$4,2)))</f>
        <v>9.9092065344520328E-4</v>
      </c>
      <c r="G13">
        <v>0</v>
      </c>
      <c r="H13">
        <f>(1/($D$9*SQRT(2*PI())))*EXP(-POWER((G13-$D$8),2)/(2*POWER($D$9,2)))</f>
        <v>0.20499264011289914</v>
      </c>
      <c r="J13">
        <v>0</v>
      </c>
      <c r="K13">
        <f>(1/($C$9*SQRT(2*PI())))*EXP(-POWER((J13-$C$8),2)/(2*POWER($C$9,2)))</f>
        <v>0.25468613226083553</v>
      </c>
    </row>
    <row r="14" spans="1:11">
      <c r="A14">
        <v>0.1</v>
      </c>
      <c r="B14">
        <f t="shared" ref="B14:B63" si="0">(1/($E$3*SQRT(2*PI())))*EXP(-POWER((A14-$D$3),2)/(2*POWER($E$3,2)))</f>
        <v>2.0292144777432253E-3</v>
      </c>
      <c r="D14">
        <v>0.1</v>
      </c>
      <c r="E14">
        <f t="shared" ref="E14:E63" si="1">(1/($E$4*SQRT(2*PI())))*EXP(-POWER((D14-$D$4),2)/(2*POWER($E$4,2)))</f>
        <v>1.3403983319882488E-3</v>
      </c>
      <c r="G14">
        <v>0.1</v>
      </c>
      <c r="H14">
        <f t="shared" ref="H14:H63" si="2">(1/($D$9*SQRT(2*PI())))*EXP(-POWER((G14-$D$8),2)/(2*POWER($D$9,2)))</f>
        <v>0.21784370822356089</v>
      </c>
      <c r="J14">
        <v>0.1</v>
      </c>
      <c r="K14">
        <f t="shared" ref="K14:K63" si="3">(1/($C$9*SQRT(2*PI())))*EXP(-POWER((J14-$C$8),2)/(2*POWER($C$9,2)))</f>
        <v>0.26417377701829692</v>
      </c>
    </row>
    <row r="15" spans="1:11">
      <c r="A15">
        <v>0.2</v>
      </c>
      <c r="B15">
        <f t="shared" si="0"/>
        <v>2.7638331255623589E-3</v>
      </c>
      <c r="D15">
        <v>0.2</v>
      </c>
      <c r="E15">
        <f t="shared" si="1"/>
        <v>1.7987535799779298E-3</v>
      </c>
      <c r="G15">
        <v>0.2</v>
      </c>
      <c r="H15">
        <f t="shared" si="2"/>
        <v>0.2302302552302386</v>
      </c>
      <c r="J15">
        <v>0.2</v>
      </c>
      <c r="K15">
        <f t="shared" si="3"/>
        <v>0.27253411106622233</v>
      </c>
    </row>
    <row r="16" spans="1:11">
      <c r="A16">
        <v>0.3</v>
      </c>
      <c r="B16">
        <f t="shared" si="0"/>
        <v>3.7292849556908206E-3</v>
      </c>
      <c r="D16">
        <v>0.3</v>
      </c>
      <c r="E16">
        <f t="shared" si="1"/>
        <v>2.3947063075391737E-3</v>
      </c>
      <c r="G16">
        <v>0.3</v>
      </c>
      <c r="H16">
        <f t="shared" si="2"/>
        <v>0.24198608327970683</v>
      </c>
      <c r="J16">
        <v>0.3</v>
      </c>
      <c r="K16">
        <f t="shared" si="3"/>
        <v>0.27963967180300131</v>
      </c>
    </row>
    <row r="17" spans="1:11">
      <c r="A17">
        <v>0.4</v>
      </c>
      <c r="B17">
        <f t="shared" si="0"/>
        <v>4.9850464188605885E-3</v>
      </c>
      <c r="D17">
        <v>0.4</v>
      </c>
      <c r="E17">
        <f t="shared" si="1"/>
        <v>3.1628284680395562E-3</v>
      </c>
      <c r="G17">
        <v>0.4</v>
      </c>
      <c r="H17">
        <f t="shared" si="2"/>
        <v>0.25294669366871148</v>
      </c>
      <c r="J17">
        <v>0.4</v>
      </c>
      <c r="K17">
        <f t="shared" si="3"/>
        <v>0.28537994803251854</v>
      </c>
    </row>
    <row r="18" spans="1:11">
      <c r="A18">
        <v>0.5</v>
      </c>
      <c r="B18">
        <f t="shared" si="0"/>
        <v>6.6015015576252577E-3</v>
      </c>
      <c r="D18">
        <v>0.5</v>
      </c>
      <c r="E18">
        <f t="shared" si="1"/>
        <v>4.1442105731830711E-3</v>
      </c>
      <c r="G18">
        <v>0.5</v>
      </c>
      <c r="H18">
        <f t="shared" si="2"/>
        <v>0.26295306978131983</v>
      </c>
      <c r="J18">
        <v>0.5</v>
      </c>
      <c r="K18">
        <f t="shared" si="3"/>
        <v>0.28966423756117737</v>
      </c>
    </row>
    <row r="19" spans="1:11">
      <c r="A19">
        <v>0.6</v>
      </c>
      <c r="B19">
        <f t="shared" si="0"/>
        <v>8.6605632841692589E-3</v>
      </c>
      <c r="D19">
        <v>0.6</v>
      </c>
      <c r="E19">
        <f t="shared" si="1"/>
        <v>5.3870472391970127E-3</v>
      </c>
      <c r="G19">
        <v>0.6</v>
      </c>
      <c r="H19">
        <f t="shared" si="2"/>
        <v>0.27185548821238753</v>
      </c>
      <c r="J19">
        <v>0.6</v>
      </c>
      <c r="K19">
        <f t="shared" si="3"/>
        <v>0.29242403100686609</v>
      </c>
    </row>
    <row r="20" spans="1:11">
      <c r="A20">
        <v>0.7</v>
      </c>
      <c r="B20">
        <f t="shared" si="0"/>
        <v>1.1255879494639728E-2</v>
      </c>
      <c r="D20">
        <v>0.7</v>
      </c>
      <c r="E20">
        <f t="shared" si="1"/>
        <v>6.9470839598449888E-3</v>
      </c>
      <c r="G20">
        <v>0.7</v>
      </c>
      <c r="H20">
        <f t="shared" si="2"/>
        <v>0.27951723148608842</v>
      </c>
      <c r="J20">
        <v>0.7</v>
      </c>
      <c r="K20">
        <f t="shared" si="3"/>
        <v>0.29361483428704493</v>
      </c>
    </row>
    <row r="21" spans="1:11">
      <c r="A21">
        <v>0.8</v>
      </c>
      <c r="B21">
        <f t="shared" si="0"/>
        <v>1.4492476881949859E-2</v>
      </c>
      <c r="D21">
        <v>0.8</v>
      </c>
      <c r="E21">
        <f t="shared" si="1"/>
        <v>8.8878579640845369E-3</v>
      </c>
      <c r="G21">
        <v>0.8</v>
      </c>
      <c r="H21">
        <f t="shared" si="2"/>
        <v>0.28581807426856704</v>
      </c>
      <c r="J21">
        <v>0.8</v>
      </c>
      <c r="K21">
        <f t="shared" si="3"/>
        <v>0.29321736203701299</v>
      </c>
    </row>
    <row r="22" spans="1:11">
      <c r="A22">
        <v>0.9</v>
      </c>
      <c r="B22">
        <f t="shared" si="0"/>
        <v>1.8485690759870527E-2</v>
      </c>
      <c r="D22">
        <v>0.9</v>
      </c>
      <c r="E22">
        <f t="shared" si="1"/>
        <v>1.1280658649292796E-2</v>
      </c>
      <c r="G22">
        <v>0.9</v>
      </c>
      <c r="H22">
        <f t="shared" si="2"/>
        <v>0.29065741910845655</v>
      </c>
      <c r="J22">
        <v>0.9</v>
      </c>
      <c r="K22">
        <f t="shared" si="3"/>
        <v>0.29123805722535856</v>
      </c>
    </row>
    <row r="23" spans="1:11">
      <c r="A23">
        <v>1</v>
      </c>
      <c r="B23">
        <f t="shared" si="0"/>
        <v>2.335923613646625E-2</v>
      </c>
      <c r="D23">
        <v>1</v>
      </c>
      <c r="E23">
        <f t="shared" si="1"/>
        <v>1.4204128879068583E-2</v>
      </c>
      <c r="G23">
        <v>1</v>
      </c>
      <c r="H23">
        <f t="shared" si="2"/>
        <v>0.29395696751793277</v>
      </c>
      <c r="J23">
        <v>1</v>
      </c>
      <c r="K23">
        <f t="shared" si="3"/>
        <v>0.28770891740146365</v>
      </c>
    </row>
    <row r="24" spans="1:11">
      <c r="A24">
        <v>1.1000000000000001</v>
      </c>
      <c r="B24">
        <f t="shared" si="0"/>
        <v>2.9242296496175834E-2</v>
      </c>
      <c r="D24">
        <v>1.1000000000000001</v>
      </c>
      <c r="E24">
        <f t="shared" si="1"/>
        <v>1.7743428663163731E-2</v>
      </c>
      <c r="G24">
        <v>1.1000000000000001</v>
      </c>
      <c r="H24">
        <f t="shared" si="2"/>
        <v>0.295662827317069</v>
      </c>
      <c r="J24">
        <v>1.1000000000000001</v>
      </c>
      <c r="K24">
        <f t="shared" si="3"/>
        <v>0.28268663412326384</v>
      </c>
    </row>
    <row r="25" spans="1:11">
      <c r="A25">
        <v>1.2</v>
      </c>
      <c r="B25">
        <f t="shared" si="0"/>
        <v>3.626554442141542E-2</v>
      </c>
      <c r="D25">
        <v>1.2</v>
      </c>
      <c r="E25">
        <f t="shared" si="1"/>
        <v>2.1988888629601286E-2</v>
      </c>
      <c r="G25">
        <v>1.2</v>
      </c>
      <c r="H25">
        <f t="shared" si="2"/>
        <v>0.29574697698910585</v>
      </c>
      <c r="J25">
        <v>1.2</v>
      </c>
      <c r="K25">
        <f t="shared" si="3"/>
        <v>0.27625107791007741</v>
      </c>
    </row>
    <row r="26" spans="1:11">
      <c r="A26">
        <v>1.3</v>
      </c>
      <c r="B26">
        <f t="shared" si="0"/>
        <v>4.4556063350976019E-2</v>
      </c>
      <c r="D26">
        <v>1.3</v>
      </c>
      <c r="E26">
        <f t="shared" si="1"/>
        <v>2.7034093327216662E-2</v>
      </c>
      <c r="G26">
        <v>1.3</v>
      </c>
      <c r="H26">
        <f t="shared" si="2"/>
        <v>0.29420803144382845</v>
      </c>
      <c r="J26">
        <v>1.3</v>
      </c>
      <c r="K26">
        <f t="shared" si="3"/>
        <v>0.26850318530170936</v>
      </c>
    </row>
    <row r="27" spans="1:11">
      <c r="A27">
        <v>1.4</v>
      </c>
      <c r="B27">
        <f t="shared" si="0"/>
        <v>5.4231211938978639E-2</v>
      </c>
      <c r="D27">
        <v>1.4</v>
      </c>
      <c r="E27">
        <f t="shared" si="1"/>
        <v>3.2973354522137219E-2</v>
      </c>
      <c r="G27">
        <v>1.4</v>
      </c>
      <c r="H27">
        <f t="shared" si="2"/>
        <v>0.29107127994534893</v>
      </c>
      <c r="J27">
        <v>1.4</v>
      </c>
      <c r="K27">
        <f t="shared" si="3"/>
        <v>0.25956232612952751</v>
      </c>
    </row>
    <row r="28" spans="1:11">
      <c r="A28">
        <v>1.5</v>
      </c>
      <c r="B28">
        <f t="shared" si="0"/>
        <v>6.5391559256389259E-2</v>
      </c>
      <c r="D28">
        <v>1.5</v>
      </c>
      <c r="E28">
        <f t="shared" si="1"/>
        <v>3.989856256998283E-2</v>
      </c>
      <c r="G28">
        <v>1.5</v>
      </c>
      <c r="H28">
        <f t="shared" si="2"/>
        <v>0.28638799475294774</v>
      </c>
      <c r="J28">
        <v>1.5</v>
      </c>
      <c r="K28">
        <f t="shared" si="3"/>
        <v>0.24956324692469423</v>
      </c>
    </row>
    <row r="29" spans="1:11">
      <c r="A29">
        <v>1.6</v>
      </c>
      <c r="B29">
        <f t="shared" si="0"/>
        <v>7.8113115973286851E-2</v>
      </c>
      <c r="D29">
        <v>1.6</v>
      </c>
      <c r="E29">
        <f t="shared" si="1"/>
        <v>4.7895439341195702E-2</v>
      </c>
      <c r="G29">
        <v>1.6</v>
      </c>
      <c r="H29">
        <f t="shared" si="2"/>
        <v>0.28023403688726212</v>
      </c>
      <c r="J29">
        <v>1.6</v>
      </c>
      <c r="K29">
        <f t="shared" si="3"/>
        <v>0.23865269972451156</v>
      </c>
    </row>
    <row r="30" spans="1:11">
      <c r="A30">
        <v>1.7</v>
      </c>
      <c r="B30">
        <f t="shared" si="0"/>
        <v>9.2439187070435927E-2</v>
      </c>
      <c r="D30">
        <v>1.7</v>
      </c>
      <c r="E30">
        <f t="shared" si="1"/>
        <v>5.7039258005024185E-2</v>
      </c>
      <c r="G30">
        <v>1.7</v>
      </c>
      <c r="H30">
        <f t="shared" si="2"/>
        <v>0.27270781200276573</v>
      </c>
      <c r="J30">
        <v>1.7</v>
      </c>
      <c r="K30">
        <f t="shared" si="3"/>
        <v>0.22698587386675825</v>
      </c>
    </row>
    <row r="31" spans="1:11">
      <c r="A31">
        <v>1.8</v>
      </c>
      <c r="B31">
        <f t="shared" si="0"/>
        <v>0.10837226709330165</v>
      </c>
      <c r="D31">
        <v>1.8</v>
      </c>
      <c r="E31">
        <f t="shared" si="1"/>
        <v>6.7390141394876979E-2</v>
      </c>
      <c r="G31">
        <v>1.8</v>
      </c>
      <c r="H31">
        <f t="shared" si="2"/>
        <v>0.26392765333238699</v>
      </c>
      <c r="J31">
        <v>1.8</v>
      </c>
      <c r="K31">
        <f t="shared" si="3"/>
        <v>0.21472275144042147</v>
      </c>
    </row>
    <row r="32" spans="1:11">
      <c r="A32">
        <v>1.9</v>
      </c>
      <c r="B32">
        <f t="shared" si="0"/>
        <v>0.12586647970268935</v>
      </c>
      <c r="D32">
        <v>1.9</v>
      </c>
      <c r="E32">
        <f t="shared" si="1"/>
        <v>7.8988099040298618E-2</v>
      </c>
      <c r="G32">
        <v>1.9</v>
      </c>
      <c r="H32">
        <f t="shared" si="2"/>
        <v>0.25402872893619094</v>
      </c>
      <c r="J32">
        <v>1.9</v>
      </c>
      <c r="K32">
        <f t="shared" si="3"/>
        <v>0.20202450493098709</v>
      </c>
    </row>
    <row r="33" spans="1:11">
      <c r="A33">
        <v>2</v>
      </c>
      <c r="B33">
        <f t="shared" si="0"/>
        <v>0.14482111901261921</v>
      </c>
      <c r="D33">
        <v>2</v>
      </c>
      <c r="E33">
        <f t="shared" si="1"/>
        <v>9.1848009895600977E-2</v>
      </c>
      <c r="G33">
        <v>2</v>
      </c>
      <c r="H33">
        <f t="shared" si="2"/>
        <v>0.24315958611743432</v>
      </c>
      <c r="J33">
        <v>2</v>
      </c>
      <c r="K33">
        <f t="shared" si="3"/>
        <v>0.18905004857368682</v>
      </c>
    </row>
    <row r="34" spans="1:11">
      <c r="A34">
        <v>2.1</v>
      </c>
      <c r="B34">
        <f t="shared" si="0"/>
        <v>0.16507587119489298</v>
      </c>
      <c r="D34">
        <v>2.1</v>
      </c>
      <c r="E34">
        <f t="shared" si="1"/>
        <v>0.10595479941195719</v>
      </c>
      <c r="G34">
        <v>2.1</v>
      </c>
      <c r="H34">
        <f t="shared" si="2"/>
        <v>0.23147845621957205</v>
      </c>
      <c r="J34">
        <v>2.1</v>
      </c>
      <c r="K34">
        <f t="shared" si="3"/>
        <v>0.17595284356631788</v>
      </c>
    </row>
    <row r="35" spans="1:11">
      <c r="A35">
        <v>2.2000000000000002</v>
      </c>
      <c r="B35">
        <f t="shared" si="0"/>
        <v>0.18640827304327462</v>
      </c>
      <c r="D35">
        <v>2.2000000000000002</v>
      </c>
      <c r="E35">
        <f t="shared" si="1"/>
        <v>0.12125909169393782</v>
      </c>
      <c r="G35">
        <v>2.2000000000000002</v>
      </c>
      <c r="H35">
        <f t="shared" si="2"/>
        <v>0.21914944774169276</v>
      </c>
      <c r="J35">
        <v>2.2000000000000002</v>
      </c>
      <c r="K35">
        <f t="shared" si="3"/>
        <v>0.16287804235190059</v>
      </c>
    </row>
    <row r="36" spans="1:11">
      <c r="A36">
        <v>2.2999999999999998</v>
      </c>
      <c r="B36">
        <f t="shared" si="0"/>
        <v>0.20853389450053117</v>
      </c>
      <c r="D36">
        <v>2.2999999999999998</v>
      </c>
      <c r="E36">
        <f t="shared" si="1"/>
        <v>0.13767363591578979</v>
      </c>
      <c r="G36">
        <v>2.2999999999999998</v>
      </c>
      <c r="H36">
        <f t="shared" si="2"/>
        <v>0.20633875477488275</v>
      </c>
      <c r="J36">
        <v>2.2999999999999998</v>
      </c>
      <c r="K36">
        <f t="shared" si="3"/>
        <v>0.1499600395641614</v>
      </c>
    </row>
    <row r="37" spans="1:11">
      <c r="A37">
        <v>2.4</v>
      </c>
      <c r="B37">
        <f t="shared" si="0"/>
        <v>0.23110961337163236</v>
      </c>
      <c r="D37">
        <v>2.4</v>
      </c>
      <c r="E37">
        <f t="shared" si="1"/>
        <v>0.15507080726468708</v>
      </c>
      <c r="G37">
        <v>2.4</v>
      </c>
      <c r="H37">
        <f t="shared" si="2"/>
        <v>0.19321100143941281</v>
      </c>
      <c r="J37">
        <v>2.4</v>
      </c>
      <c r="K37">
        <f t="shared" si="3"/>
        <v>0.13732047792540009</v>
      </c>
    </row>
    <row r="38" spans="1:11">
      <c r="A38">
        <v>2.5</v>
      </c>
      <c r="B38">
        <f t="shared" si="0"/>
        <v>0.2537401860680587</v>
      </c>
      <c r="D38">
        <v>2.5</v>
      </c>
      <c r="E38">
        <f t="shared" si="1"/>
        <v>0.17328146361869787</v>
      </c>
      <c r="G38">
        <v>2.5</v>
      </c>
      <c r="H38">
        <f t="shared" si="2"/>
        <v>0.17992583183940619</v>
      </c>
      <c r="J38">
        <v>2.5</v>
      </c>
      <c r="K38">
        <f t="shared" si="3"/>
        <v>0.12506673741080476</v>
      </c>
    </row>
    <row r="39" spans="1:11">
      <c r="A39">
        <v>2.6</v>
      </c>
      <c r="B39">
        <f t="shared" si="0"/>
        <v>0.2759881167170703</v>
      </c>
      <c r="D39">
        <v>2.6</v>
      </c>
      <c r="E39">
        <f t="shared" si="1"/>
        <v>0.19209539841877632</v>
      </c>
      <c r="G39">
        <v>2.6</v>
      </c>
      <c r="H39">
        <f t="shared" si="2"/>
        <v>0.16663483982601981</v>
      </c>
      <c r="J39">
        <v>2.6</v>
      </c>
      <c r="K39">
        <f t="shared" si="3"/>
        <v>0.11329091632465385</v>
      </c>
    </row>
    <row r="40" spans="1:11">
      <c r="A40">
        <v>2.7</v>
      </c>
      <c r="B40">
        <f t="shared" si="0"/>
        <v>0.29738660151518909</v>
      </c>
      <c r="D40">
        <v>2.7</v>
      </c>
      <c r="E40">
        <f t="shared" si="1"/>
        <v>0.2112635678207595</v>
      </c>
      <c r="G40">
        <v>2.7</v>
      </c>
      <c r="H40">
        <f t="shared" si="2"/>
        <v>0.15347891452457821</v>
      </c>
      <c r="J40">
        <v>2.7</v>
      </c>
      <c r="K40">
        <f t="shared" si="3"/>
        <v>0.10206929446275337</v>
      </c>
    </row>
    <row r="41" spans="1:11">
      <c r="A41">
        <v>2.8</v>
      </c>
      <c r="B41">
        <f t="shared" si="0"/>
        <v>0.31745509288406615</v>
      </c>
      <c r="D41">
        <v>2.8</v>
      </c>
      <c r="E41">
        <f t="shared" si="1"/>
        <v>0.23050218809727083</v>
      </c>
      <c r="G41">
        <v>2.8</v>
      </c>
      <c r="H41">
        <f t="shared" si="2"/>
        <v>0.14058605719702763</v>
      </c>
      <c r="J41">
        <v>2.8</v>
      </c>
      <c r="K41">
        <f t="shared" si="3"/>
        <v>9.1462252020519261E-2</v>
      </c>
    </row>
    <row r="42" spans="1:11">
      <c r="A42">
        <v>2.9</v>
      </c>
      <c r="B42">
        <f t="shared" si="0"/>
        <v>0.33571680837647522</v>
      </c>
      <c r="D42">
        <v>2.9</v>
      </c>
      <c r="E42">
        <f t="shared" si="1"/>
        <v>0.24949870116418071</v>
      </c>
      <c r="G42">
        <v>2.9</v>
      </c>
      <c r="H42">
        <f t="shared" si="2"/>
        <v>0.12806970368081244</v>
      </c>
      <c r="J42">
        <v>2.9</v>
      </c>
      <c r="K42">
        <f t="shared" si="3"/>
        <v>8.1514603941754221E-2</v>
      </c>
    </row>
    <row r="43" spans="1:11">
      <c r="A43">
        <v>3</v>
      </c>
      <c r="B43">
        <f t="shared" si="0"/>
        <v>0.35171732263097338</v>
      </c>
      <c r="D43">
        <v>3</v>
      </c>
      <c r="E43">
        <f t="shared" si="1"/>
        <v>0.26791949756064115</v>
      </c>
      <c r="G43">
        <v>3</v>
      </c>
      <c r="H43">
        <f t="shared" si="2"/>
        <v>0.11602756544544779</v>
      </c>
      <c r="J43">
        <v>3</v>
      </c>
      <c r="K43">
        <f t="shared" si="3"/>
        <v>7.2256298400275906E-2</v>
      </c>
    </row>
    <row r="44" spans="1:11">
      <c r="A44">
        <v>3.1</v>
      </c>
      <c r="B44">
        <f t="shared" si="0"/>
        <v>0.36504324582821773</v>
      </c>
      <c r="D44">
        <v>3.1</v>
      </c>
      <c r="E44">
        <f t="shared" si="1"/>
        <v>0.28541917420449586</v>
      </c>
      <c r="G44">
        <v>3.1</v>
      </c>
      <c r="H44">
        <f t="shared" si="2"/>
        <v>0.1045409822292425</v>
      </c>
      <c r="J44">
        <v>3.1</v>
      </c>
      <c r="K44">
        <f t="shared" si="3"/>
        <v>6.3703420286100668E-2</v>
      </c>
    </row>
    <row r="45" spans="1:11">
      <c r="A45">
        <v>3.2</v>
      </c>
      <c r="B45">
        <f t="shared" si="0"/>
        <v>0.37533992439384029</v>
      </c>
      <c r="D45">
        <v>3.2</v>
      </c>
      <c r="E45">
        <f t="shared" si="1"/>
        <v>0.3016509967424375</v>
      </c>
      <c r="G45">
        <v>3.2</v>
      </c>
      <c r="H45">
        <f t="shared" si="2"/>
        <v>9.3674761114908439E-2</v>
      </c>
      <c r="J45">
        <v>3.2</v>
      </c>
      <c r="K45">
        <f t="shared" si="3"/>
        <v>5.5859435966813926E-2</v>
      </c>
    </row>
    <row r="46" spans="1:11">
      <c r="A46">
        <v>3.3</v>
      </c>
      <c r="B46">
        <f t="shared" si="0"/>
        <v>0.38232710908742218</v>
      </c>
      <c r="D46">
        <v>3.3</v>
      </c>
      <c r="E46">
        <f t="shared" si="1"/>
        <v>0.31627814163402806</v>
      </c>
      <c r="G46">
        <v>3.3</v>
      </c>
      <c r="H46">
        <f t="shared" si="2"/>
        <v>8.3477461453743851E-2</v>
      </c>
      <c r="J46">
        <v>3.3</v>
      </c>
      <c r="K46">
        <f t="shared" si="3"/>
        <v>4.8716614082474685E-2</v>
      </c>
    </row>
    <row r="47" spans="1:11">
      <c r="A47">
        <v>3.4</v>
      </c>
      <c r="B47">
        <f t="shared" si="0"/>
        <v>0.38581162533853669</v>
      </c>
      <c r="D47">
        <v>3.4</v>
      </c>
      <c r="E47">
        <f t="shared" si="1"/>
        <v>0.32898521920145657</v>
      </c>
      <c r="G47">
        <v>3.4</v>
      </c>
      <c r="H47">
        <f t="shared" si="2"/>
        <v>7.3982072734904036E-2</v>
      </c>
      <c r="J47">
        <v>3.4</v>
      </c>
      <c r="K47">
        <f t="shared" si="3"/>
        <v>4.2257558435822795E-2</v>
      </c>
    </row>
    <row r="48" spans="1:11">
      <c r="A48">
        <v>3.5</v>
      </c>
      <c r="B48">
        <f t="shared" si="0"/>
        <v>0.3856962465356592</v>
      </c>
      <c r="D48">
        <v>3.5</v>
      </c>
      <c r="E48">
        <f t="shared" si="1"/>
        <v>0.33948953258659048</v>
      </c>
      <c r="G48">
        <v>3.5</v>
      </c>
      <c r="H48">
        <f t="shared" si="2"/>
        <v>6.5207023592366797E-2</v>
      </c>
      <c r="J48">
        <v>3.5</v>
      </c>
      <c r="K48">
        <f t="shared" si="3"/>
        <v>3.6456792774063426E-2</v>
      </c>
    </row>
    <row r="49" spans="1:11">
      <c r="A49">
        <v>3.6</v>
      </c>
      <c r="B49">
        <f t="shared" si="0"/>
        <v>0.38198420143091427</v>
      </c>
      <c r="D49">
        <v>3.6</v>
      </c>
      <c r="E49">
        <f t="shared" si="1"/>
        <v>0.347551513933617</v>
      </c>
      <c r="G49">
        <v>3.6</v>
      </c>
      <c r="H49">
        <f t="shared" si="2"/>
        <v>5.7157454717549121E-2</v>
      </c>
      <c r="J49">
        <v>3.6</v>
      </c>
      <c r="K49">
        <f t="shared" si="3"/>
        <v>3.1282342962169377E-2</v>
      </c>
    </row>
    <row r="50" spans="1:11">
      <c r="A50">
        <v>3.7</v>
      </c>
      <c r="B50">
        <f t="shared" si="0"/>
        <v>0.37477902401969249</v>
      </c>
      <c r="D50">
        <v>3.7</v>
      </c>
      <c r="E50">
        <f t="shared" si="1"/>
        <v>0.35298380085836611</v>
      </c>
      <c r="G50">
        <v>3.7</v>
      </c>
      <c r="H50">
        <f t="shared" si="2"/>
        <v>4.9826686383275781E-2</v>
      </c>
      <c r="J50">
        <v>3.7</v>
      </c>
      <c r="K50">
        <f t="shared" si="3"/>
        <v>2.669726921611152E-2</v>
      </c>
    </row>
    <row r="51" spans="1:11">
      <c r="A51">
        <v>3.8</v>
      </c>
      <c r="B51">
        <f t="shared" si="0"/>
        <v>0.364279755636567</v>
      </c>
      <c r="D51">
        <v>3.8</v>
      </c>
      <c r="E51">
        <f t="shared" si="1"/>
        <v>0.35565847336037681</v>
      </c>
      <c r="G51">
        <v>3.8</v>
      </c>
      <c r="H51">
        <f t="shared" si="2"/>
        <v>4.3197812307648943E-2</v>
      </c>
      <c r="J51">
        <v>3.8</v>
      </c>
      <c r="K51">
        <f t="shared" si="3"/>
        <v>2.2661109184054038E-2</v>
      </c>
    </row>
    <row r="52" spans="1:11">
      <c r="A52">
        <v>3.9</v>
      </c>
      <c r="B52">
        <f t="shared" si="0"/>
        <v>0.35077180958111848</v>
      </c>
      <c r="D52">
        <v>3.9</v>
      </c>
      <c r="E52">
        <f t="shared" si="1"/>
        <v>0.35551206093604915</v>
      </c>
      <c r="G52">
        <v>3.9</v>
      </c>
      <c r="H52">
        <f t="shared" si="2"/>
        <v>3.7245355290018614E-2</v>
      </c>
      <c r="J52">
        <v>3.9</v>
      </c>
      <c r="K52">
        <f t="shared" si="3"/>
        <v>1.9131201240905622E-2</v>
      </c>
    </row>
    <row r="53" spans="1:11">
      <c r="A53">
        <v>4</v>
      </c>
      <c r="B53">
        <f t="shared" si="0"/>
        <v>0.33461408343478799</v>
      </c>
      <c r="D53">
        <v>4</v>
      </c>
      <c r="E53">
        <f t="shared" si="1"/>
        <v>0.35254804623335256</v>
      </c>
      <c r="G53">
        <v>4</v>
      </c>
      <c r="H53">
        <f t="shared" si="2"/>
        <v>3.1936925941899896E-2</v>
      </c>
      <c r="J53">
        <v>4</v>
      </c>
      <c r="K53">
        <f t="shared" si="3"/>
        <v>1.6063865947870917E-2</v>
      </c>
    </row>
    <row r="54" spans="1:11">
      <c r="A54">
        <v>4.0999999999999996</v>
      </c>
      <c r="B54">
        <f t="shared" si="0"/>
        <v>0.31622313103668853</v>
      </c>
      <c r="D54">
        <v>4.0999999999999996</v>
      </c>
      <c r="E54">
        <f t="shared" si="1"/>
        <v>0.34683672734970333</v>
      </c>
      <c r="G54">
        <v>4.0999999999999996</v>
      </c>
      <c r="H54">
        <f t="shared" si="2"/>
        <v>2.723483336850293E-2</v>
      </c>
      <c r="J54">
        <v>4.0999999999999996</v>
      </c>
      <c r="K54">
        <f t="shared" si="3"/>
        <v>1.341543183796322E-2</v>
      </c>
    </row>
    <row r="55" spans="1:11">
      <c r="A55">
        <v>4.2</v>
      </c>
      <c r="B55">
        <f t="shared" si="0"/>
        <v>0.29605536734184035</v>
      </c>
      <c r="D55">
        <v>4.2</v>
      </c>
      <c r="E55">
        <f t="shared" si="1"/>
        <v>0.33851244637543743</v>
      </c>
      <c r="G55">
        <v>4.2</v>
      </c>
      <c r="H55">
        <f t="shared" si="2"/>
        <v>2.3097605272669849E-2</v>
      </c>
      <c r="J55">
        <v>4.2</v>
      </c>
      <c r="K55">
        <f t="shared" si="3"/>
        <v>1.1143099210022439E-2</v>
      </c>
    </row>
    <row r="56" spans="1:11">
      <c r="A56">
        <v>4.3</v>
      </c>
      <c r="B56">
        <f t="shared" si="0"/>
        <v>0.27458836402521275</v>
      </c>
      <c r="D56">
        <v>4.3</v>
      </c>
      <c r="E56">
        <f t="shared" si="1"/>
        <v>0.32776833674789563</v>
      </c>
      <c r="G56">
        <v>4.3</v>
      </c>
      <c r="H56">
        <f t="shared" si="2"/>
        <v>1.9481384112581063E-2</v>
      </c>
      <c r="J56">
        <v>4.3</v>
      </c>
      <c r="K56">
        <f t="shared" si="3"/>
        <v>9.205642217682419E-3</v>
      </c>
    </row>
    <row r="57" spans="1:11">
      <c r="A57">
        <v>4.4000000000000004</v>
      </c>
      <c r="B57">
        <f t="shared" si="0"/>
        <v>0.25230229799525256</v>
      </c>
      <c r="D57">
        <v>4.4000000000000004</v>
      </c>
      <c r="E57">
        <f t="shared" si="1"/>
        <v>0.31484887617405616</v>
      </c>
      <c r="G57">
        <v>4.4000000000000004</v>
      </c>
      <c r="H57">
        <f t="shared" si="2"/>
        <v>1.6341175154272782E-2</v>
      </c>
      <c r="J57">
        <v>4.4000000000000004</v>
      </c>
      <c r="K57">
        <f t="shared" si="3"/>
        <v>7.5639550770025777E-3</v>
      </c>
    </row>
    <row r="58" spans="1:11">
      <c r="A58">
        <v>4.5</v>
      </c>
      <c r="B58">
        <f t="shared" si="0"/>
        <v>0.2296625426242048</v>
      </c>
      <c r="D58">
        <v>4.5</v>
      </c>
      <c r="E58">
        <f t="shared" si="1"/>
        <v>0.30004064599818991</v>
      </c>
      <c r="G58">
        <v>4.5</v>
      </c>
      <c r="H58">
        <f t="shared" si="2"/>
        <v>1.3631931093965965E-2</v>
      </c>
      <c r="J58">
        <v>4.5</v>
      </c>
      <c r="K58">
        <f t="shared" si="3"/>
        <v>6.1814526145062207E-3</v>
      </c>
    </row>
    <row r="59" spans="1:11">
      <c r="A59">
        <v>4.5999999999999996</v>
      </c>
      <c r="B59">
        <f t="shared" si="0"/>
        <v>0.20710425284472125</v>
      </c>
      <c r="D59">
        <v>4.5999999999999996</v>
      </c>
      <c r="E59">
        <f t="shared" si="1"/>
        <v>0.28366178434348743</v>
      </c>
      <c r="G59">
        <v>4.5999999999999996</v>
      </c>
      <c r="H59">
        <f t="shared" si="2"/>
        <v>1.1309466038959572E-2</v>
      </c>
      <c r="J59">
        <v>4.5999999999999996</v>
      </c>
      <c r="K59">
        <f t="shared" si="3"/>
        <v>5.0243386314359068E-3</v>
      </c>
    </row>
    <row r="60" spans="1:11">
      <c r="A60">
        <v>4.7</v>
      </c>
      <c r="B60">
        <f t="shared" si="0"/>
        <v>0.18501960592026656</v>
      </c>
      <c r="D60">
        <v>4.7</v>
      </c>
      <c r="E60">
        <f t="shared" si="1"/>
        <v>0.26605067387838616</v>
      </c>
      <c r="G60">
        <v>4.7</v>
      </c>
      <c r="H60">
        <f t="shared" si="2"/>
        <v>9.3311987732245614E-3</v>
      </c>
      <c r="J60">
        <v>4.7</v>
      </c>
      <c r="K60">
        <f t="shared" si="3"/>
        <v>4.0617577222943572E-3</v>
      </c>
    </row>
    <row r="61" spans="1:11">
      <c r="A61">
        <v>4.8</v>
      </c>
      <c r="B61">
        <f t="shared" si="0"/>
        <v>0.16374813866681032</v>
      </c>
      <c r="D61">
        <v>4.8</v>
      </c>
      <c r="E61">
        <f t="shared" si="1"/>
        <v>0.24755442309508555</v>
      </c>
      <c r="G61">
        <v>4.8</v>
      </c>
      <c r="H61">
        <f t="shared" si="2"/>
        <v>7.656731227551462E-3</v>
      </c>
      <c r="J61">
        <v>4.8</v>
      </c>
      <c r="K61">
        <f t="shared" si="3"/>
        <v>3.2658473526708991E-3</v>
      </c>
    </row>
    <row r="62" spans="1:11">
      <c r="A62">
        <v>4.9000000000000004</v>
      </c>
      <c r="B62">
        <f t="shared" si="0"/>
        <v>0.14357038945346046</v>
      </c>
      <c r="D62">
        <v>4.9000000000000004</v>
      </c>
      <c r="E62">
        <f t="shared" si="1"/>
        <v>0.22851768281617735</v>
      </c>
      <c r="G62">
        <v>4.9000000000000004</v>
      </c>
      <c r="H62">
        <f t="shared" si="2"/>
        <v>6.2482728408906956E-3</v>
      </c>
      <c r="J62">
        <v>4.9000000000000004</v>
      </c>
      <c r="K62">
        <f t="shared" si="3"/>
        <v>2.611707300834939E-3</v>
      </c>
    </row>
    <row r="63" spans="1:11">
      <c r="A63">
        <v>5</v>
      </c>
      <c r="B63">
        <f t="shared" si="0"/>
        <v>0.12470482890835372</v>
      </c>
      <c r="D63">
        <v>5</v>
      </c>
      <c r="E63">
        <f t="shared" si="1"/>
        <v>0.20927229022822672</v>
      </c>
      <c r="G63">
        <v>5</v>
      </c>
      <c r="H63">
        <f t="shared" si="2"/>
        <v>5.0709250310341228E-3</v>
      </c>
      <c r="J63">
        <v>5</v>
      </c>
      <c r="K63">
        <f t="shared" si="3"/>
        <v>2.0773031463887605E-3</v>
      </c>
    </row>
  </sheetData>
  <mergeCells count="6">
    <mergeCell ref="J12:K12"/>
    <mergeCell ref="A1:E1"/>
    <mergeCell ref="A6:D6"/>
    <mergeCell ref="A12:B12"/>
    <mergeCell ref="D12:E12"/>
    <mergeCell ref="G12:H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N166"/>
  <sheetViews>
    <sheetView topLeftCell="A122" workbookViewId="0">
      <selection activeCell="E37" sqref="E37"/>
    </sheetView>
  </sheetViews>
  <sheetFormatPr defaultColWidth="16.7109375" defaultRowHeight="15"/>
  <cols>
    <col min="1" max="16384" width="16.7109375" style="1"/>
  </cols>
  <sheetData>
    <row r="1" spans="1:14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20</v>
      </c>
      <c r="H1" s="1" t="s">
        <v>33</v>
      </c>
      <c r="I1" s="1" t="s">
        <v>34</v>
      </c>
      <c r="J1" s="1" t="s">
        <v>35</v>
      </c>
      <c r="K1" s="1" t="s">
        <v>38</v>
      </c>
      <c r="L1" s="1" t="s">
        <v>40</v>
      </c>
      <c r="M1" s="1" t="s">
        <v>39</v>
      </c>
      <c r="N1" s="1" t="s">
        <v>41</v>
      </c>
    </row>
    <row r="2" spans="1:14">
      <c r="A2" s="2" t="s">
        <v>24</v>
      </c>
      <c r="B2" s="2" t="s">
        <v>30</v>
      </c>
      <c r="C2" s="1">
        <v>1</v>
      </c>
      <c r="D2" s="2" t="s">
        <v>16</v>
      </c>
      <c r="E2" s="1">
        <v>8</v>
      </c>
      <c r="F2" s="1" t="s">
        <v>8</v>
      </c>
      <c r="G2" s="2" t="s">
        <v>9</v>
      </c>
      <c r="H2" s="5">
        <f>IF(Table48[[#This Row],[Response]]="Yes",1,"")</f>
        <v>1</v>
      </c>
      <c r="I2" s="5" t="str">
        <f>IF(Table48[[#This Row],[Response]]="No",1,"")</f>
        <v/>
      </c>
      <c r="J2" s="5">
        <f>IF(SUM(Table48[[#This Row],[If Yes]:[If No]])=1,1,"")</f>
        <v>1</v>
      </c>
      <c r="K2" s="5" t="str">
        <f>IF(IF(Table48[[#This Row],[Pre or Post]]="Pre",1,0)+IF(Table48[[#This Row],[If Yes]]=1,1,0)=2,1,"")</f>
        <v/>
      </c>
      <c r="L2" s="5" t="str">
        <f>IF(IF(Table48[[#This Row],[Pre or Post]]="Pre",1,0)+IF(Table48[[#This Row],[If No]]=1,1,0)=2,1,"")</f>
        <v/>
      </c>
      <c r="M2" s="5">
        <f>IF(IF(Table48[[#This Row],[Pre or Post]]="Post",1,0)+IF(Table48[[#This Row],[If Yes]]=1,1,0)=2,1,"")</f>
        <v>1</v>
      </c>
      <c r="N2" s="5" t="str">
        <f>IF(IF(Table48[[#This Row],[Pre or Post]]="Post",1,0)+IF(Table48[[#This Row],[If No]]=1,1,0)=2,1,"")</f>
        <v/>
      </c>
    </row>
    <row r="3" spans="1:14">
      <c r="A3" s="2" t="s">
        <v>24</v>
      </c>
      <c r="B3" s="2" t="s">
        <v>30</v>
      </c>
      <c r="C3" s="1">
        <v>2</v>
      </c>
      <c r="D3" s="2" t="s">
        <v>16</v>
      </c>
      <c r="E3" s="1">
        <v>8</v>
      </c>
      <c r="F3" s="1" t="s">
        <v>8</v>
      </c>
      <c r="G3" s="2" t="s">
        <v>9</v>
      </c>
      <c r="H3" s="5">
        <f>IF(Table48[[#This Row],[Response]]="Yes",1,"")</f>
        <v>1</v>
      </c>
      <c r="I3" s="5" t="str">
        <f>IF(Table48[[#This Row],[Response]]="No",1,"")</f>
        <v/>
      </c>
      <c r="J3" s="5">
        <f>IF(SUM(Table48[[#This Row],[If Yes]:[If No]])=1,1,"")</f>
        <v>1</v>
      </c>
      <c r="K3" s="5" t="str">
        <f>IF(IF(Table48[[#This Row],[Pre or Post]]="Pre",1,0)+IF(Table48[[#This Row],[If Yes]]=1,1,0)=2,1,"")</f>
        <v/>
      </c>
      <c r="L3" s="5" t="str">
        <f>IF(IF(Table48[[#This Row],[Pre or Post]]="Pre",1,0)+IF(Table48[[#This Row],[If No]]=1,1,0)=2,1,"")</f>
        <v/>
      </c>
      <c r="M3" s="5">
        <f>IF(IF(Table48[[#This Row],[Pre or Post]]="Post",1,0)+IF(Table48[[#This Row],[If Yes]]=1,1,0)=2,1,"")</f>
        <v>1</v>
      </c>
      <c r="N3" s="5" t="str">
        <f>IF(IF(Table48[[#This Row],[Pre or Post]]="Post",1,0)+IF(Table48[[#This Row],[If No]]=1,1,0)=2,1,"")</f>
        <v/>
      </c>
    </row>
    <row r="4" spans="1:14">
      <c r="A4" s="2" t="s">
        <v>24</v>
      </c>
      <c r="B4" s="2" t="s">
        <v>30</v>
      </c>
      <c r="C4" s="1">
        <v>3</v>
      </c>
      <c r="D4" s="2" t="s">
        <v>16</v>
      </c>
      <c r="E4" s="1">
        <v>8</v>
      </c>
      <c r="F4" s="1" t="s">
        <v>8</v>
      </c>
      <c r="G4" s="2" t="s">
        <v>9</v>
      </c>
      <c r="H4" s="5">
        <f>IF(Table48[[#This Row],[Response]]="Yes",1,"")</f>
        <v>1</v>
      </c>
      <c r="I4" s="5" t="str">
        <f>IF(Table48[[#This Row],[Response]]="No",1,"")</f>
        <v/>
      </c>
      <c r="J4" s="5">
        <f>IF(SUM(Table48[[#This Row],[If Yes]:[If No]])=1,1,"")</f>
        <v>1</v>
      </c>
      <c r="K4" s="5" t="str">
        <f>IF(IF(Table48[[#This Row],[Pre or Post]]="Pre",1,0)+IF(Table48[[#This Row],[If Yes]]=1,1,0)=2,1,"")</f>
        <v/>
      </c>
      <c r="L4" s="5" t="str">
        <f>IF(IF(Table48[[#This Row],[Pre or Post]]="Pre",1,0)+IF(Table48[[#This Row],[If No]]=1,1,0)=2,1,"")</f>
        <v/>
      </c>
      <c r="M4" s="5">
        <f>IF(IF(Table48[[#This Row],[Pre or Post]]="Post",1,0)+IF(Table48[[#This Row],[If Yes]]=1,1,0)=2,1,"")</f>
        <v>1</v>
      </c>
      <c r="N4" s="5" t="str">
        <f>IF(IF(Table48[[#This Row],[Pre or Post]]="Post",1,0)+IF(Table48[[#This Row],[If No]]=1,1,0)=2,1,"")</f>
        <v/>
      </c>
    </row>
    <row r="5" spans="1:14">
      <c r="A5" s="2" t="s">
        <v>24</v>
      </c>
      <c r="B5" s="2" t="s">
        <v>30</v>
      </c>
      <c r="C5" s="1">
        <v>4</v>
      </c>
      <c r="D5" s="2" t="s">
        <v>16</v>
      </c>
      <c r="E5" s="1">
        <v>8</v>
      </c>
      <c r="F5" s="1" t="s">
        <v>8</v>
      </c>
      <c r="G5" s="2" t="s">
        <v>9</v>
      </c>
      <c r="H5" s="5">
        <f>IF(Table48[[#This Row],[Response]]="Yes",1,"")</f>
        <v>1</v>
      </c>
      <c r="I5" s="5" t="str">
        <f>IF(Table48[[#This Row],[Response]]="No",1,"")</f>
        <v/>
      </c>
      <c r="J5" s="5">
        <f>IF(SUM(Table48[[#This Row],[If Yes]:[If No]])=1,1,"")</f>
        <v>1</v>
      </c>
      <c r="K5" s="5" t="str">
        <f>IF(IF(Table48[[#This Row],[Pre or Post]]="Pre",1,0)+IF(Table48[[#This Row],[If Yes]]=1,1,0)=2,1,"")</f>
        <v/>
      </c>
      <c r="L5" s="5" t="str">
        <f>IF(IF(Table48[[#This Row],[Pre or Post]]="Pre",1,0)+IF(Table48[[#This Row],[If No]]=1,1,0)=2,1,"")</f>
        <v/>
      </c>
      <c r="M5" s="5">
        <f>IF(IF(Table48[[#This Row],[Pre or Post]]="Post",1,0)+IF(Table48[[#This Row],[If Yes]]=1,1,0)=2,1,"")</f>
        <v>1</v>
      </c>
      <c r="N5" s="5" t="str">
        <f>IF(IF(Table48[[#This Row],[Pre or Post]]="Post",1,0)+IF(Table48[[#This Row],[If No]]=1,1,0)=2,1,"")</f>
        <v/>
      </c>
    </row>
    <row r="6" spans="1:14">
      <c r="A6" s="2" t="s">
        <v>24</v>
      </c>
      <c r="B6" s="2" t="s">
        <v>30</v>
      </c>
      <c r="C6" s="1">
        <v>5</v>
      </c>
      <c r="D6" s="2" t="s">
        <v>16</v>
      </c>
      <c r="E6" s="1">
        <v>8</v>
      </c>
      <c r="F6" s="1" t="s">
        <v>8</v>
      </c>
      <c r="G6" s="2" t="s">
        <v>9</v>
      </c>
      <c r="H6" s="5">
        <f>IF(Table48[[#This Row],[Response]]="Yes",1,"")</f>
        <v>1</v>
      </c>
      <c r="I6" s="5" t="str">
        <f>IF(Table48[[#This Row],[Response]]="No",1,"")</f>
        <v/>
      </c>
      <c r="J6" s="5">
        <f>IF(SUM(Table48[[#This Row],[If Yes]:[If No]])=1,1,"")</f>
        <v>1</v>
      </c>
      <c r="K6" s="5" t="str">
        <f>IF(IF(Table48[[#This Row],[Pre or Post]]="Pre",1,0)+IF(Table48[[#This Row],[If Yes]]=1,1,0)=2,1,"")</f>
        <v/>
      </c>
      <c r="L6" s="5" t="str">
        <f>IF(IF(Table48[[#This Row],[Pre or Post]]="Pre",1,0)+IF(Table48[[#This Row],[If No]]=1,1,0)=2,1,"")</f>
        <v/>
      </c>
      <c r="M6" s="5">
        <f>IF(IF(Table48[[#This Row],[Pre or Post]]="Post",1,0)+IF(Table48[[#This Row],[If Yes]]=1,1,0)=2,1,"")</f>
        <v>1</v>
      </c>
      <c r="N6" s="5" t="str">
        <f>IF(IF(Table48[[#This Row],[Pre or Post]]="Post",1,0)+IF(Table48[[#This Row],[If No]]=1,1,0)=2,1,"")</f>
        <v/>
      </c>
    </row>
    <row r="7" spans="1:14">
      <c r="A7" s="2" t="s">
        <v>24</v>
      </c>
      <c r="B7" s="2" t="s">
        <v>30</v>
      </c>
      <c r="C7" s="1">
        <v>6</v>
      </c>
      <c r="D7" s="2" t="s">
        <v>16</v>
      </c>
      <c r="E7" s="1">
        <v>8</v>
      </c>
      <c r="F7" s="1" t="s">
        <v>8</v>
      </c>
      <c r="G7" s="2" t="s">
        <v>9</v>
      </c>
      <c r="H7" s="5">
        <f>IF(Table48[[#This Row],[Response]]="Yes",1,"")</f>
        <v>1</v>
      </c>
      <c r="I7" s="5" t="str">
        <f>IF(Table48[[#This Row],[Response]]="No",1,"")</f>
        <v/>
      </c>
      <c r="J7" s="5">
        <f>IF(SUM(Table48[[#This Row],[If Yes]:[If No]])=1,1,"")</f>
        <v>1</v>
      </c>
      <c r="K7" s="5" t="str">
        <f>IF(IF(Table48[[#This Row],[Pre or Post]]="Pre",1,0)+IF(Table48[[#This Row],[If Yes]]=1,1,0)=2,1,"")</f>
        <v/>
      </c>
      <c r="L7" s="5" t="str">
        <f>IF(IF(Table48[[#This Row],[Pre or Post]]="Pre",1,0)+IF(Table48[[#This Row],[If No]]=1,1,0)=2,1,"")</f>
        <v/>
      </c>
      <c r="M7" s="5">
        <f>IF(IF(Table48[[#This Row],[Pre or Post]]="Post",1,0)+IF(Table48[[#This Row],[If Yes]]=1,1,0)=2,1,"")</f>
        <v>1</v>
      </c>
      <c r="N7" s="5" t="str">
        <f>IF(IF(Table48[[#This Row],[Pre or Post]]="Post",1,0)+IF(Table48[[#This Row],[If No]]=1,1,0)=2,1,"")</f>
        <v/>
      </c>
    </row>
    <row r="8" spans="1:14">
      <c r="A8" s="2" t="s">
        <v>24</v>
      </c>
      <c r="B8" s="2" t="s">
        <v>30</v>
      </c>
      <c r="C8" s="1">
        <v>7</v>
      </c>
      <c r="D8" s="2" t="s">
        <v>16</v>
      </c>
      <c r="E8" s="1">
        <v>8</v>
      </c>
      <c r="F8" s="1" t="s">
        <v>8</v>
      </c>
      <c r="G8" s="2" t="s">
        <v>9</v>
      </c>
      <c r="H8" s="5">
        <f>IF(Table48[[#This Row],[Response]]="Yes",1,"")</f>
        <v>1</v>
      </c>
      <c r="I8" s="5" t="str">
        <f>IF(Table48[[#This Row],[Response]]="No",1,"")</f>
        <v/>
      </c>
      <c r="J8" s="5">
        <f>IF(SUM(Table48[[#This Row],[If Yes]:[If No]])=1,1,"")</f>
        <v>1</v>
      </c>
      <c r="K8" s="5" t="str">
        <f>IF(IF(Table48[[#This Row],[Pre or Post]]="Pre",1,0)+IF(Table48[[#This Row],[If Yes]]=1,1,0)=2,1,"")</f>
        <v/>
      </c>
      <c r="L8" s="5" t="str">
        <f>IF(IF(Table48[[#This Row],[Pre or Post]]="Pre",1,0)+IF(Table48[[#This Row],[If No]]=1,1,0)=2,1,"")</f>
        <v/>
      </c>
      <c r="M8" s="5">
        <f>IF(IF(Table48[[#This Row],[Pre or Post]]="Post",1,0)+IF(Table48[[#This Row],[If Yes]]=1,1,0)=2,1,"")</f>
        <v>1</v>
      </c>
      <c r="N8" s="5" t="str">
        <f>IF(IF(Table48[[#This Row],[Pre or Post]]="Post",1,0)+IF(Table48[[#This Row],[If No]]=1,1,0)=2,1,"")</f>
        <v/>
      </c>
    </row>
    <row r="9" spans="1:14">
      <c r="A9" s="2" t="s">
        <v>24</v>
      </c>
      <c r="B9" s="2" t="s">
        <v>30</v>
      </c>
      <c r="C9" s="1">
        <v>8</v>
      </c>
      <c r="D9" s="2" t="s">
        <v>16</v>
      </c>
      <c r="E9" s="1">
        <v>8</v>
      </c>
      <c r="F9" s="1" t="s">
        <v>8</v>
      </c>
      <c r="G9" s="2" t="s">
        <v>9</v>
      </c>
      <c r="H9" s="5">
        <f>IF(Table48[[#This Row],[Response]]="Yes",1,"")</f>
        <v>1</v>
      </c>
      <c r="I9" s="5" t="str">
        <f>IF(Table48[[#This Row],[Response]]="No",1,"")</f>
        <v/>
      </c>
      <c r="J9" s="5">
        <f>IF(SUM(Table48[[#This Row],[If Yes]:[If No]])=1,1,"")</f>
        <v>1</v>
      </c>
      <c r="K9" s="5" t="str">
        <f>IF(IF(Table48[[#This Row],[Pre or Post]]="Pre",1,0)+IF(Table48[[#This Row],[If Yes]]=1,1,0)=2,1,"")</f>
        <v/>
      </c>
      <c r="L9" s="5" t="str">
        <f>IF(IF(Table48[[#This Row],[Pre or Post]]="Pre",1,0)+IF(Table48[[#This Row],[If No]]=1,1,0)=2,1,"")</f>
        <v/>
      </c>
      <c r="M9" s="5">
        <f>IF(IF(Table48[[#This Row],[Pre or Post]]="Post",1,0)+IF(Table48[[#This Row],[If Yes]]=1,1,0)=2,1,"")</f>
        <v>1</v>
      </c>
      <c r="N9" s="5" t="str">
        <f>IF(IF(Table48[[#This Row],[Pre or Post]]="Post",1,0)+IF(Table48[[#This Row],[If No]]=1,1,0)=2,1,"")</f>
        <v/>
      </c>
    </row>
    <row r="10" spans="1:14">
      <c r="A10" s="2" t="s">
        <v>24</v>
      </c>
      <c r="B10" s="2" t="s">
        <v>30</v>
      </c>
      <c r="C10" s="1">
        <v>9</v>
      </c>
      <c r="D10" s="2" t="s">
        <v>16</v>
      </c>
      <c r="E10" s="1">
        <v>8</v>
      </c>
      <c r="F10" s="1" t="s">
        <v>8</v>
      </c>
      <c r="G10" s="2" t="s">
        <v>9</v>
      </c>
      <c r="H10" s="5">
        <f>IF(Table48[[#This Row],[Response]]="Yes",1,"")</f>
        <v>1</v>
      </c>
      <c r="I10" s="5" t="str">
        <f>IF(Table48[[#This Row],[Response]]="No",1,"")</f>
        <v/>
      </c>
      <c r="J10" s="5">
        <f>IF(SUM(Table48[[#This Row],[If Yes]:[If No]])=1,1,"")</f>
        <v>1</v>
      </c>
      <c r="K10" s="5" t="str">
        <f>IF(IF(Table48[[#This Row],[Pre or Post]]="Pre",1,0)+IF(Table48[[#This Row],[If Yes]]=1,1,0)=2,1,"")</f>
        <v/>
      </c>
      <c r="L10" s="5" t="str">
        <f>IF(IF(Table48[[#This Row],[Pre or Post]]="Pre",1,0)+IF(Table48[[#This Row],[If No]]=1,1,0)=2,1,"")</f>
        <v/>
      </c>
      <c r="M10" s="5">
        <f>IF(IF(Table48[[#This Row],[Pre or Post]]="Post",1,0)+IF(Table48[[#This Row],[If Yes]]=1,1,0)=2,1,"")</f>
        <v>1</v>
      </c>
      <c r="N10" s="5" t="str">
        <f>IF(IF(Table48[[#This Row],[Pre or Post]]="Post",1,0)+IF(Table48[[#This Row],[If No]]=1,1,0)=2,1,"")</f>
        <v/>
      </c>
    </row>
    <row r="11" spans="1:14">
      <c r="A11" s="2" t="s">
        <v>24</v>
      </c>
      <c r="B11" s="2" t="s">
        <v>30</v>
      </c>
      <c r="C11" s="1">
        <v>10</v>
      </c>
      <c r="D11" s="2" t="s">
        <v>16</v>
      </c>
      <c r="E11" s="1">
        <v>8</v>
      </c>
      <c r="F11" s="1" t="s">
        <v>8</v>
      </c>
      <c r="G11" s="2" t="s">
        <v>9</v>
      </c>
      <c r="H11" s="5">
        <f>IF(Table48[[#This Row],[Response]]="Yes",1,"")</f>
        <v>1</v>
      </c>
      <c r="I11" s="5" t="str">
        <f>IF(Table48[[#This Row],[Response]]="No",1,"")</f>
        <v/>
      </c>
      <c r="J11" s="5">
        <f>IF(SUM(Table48[[#This Row],[If Yes]:[If No]])=1,1,"")</f>
        <v>1</v>
      </c>
      <c r="K11" s="5" t="str">
        <f>IF(IF(Table48[[#This Row],[Pre or Post]]="Pre",1,0)+IF(Table48[[#This Row],[If Yes]]=1,1,0)=2,1,"")</f>
        <v/>
      </c>
      <c r="L11" s="5" t="str">
        <f>IF(IF(Table48[[#This Row],[Pre or Post]]="Pre",1,0)+IF(Table48[[#This Row],[If No]]=1,1,0)=2,1,"")</f>
        <v/>
      </c>
      <c r="M11" s="5">
        <f>IF(IF(Table48[[#This Row],[Pre or Post]]="Post",1,0)+IF(Table48[[#This Row],[If Yes]]=1,1,0)=2,1,"")</f>
        <v>1</v>
      </c>
      <c r="N11" s="5" t="str">
        <f>IF(IF(Table48[[#This Row],[Pre or Post]]="Post",1,0)+IF(Table48[[#This Row],[If No]]=1,1,0)=2,1,"")</f>
        <v/>
      </c>
    </row>
    <row r="12" spans="1:14">
      <c r="A12" s="2" t="s">
        <v>24</v>
      </c>
      <c r="B12" s="2" t="s">
        <v>30</v>
      </c>
      <c r="C12" s="1">
        <v>11</v>
      </c>
      <c r="D12" s="2" t="s">
        <v>16</v>
      </c>
      <c r="E12" s="1">
        <v>8</v>
      </c>
      <c r="G12" s="2" t="s">
        <v>9</v>
      </c>
      <c r="H12" s="5" t="str">
        <f>IF(Table48[[#This Row],[Response]]="Yes",1,"")</f>
        <v/>
      </c>
      <c r="I12" s="5" t="str">
        <f>IF(Table48[[#This Row],[Response]]="No",1,"")</f>
        <v/>
      </c>
      <c r="J12" s="5" t="str">
        <f>IF(SUM(Table48[[#This Row],[If Yes]:[If No]])=1,1,"")</f>
        <v/>
      </c>
      <c r="K12" s="5" t="str">
        <f>IF(IF(Table48[[#This Row],[Pre or Post]]="Pre",1,0)+IF(Table48[[#This Row],[If Yes]]=1,1,0)=2,1,"")</f>
        <v/>
      </c>
      <c r="L12" s="5" t="str">
        <f>IF(IF(Table48[[#This Row],[Pre or Post]]="Pre",1,0)+IF(Table48[[#This Row],[If No]]=1,1,0)=2,1,"")</f>
        <v/>
      </c>
      <c r="M12" s="5" t="str">
        <f>IF(IF(Table48[[#This Row],[Pre or Post]]="Post",1,0)+IF(Table48[[#This Row],[If Yes]]=1,1,0)=2,1,"")</f>
        <v/>
      </c>
      <c r="N12" s="5" t="str">
        <f>IF(IF(Table48[[#This Row],[Pre or Post]]="Post",1,0)+IF(Table48[[#This Row],[If No]]=1,1,0)=2,1,"")</f>
        <v/>
      </c>
    </row>
    <row r="13" spans="1:14">
      <c r="A13" s="2" t="s">
        <v>24</v>
      </c>
      <c r="B13" s="2" t="s">
        <v>30</v>
      </c>
      <c r="C13" s="1">
        <v>12</v>
      </c>
      <c r="D13" s="2" t="s">
        <v>16</v>
      </c>
      <c r="E13" s="1">
        <v>8</v>
      </c>
      <c r="F13" s="1" t="s">
        <v>8</v>
      </c>
      <c r="G13" s="2" t="s">
        <v>9</v>
      </c>
      <c r="H13" s="5">
        <f>IF(Table48[[#This Row],[Response]]="Yes",1,"")</f>
        <v>1</v>
      </c>
      <c r="I13" s="5" t="str">
        <f>IF(Table48[[#This Row],[Response]]="No",1,"")</f>
        <v/>
      </c>
      <c r="J13" s="5">
        <f>IF(SUM(Table48[[#This Row],[If Yes]:[If No]])=1,1,"")</f>
        <v>1</v>
      </c>
      <c r="K13" s="5" t="str">
        <f>IF(IF(Table48[[#This Row],[Pre or Post]]="Pre",1,0)+IF(Table48[[#This Row],[If Yes]]=1,1,0)=2,1,"")</f>
        <v/>
      </c>
      <c r="L13" s="5" t="str">
        <f>IF(IF(Table48[[#This Row],[Pre or Post]]="Pre",1,0)+IF(Table48[[#This Row],[If No]]=1,1,0)=2,1,"")</f>
        <v/>
      </c>
      <c r="M13" s="5">
        <f>IF(IF(Table48[[#This Row],[Pre or Post]]="Post",1,0)+IF(Table48[[#This Row],[If Yes]]=1,1,0)=2,1,"")</f>
        <v>1</v>
      </c>
      <c r="N13" s="5" t="str">
        <f>IF(IF(Table48[[#This Row],[Pre or Post]]="Post",1,0)+IF(Table48[[#This Row],[If No]]=1,1,0)=2,1,"")</f>
        <v/>
      </c>
    </row>
    <row r="14" spans="1:14">
      <c r="A14" s="2" t="s">
        <v>24</v>
      </c>
      <c r="B14" s="2" t="s">
        <v>30</v>
      </c>
      <c r="C14" s="1">
        <v>13</v>
      </c>
      <c r="D14" s="2" t="s">
        <v>16</v>
      </c>
      <c r="E14" s="1">
        <v>8</v>
      </c>
      <c r="F14" s="1" t="s">
        <v>9</v>
      </c>
      <c r="G14" s="2" t="s">
        <v>9</v>
      </c>
      <c r="H14" s="5" t="str">
        <f>IF(Table48[[#This Row],[Response]]="Yes",1,"")</f>
        <v/>
      </c>
      <c r="I14" s="5">
        <f>IF(Table48[[#This Row],[Response]]="No",1,"")</f>
        <v>1</v>
      </c>
      <c r="J14" s="5">
        <f>IF(SUM(Table48[[#This Row],[If Yes]:[If No]])=1,1,"")</f>
        <v>1</v>
      </c>
      <c r="K14" s="5" t="str">
        <f>IF(IF(Table48[[#This Row],[Pre or Post]]="Pre",1,0)+IF(Table48[[#This Row],[If Yes]]=1,1,0)=2,1,"")</f>
        <v/>
      </c>
      <c r="L14" s="5" t="str">
        <f>IF(IF(Table48[[#This Row],[Pre or Post]]="Pre",1,0)+IF(Table48[[#This Row],[If No]]=1,1,0)=2,1,"")</f>
        <v/>
      </c>
      <c r="M14" s="5" t="str">
        <f>IF(IF(Table48[[#This Row],[Pre or Post]]="Post",1,0)+IF(Table48[[#This Row],[If Yes]]=1,1,0)=2,1,"")</f>
        <v/>
      </c>
      <c r="N14" s="5">
        <f>IF(IF(Table48[[#This Row],[Pre or Post]]="Post",1,0)+IF(Table48[[#This Row],[If No]]=1,1,0)=2,1,"")</f>
        <v>1</v>
      </c>
    </row>
    <row r="15" spans="1:14">
      <c r="A15" s="2" t="s">
        <v>24</v>
      </c>
      <c r="B15" s="2" t="s">
        <v>30</v>
      </c>
      <c r="C15" s="1">
        <v>14</v>
      </c>
      <c r="D15" s="2" t="s">
        <v>16</v>
      </c>
      <c r="E15" s="1">
        <v>8</v>
      </c>
      <c r="F15" s="1" t="s">
        <v>8</v>
      </c>
      <c r="G15" s="2" t="s">
        <v>9</v>
      </c>
      <c r="H15" s="5">
        <f>IF(Table48[[#This Row],[Response]]="Yes",1,"")</f>
        <v>1</v>
      </c>
      <c r="I15" s="5" t="str">
        <f>IF(Table48[[#This Row],[Response]]="No",1,"")</f>
        <v/>
      </c>
      <c r="J15" s="5">
        <f>IF(SUM(Table48[[#This Row],[If Yes]:[If No]])=1,1,"")</f>
        <v>1</v>
      </c>
      <c r="K15" s="5" t="str">
        <f>IF(IF(Table48[[#This Row],[Pre or Post]]="Pre",1,0)+IF(Table48[[#This Row],[If Yes]]=1,1,0)=2,1,"")</f>
        <v/>
      </c>
      <c r="L15" s="5" t="str">
        <f>IF(IF(Table48[[#This Row],[Pre or Post]]="Pre",1,0)+IF(Table48[[#This Row],[If No]]=1,1,0)=2,1,"")</f>
        <v/>
      </c>
      <c r="M15" s="5">
        <f>IF(IF(Table48[[#This Row],[Pre or Post]]="Post",1,0)+IF(Table48[[#This Row],[If Yes]]=1,1,0)=2,1,"")</f>
        <v>1</v>
      </c>
      <c r="N15" s="5" t="str">
        <f>IF(IF(Table48[[#This Row],[Pre or Post]]="Post",1,0)+IF(Table48[[#This Row],[If No]]=1,1,0)=2,1,"")</f>
        <v/>
      </c>
    </row>
    <row r="16" spans="1:14">
      <c r="A16" s="2" t="s">
        <v>24</v>
      </c>
      <c r="B16" s="2" t="s">
        <v>30</v>
      </c>
      <c r="C16" s="1">
        <v>15</v>
      </c>
      <c r="D16" s="2" t="s">
        <v>16</v>
      </c>
      <c r="E16" s="1">
        <v>8</v>
      </c>
      <c r="G16" s="2" t="s">
        <v>9</v>
      </c>
      <c r="H16" s="5" t="str">
        <f>IF(Table48[[#This Row],[Response]]="Yes",1,"")</f>
        <v/>
      </c>
      <c r="I16" s="5" t="str">
        <f>IF(Table48[[#This Row],[Response]]="No",1,"")</f>
        <v/>
      </c>
      <c r="J16" s="5" t="str">
        <f>IF(SUM(Table48[[#This Row],[If Yes]:[If No]])=1,1,"")</f>
        <v/>
      </c>
      <c r="K16" s="5" t="str">
        <f>IF(IF(Table48[[#This Row],[Pre or Post]]="Pre",1,0)+IF(Table48[[#This Row],[If Yes]]=1,1,0)=2,1,"")</f>
        <v/>
      </c>
      <c r="L16" s="5" t="str">
        <f>IF(IF(Table48[[#This Row],[Pre or Post]]="Pre",1,0)+IF(Table48[[#This Row],[If No]]=1,1,0)=2,1,"")</f>
        <v/>
      </c>
      <c r="M16" s="5" t="str">
        <f>IF(IF(Table48[[#This Row],[Pre or Post]]="Post",1,0)+IF(Table48[[#This Row],[If Yes]]=1,1,0)=2,1,"")</f>
        <v/>
      </c>
      <c r="N16" s="5" t="str">
        <f>IF(IF(Table48[[#This Row],[Pre or Post]]="Post",1,0)+IF(Table48[[#This Row],[If No]]=1,1,0)=2,1,"")</f>
        <v/>
      </c>
    </row>
    <row r="17" spans="1:14">
      <c r="A17" s="2" t="s">
        <v>24</v>
      </c>
      <c r="B17" s="2" t="s">
        <v>30</v>
      </c>
      <c r="C17" s="1">
        <v>16</v>
      </c>
      <c r="D17" s="2" t="s">
        <v>16</v>
      </c>
      <c r="E17" s="1">
        <v>8</v>
      </c>
      <c r="F17" s="1" t="s">
        <v>8</v>
      </c>
      <c r="G17" s="2" t="s">
        <v>9</v>
      </c>
      <c r="H17" s="5">
        <f>IF(Table48[[#This Row],[Response]]="Yes",1,"")</f>
        <v>1</v>
      </c>
      <c r="I17" s="5" t="str">
        <f>IF(Table48[[#This Row],[Response]]="No",1,"")</f>
        <v/>
      </c>
      <c r="J17" s="5">
        <f>IF(SUM(Table48[[#This Row],[If Yes]:[If No]])=1,1,"")</f>
        <v>1</v>
      </c>
      <c r="K17" s="5" t="str">
        <f>IF(IF(Table48[[#This Row],[Pre or Post]]="Pre",1,0)+IF(Table48[[#This Row],[If Yes]]=1,1,0)=2,1,"")</f>
        <v/>
      </c>
      <c r="L17" s="5" t="str">
        <f>IF(IF(Table48[[#This Row],[Pre or Post]]="Pre",1,0)+IF(Table48[[#This Row],[If No]]=1,1,0)=2,1,"")</f>
        <v/>
      </c>
      <c r="M17" s="5">
        <f>IF(IF(Table48[[#This Row],[Pre or Post]]="Post",1,0)+IF(Table48[[#This Row],[If Yes]]=1,1,0)=2,1,"")</f>
        <v>1</v>
      </c>
      <c r="N17" s="5" t="str">
        <f>IF(IF(Table48[[#This Row],[Pre or Post]]="Post",1,0)+IF(Table48[[#This Row],[If No]]=1,1,0)=2,1,"")</f>
        <v/>
      </c>
    </row>
    <row r="18" spans="1:14">
      <c r="A18" s="2" t="s">
        <v>24</v>
      </c>
      <c r="B18" s="2" t="s">
        <v>30</v>
      </c>
      <c r="C18" s="1">
        <v>17</v>
      </c>
      <c r="D18" s="2" t="s">
        <v>16</v>
      </c>
      <c r="E18" s="1">
        <v>8</v>
      </c>
      <c r="F18" s="1" t="s">
        <v>8</v>
      </c>
      <c r="G18" s="2" t="s">
        <v>9</v>
      </c>
      <c r="H18" s="5">
        <f>IF(Table48[[#This Row],[Response]]="Yes",1,"")</f>
        <v>1</v>
      </c>
      <c r="I18" s="5" t="str">
        <f>IF(Table48[[#This Row],[Response]]="No",1,"")</f>
        <v/>
      </c>
      <c r="J18" s="5">
        <f>IF(SUM(Table48[[#This Row],[If Yes]:[If No]])=1,1,"")</f>
        <v>1</v>
      </c>
      <c r="K18" s="5" t="str">
        <f>IF(IF(Table48[[#This Row],[Pre or Post]]="Pre",1,0)+IF(Table48[[#This Row],[If Yes]]=1,1,0)=2,1,"")</f>
        <v/>
      </c>
      <c r="L18" s="5" t="str">
        <f>IF(IF(Table48[[#This Row],[Pre or Post]]="Pre",1,0)+IF(Table48[[#This Row],[If No]]=1,1,0)=2,1,"")</f>
        <v/>
      </c>
      <c r="M18" s="5">
        <f>IF(IF(Table48[[#This Row],[Pre or Post]]="Post",1,0)+IF(Table48[[#This Row],[If Yes]]=1,1,0)=2,1,"")</f>
        <v>1</v>
      </c>
      <c r="N18" s="5" t="str">
        <f>IF(IF(Table48[[#This Row],[Pre or Post]]="Post",1,0)+IF(Table48[[#This Row],[If No]]=1,1,0)=2,1,"")</f>
        <v/>
      </c>
    </row>
    <row r="19" spans="1:14">
      <c r="A19" s="2" t="s">
        <v>24</v>
      </c>
      <c r="B19" s="2" t="s">
        <v>30</v>
      </c>
      <c r="C19" s="1">
        <v>18</v>
      </c>
      <c r="D19" s="2" t="s">
        <v>16</v>
      </c>
      <c r="E19" s="1">
        <v>8</v>
      </c>
      <c r="F19" s="1" t="s">
        <v>8</v>
      </c>
      <c r="G19" s="2" t="s">
        <v>9</v>
      </c>
      <c r="H19" s="5">
        <f>IF(Table48[[#This Row],[Response]]="Yes",1,"")</f>
        <v>1</v>
      </c>
      <c r="I19" s="5" t="str">
        <f>IF(Table48[[#This Row],[Response]]="No",1,"")</f>
        <v/>
      </c>
      <c r="J19" s="5">
        <f>IF(SUM(Table48[[#This Row],[If Yes]:[If No]])=1,1,"")</f>
        <v>1</v>
      </c>
      <c r="K19" s="5" t="str">
        <f>IF(IF(Table48[[#This Row],[Pre or Post]]="Pre",1,0)+IF(Table48[[#This Row],[If Yes]]=1,1,0)=2,1,"")</f>
        <v/>
      </c>
      <c r="L19" s="5" t="str">
        <f>IF(IF(Table48[[#This Row],[Pre or Post]]="Pre",1,0)+IF(Table48[[#This Row],[If No]]=1,1,0)=2,1,"")</f>
        <v/>
      </c>
      <c r="M19" s="5">
        <f>IF(IF(Table48[[#This Row],[Pre or Post]]="Post",1,0)+IF(Table48[[#This Row],[If Yes]]=1,1,0)=2,1,"")</f>
        <v>1</v>
      </c>
      <c r="N19" s="5" t="str">
        <f>IF(IF(Table48[[#This Row],[Pre or Post]]="Post",1,0)+IF(Table48[[#This Row],[If No]]=1,1,0)=2,1,"")</f>
        <v/>
      </c>
    </row>
    <row r="20" spans="1:14">
      <c r="A20" s="2" t="s">
        <v>24</v>
      </c>
      <c r="B20" s="2" t="s">
        <v>30</v>
      </c>
      <c r="C20" s="2">
        <v>19</v>
      </c>
      <c r="D20" s="2" t="s">
        <v>16</v>
      </c>
      <c r="E20" s="1">
        <v>8</v>
      </c>
      <c r="F20" s="1" t="s">
        <v>8</v>
      </c>
      <c r="G20" s="2" t="s">
        <v>9</v>
      </c>
      <c r="H20" s="5">
        <f>IF(Table48[[#This Row],[Response]]="Yes",1,"")</f>
        <v>1</v>
      </c>
      <c r="I20" s="5" t="str">
        <f>IF(Table48[[#This Row],[Response]]="No",1,"")</f>
        <v/>
      </c>
      <c r="J20" s="5">
        <f>IF(SUM(Table48[[#This Row],[If Yes]:[If No]])=1,1,"")</f>
        <v>1</v>
      </c>
      <c r="K20" s="5" t="str">
        <f>IF(IF(Table48[[#This Row],[Pre or Post]]="Pre",1,0)+IF(Table48[[#This Row],[If Yes]]=1,1,0)=2,1,"")</f>
        <v/>
      </c>
      <c r="L20" s="5" t="str">
        <f>IF(IF(Table48[[#This Row],[Pre or Post]]="Pre",1,0)+IF(Table48[[#This Row],[If No]]=1,1,0)=2,1,"")</f>
        <v/>
      </c>
      <c r="M20" s="5">
        <f>IF(IF(Table48[[#This Row],[Pre or Post]]="Post",1,0)+IF(Table48[[#This Row],[If Yes]]=1,1,0)=2,1,"")</f>
        <v>1</v>
      </c>
      <c r="N20" s="5" t="str">
        <f>IF(IF(Table48[[#This Row],[Pre or Post]]="Post",1,0)+IF(Table48[[#This Row],[If No]]=1,1,0)=2,1,"")</f>
        <v/>
      </c>
    </row>
    <row r="21" spans="1:14">
      <c r="A21" s="1" t="s">
        <v>24</v>
      </c>
      <c r="B21" s="1" t="s">
        <v>23</v>
      </c>
      <c r="C21" s="1">
        <v>1</v>
      </c>
      <c r="D21" s="1" t="s">
        <v>6</v>
      </c>
      <c r="E21" s="1">
        <v>4</v>
      </c>
      <c r="F21" s="1" t="s">
        <v>8</v>
      </c>
      <c r="G21" s="1" t="s">
        <v>8</v>
      </c>
      <c r="H21" s="5">
        <f>IF(Table48[[#This Row],[Response]]="Yes",1,"")</f>
        <v>1</v>
      </c>
      <c r="I21" s="5" t="str">
        <f>IF(Table48[[#This Row],[Response]]="No",1,"")</f>
        <v/>
      </c>
      <c r="J21" s="5">
        <f>IF(SUM(Table48[[#This Row],[If Yes]:[If No]])=1,1,"")</f>
        <v>1</v>
      </c>
      <c r="K21" s="5">
        <f>IF(IF(Table48[[#This Row],[Pre or Post]]="Pre",1,0)+IF(Table48[[#This Row],[If Yes]]=1,1,0)=2,1,"")</f>
        <v>1</v>
      </c>
      <c r="L21" s="5" t="str">
        <f>IF(IF(Table48[[#This Row],[Pre or Post]]="Pre",1,0)+IF(Table48[[#This Row],[If No]]=1,1,0)=2,1,"")</f>
        <v/>
      </c>
      <c r="M21" s="5" t="str">
        <f>IF(IF(Table48[[#This Row],[Pre or Post]]="Post",1,0)+IF(Table48[[#This Row],[If Yes]]=1,1,0)=2,1,"")</f>
        <v/>
      </c>
      <c r="N21" s="5" t="str">
        <f>IF(IF(Table48[[#This Row],[Pre or Post]]="Post",1,0)+IF(Table48[[#This Row],[If No]]=1,1,0)=2,1,"")</f>
        <v/>
      </c>
    </row>
    <row r="22" spans="1:14">
      <c r="A22" s="1" t="s">
        <v>24</v>
      </c>
      <c r="B22" s="1" t="s">
        <v>23</v>
      </c>
      <c r="C22" s="1">
        <v>1</v>
      </c>
      <c r="D22" s="1" t="s">
        <v>16</v>
      </c>
      <c r="E22" s="1">
        <v>8</v>
      </c>
      <c r="F22" s="1" t="s">
        <v>8</v>
      </c>
      <c r="G22" s="1" t="s">
        <v>8</v>
      </c>
      <c r="H22" s="5">
        <f>IF(Table48[[#This Row],[Response]]="Yes",1,"")</f>
        <v>1</v>
      </c>
      <c r="I22" s="5" t="str">
        <f>IF(Table48[[#This Row],[Response]]="No",1,"")</f>
        <v/>
      </c>
      <c r="J22" s="5">
        <f>IF(SUM(Table48[[#This Row],[If Yes]:[If No]])=1,1,"")</f>
        <v>1</v>
      </c>
      <c r="K22" s="5" t="str">
        <f>IF(IF(Table48[[#This Row],[Pre or Post]]="Pre",1,0)+IF(Table48[[#This Row],[If Yes]]=1,1,0)=2,1,"")</f>
        <v/>
      </c>
      <c r="L22" s="5" t="str">
        <f>IF(IF(Table48[[#This Row],[Pre or Post]]="Pre",1,0)+IF(Table48[[#This Row],[If No]]=1,1,0)=2,1,"")</f>
        <v/>
      </c>
      <c r="M22" s="5">
        <f>IF(IF(Table48[[#This Row],[Pre or Post]]="Post",1,0)+IF(Table48[[#This Row],[If Yes]]=1,1,0)=2,1,"")</f>
        <v>1</v>
      </c>
      <c r="N22" s="5" t="str">
        <f>IF(IF(Table48[[#This Row],[Pre or Post]]="Post",1,0)+IF(Table48[[#This Row],[If No]]=1,1,0)=2,1,"")</f>
        <v/>
      </c>
    </row>
    <row r="23" spans="1:14">
      <c r="A23" s="1" t="s">
        <v>24</v>
      </c>
      <c r="B23" s="1" t="s">
        <v>23</v>
      </c>
      <c r="C23" s="1">
        <v>2</v>
      </c>
      <c r="D23" s="1" t="s">
        <v>6</v>
      </c>
      <c r="E23" s="1">
        <v>4</v>
      </c>
      <c r="F23" s="1" t="s">
        <v>9</v>
      </c>
      <c r="G23" s="1" t="s">
        <v>8</v>
      </c>
      <c r="H23" s="5" t="str">
        <f>IF(Table48[[#This Row],[Response]]="Yes",1,"")</f>
        <v/>
      </c>
      <c r="I23" s="5">
        <f>IF(Table48[[#This Row],[Response]]="No",1,"")</f>
        <v>1</v>
      </c>
      <c r="J23" s="5">
        <f>IF(SUM(Table48[[#This Row],[If Yes]:[If No]])=1,1,"")</f>
        <v>1</v>
      </c>
      <c r="K23" s="5" t="str">
        <f>IF(IF(Table48[[#This Row],[Pre or Post]]="Pre",1,0)+IF(Table48[[#This Row],[If Yes]]=1,1,0)=2,1,"")</f>
        <v/>
      </c>
      <c r="L23" s="5">
        <f>IF(IF(Table48[[#This Row],[Pre or Post]]="Pre",1,0)+IF(Table48[[#This Row],[If No]]=1,1,0)=2,1,"")</f>
        <v>1</v>
      </c>
      <c r="M23" s="5" t="str">
        <f>IF(IF(Table48[[#This Row],[Pre or Post]]="Post",1,0)+IF(Table48[[#This Row],[If Yes]]=1,1,0)=2,1,"")</f>
        <v/>
      </c>
      <c r="N23" s="5" t="str">
        <f>IF(IF(Table48[[#This Row],[Pre or Post]]="Post",1,0)+IF(Table48[[#This Row],[If No]]=1,1,0)=2,1,"")</f>
        <v/>
      </c>
    </row>
    <row r="24" spans="1:14">
      <c r="A24" s="1" t="s">
        <v>24</v>
      </c>
      <c r="B24" s="1" t="s">
        <v>23</v>
      </c>
      <c r="C24" s="1">
        <v>2</v>
      </c>
      <c r="D24" s="1" t="s">
        <v>16</v>
      </c>
      <c r="E24" s="1">
        <v>8</v>
      </c>
      <c r="F24" s="1" t="s">
        <v>9</v>
      </c>
      <c r="G24" s="1" t="s">
        <v>8</v>
      </c>
      <c r="H24" s="5" t="str">
        <f>IF(Table48[[#This Row],[Response]]="Yes",1,"")</f>
        <v/>
      </c>
      <c r="I24" s="5">
        <f>IF(Table48[[#This Row],[Response]]="No",1,"")</f>
        <v>1</v>
      </c>
      <c r="J24" s="5">
        <f>IF(SUM(Table48[[#This Row],[If Yes]:[If No]])=1,1,"")</f>
        <v>1</v>
      </c>
      <c r="K24" s="5" t="str">
        <f>IF(IF(Table48[[#This Row],[Pre or Post]]="Pre",1,0)+IF(Table48[[#This Row],[If Yes]]=1,1,0)=2,1,"")</f>
        <v/>
      </c>
      <c r="L24" s="5" t="str">
        <f>IF(IF(Table48[[#This Row],[Pre or Post]]="Pre",1,0)+IF(Table48[[#This Row],[If No]]=1,1,0)=2,1,"")</f>
        <v/>
      </c>
      <c r="M24" s="5" t="str">
        <f>IF(IF(Table48[[#This Row],[Pre or Post]]="Post",1,0)+IF(Table48[[#This Row],[If Yes]]=1,1,0)=2,1,"")</f>
        <v/>
      </c>
      <c r="N24" s="5">
        <f>IF(IF(Table48[[#This Row],[Pre or Post]]="Post",1,0)+IF(Table48[[#This Row],[If No]]=1,1,0)=2,1,"")</f>
        <v>1</v>
      </c>
    </row>
    <row r="25" spans="1:14">
      <c r="A25" s="1" t="s">
        <v>24</v>
      </c>
      <c r="B25" s="1" t="s">
        <v>23</v>
      </c>
      <c r="C25" s="1">
        <v>3</v>
      </c>
      <c r="D25" s="1" t="s">
        <v>6</v>
      </c>
      <c r="E25" s="1">
        <v>4</v>
      </c>
      <c r="F25" s="1" t="s">
        <v>8</v>
      </c>
      <c r="G25" s="1" t="s">
        <v>8</v>
      </c>
      <c r="H25" s="5">
        <f>IF(Table48[[#This Row],[Response]]="Yes",1,"")</f>
        <v>1</v>
      </c>
      <c r="I25" s="5" t="str">
        <f>IF(Table48[[#This Row],[Response]]="No",1,"")</f>
        <v/>
      </c>
      <c r="J25" s="5">
        <f>IF(SUM(Table48[[#This Row],[If Yes]:[If No]])=1,1,"")</f>
        <v>1</v>
      </c>
      <c r="K25" s="5">
        <f>IF(IF(Table48[[#This Row],[Pre or Post]]="Pre",1,0)+IF(Table48[[#This Row],[If Yes]]=1,1,0)=2,1,"")</f>
        <v>1</v>
      </c>
      <c r="L25" s="5" t="str">
        <f>IF(IF(Table48[[#This Row],[Pre or Post]]="Pre",1,0)+IF(Table48[[#This Row],[If No]]=1,1,0)=2,1,"")</f>
        <v/>
      </c>
      <c r="M25" s="5" t="str">
        <f>IF(IF(Table48[[#This Row],[Pre or Post]]="Post",1,0)+IF(Table48[[#This Row],[If Yes]]=1,1,0)=2,1,"")</f>
        <v/>
      </c>
      <c r="N25" s="5" t="str">
        <f>IF(IF(Table48[[#This Row],[Pre or Post]]="Post",1,0)+IF(Table48[[#This Row],[If No]]=1,1,0)=2,1,"")</f>
        <v/>
      </c>
    </row>
    <row r="26" spans="1:14">
      <c r="A26" s="1" t="s">
        <v>24</v>
      </c>
      <c r="B26" s="1" t="s">
        <v>23</v>
      </c>
      <c r="C26" s="1">
        <v>3</v>
      </c>
      <c r="D26" s="1" t="s">
        <v>16</v>
      </c>
      <c r="E26" s="1">
        <v>8</v>
      </c>
      <c r="F26" s="1" t="s">
        <v>8</v>
      </c>
      <c r="G26" s="1" t="s">
        <v>8</v>
      </c>
      <c r="H26" s="5">
        <f>IF(Table48[[#This Row],[Response]]="Yes",1,"")</f>
        <v>1</v>
      </c>
      <c r="I26" s="5" t="str">
        <f>IF(Table48[[#This Row],[Response]]="No",1,"")</f>
        <v/>
      </c>
      <c r="J26" s="5">
        <f>IF(SUM(Table48[[#This Row],[If Yes]:[If No]])=1,1,"")</f>
        <v>1</v>
      </c>
      <c r="K26" s="5" t="str">
        <f>IF(IF(Table48[[#This Row],[Pre or Post]]="Pre",1,0)+IF(Table48[[#This Row],[If Yes]]=1,1,0)=2,1,"")</f>
        <v/>
      </c>
      <c r="L26" s="5" t="str">
        <f>IF(IF(Table48[[#This Row],[Pre or Post]]="Pre",1,0)+IF(Table48[[#This Row],[If No]]=1,1,0)=2,1,"")</f>
        <v/>
      </c>
      <c r="M26" s="5">
        <f>IF(IF(Table48[[#This Row],[Pre or Post]]="Post",1,0)+IF(Table48[[#This Row],[If Yes]]=1,1,0)=2,1,"")</f>
        <v>1</v>
      </c>
      <c r="N26" s="5" t="str">
        <f>IF(IF(Table48[[#This Row],[Pre or Post]]="Post",1,0)+IF(Table48[[#This Row],[If No]]=1,1,0)=2,1,"")</f>
        <v/>
      </c>
    </row>
    <row r="27" spans="1:14">
      <c r="A27" s="1" t="s">
        <v>24</v>
      </c>
      <c r="B27" s="1" t="s">
        <v>23</v>
      </c>
      <c r="C27" s="1">
        <v>4</v>
      </c>
      <c r="D27" s="1" t="s">
        <v>6</v>
      </c>
      <c r="E27" s="1">
        <v>4</v>
      </c>
      <c r="F27" s="1" t="s">
        <v>8</v>
      </c>
      <c r="G27" s="1" t="s">
        <v>8</v>
      </c>
      <c r="H27" s="5">
        <f>IF(Table48[[#This Row],[Response]]="Yes",1,"")</f>
        <v>1</v>
      </c>
      <c r="I27" s="5" t="str">
        <f>IF(Table48[[#This Row],[Response]]="No",1,"")</f>
        <v/>
      </c>
      <c r="J27" s="5">
        <f>IF(SUM(Table48[[#This Row],[If Yes]:[If No]])=1,1,"")</f>
        <v>1</v>
      </c>
      <c r="K27" s="5">
        <f>IF(IF(Table48[[#This Row],[Pre or Post]]="Pre",1,0)+IF(Table48[[#This Row],[If Yes]]=1,1,0)=2,1,"")</f>
        <v>1</v>
      </c>
      <c r="L27" s="5" t="str">
        <f>IF(IF(Table48[[#This Row],[Pre or Post]]="Pre",1,0)+IF(Table48[[#This Row],[If No]]=1,1,0)=2,1,"")</f>
        <v/>
      </c>
      <c r="M27" s="5" t="str">
        <f>IF(IF(Table48[[#This Row],[Pre or Post]]="Post",1,0)+IF(Table48[[#This Row],[If Yes]]=1,1,0)=2,1,"")</f>
        <v/>
      </c>
      <c r="N27" s="5" t="str">
        <f>IF(IF(Table48[[#This Row],[Pre or Post]]="Post",1,0)+IF(Table48[[#This Row],[If No]]=1,1,0)=2,1,"")</f>
        <v/>
      </c>
    </row>
    <row r="28" spans="1:14">
      <c r="A28" s="1" t="s">
        <v>24</v>
      </c>
      <c r="B28" s="1" t="s">
        <v>23</v>
      </c>
      <c r="C28" s="1">
        <v>4</v>
      </c>
      <c r="D28" s="1" t="s">
        <v>16</v>
      </c>
      <c r="E28" s="1">
        <v>8</v>
      </c>
      <c r="F28" s="1" t="s">
        <v>8</v>
      </c>
      <c r="G28" s="1" t="s">
        <v>8</v>
      </c>
      <c r="H28" s="5">
        <f>IF(Table48[[#This Row],[Response]]="Yes",1,"")</f>
        <v>1</v>
      </c>
      <c r="I28" s="5" t="str">
        <f>IF(Table48[[#This Row],[Response]]="No",1,"")</f>
        <v/>
      </c>
      <c r="J28" s="5">
        <f>IF(SUM(Table48[[#This Row],[If Yes]:[If No]])=1,1,"")</f>
        <v>1</v>
      </c>
      <c r="K28" s="5" t="str">
        <f>IF(IF(Table48[[#This Row],[Pre or Post]]="Pre",1,0)+IF(Table48[[#This Row],[If Yes]]=1,1,0)=2,1,"")</f>
        <v/>
      </c>
      <c r="L28" s="5" t="str">
        <f>IF(IF(Table48[[#This Row],[Pre or Post]]="Pre",1,0)+IF(Table48[[#This Row],[If No]]=1,1,0)=2,1,"")</f>
        <v/>
      </c>
      <c r="M28" s="5">
        <f>IF(IF(Table48[[#This Row],[Pre or Post]]="Post",1,0)+IF(Table48[[#This Row],[If Yes]]=1,1,0)=2,1,"")</f>
        <v>1</v>
      </c>
      <c r="N28" s="5" t="str">
        <f>IF(IF(Table48[[#This Row],[Pre or Post]]="Post",1,0)+IF(Table48[[#This Row],[If No]]=1,1,0)=2,1,"")</f>
        <v/>
      </c>
    </row>
    <row r="29" spans="1:14">
      <c r="A29" s="1" t="s">
        <v>24</v>
      </c>
      <c r="B29" s="1" t="s">
        <v>23</v>
      </c>
      <c r="C29" s="1">
        <v>5</v>
      </c>
      <c r="D29" s="1" t="s">
        <v>6</v>
      </c>
      <c r="E29" s="1">
        <v>4</v>
      </c>
      <c r="F29" s="1" t="s">
        <v>9</v>
      </c>
      <c r="G29" s="1" t="s">
        <v>8</v>
      </c>
      <c r="H29" s="5" t="str">
        <f>IF(Table48[[#This Row],[Response]]="Yes",1,"")</f>
        <v/>
      </c>
      <c r="I29" s="5">
        <f>IF(Table48[[#This Row],[Response]]="No",1,"")</f>
        <v>1</v>
      </c>
      <c r="J29" s="5">
        <f>IF(SUM(Table48[[#This Row],[If Yes]:[If No]])=1,1,"")</f>
        <v>1</v>
      </c>
      <c r="K29" s="5" t="str">
        <f>IF(IF(Table48[[#This Row],[Pre or Post]]="Pre",1,0)+IF(Table48[[#This Row],[If Yes]]=1,1,0)=2,1,"")</f>
        <v/>
      </c>
      <c r="L29" s="5">
        <f>IF(IF(Table48[[#This Row],[Pre or Post]]="Pre",1,0)+IF(Table48[[#This Row],[If No]]=1,1,0)=2,1,"")</f>
        <v>1</v>
      </c>
      <c r="M29" s="5" t="str">
        <f>IF(IF(Table48[[#This Row],[Pre or Post]]="Post",1,0)+IF(Table48[[#This Row],[If Yes]]=1,1,0)=2,1,"")</f>
        <v/>
      </c>
      <c r="N29" s="5" t="str">
        <f>IF(IF(Table48[[#This Row],[Pre or Post]]="Post",1,0)+IF(Table48[[#This Row],[If No]]=1,1,0)=2,1,"")</f>
        <v/>
      </c>
    </row>
    <row r="30" spans="1:14">
      <c r="A30" s="1" t="s">
        <v>24</v>
      </c>
      <c r="B30" s="1" t="s">
        <v>23</v>
      </c>
      <c r="C30" s="1">
        <v>5</v>
      </c>
      <c r="D30" s="1" t="s">
        <v>16</v>
      </c>
      <c r="E30" s="1">
        <v>8</v>
      </c>
      <c r="F30" s="1" t="s">
        <v>8</v>
      </c>
      <c r="G30" s="1" t="s">
        <v>8</v>
      </c>
      <c r="H30" s="5">
        <f>IF(Table48[[#This Row],[Response]]="Yes",1,"")</f>
        <v>1</v>
      </c>
      <c r="I30" s="5" t="str">
        <f>IF(Table48[[#This Row],[Response]]="No",1,"")</f>
        <v/>
      </c>
      <c r="J30" s="5">
        <f>IF(SUM(Table48[[#This Row],[If Yes]:[If No]])=1,1,"")</f>
        <v>1</v>
      </c>
      <c r="K30" s="5" t="str">
        <f>IF(IF(Table48[[#This Row],[Pre or Post]]="Pre",1,0)+IF(Table48[[#This Row],[If Yes]]=1,1,0)=2,1,"")</f>
        <v/>
      </c>
      <c r="L30" s="5" t="str">
        <f>IF(IF(Table48[[#This Row],[Pre or Post]]="Pre",1,0)+IF(Table48[[#This Row],[If No]]=1,1,0)=2,1,"")</f>
        <v/>
      </c>
      <c r="M30" s="5">
        <f>IF(IF(Table48[[#This Row],[Pre or Post]]="Post",1,0)+IF(Table48[[#This Row],[If Yes]]=1,1,0)=2,1,"")</f>
        <v>1</v>
      </c>
      <c r="N30" s="5" t="str">
        <f>IF(IF(Table48[[#This Row],[Pre or Post]]="Post",1,0)+IF(Table48[[#This Row],[If No]]=1,1,0)=2,1,"")</f>
        <v/>
      </c>
    </row>
    <row r="31" spans="1:14">
      <c r="A31" s="1" t="s">
        <v>24</v>
      </c>
      <c r="B31" s="1" t="s">
        <v>23</v>
      </c>
      <c r="C31" s="1">
        <v>6</v>
      </c>
      <c r="D31" s="1" t="s">
        <v>6</v>
      </c>
      <c r="E31" s="1">
        <v>4</v>
      </c>
      <c r="F31" s="1" t="s">
        <v>8</v>
      </c>
      <c r="G31" s="1" t="s">
        <v>8</v>
      </c>
      <c r="H31" s="5">
        <f>IF(Table48[[#This Row],[Response]]="Yes",1,"")</f>
        <v>1</v>
      </c>
      <c r="I31" s="5" t="str">
        <f>IF(Table48[[#This Row],[Response]]="No",1,"")</f>
        <v/>
      </c>
      <c r="J31" s="5">
        <f>IF(SUM(Table48[[#This Row],[If Yes]:[If No]])=1,1,"")</f>
        <v>1</v>
      </c>
      <c r="K31" s="5">
        <f>IF(IF(Table48[[#This Row],[Pre or Post]]="Pre",1,0)+IF(Table48[[#This Row],[If Yes]]=1,1,0)=2,1,"")</f>
        <v>1</v>
      </c>
      <c r="L31" s="5" t="str">
        <f>IF(IF(Table48[[#This Row],[Pre or Post]]="Pre",1,0)+IF(Table48[[#This Row],[If No]]=1,1,0)=2,1,"")</f>
        <v/>
      </c>
      <c r="M31" s="5" t="str">
        <f>IF(IF(Table48[[#This Row],[Pre or Post]]="Post",1,0)+IF(Table48[[#This Row],[If Yes]]=1,1,0)=2,1,"")</f>
        <v/>
      </c>
      <c r="N31" s="5" t="str">
        <f>IF(IF(Table48[[#This Row],[Pre or Post]]="Post",1,0)+IF(Table48[[#This Row],[If No]]=1,1,0)=2,1,"")</f>
        <v/>
      </c>
    </row>
    <row r="32" spans="1:14">
      <c r="A32" s="1" t="s">
        <v>24</v>
      </c>
      <c r="B32" s="1" t="s">
        <v>23</v>
      </c>
      <c r="C32" s="1">
        <v>6</v>
      </c>
      <c r="D32" s="1" t="s">
        <v>16</v>
      </c>
      <c r="E32" s="1">
        <v>8</v>
      </c>
      <c r="F32" s="1" t="s">
        <v>8</v>
      </c>
      <c r="G32" s="1" t="s">
        <v>8</v>
      </c>
      <c r="H32" s="5">
        <f>IF(Table48[[#This Row],[Response]]="Yes",1,"")</f>
        <v>1</v>
      </c>
      <c r="I32" s="5" t="str">
        <f>IF(Table48[[#This Row],[Response]]="No",1,"")</f>
        <v/>
      </c>
      <c r="J32" s="5">
        <f>IF(SUM(Table48[[#This Row],[If Yes]:[If No]])=1,1,"")</f>
        <v>1</v>
      </c>
      <c r="K32" s="5" t="str">
        <f>IF(IF(Table48[[#This Row],[Pre or Post]]="Pre",1,0)+IF(Table48[[#This Row],[If Yes]]=1,1,0)=2,1,"")</f>
        <v/>
      </c>
      <c r="L32" s="5" t="str">
        <f>IF(IF(Table48[[#This Row],[Pre or Post]]="Pre",1,0)+IF(Table48[[#This Row],[If No]]=1,1,0)=2,1,"")</f>
        <v/>
      </c>
      <c r="M32" s="5">
        <f>IF(IF(Table48[[#This Row],[Pre or Post]]="Post",1,0)+IF(Table48[[#This Row],[If Yes]]=1,1,0)=2,1,"")</f>
        <v>1</v>
      </c>
      <c r="N32" s="5" t="str">
        <f>IF(IF(Table48[[#This Row],[Pre or Post]]="Post",1,0)+IF(Table48[[#This Row],[If No]]=1,1,0)=2,1,"")</f>
        <v/>
      </c>
    </row>
    <row r="33" spans="1:14">
      <c r="A33" s="1" t="s">
        <v>24</v>
      </c>
      <c r="B33" s="1" t="s">
        <v>23</v>
      </c>
      <c r="C33" s="1">
        <v>7</v>
      </c>
      <c r="D33" s="1" t="s">
        <v>6</v>
      </c>
      <c r="E33" s="1">
        <v>4</v>
      </c>
      <c r="F33" s="1" t="s">
        <v>9</v>
      </c>
      <c r="G33" s="1" t="s">
        <v>8</v>
      </c>
      <c r="H33" s="5" t="str">
        <f>IF(Table48[[#This Row],[Response]]="Yes",1,"")</f>
        <v/>
      </c>
      <c r="I33" s="5">
        <f>IF(Table48[[#This Row],[Response]]="No",1,"")</f>
        <v>1</v>
      </c>
      <c r="J33" s="5">
        <f>IF(SUM(Table48[[#This Row],[If Yes]:[If No]])=1,1,"")</f>
        <v>1</v>
      </c>
      <c r="K33" s="5" t="str">
        <f>IF(IF(Table48[[#This Row],[Pre or Post]]="Pre",1,0)+IF(Table48[[#This Row],[If Yes]]=1,1,0)=2,1,"")</f>
        <v/>
      </c>
      <c r="L33" s="5">
        <f>IF(IF(Table48[[#This Row],[Pre or Post]]="Pre",1,0)+IF(Table48[[#This Row],[If No]]=1,1,0)=2,1,"")</f>
        <v>1</v>
      </c>
      <c r="M33" s="5" t="str">
        <f>IF(IF(Table48[[#This Row],[Pre or Post]]="Post",1,0)+IF(Table48[[#This Row],[If Yes]]=1,1,0)=2,1,"")</f>
        <v/>
      </c>
      <c r="N33" s="5" t="str">
        <f>IF(IF(Table48[[#This Row],[Pre or Post]]="Post",1,0)+IF(Table48[[#This Row],[If No]]=1,1,0)=2,1,"")</f>
        <v/>
      </c>
    </row>
    <row r="34" spans="1:14">
      <c r="A34" s="1" t="s">
        <v>24</v>
      </c>
      <c r="B34" s="1" t="s">
        <v>23</v>
      </c>
      <c r="C34" s="1">
        <v>7</v>
      </c>
      <c r="D34" s="1" t="s">
        <v>16</v>
      </c>
      <c r="E34" s="1">
        <v>8</v>
      </c>
      <c r="F34" s="1" t="s">
        <v>8</v>
      </c>
      <c r="G34" s="1" t="s">
        <v>8</v>
      </c>
      <c r="H34" s="5">
        <f>IF(Table48[[#This Row],[Response]]="Yes",1,"")</f>
        <v>1</v>
      </c>
      <c r="I34" s="5" t="str">
        <f>IF(Table48[[#This Row],[Response]]="No",1,"")</f>
        <v/>
      </c>
      <c r="J34" s="5">
        <f>IF(SUM(Table48[[#This Row],[If Yes]:[If No]])=1,1,"")</f>
        <v>1</v>
      </c>
      <c r="K34" s="5" t="str">
        <f>IF(IF(Table48[[#This Row],[Pre or Post]]="Pre",1,0)+IF(Table48[[#This Row],[If Yes]]=1,1,0)=2,1,"")</f>
        <v/>
      </c>
      <c r="L34" s="5" t="str">
        <f>IF(IF(Table48[[#This Row],[Pre or Post]]="Pre",1,0)+IF(Table48[[#This Row],[If No]]=1,1,0)=2,1,"")</f>
        <v/>
      </c>
      <c r="M34" s="5">
        <f>IF(IF(Table48[[#This Row],[Pre or Post]]="Post",1,0)+IF(Table48[[#This Row],[If Yes]]=1,1,0)=2,1,"")</f>
        <v>1</v>
      </c>
      <c r="N34" s="5" t="str">
        <f>IF(IF(Table48[[#This Row],[Pre or Post]]="Post",1,0)+IF(Table48[[#This Row],[If No]]=1,1,0)=2,1,"")</f>
        <v/>
      </c>
    </row>
    <row r="35" spans="1:14">
      <c r="A35" s="1" t="s">
        <v>24</v>
      </c>
      <c r="B35" s="1" t="s">
        <v>23</v>
      </c>
      <c r="C35" s="1">
        <v>8</v>
      </c>
      <c r="D35" s="1" t="s">
        <v>6</v>
      </c>
      <c r="E35" s="1">
        <v>4</v>
      </c>
      <c r="F35" s="1" t="s">
        <v>9</v>
      </c>
      <c r="G35" s="1" t="s">
        <v>8</v>
      </c>
      <c r="H35" s="5" t="str">
        <f>IF(Table48[[#This Row],[Response]]="Yes",1,"")</f>
        <v/>
      </c>
      <c r="I35" s="5">
        <f>IF(Table48[[#This Row],[Response]]="No",1,"")</f>
        <v>1</v>
      </c>
      <c r="J35" s="5">
        <f>IF(SUM(Table48[[#This Row],[If Yes]:[If No]])=1,1,"")</f>
        <v>1</v>
      </c>
      <c r="K35" s="5" t="str">
        <f>IF(IF(Table48[[#This Row],[Pre or Post]]="Pre",1,0)+IF(Table48[[#This Row],[If Yes]]=1,1,0)=2,1,"")</f>
        <v/>
      </c>
      <c r="L35" s="5">
        <f>IF(IF(Table48[[#This Row],[Pre or Post]]="Pre",1,0)+IF(Table48[[#This Row],[If No]]=1,1,0)=2,1,"")</f>
        <v>1</v>
      </c>
      <c r="M35" s="5" t="str">
        <f>IF(IF(Table48[[#This Row],[Pre or Post]]="Post",1,0)+IF(Table48[[#This Row],[If Yes]]=1,1,0)=2,1,"")</f>
        <v/>
      </c>
      <c r="N35" s="5" t="str">
        <f>IF(IF(Table48[[#This Row],[Pre or Post]]="Post",1,0)+IF(Table48[[#This Row],[If No]]=1,1,0)=2,1,"")</f>
        <v/>
      </c>
    </row>
    <row r="36" spans="1:14">
      <c r="A36" s="1" t="s">
        <v>24</v>
      </c>
      <c r="B36" s="1" t="s">
        <v>23</v>
      </c>
      <c r="C36" s="1">
        <v>8</v>
      </c>
      <c r="D36" s="1" t="s">
        <v>16</v>
      </c>
      <c r="E36" s="1">
        <v>8</v>
      </c>
      <c r="F36" s="1" t="s">
        <v>8</v>
      </c>
      <c r="G36" s="1" t="s">
        <v>8</v>
      </c>
      <c r="H36" s="5">
        <f>IF(Table48[[#This Row],[Response]]="Yes",1,"")</f>
        <v>1</v>
      </c>
      <c r="I36" s="5" t="str">
        <f>IF(Table48[[#This Row],[Response]]="No",1,"")</f>
        <v/>
      </c>
      <c r="J36" s="5">
        <f>IF(SUM(Table48[[#This Row],[If Yes]:[If No]])=1,1,"")</f>
        <v>1</v>
      </c>
      <c r="K36" s="5" t="str">
        <f>IF(IF(Table48[[#This Row],[Pre or Post]]="Pre",1,0)+IF(Table48[[#This Row],[If Yes]]=1,1,0)=2,1,"")</f>
        <v/>
      </c>
      <c r="L36" s="5" t="str">
        <f>IF(IF(Table48[[#This Row],[Pre or Post]]="Pre",1,0)+IF(Table48[[#This Row],[If No]]=1,1,0)=2,1,"")</f>
        <v/>
      </c>
      <c r="M36" s="5">
        <f>IF(IF(Table48[[#This Row],[Pre or Post]]="Post",1,0)+IF(Table48[[#This Row],[If Yes]]=1,1,0)=2,1,"")</f>
        <v>1</v>
      </c>
      <c r="N36" s="5" t="str">
        <f>IF(IF(Table48[[#This Row],[Pre or Post]]="Post",1,0)+IF(Table48[[#This Row],[If No]]=1,1,0)=2,1,"")</f>
        <v/>
      </c>
    </row>
    <row r="37" spans="1:14">
      <c r="A37" s="1" t="s">
        <v>24</v>
      </c>
      <c r="B37" s="1" t="s">
        <v>23</v>
      </c>
      <c r="C37" s="1">
        <v>9</v>
      </c>
      <c r="D37" s="1" t="s">
        <v>6</v>
      </c>
      <c r="E37" s="1">
        <v>4</v>
      </c>
      <c r="F37" s="1" t="s">
        <v>9</v>
      </c>
      <c r="G37" s="1" t="s">
        <v>8</v>
      </c>
      <c r="H37" s="5" t="str">
        <f>IF(Table48[[#This Row],[Response]]="Yes",1,"")</f>
        <v/>
      </c>
      <c r="I37" s="5">
        <f>IF(Table48[[#This Row],[Response]]="No",1,"")</f>
        <v>1</v>
      </c>
      <c r="J37" s="5">
        <f>IF(SUM(Table48[[#This Row],[If Yes]:[If No]])=1,1,"")</f>
        <v>1</v>
      </c>
      <c r="K37" s="5" t="str">
        <f>IF(IF(Table48[[#This Row],[Pre or Post]]="Pre",1,0)+IF(Table48[[#This Row],[If Yes]]=1,1,0)=2,1,"")</f>
        <v/>
      </c>
      <c r="L37" s="5">
        <f>IF(IF(Table48[[#This Row],[Pre or Post]]="Pre",1,0)+IF(Table48[[#This Row],[If No]]=1,1,0)=2,1,"")</f>
        <v>1</v>
      </c>
      <c r="M37" s="5" t="str">
        <f>IF(IF(Table48[[#This Row],[Pre or Post]]="Post",1,0)+IF(Table48[[#This Row],[If Yes]]=1,1,0)=2,1,"")</f>
        <v/>
      </c>
      <c r="N37" s="5" t="str">
        <f>IF(IF(Table48[[#This Row],[Pre or Post]]="Post",1,0)+IF(Table48[[#This Row],[If No]]=1,1,0)=2,1,"")</f>
        <v/>
      </c>
    </row>
    <row r="38" spans="1:14">
      <c r="A38" s="1" t="s">
        <v>24</v>
      </c>
      <c r="B38" s="1" t="s">
        <v>23</v>
      </c>
      <c r="C38" s="1">
        <v>9</v>
      </c>
      <c r="D38" s="1" t="s">
        <v>16</v>
      </c>
      <c r="E38" s="1">
        <v>8</v>
      </c>
      <c r="F38" s="1" t="s">
        <v>8</v>
      </c>
      <c r="G38" s="1" t="s">
        <v>8</v>
      </c>
      <c r="H38" s="5">
        <f>IF(Table48[[#This Row],[Response]]="Yes",1,"")</f>
        <v>1</v>
      </c>
      <c r="I38" s="5" t="str">
        <f>IF(Table48[[#This Row],[Response]]="No",1,"")</f>
        <v/>
      </c>
      <c r="J38" s="5">
        <f>IF(SUM(Table48[[#This Row],[If Yes]:[If No]])=1,1,"")</f>
        <v>1</v>
      </c>
      <c r="K38" s="5" t="str">
        <f>IF(IF(Table48[[#This Row],[Pre or Post]]="Pre",1,0)+IF(Table48[[#This Row],[If Yes]]=1,1,0)=2,1,"")</f>
        <v/>
      </c>
      <c r="L38" s="5" t="str">
        <f>IF(IF(Table48[[#This Row],[Pre or Post]]="Pre",1,0)+IF(Table48[[#This Row],[If No]]=1,1,0)=2,1,"")</f>
        <v/>
      </c>
      <c r="M38" s="5">
        <f>IF(IF(Table48[[#This Row],[Pre or Post]]="Post",1,0)+IF(Table48[[#This Row],[If Yes]]=1,1,0)=2,1,"")</f>
        <v>1</v>
      </c>
      <c r="N38" s="5" t="str">
        <f>IF(IF(Table48[[#This Row],[Pre or Post]]="Post",1,0)+IF(Table48[[#This Row],[If No]]=1,1,0)=2,1,"")</f>
        <v/>
      </c>
    </row>
    <row r="39" spans="1:14">
      <c r="A39" s="1" t="s">
        <v>24</v>
      </c>
      <c r="B39" s="1" t="s">
        <v>23</v>
      </c>
      <c r="C39" s="1">
        <v>10</v>
      </c>
      <c r="D39" s="1" t="s">
        <v>6</v>
      </c>
      <c r="E39" s="1">
        <v>4</v>
      </c>
      <c r="F39" s="1" t="s">
        <v>9</v>
      </c>
      <c r="G39" s="1" t="s">
        <v>8</v>
      </c>
      <c r="H39" s="5" t="str">
        <f>IF(Table48[[#This Row],[Response]]="Yes",1,"")</f>
        <v/>
      </c>
      <c r="I39" s="5">
        <f>IF(Table48[[#This Row],[Response]]="No",1,"")</f>
        <v>1</v>
      </c>
      <c r="J39" s="5">
        <f>IF(SUM(Table48[[#This Row],[If Yes]:[If No]])=1,1,"")</f>
        <v>1</v>
      </c>
      <c r="K39" s="5" t="str">
        <f>IF(IF(Table48[[#This Row],[Pre or Post]]="Pre",1,0)+IF(Table48[[#This Row],[If Yes]]=1,1,0)=2,1,"")</f>
        <v/>
      </c>
      <c r="L39" s="5">
        <f>IF(IF(Table48[[#This Row],[Pre or Post]]="Pre",1,0)+IF(Table48[[#This Row],[If No]]=1,1,0)=2,1,"")</f>
        <v>1</v>
      </c>
      <c r="M39" s="5" t="str">
        <f>IF(IF(Table48[[#This Row],[Pre or Post]]="Post",1,0)+IF(Table48[[#This Row],[If Yes]]=1,1,0)=2,1,"")</f>
        <v/>
      </c>
      <c r="N39" s="5" t="str">
        <f>IF(IF(Table48[[#This Row],[Pre or Post]]="Post",1,0)+IF(Table48[[#This Row],[If No]]=1,1,0)=2,1,"")</f>
        <v/>
      </c>
    </row>
    <row r="40" spans="1:14">
      <c r="A40" s="1" t="s">
        <v>24</v>
      </c>
      <c r="B40" s="1" t="s">
        <v>23</v>
      </c>
      <c r="C40" s="1">
        <v>10</v>
      </c>
      <c r="D40" s="1" t="s">
        <v>16</v>
      </c>
      <c r="E40" s="1">
        <v>8</v>
      </c>
      <c r="F40" s="1" t="s">
        <v>8</v>
      </c>
      <c r="G40" s="1" t="s">
        <v>8</v>
      </c>
      <c r="H40" s="5">
        <f>IF(Table48[[#This Row],[Response]]="Yes",1,"")</f>
        <v>1</v>
      </c>
      <c r="I40" s="5" t="str">
        <f>IF(Table48[[#This Row],[Response]]="No",1,"")</f>
        <v/>
      </c>
      <c r="J40" s="5">
        <f>IF(SUM(Table48[[#This Row],[If Yes]:[If No]])=1,1,"")</f>
        <v>1</v>
      </c>
      <c r="K40" s="5" t="str">
        <f>IF(IF(Table48[[#This Row],[Pre or Post]]="Pre",1,0)+IF(Table48[[#This Row],[If Yes]]=1,1,0)=2,1,"")</f>
        <v/>
      </c>
      <c r="L40" s="5" t="str">
        <f>IF(IF(Table48[[#This Row],[Pre or Post]]="Pre",1,0)+IF(Table48[[#This Row],[If No]]=1,1,0)=2,1,"")</f>
        <v/>
      </c>
      <c r="M40" s="5">
        <f>IF(IF(Table48[[#This Row],[Pre or Post]]="Post",1,0)+IF(Table48[[#This Row],[If Yes]]=1,1,0)=2,1,"")</f>
        <v>1</v>
      </c>
      <c r="N40" s="5" t="str">
        <f>IF(IF(Table48[[#This Row],[Pre or Post]]="Post",1,0)+IF(Table48[[#This Row],[If No]]=1,1,0)=2,1,"")</f>
        <v/>
      </c>
    </row>
    <row r="41" spans="1:14">
      <c r="A41" s="1" t="s">
        <v>24</v>
      </c>
      <c r="B41" s="1" t="s">
        <v>23</v>
      </c>
      <c r="C41" s="1">
        <v>11</v>
      </c>
      <c r="D41" s="1" t="s">
        <v>6</v>
      </c>
      <c r="E41" s="1">
        <v>4</v>
      </c>
      <c r="F41" s="1" t="s">
        <v>9</v>
      </c>
      <c r="G41" s="1" t="s">
        <v>8</v>
      </c>
      <c r="H41" s="5" t="str">
        <f>IF(Table48[[#This Row],[Response]]="Yes",1,"")</f>
        <v/>
      </c>
      <c r="I41" s="5">
        <f>IF(Table48[[#This Row],[Response]]="No",1,"")</f>
        <v>1</v>
      </c>
      <c r="J41" s="5">
        <f>IF(SUM(Table48[[#This Row],[If Yes]:[If No]])=1,1,"")</f>
        <v>1</v>
      </c>
      <c r="K41" s="5" t="str">
        <f>IF(IF(Table48[[#This Row],[Pre or Post]]="Pre",1,0)+IF(Table48[[#This Row],[If Yes]]=1,1,0)=2,1,"")</f>
        <v/>
      </c>
      <c r="L41" s="5">
        <f>IF(IF(Table48[[#This Row],[Pre or Post]]="Pre",1,0)+IF(Table48[[#This Row],[If No]]=1,1,0)=2,1,"")</f>
        <v>1</v>
      </c>
      <c r="M41" s="5" t="str">
        <f>IF(IF(Table48[[#This Row],[Pre or Post]]="Post",1,0)+IF(Table48[[#This Row],[If Yes]]=1,1,0)=2,1,"")</f>
        <v/>
      </c>
      <c r="N41" s="5" t="str">
        <f>IF(IF(Table48[[#This Row],[Pre or Post]]="Post",1,0)+IF(Table48[[#This Row],[If No]]=1,1,0)=2,1,"")</f>
        <v/>
      </c>
    </row>
    <row r="42" spans="1:14">
      <c r="A42" s="1" t="s">
        <v>24</v>
      </c>
      <c r="B42" s="1" t="s">
        <v>23</v>
      </c>
      <c r="C42" s="1">
        <v>11</v>
      </c>
      <c r="D42" s="1" t="s">
        <v>16</v>
      </c>
      <c r="E42" s="1">
        <v>8</v>
      </c>
      <c r="F42" s="1" t="s">
        <v>8</v>
      </c>
      <c r="G42" s="1" t="s">
        <v>8</v>
      </c>
      <c r="H42" s="5">
        <f>IF(Table48[[#This Row],[Response]]="Yes",1,"")</f>
        <v>1</v>
      </c>
      <c r="I42" s="5" t="str">
        <f>IF(Table48[[#This Row],[Response]]="No",1,"")</f>
        <v/>
      </c>
      <c r="J42" s="5">
        <f>IF(SUM(Table48[[#This Row],[If Yes]:[If No]])=1,1,"")</f>
        <v>1</v>
      </c>
      <c r="K42" s="5" t="str">
        <f>IF(IF(Table48[[#This Row],[Pre or Post]]="Pre",1,0)+IF(Table48[[#This Row],[If Yes]]=1,1,0)=2,1,"")</f>
        <v/>
      </c>
      <c r="L42" s="5" t="str">
        <f>IF(IF(Table48[[#This Row],[Pre or Post]]="Pre",1,0)+IF(Table48[[#This Row],[If No]]=1,1,0)=2,1,"")</f>
        <v/>
      </c>
      <c r="M42" s="5">
        <f>IF(IF(Table48[[#This Row],[Pre or Post]]="Post",1,0)+IF(Table48[[#This Row],[If Yes]]=1,1,0)=2,1,"")</f>
        <v>1</v>
      </c>
      <c r="N42" s="5" t="str">
        <f>IF(IF(Table48[[#This Row],[Pre or Post]]="Post",1,0)+IF(Table48[[#This Row],[If No]]=1,1,0)=2,1,"")</f>
        <v/>
      </c>
    </row>
    <row r="43" spans="1:14">
      <c r="A43" s="1" t="s">
        <v>24</v>
      </c>
      <c r="B43" s="1" t="s">
        <v>23</v>
      </c>
      <c r="C43" s="1">
        <v>12</v>
      </c>
      <c r="D43" s="1" t="s">
        <v>6</v>
      </c>
      <c r="E43" s="1">
        <v>4</v>
      </c>
      <c r="F43" s="1" t="s">
        <v>9</v>
      </c>
      <c r="G43" s="1" t="s">
        <v>8</v>
      </c>
      <c r="H43" s="5" t="str">
        <f>IF(Table48[[#This Row],[Response]]="Yes",1,"")</f>
        <v/>
      </c>
      <c r="I43" s="5">
        <f>IF(Table48[[#This Row],[Response]]="No",1,"")</f>
        <v>1</v>
      </c>
      <c r="J43" s="5">
        <f>IF(SUM(Table48[[#This Row],[If Yes]:[If No]])=1,1,"")</f>
        <v>1</v>
      </c>
      <c r="K43" s="5" t="str">
        <f>IF(IF(Table48[[#This Row],[Pre or Post]]="Pre",1,0)+IF(Table48[[#This Row],[If Yes]]=1,1,0)=2,1,"")</f>
        <v/>
      </c>
      <c r="L43" s="5">
        <f>IF(IF(Table48[[#This Row],[Pre or Post]]="Pre",1,0)+IF(Table48[[#This Row],[If No]]=1,1,0)=2,1,"")</f>
        <v>1</v>
      </c>
      <c r="M43" s="5" t="str">
        <f>IF(IF(Table48[[#This Row],[Pre or Post]]="Post",1,0)+IF(Table48[[#This Row],[If Yes]]=1,1,0)=2,1,"")</f>
        <v/>
      </c>
      <c r="N43" s="5" t="str">
        <f>IF(IF(Table48[[#This Row],[Pre or Post]]="Post",1,0)+IF(Table48[[#This Row],[If No]]=1,1,0)=2,1,"")</f>
        <v/>
      </c>
    </row>
    <row r="44" spans="1:14">
      <c r="A44" s="1" t="s">
        <v>24</v>
      </c>
      <c r="B44" s="1" t="s">
        <v>23</v>
      </c>
      <c r="C44" s="1">
        <v>12</v>
      </c>
      <c r="D44" s="1" t="s">
        <v>16</v>
      </c>
      <c r="E44" s="1">
        <v>8</v>
      </c>
      <c r="G44" s="1" t="s">
        <v>8</v>
      </c>
      <c r="H44" s="5" t="str">
        <f>IF(Table48[[#This Row],[Response]]="Yes",1,"")</f>
        <v/>
      </c>
      <c r="I44" s="5" t="str">
        <f>IF(Table48[[#This Row],[Response]]="No",1,"")</f>
        <v/>
      </c>
      <c r="J44" s="5" t="str">
        <f>IF(SUM(Table48[[#This Row],[If Yes]:[If No]])=1,1,"")</f>
        <v/>
      </c>
      <c r="K44" s="5" t="str">
        <f>IF(IF(Table48[[#This Row],[Pre or Post]]="Pre",1,0)+IF(Table48[[#This Row],[If Yes]]=1,1,0)=2,1,"")</f>
        <v/>
      </c>
      <c r="L44" s="5" t="str">
        <f>IF(IF(Table48[[#This Row],[Pre or Post]]="Pre",1,0)+IF(Table48[[#This Row],[If No]]=1,1,0)=2,1,"")</f>
        <v/>
      </c>
      <c r="M44" s="5" t="str">
        <f>IF(IF(Table48[[#This Row],[Pre or Post]]="Post",1,0)+IF(Table48[[#This Row],[If Yes]]=1,1,0)=2,1,"")</f>
        <v/>
      </c>
      <c r="N44" s="5" t="str">
        <f>IF(IF(Table48[[#This Row],[Pre or Post]]="Post",1,0)+IF(Table48[[#This Row],[If No]]=1,1,0)=2,1,"")</f>
        <v/>
      </c>
    </row>
    <row r="45" spans="1:14">
      <c r="A45" s="1" t="s">
        <v>24</v>
      </c>
      <c r="B45" s="1" t="s">
        <v>23</v>
      </c>
      <c r="C45" s="1">
        <v>13</v>
      </c>
      <c r="D45" s="1" t="s">
        <v>6</v>
      </c>
      <c r="E45" s="1">
        <v>4</v>
      </c>
      <c r="F45" s="1" t="s">
        <v>8</v>
      </c>
      <c r="G45" s="1" t="s">
        <v>8</v>
      </c>
      <c r="H45" s="5">
        <f>IF(Table48[[#This Row],[Response]]="Yes",1,"")</f>
        <v>1</v>
      </c>
      <c r="I45" s="5" t="str">
        <f>IF(Table48[[#This Row],[Response]]="No",1,"")</f>
        <v/>
      </c>
      <c r="J45" s="5">
        <f>IF(SUM(Table48[[#This Row],[If Yes]:[If No]])=1,1,"")</f>
        <v>1</v>
      </c>
      <c r="K45" s="5">
        <f>IF(IF(Table48[[#This Row],[Pre or Post]]="Pre",1,0)+IF(Table48[[#This Row],[If Yes]]=1,1,0)=2,1,"")</f>
        <v>1</v>
      </c>
      <c r="L45" s="5" t="str">
        <f>IF(IF(Table48[[#This Row],[Pre or Post]]="Pre",1,0)+IF(Table48[[#This Row],[If No]]=1,1,0)=2,1,"")</f>
        <v/>
      </c>
      <c r="M45" s="5" t="str">
        <f>IF(IF(Table48[[#This Row],[Pre or Post]]="Post",1,0)+IF(Table48[[#This Row],[If Yes]]=1,1,0)=2,1,"")</f>
        <v/>
      </c>
      <c r="N45" s="5" t="str">
        <f>IF(IF(Table48[[#This Row],[Pre or Post]]="Post",1,0)+IF(Table48[[#This Row],[If No]]=1,1,0)=2,1,"")</f>
        <v/>
      </c>
    </row>
    <row r="46" spans="1:14">
      <c r="A46" s="1" t="s">
        <v>24</v>
      </c>
      <c r="B46" s="1" t="s">
        <v>23</v>
      </c>
      <c r="C46" s="1">
        <v>13</v>
      </c>
      <c r="D46" s="1" t="s">
        <v>16</v>
      </c>
      <c r="E46" s="1">
        <v>8</v>
      </c>
      <c r="F46" s="1" t="s">
        <v>8</v>
      </c>
      <c r="G46" s="1" t="s">
        <v>8</v>
      </c>
      <c r="H46" s="5">
        <f>IF(Table48[[#This Row],[Response]]="Yes",1,"")</f>
        <v>1</v>
      </c>
      <c r="I46" s="5" t="str">
        <f>IF(Table48[[#This Row],[Response]]="No",1,"")</f>
        <v/>
      </c>
      <c r="J46" s="5">
        <f>IF(SUM(Table48[[#This Row],[If Yes]:[If No]])=1,1,"")</f>
        <v>1</v>
      </c>
      <c r="K46" s="5" t="str">
        <f>IF(IF(Table48[[#This Row],[Pre or Post]]="Pre",1,0)+IF(Table48[[#This Row],[If Yes]]=1,1,0)=2,1,"")</f>
        <v/>
      </c>
      <c r="L46" s="5" t="str">
        <f>IF(IF(Table48[[#This Row],[Pre or Post]]="Pre",1,0)+IF(Table48[[#This Row],[If No]]=1,1,0)=2,1,"")</f>
        <v/>
      </c>
      <c r="M46" s="5">
        <f>IF(IF(Table48[[#This Row],[Pre or Post]]="Post",1,0)+IF(Table48[[#This Row],[If Yes]]=1,1,0)=2,1,"")</f>
        <v>1</v>
      </c>
      <c r="N46" s="5" t="str">
        <f>IF(IF(Table48[[#This Row],[Pre or Post]]="Post",1,0)+IF(Table48[[#This Row],[If No]]=1,1,0)=2,1,"")</f>
        <v/>
      </c>
    </row>
    <row r="47" spans="1:14">
      <c r="A47" s="1" t="s">
        <v>24</v>
      </c>
      <c r="B47" s="1" t="s">
        <v>23</v>
      </c>
      <c r="C47" s="1">
        <v>14</v>
      </c>
      <c r="D47" s="1" t="s">
        <v>6</v>
      </c>
      <c r="E47" s="1">
        <v>4</v>
      </c>
      <c r="F47" s="1" t="s">
        <v>9</v>
      </c>
      <c r="G47" s="1" t="s">
        <v>8</v>
      </c>
      <c r="H47" s="5" t="str">
        <f>IF(Table48[[#This Row],[Response]]="Yes",1,"")</f>
        <v/>
      </c>
      <c r="I47" s="5">
        <f>IF(Table48[[#This Row],[Response]]="No",1,"")</f>
        <v>1</v>
      </c>
      <c r="J47" s="5">
        <f>IF(SUM(Table48[[#This Row],[If Yes]:[If No]])=1,1,"")</f>
        <v>1</v>
      </c>
      <c r="K47" s="5" t="str">
        <f>IF(IF(Table48[[#This Row],[Pre or Post]]="Pre",1,0)+IF(Table48[[#This Row],[If Yes]]=1,1,0)=2,1,"")</f>
        <v/>
      </c>
      <c r="L47" s="5">
        <f>IF(IF(Table48[[#This Row],[Pre or Post]]="Pre",1,0)+IF(Table48[[#This Row],[If No]]=1,1,0)=2,1,"")</f>
        <v>1</v>
      </c>
      <c r="M47" s="5" t="str">
        <f>IF(IF(Table48[[#This Row],[Pre or Post]]="Post",1,0)+IF(Table48[[#This Row],[If Yes]]=1,1,0)=2,1,"")</f>
        <v/>
      </c>
      <c r="N47" s="5" t="str">
        <f>IF(IF(Table48[[#This Row],[Pre or Post]]="Post",1,0)+IF(Table48[[#This Row],[If No]]=1,1,0)=2,1,"")</f>
        <v/>
      </c>
    </row>
    <row r="48" spans="1:14">
      <c r="A48" s="1" t="s">
        <v>24</v>
      </c>
      <c r="B48" s="1" t="s">
        <v>23</v>
      </c>
      <c r="C48" s="1">
        <v>14</v>
      </c>
      <c r="D48" s="1" t="s">
        <v>16</v>
      </c>
      <c r="E48" s="1">
        <v>8</v>
      </c>
      <c r="F48" s="1" t="s">
        <v>8</v>
      </c>
      <c r="G48" s="1" t="s">
        <v>8</v>
      </c>
      <c r="H48" s="5">
        <f>IF(Table48[[#This Row],[Response]]="Yes",1,"")</f>
        <v>1</v>
      </c>
      <c r="I48" s="5" t="str">
        <f>IF(Table48[[#This Row],[Response]]="No",1,"")</f>
        <v/>
      </c>
      <c r="J48" s="5">
        <f>IF(SUM(Table48[[#This Row],[If Yes]:[If No]])=1,1,"")</f>
        <v>1</v>
      </c>
      <c r="K48" s="5" t="str">
        <f>IF(IF(Table48[[#This Row],[Pre or Post]]="Pre",1,0)+IF(Table48[[#This Row],[If Yes]]=1,1,0)=2,1,"")</f>
        <v/>
      </c>
      <c r="L48" s="5" t="str">
        <f>IF(IF(Table48[[#This Row],[Pre or Post]]="Pre",1,0)+IF(Table48[[#This Row],[If No]]=1,1,0)=2,1,"")</f>
        <v/>
      </c>
      <c r="M48" s="5">
        <f>IF(IF(Table48[[#This Row],[Pre or Post]]="Post",1,0)+IF(Table48[[#This Row],[If Yes]]=1,1,0)=2,1,"")</f>
        <v>1</v>
      </c>
      <c r="N48" s="5" t="str">
        <f>IF(IF(Table48[[#This Row],[Pre or Post]]="Post",1,0)+IF(Table48[[#This Row],[If No]]=1,1,0)=2,1,"")</f>
        <v/>
      </c>
    </row>
    <row r="49" spans="1:14">
      <c r="A49" s="1" t="s">
        <v>24</v>
      </c>
      <c r="B49" s="1" t="s">
        <v>23</v>
      </c>
      <c r="C49" s="1">
        <v>15</v>
      </c>
      <c r="D49" s="1" t="s">
        <v>6</v>
      </c>
      <c r="E49" s="1">
        <v>4</v>
      </c>
      <c r="F49" s="1" t="s">
        <v>9</v>
      </c>
      <c r="G49" s="1" t="s">
        <v>8</v>
      </c>
      <c r="H49" s="5" t="str">
        <f>IF(Table48[[#This Row],[Response]]="Yes",1,"")</f>
        <v/>
      </c>
      <c r="I49" s="5">
        <f>IF(Table48[[#This Row],[Response]]="No",1,"")</f>
        <v>1</v>
      </c>
      <c r="J49" s="5">
        <f>IF(SUM(Table48[[#This Row],[If Yes]:[If No]])=1,1,"")</f>
        <v>1</v>
      </c>
      <c r="K49" s="5" t="str">
        <f>IF(IF(Table48[[#This Row],[Pre or Post]]="Pre",1,0)+IF(Table48[[#This Row],[If Yes]]=1,1,0)=2,1,"")</f>
        <v/>
      </c>
      <c r="L49" s="5">
        <f>IF(IF(Table48[[#This Row],[Pre or Post]]="Pre",1,0)+IF(Table48[[#This Row],[If No]]=1,1,0)=2,1,"")</f>
        <v>1</v>
      </c>
      <c r="M49" s="5" t="str">
        <f>IF(IF(Table48[[#This Row],[Pre or Post]]="Post",1,0)+IF(Table48[[#This Row],[If Yes]]=1,1,0)=2,1,"")</f>
        <v/>
      </c>
      <c r="N49" s="5" t="str">
        <f>IF(IF(Table48[[#This Row],[Pre or Post]]="Post",1,0)+IF(Table48[[#This Row],[If No]]=1,1,0)=2,1,"")</f>
        <v/>
      </c>
    </row>
    <row r="50" spans="1:14">
      <c r="A50" s="1" t="s">
        <v>24</v>
      </c>
      <c r="B50" s="1" t="s">
        <v>23</v>
      </c>
      <c r="C50" s="1">
        <v>15</v>
      </c>
      <c r="D50" s="1" t="s">
        <v>16</v>
      </c>
      <c r="E50" s="1">
        <v>8</v>
      </c>
      <c r="F50" s="1" t="s">
        <v>8</v>
      </c>
      <c r="G50" s="1" t="s">
        <v>8</v>
      </c>
      <c r="H50" s="5">
        <f>IF(Table48[[#This Row],[Response]]="Yes",1,"")</f>
        <v>1</v>
      </c>
      <c r="I50" s="5" t="str">
        <f>IF(Table48[[#This Row],[Response]]="No",1,"")</f>
        <v/>
      </c>
      <c r="J50" s="5">
        <f>IF(SUM(Table48[[#This Row],[If Yes]:[If No]])=1,1,"")</f>
        <v>1</v>
      </c>
      <c r="K50" s="5" t="str">
        <f>IF(IF(Table48[[#This Row],[Pre or Post]]="Pre",1,0)+IF(Table48[[#This Row],[If Yes]]=1,1,0)=2,1,"")</f>
        <v/>
      </c>
      <c r="L50" s="5" t="str">
        <f>IF(IF(Table48[[#This Row],[Pre or Post]]="Pre",1,0)+IF(Table48[[#This Row],[If No]]=1,1,0)=2,1,"")</f>
        <v/>
      </c>
      <c r="M50" s="5">
        <f>IF(IF(Table48[[#This Row],[Pre or Post]]="Post",1,0)+IF(Table48[[#This Row],[If Yes]]=1,1,0)=2,1,"")</f>
        <v>1</v>
      </c>
      <c r="N50" s="5" t="str">
        <f>IF(IF(Table48[[#This Row],[Pre or Post]]="Post",1,0)+IF(Table48[[#This Row],[If No]]=1,1,0)=2,1,"")</f>
        <v/>
      </c>
    </row>
    <row r="51" spans="1:14">
      <c r="A51" s="1" t="s">
        <v>24</v>
      </c>
      <c r="B51" s="1" t="s">
        <v>23</v>
      </c>
      <c r="C51" s="1">
        <v>16</v>
      </c>
      <c r="D51" s="1" t="s">
        <v>6</v>
      </c>
      <c r="E51" s="1">
        <v>4</v>
      </c>
      <c r="F51" s="1" t="s">
        <v>8</v>
      </c>
      <c r="G51" s="1" t="s">
        <v>8</v>
      </c>
      <c r="H51" s="5">
        <f>IF(Table48[[#This Row],[Response]]="Yes",1,"")</f>
        <v>1</v>
      </c>
      <c r="I51" s="5" t="str">
        <f>IF(Table48[[#This Row],[Response]]="No",1,"")</f>
        <v/>
      </c>
      <c r="J51" s="5">
        <f>IF(SUM(Table48[[#This Row],[If Yes]:[If No]])=1,1,"")</f>
        <v>1</v>
      </c>
      <c r="K51" s="5">
        <f>IF(IF(Table48[[#This Row],[Pre or Post]]="Pre",1,0)+IF(Table48[[#This Row],[If Yes]]=1,1,0)=2,1,"")</f>
        <v>1</v>
      </c>
      <c r="L51" s="5" t="str">
        <f>IF(IF(Table48[[#This Row],[Pre or Post]]="Pre",1,0)+IF(Table48[[#This Row],[If No]]=1,1,0)=2,1,"")</f>
        <v/>
      </c>
      <c r="M51" s="5" t="str">
        <f>IF(IF(Table48[[#This Row],[Pre or Post]]="Post",1,0)+IF(Table48[[#This Row],[If Yes]]=1,1,0)=2,1,"")</f>
        <v/>
      </c>
      <c r="N51" s="5" t="str">
        <f>IF(IF(Table48[[#This Row],[Pre or Post]]="Post",1,0)+IF(Table48[[#This Row],[If No]]=1,1,0)=2,1,"")</f>
        <v/>
      </c>
    </row>
    <row r="52" spans="1:14">
      <c r="A52" s="1" t="s">
        <v>24</v>
      </c>
      <c r="B52" s="1" t="s">
        <v>23</v>
      </c>
      <c r="C52" s="1">
        <v>16</v>
      </c>
      <c r="D52" s="1" t="s">
        <v>16</v>
      </c>
      <c r="E52" s="1">
        <v>8</v>
      </c>
      <c r="F52" s="1" t="s">
        <v>8</v>
      </c>
      <c r="G52" s="1" t="s">
        <v>8</v>
      </c>
      <c r="H52" s="5">
        <f>IF(Table48[[#This Row],[Response]]="Yes",1,"")</f>
        <v>1</v>
      </c>
      <c r="I52" s="5" t="str">
        <f>IF(Table48[[#This Row],[Response]]="No",1,"")</f>
        <v/>
      </c>
      <c r="J52" s="5">
        <f>IF(SUM(Table48[[#This Row],[If Yes]:[If No]])=1,1,"")</f>
        <v>1</v>
      </c>
      <c r="K52" s="5" t="str">
        <f>IF(IF(Table48[[#This Row],[Pre or Post]]="Pre",1,0)+IF(Table48[[#This Row],[If Yes]]=1,1,0)=2,1,"")</f>
        <v/>
      </c>
      <c r="L52" s="5" t="str">
        <f>IF(IF(Table48[[#This Row],[Pre or Post]]="Pre",1,0)+IF(Table48[[#This Row],[If No]]=1,1,0)=2,1,"")</f>
        <v/>
      </c>
      <c r="M52" s="5">
        <f>IF(IF(Table48[[#This Row],[Pre or Post]]="Post",1,0)+IF(Table48[[#This Row],[If Yes]]=1,1,0)=2,1,"")</f>
        <v>1</v>
      </c>
      <c r="N52" s="5" t="str">
        <f>IF(IF(Table48[[#This Row],[Pre or Post]]="Post",1,0)+IF(Table48[[#This Row],[If No]]=1,1,0)=2,1,"")</f>
        <v/>
      </c>
    </row>
    <row r="53" spans="1:14">
      <c r="A53" s="1" t="s">
        <v>24</v>
      </c>
      <c r="B53" s="1" t="s">
        <v>25</v>
      </c>
      <c r="C53" s="1">
        <v>1</v>
      </c>
      <c r="D53" s="1" t="s">
        <v>6</v>
      </c>
      <c r="E53" s="1">
        <v>4</v>
      </c>
      <c r="F53" s="1" t="s">
        <v>9</v>
      </c>
      <c r="G53" s="1" t="s">
        <v>8</v>
      </c>
      <c r="H53" s="5" t="str">
        <f>IF(Table48[[#This Row],[Response]]="Yes",1,"")</f>
        <v/>
      </c>
      <c r="I53" s="5">
        <f>IF(Table48[[#This Row],[Response]]="No",1,"")</f>
        <v>1</v>
      </c>
      <c r="J53" s="5">
        <f>IF(SUM(Table48[[#This Row],[If Yes]:[If No]])=1,1,"")</f>
        <v>1</v>
      </c>
      <c r="K53" s="5" t="str">
        <f>IF(IF(Table48[[#This Row],[Pre or Post]]="Pre",1,0)+IF(Table48[[#This Row],[If Yes]]=1,1,0)=2,1,"")</f>
        <v/>
      </c>
      <c r="L53" s="5">
        <f>IF(IF(Table48[[#This Row],[Pre or Post]]="Pre",1,0)+IF(Table48[[#This Row],[If No]]=1,1,0)=2,1,"")</f>
        <v>1</v>
      </c>
      <c r="M53" s="5" t="str">
        <f>IF(IF(Table48[[#This Row],[Pre or Post]]="Post",1,0)+IF(Table48[[#This Row],[If Yes]]=1,1,0)=2,1,"")</f>
        <v/>
      </c>
      <c r="N53" s="5" t="str">
        <f>IF(IF(Table48[[#This Row],[Pre or Post]]="Post",1,0)+IF(Table48[[#This Row],[If No]]=1,1,0)=2,1,"")</f>
        <v/>
      </c>
    </row>
    <row r="54" spans="1:14">
      <c r="A54" s="1" t="s">
        <v>24</v>
      </c>
      <c r="B54" s="1" t="s">
        <v>25</v>
      </c>
      <c r="C54" s="1">
        <v>1</v>
      </c>
      <c r="D54" s="1" t="s">
        <v>16</v>
      </c>
      <c r="E54" s="1">
        <v>8</v>
      </c>
      <c r="F54" s="1" t="s">
        <v>8</v>
      </c>
      <c r="G54" s="2" t="s">
        <v>8</v>
      </c>
      <c r="H54" s="5">
        <f>IF(Table48[[#This Row],[Response]]="Yes",1,"")</f>
        <v>1</v>
      </c>
      <c r="I54" s="5" t="str">
        <f>IF(Table48[[#This Row],[Response]]="No",1,"")</f>
        <v/>
      </c>
      <c r="J54" s="5">
        <f>IF(SUM(Table48[[#This Row],[If Yes]:[If No]])=1,1,"")</f>
        <v>1</v>
      </c>
      <c r="K54" s="5" t="str">
        <f>IF(IF(Table48[[#This Row],[Pre or Post]]="Pre",1,0)+IF(Table48[[#This Row],[If Yes]]=1,1,0)=2,1,"")</f>
        <v/>
      </c>
      <c r="L54" s="5" t="str">
        <f>IF(IF(Table48[[#This Row],[Pre or Post]]="Pre",1,0)+IF(Table48[[#This Row],[If No]]=1,1,0)=2,1,"")</f>
        <v/>
      </c>
      <c r="M54" s="5">
        <f>IF(IF(Table48[[#This Row],[Pre or Post]]="Post",1,0)+IF(Table48[[#This Row],[If Yes]]=1,1,0)=2,1,"")</f>
        <v>1</v>
      </c>
      <c r="N54" s="5" t="str">
        <f>IF(IF(Table48[[#This Row],[Pre or Post]]="Post",1,0)+IF(Table48[[#This Row],[If No]]=1,1,0)=2,1,"")</f>
        <v/>
      </c>
    </row>
    <row r="55" spans="1:14">
      <c r="A55" s="1" t="s">
        <v>24</v>
      </c>
      <c r="B55" s="1" t="s">
        <v>25</v>
      </c>
      <c r="C55" s="1">
        <v>2</v>
      </c>
      <c r="D55" s="1" t="s">
        <v>6</v>
      </c>
      <c r="E55" s="1">
        <v>4</v>
      </c>
      <c r="F55" s="1" t="s">
        <v>9</v>
      </c>
      <c r="G55" s="1" t="s">
        <v>8</v>
      </c>
      <c r="H55" s="5" t="str">
        <f>IF(Table48[[#This Row],[Response]]="Yes",1,"")</f>
        <v/>
      </c>
      <c r="I55" s="5">
        <f>IF(Table48[[#This Row],[Response]]="No",1,"")</f>
        <v>1</v>
      </c>
      <c r="J55" s="5">
        <f>IF(SUM(Table48[[#This Row],[If Yes]:[If No]])=1,1,"")</f>
        <v>1</v>
      </c>
      <c r="K55" s="5" t="str">
        <f>IF(IF(Table48[[#This Row],[Pre or Post]]="Pre",1,0)+IF(Table48[[#This Row],[If Yes]]=1,1,0)=2,1,"")</f>
        <v/>
      </c>
      <c r="L55" s="5">
        <f>IF(IF(Table48[[#This Row],[Pre or Post]]="Pre",1,0)+IF(Table48[[#This Row],[If No]]=1,1,0)=2,1,"")</f>
        <v>1</v>
      </c>
      <c r="M55" s="5" t="str">
        <f>IF(IF(Table48[[#This Row],[Pre or Post]]="Post",1,0)+IF(Table48[[#This Row],[If Yes]]=1,1,0)=2,1,"")</f>
        <v/>
      </c>
      <c r="N55" s="5" t="str">
        <f>IF(IF(Table48[[#This Row],[Pre or Post]]="Post",1,0)+IF(Table48[[#This Row],[If No]]=1,1,0)=2,1,"")</f>
        <v/>
      </c>
    </row>
    <row r="56" spans="1:14">
      <c r="A56" s="1" t="s">
        <v>24</v>
      </c>
      <c r="B56" s="1" t="s">
        <v>25</v>
      </c>
      <c r="C56" s="1">
        <v>2</v>
      </c>
      <c r="D56" s="1" t="s">
        <v>16</v>
      </c>
      <c r="E56" s="1">
        <v>8</v>
      </c>
      <c r="F56" s="1" t="s">
        <v>8</v>
      </c>
      <c r="G56" s="2" t="s">
        <v>8</v>
      </c>
      <c r="H56" s="5">
        <f>IF(Table48[[#This Row],[Response]]="Yes",1,"")</f>
        <v>1</v>
      </c>
      <c r="I56" s="5" t="str">
        <f>IF(Table48[[#This Row],[Response]]="No",1,"")</f>
        <v/>
      </c>
      <c r="J56" s="5">
        <f>IF(SUM(Table48[[#This Row],[If Yes]:[If No]])=1,1,"")</f>
        <v>1</v>
      </c>
      <c r="K56" s="5" t="str">
        <f>IF(IF(Table48[[#This Row],[Pre or Post]]="Pre",1,0)+IF(Table48[[#This Row],[If Yes]]=1,1,0)=2,1,"")</f>
        <v/>
      </c>
      <c r="L56" s="5" t="str">
        <f>IF(IF(Table48[[#This Row],[Pre or Post]]="Pre",1,0)+IF(Table48[[#This Row],[If No]]=1,1,0)=2,1,"")</f>
        <v/>
      </c>
      <c r="M56" s="5">
        <f>IF(IF(Table48[[#This Row],[Pre or Post]]="Post",1,0)+IF(Table48[[#This Row],[If Yes]]=1,1,0)=2,1,"")</f>
        <v>1</v>
      </c>
      <c r="N56" s="5" t="str">
        <f>IF(IF(Table48[[#This Row],[Pre or Post]]="Post",1,0)+IF(Table48[[#This Row],[If No]]=1,1,0)=2,1,"")</f>
        <v/>
      </c>
    </row>
    <row r="57" spans="1:14">
      <c r="A57" s="1" t="s">
        <v>24</v>
      </c>
      <c r="B57" s="1" t="s">
        <v>25</v>
      </c>
      <c r="C57" s="1">
        <v>3</v>
      </c>
      <c r="D57" s="1" t="s">
        <v>6</v>
      </c>
      <c r="E57" s="1">
        <v>4</v>
      </c>
      <c r="F57" s="1" t="s">
        <v>8</v>
      </c>
      <c r="G57" s="1" t="s">
        <v>8</v>
      </c>
      <c r="H57" s="5">
        <f>IF(Table48[[#This Row],[Response]]="Yes",1,"")</f>
        <v>1</v>
      </c>
      <c r="I57" s="5" t="str">
        <f>IF(Table48[[#This Row],[Response]]="No",1,"")</f>
        <v/>
      </c>
      <c r="J57" s="5">
        <f>IF(SUM(Table48[[#This Row],[If Yes]:[If No]])=1,1,"")</f>
        <v>1</v>
      </c>
      <c r="K57" s="5">
        <f>IF(IF(Table48[[#This Row],[Pre or Post]]="Pre",1,0)+IF(Table48[[#This Row],[If Yes]]=1,1,0)=2,1,"")</f>
        <v>1</v>
      </c>
      <c r="L57" s="5" t="str">
        <f>IF(IF(Table48[[#This Row],[Pre or Post]]="Pre",1,0)+IF(Table48[[#This Row],[If No]]=1,1,0)=2,1,"")</f>
        <v/>
      </c>
      <c r="M57" s="5" t="str">
        <f>IF(IF(Table48[[#This Row],[Pre or Post]]="Post",1,0)+IF(Table48[[#This Row],[If Yes]]=1,1,0)=2,1,"")</f>
        <v/>
      </c>
      <c r="N57" s="5" t="str">
        <f>IF(IF(Table48[[#This Row],[Pre or Post]]="Post",1,0)+IF(Table48[[#This Row],[If No]]=1,1,0)=2,1,"")</f>
        <v/>
      </c>
    </row>
    <row r="58" spans="1:14">
      <c r="A58" s="1" t="s">
        <v>24</v>
      </c>
      <c r="B58" s="1" t="s">
        <v>25</v>
      </c>
      <c r="C58" s="1">
        <v>3</v>
      </c>
      <c r="D58" s="1" t="s">
        <v>16</v>
      </c>
      <c r="E58" s="1">
        <v>8</v>
      </c>
      <c r="F58" s="1" t="s">
        <v>8</v>
      </c>
      <c r="G58" s="2" t="s">
        <v>8</v>
      </c>
      <c r="H58" s="5">
        <f>IF(Table48[[#This Row],[Response]]="Yes",1,"")</f>
        <v>1</v>
      </c>
      <c r="I58" s="5" t="str">
        <f>IF(Table48[[#This Row],[Response]]="No",1,"")</f>
        <v/>
      </c>
      <c r="J58" s="5">
        <f>IF(SUM(Table48[[#This Row],[If Yes]:[If No]])=1,1,"")</f>
        <v>1</v>
      </c>
      <c r="K58" s="5" t="str">
        <f>IF(IF(Table48[[#This Row],[Pre or Post]]="Pre",1,0)+IF(Table48[[#This Row],[If Yes]]=1,1,0)=2,1,"")</f>
        <v/>
      </c>
      <c r="L58" s="5" t="str">
        <f>IF(IF(Table48[[#This Row],[Pre or Post]]="Pre",1,0)+IF(Table48[[#This Row],[If No]]=1,1,0)=2,1,"")</f>
        <v/>
      </c>
      <c r="M58" s="5">
        <f>IF(IF(Table48[[#This Row],[Pre or Post]]="Post",1,0)+IF(Table48[[#This Row],[If Yes]]=1,1,0)=2,1,"")</f>
        <v>1</v>
      </c>
      <c r="N58" s="5" t="str">
        <f>IF(IF(Table48[[#This Row],[Pre or Post]]="Post",1,0)+IF(Table48[[#This Row],[If No]]=1,1,0)=2,1,"")</f>
        <v/>
      </c>
    </row>
    <row r="59" spans="1:14">
      <c r="A59" s="1" t="s">
        <v>24</v>
      </c>
      <c r="B59" s="1" t="s">
        <v>25</v>
      </c>
      <c r="C59" s="1">
        <v>4</v>
      </c>
      <c r="D59" s="1" t="s">
        <v>6</v>
      </c>
      <c r="E59" s="1">
        <v>4</v>
      </c>
      <c r="F59" s="1" t="s">
        <v>8</v>
      </c>
      <c r="G59" s="1" t="s">
        <v>8</v>
      </c>
      <c r="H59" s="5">
        <f>IF(Table48[[#This Row],[Response]]="Yes",1,"")</f>
        <v>1</v>
      </c>
      <c r="I59" s="5" t="str">
        <f>IF(Table48[[#This Row],[Response]]="No",1,"")</f>
        <v/>
      </c>
      <c r="J59" s="5">
        <f>IF(SUM(Table48[[#This Row],[If Yes]:[If No]])=1,1,"")</f>
        <v>1</v>
      </c>
      <c r="K59" s="5">
        <f>IF(IF(Table48[[#This Row],[Pre or Post]]="Pre",1,0)+IF(Table48[[#This Row],[If Yes]]=1,1,0)=2,1,"")</f>
        <v>1</v>
      </c>
      <c r="L59" s="5" t="str">
        <f>IF(IF(Table48[[#This Row],[Pre or Post]]="Pre",1,0)+IF(Table48[[#This Row],[If No]]=1,1,0)=2,1,"")</f>
        <v/>
      </c>
      <c r="M59" s="5" t="str">
        <f>IF(IF(Table48[[#This Row],[Pre or Post]]="Post",1,0)+IF(Table48[[#This Row],[If Yes]]=1,1,0)=2,1,"")</f>
        <v/>
      </c>
      <c r="N59" s="5" t="str">
        <f>IF(IF(Table48[[#This Row],[Pre or Post]]="Post",1,0)+IF(Table48[[#This Row],[If No]]=1,1,0)=2,1,"")</f>
        <v/>
      </c>
    </row>
    <row r="60" spans="1:14">
      <c r="A60" s="1" t="s">
        <v>24</v>
      </c>
      <c r="B60" s="1" t="s">
        <v>25</v>
      </c>
      <c r="C60" s="1">
        <v>4</v>
      </c>
      <c r="D60" s="1" t="s">
        <v>16</v>
      </c>
      <c r="E60" s="1">
        <v>8</v>
      </c>
      <c r="F60" s="1" t="s">
        <v>8</v>
      </c>
      <c r="G60" s="2" t="s">
        <v>8</v>
      </c>
      <c r="H60" s="5">
        <f>IF(Table48[[#This Row],[Response]]="Yes",1,"")</f>
        <v>1</v>
      </c>
      <c r="I60" s="5" t="str">
        <f>IF(Table48[[#This Row],[Response]]="No",1,"")</f>
        <v/>
      </c>
      <c r="J60" s="5">
        <f>IF(SUM(Table48[[#This Row],[If Yes]:[If No]])=1,1,"")</f>
        <v>1</v>
      </c>
      <c r="K60" s="5" t="str">
        <f>IF(IF(Table48[[#This Row],[Pre or Post]]="Pre",1,0)+IF(Table48[[#This Row],[If Yes]]=1,1,0)=2,1,"")</f>
        <v/>
      </c>
      <c r="L60" s="5" t="str">
        <f>IF(IF(Table48[[#This Row],[Pre or Post]]="Pre",1,0)+IF(Table48[[#This Row],[If No]]=1,1,0)=2,1,"")</f>
        <v/>
      </c>
      <c r="M60" s="5">
        <f>IF(IF(Table48[[#This Row],[Pre or Post]]="Post",1,0)+IF(Table48[[#This Row],[If Yes]]=1,1,0)=2,1,"")</f>
        <v>1</v>
      </c>
      <c r="N60" s="5" t="str">
        <f>IF(IF(Table48[[#This Row],[Pre or Post]]="Post",1,0)+IF(Table48[[#This Row],[If No]]=1,1,0)=2,1,"")</f>
        <v/>
      </c>
    </row>
    <row r="61" spans="1:14">
      <c r="A61" s="1" t="s">
        <v>24</v>
      </c>
      <c r="B61" s="1" t="s">
        <v>25</v>
      </c>
      <c r="C61" s="1">
        <v>5</v>
      </c>
      <c r="D61" s="1" t="s">
        <v>6</v>
      </c>
      <c r="E61" s="1">
        <v>4</v>
      </c>
      <c r="F61" s="1" t="s">
        <v>8</v>
      </c>
      <c r="G61" s="1" t="s">
        <v>8</v>
      </c>
      <c r="H61" s="5">
        <f>IF(Table48[[#This Row],[Response]]="Yes",1,"")</f>
        <v>1</v>
      </c>
      <c r="I61" s="5" t="str">
        <f>IF(Table48[[#This Row],[Response]]="No",1,"")</f>
        <v/>
      </c>
      <c r="J61" s="5">
        <f>IF(SUM(Table48[[#This Row],[If Yes]:[If No]])=1,1,"")</f>
        <v>1</v>
      </c>
      <c r="K61" s="5">
        <f>IF(IF(Table48[[#This Row],[Pre or Post]]="Pre",1,0)+IF(Table48[[#This Row],[If Yes]]=1,1,0)=2,1,"")</f>
        <v>1</v>
      </c>
      <c r="L61" s="5" t="str">
        <f>IF(IF(Table48[[#This Row],[Pre or Post]]="Pre",1,0)+IF(Table48[[#This Row],[If No]]=1,1,0)=2,1,"")</f>
        <v/>
      </c>
      <c r="M61" s="5" t="str">
        <f>IF(IF(Table48[[#This Row],[Pre or Post]]="Post",1,0)+IF(Table48[[#This Row],[If Yes]]=1,1,0)=2,1,"")</f>
        <v/>
      </c>
      <c r="N61" s="5" t="str">
        <f>IF(IF(Table48[[#This Row],[Pre or Post]]="Post",1,0)+IF(Table48[[#This Row],[If No]]=1,1,0)=2,1,"")</f>
        <v/>
      </c>
    </row>
    <row r="62" spans="1:14">
      <c r="A62" s="1" t="s">
        <v>24</v>
      </c>
      <c r="B62" s="1" t="s">
        <v>25</v>
      </c>
      <c r="C62" s="1">
        <v>5</v>
      </c>
      <c r="D62" s="1" t="s">
        <v>16</v>
      </c>
      <c r="E62" s="1">
        <v>8</v>
      </c>
      <c r="F62" s="1" t="s">
        <v>8</v>
      </c>
      <c r="G62" s="2" t="s">
        <v>8</v>
      </c>
      <c r="H62" s="5">
        <f>IF(Table48[[#This Row],[Response]]="Yes",1,"")</f>
        <v>1</v>
      </c>
      <c r="I62" s="5" t="str">
        <f>IF(Table48[[#This Row],[Response]]="No",1,"")</f>
        <v/>
      </c>
      <c r="J62" s="5">
        <f>IF(SUM(Table48[[#This Row],[If Yes]:[If No]])=1,1,"")</f>
        <v>1</v>
      </c>
      <c r="K62" s="5" t="str">
        <f>IF(IF(Table48[[#This Row],[Pre or Post]]="Pre",1,0)+IF(Table48[[#This Row],[If Yes]]=1,1,0)=2,1,"")</f>
        <v/>
      </c>
      <c r="L62" s="5" t="str">
        <f>IF(IF(Table48[[#This Row],[Pre or Post]]="Pre",1,0)+IF(Table48[[#This Row],[If No]]=1,1,0)=2,1,"")</f>
        <v/>
      </c>
      <c r="M62" s="5">
        <f>IF(IF(Table48[[#This Row],[Pre or Post]]="Post",1,0)+IF(Table48[[#This Row],[If Yes]]=1,1,0)=2,1,"")</f>
        <v>1</v>
      </c>
      <c r="N62" s="5" t="str">
        <f>IF(IF(Table48[[#This Row],[Pre or Post]]="Post",1,0)+IF(Table48[[#This Row],[If No]]=1,1,0)=2,1,"")</f>
        <v/>
      </c>
    </row>
    <row r="63" spans="1:14">
      <c r="A63" s="1" t="s">
        <v>24</v>
      </c>
      <c r="B63" s="1" t="s">
        <v>25</v>
      </c>
      <c r="C63" s="1">
        <v>6</v>
      </c>
      <c r="D63" s="1" t="s">
        <v>6</v>
      </c>
      <c r="E63" s="1">
        <v>4</v>
      </c>
      <c r="F63" s="1" t="s">
        <v>9</v>
      </c>
      <c r="G63" s="1" t="s">
        <v>8</v>
      </c>
      <c r="H63" s="5" t="str">
        <f>IF(Table48[[#This Row],[Response]]="Yes",1,"")</f>
        <v/>
      </c>
      <c r="I63" s="5">
        <f>IF(Table48[[#This Row],[Response]]="No",1,"")</f>
        <v>1</v>
      </c>
      <c r="J63" s="5">
        <f>IF(SUM(Table48[[#This Row],[If Yes]:[If No]])=1,1,"")</f>
        <v>1</v>
      </c>
      <c r="K63" s="5" t="str">
        <f>IF(IF(Table48[[#This Row],[Pre or Post]]="Pre",1,0)+IF(Table48[[#This Row],[If Yes]]=1,1,0)=2,1,"")</f>
        <v/>
      </c>
      <c r="L63" s="5">
        <f>IF(IF(Table48[[#This Row],[Pre or Post]]="Pre",1,0)+IF(Table48[[#This Row],[If No]]=1,1,0)=2,1,"")</f>
        <v>1</v>
      </c>
      <c r="M63" s="5" t="str">
        <f>IF(IF(Table48[[#This Row],[Pre or Post]]="Post",1,0)+IF(Table48[[#This Row],[If Yes]]=1,1,0)=2,1,"")</f>
        <v/>
      </c>
      <c r="N63" s="5" t="str">
        <f>IF(IF(Table48[[#This Row],[Pre or Post]]="Post",1,0)+IF(Table48[[#This Row],[If No]]=1,1,0)=2,1,"")</f>
        <v/>
      </c>
    </row>
    <row r="64" spans="1:14">
      <c r="A64" s="1" t="s">
        <v>24</v>
      </c>
      <c r="B64" s="1" t="s">
        <v>25</v>
      </c>
      <c r="C64" s="1">
        <v>6</v>
      </c>
      <c r="D64" s="1" t="s">
        <v>16</v>
      </c>
      <c r="E64" s="1">
        <v>8</v>
      </c>
      <c r="F64" s="1" t="s">
        <v>8</v>
      </c>
      <c r="G64" s="2" t="s">
        <v>8</v>
      </c>
      <c r="H64" s="5">
        <f>IF(Table48[[#This Row],[Response]]="Yes",1,"")</f>
        <v>1</v>
      </c>
      <c r="I64" s="5" t="str">
        <f>IF(Table48[[#This Row],[Response]]="No",1,"")</f>
        <v/>
      </c>
      <c r="J64" s="5">
        <f>IF(SUM(Table48[[#This Row],[If Yes]:[If No]])=1,1,"")</f>
        <v>1</v>
      </c>
      <c r="K64" s="5" t="str">
        <f>IF(IF(Table48[[#This Row],[Pre or Post]]="Pre",1,0)+IF(Table48[[#This Row],[If Yes]]=1,1,0)=2,1,"")</f>
        <v/>
      </c>
      <c r="L64" s="5" t="str">
        <f>IF(IF(Table48[[#This Row],[Pre or Post]]="Pre",1,0)+IF(Table48[[#This Row],[If No]]=1,1,0)=2,1,"")</f>
        <v/>
      </c>
      <c r="M64" s="5">
        <f>IF(IF(Table48[[#This Row],[Pre or Post]]="Post",1,0)+IF(Table48[[#This Row],[If Yes]]=1,1,0)=2,1,"")</f>
        <v>1</v>
      </c>
      <c r="N64" s="5" t="str">
        <f>IF(IF(Table48[[#This Row],[Pre or Post]]="Post",1,0)+IF(Table48[[#This Row],[If No]]=1,1,0)=2,1,"")</f>
        <v/>
      </c>
    </row>
    <row r="65" spans="1:14">
      <c r="A65" s="1" t="s">
        <v>24</v>
      </c>
      <c r="B65" s="1" t="s">
        <v>25</v>
      </c>
      <c r="C65" s="1">
        <v>7</v>
      </c>
      <c r="D65" s="1" t="s">
        <v>6</v>
      </c>
      <c r="E65" s="1">
        <v>4</v>
      </c>
      <c r="F65" s="1" t="s">
        <v>9</v>
      </c>
      <c r="G65" s="1" t="s">
        <v>8</v>
      </c>
      <c r="H65" s="5" t="str">
        <f>IF(Table48[[#This Row],[Response]]="Yes",1,"")</f>
        <v/>
      </c>
      <c r="I65" s="5">
        <f>IF(Table48[[#This Row],[Response]]="No",1,"")</f>
        <v>1</v>
      </c>
      <c r="J65" s="5">
        <f>IF(SUM(Table48[[#This Row],[If Yes]:[If No]])=1,1,"")</f>
        <v>1</v>
      </c>
      <c r="K65" s="5" t="str">
        <f>IF(IF(Table48[[#This Row],[Pre or Post]]="Pre",1,0)+IF(Table48[[#This Row],[If Yes]]=1,1,0)=2,1,"")</f>
        <v/>
      </c>
      <c r="L65" s="5">
        <f>IF(IF(Table48[[#This Row],[Pre or Post]]="Pre",1,0)+IF(Table48[[#This Row],[If No]]=1,1,0)=2,1,"")</f>
        <v>1</v>
      </c>
      <c r="M65" s="5" t="str">
        <f>IF(IF(Table48[[#This Row],[Pre or Post]]="Post",1,0)+IF(Table48[[#This Row],[If Yes]]=1,1,0)=2,1,"")</f>
        <v/>
      </c>
      <c r="N65" s="5" t="str">
        <f>IF(IF(Table48[[#This Row],[Pre or Post]]="Post",1,0)+IF(Table48[[#This Row],[If No]]=1,1,0)=2,1,"")</f>
        <v/>
      </c>
    </row>
    <row r="66" spans="1:14">
      <c r="A66" s="1" t="s">
        <v>24</v>
      </c>
      <c r="B66" s="1" t="s">
        <v>25</v>
      </c>
      <c r="C66" s="1">
        <v>7</v>
      </c>
      <c r="D66" s="1" t="s">
        <v>16</v>
      </c>
      <c r="E66" s="1">
        <v>8</v>
      </c>
      <c r="F66" s="1" t="s">
        <v>8</v>
      </c>
      <c r="G66" s="2" t="s">
        <v>8</v>
      </c>
      <c r="H66" s="5">
        <f>IF(Table48[[#This Row],[Response]]="Yes",1,"")</f>
        <v>1</v>
      </c>
      <c r="I66" s="5" t="str">
        <f>IF(Table48[[#This Row],[Response]]="No",1,"")</f>
        <v/>
      </c>
      <c r="J66" s="5">
        <f>IF(SUM(Table48[[#This Row],[If Yes]:[If No]])=1,1,"")</f>
        <v>1</v>
      </c>
      <c r="K66" s="5" t="str">
        <f>IF(IF(Table48[[#This Row],[Pre or Post]]="Pre",1,0)+IF(Table48[[#This Row],[If Yes]]=1,1,0)=2,1,"")</f>
        <v/>
      </c>
      <c r="L66" s="5" t="str">
        <f>IF(IF(Table48[[#This Row],[Pre or Post]]="Pre",1,0)+IF(Table48[[#This Row],[If No]]=1,1,0)=2,1,"")</f>
        <v/>
      </c>
      <c r="M66" s="5">
        <f>IF(IF(Table48[[#This Row],[Pre or Post]]="Post",1,0)+IF(Table48[[#This Row],[If Yes]]=1,1,0)=2,1,"")</f>
        <v>1</v>
      </c>
      <c r="N66" s="5" t="str">
        <f>IF(IF(Table48[[#This Row],[Pre or Post]]="Post",1,0)+IF(Table48[[#This Row],[If No]]=1,1,0)=2,1,"")</f>
        <v/>
      </c>
    </row>
    <row r="67" spans="1:14">
      <c r="A67" s="1" t="s">
        <v>24</v>
      </c>
      <c r="B67" s="1" t="s">
        <v>25</v>
      </c>
      <c r="C67" s="1">
        <v>8</v>
      </c>
      <c r="D67" s="1" t="s">
        <v>6</v>
      </c>
      <c r="E67" s="1">
        <v>4</v>
      </c>
      <c r="F67" s="1" t="s">
        <v>8</v>
      </c>
      <c r="G67" s="1" t="s">
        <v>8</v>
      </c>
      <c r="H67" s="5">
        <f>IF(Table48[[#This Row],[Response]]="Yes",1,"")</f>
        <v>1</v>
      </c>
      <c r="I67" s="5" t="str">
        <f>IF(Table48[[#This Row],[Response]]="No",1,"")</f>
        <v/>
      </c>
      <c r="J67" s="5">
        <f>IF(SUM(Table48[[#This Row],[If Yes]:[If No]])=1,1,"")</f>
        <v>1</v>
      </c>
      <c r="K67" s="5">
        <f>IF(IF(Table48[[#This Row],[Pre or Post]]="Pre",1,0)+IF(Table48[[#This Row],[If Yes]]=1,1,0)=2,1,"")</f>
        <v>1</v>
      </c>
      <c r="L67" s="5" t="str">
        <f>IF(IF(Table48[[#This Row],[Pre or Post]]="Pre",1,0)+IF(Table48[[#This Row],[If No]]=1,1,0)=2,1,"")</f>
        <v/>
      </c>
      <c r="M67" s="5" t="str">
        <f>IF(IF(Table48[[#This Row],[Pre or Post]]="Post",1,0)+IF(Table48[[#This Row],[If Yes]]=1,1,0)=2,1,"")</f>
        <v/>
      </c>
      <c r="N67" s="5" t="str">
        <f>IF(IF(Table48[[#This Row],[Pre or Post]]="Post",1,0)+IF(Table48[[#This Row],[If No]]=1,1,0)=2,1,"")</f>
        <v/>
      </c>
    </row>
    <row r="68" spans="1:14">
      <c r="A68" s="1" t="s">
        <v>24</v>
      </c>
      <c r="B68" s="1" t="s">
        <v>25</v>
      </c>
      <c r="C68" s="1">
        <v>8</v>
      </c>
      <c r="D68" s="1" t="s">
        <v>16</v>
      </c>
      <c r="E68" s="1">
        <v>8</v>
      </c>
      <c r="F68" s="1" t="s">
        <v>8</v>
      </c>
      <c r="G68" s="2" t="s">
        <v>8</v>
      </c>
      <c r="H68" s="5">
        <f>IF(Table48[[#This Row],[Response]]="Yes",1,"")</f>
        <v>1</v>
      </c>
      <c r="I68" s="5" t="str">
        <f>IF(Table48[[#This Row],[Response]]="No",1,"")</f>
        <v/>
      </c>
      <c r="J68" s="5">
        <f>IF(SUM(Table48[[#This Row],[If Yes]:[If No]])=1,1,"")</f>
        <v>1</v>
      </c>
      <c r="K68" s="5" t="str">
        <f>IF(IF(Table48[[#This Row],[Pre or Post]]="Pre",1,0)+IF(Table48[[#This Row],[If Yes]]=1,1,0)=2,1,"")</f>
        <v/>
      </c>
      <c r="L68" s="5" t="str">
        <f>IF(IF(Table48[[#This Row],[Pre or Post]]="Pre",1,0)+IF(Table48[[#This Row],[If No]]=1,1,0)=2,1,"")</f>
        <v/>
      </c>
      <c r="M68" s="5">
        <f>IF(IF(Table48[[#This Row],[Pre or Post]]="Post",1,0)+IF(Table48[[#This Row],[If Yes]]=1,1,0)=2,1,"")</f>
        <v>1</v>
      </c>
      <c r="N68" s="5" t="str">
        <f>IF(IF(Table48[[#This Row],[Pre or Post]]="Post",1,0)+IF(Table48[[#This Row],[If No]]=1,1,0)=2,1,"")</f>
        <v/>
      </c>
    </row>
    <row r="69" spans="1:14">
      <c r="A69" s="1" t="s">
        <v>24</v>
      </c>
      <c r="B69" s="1" t="s">
        <v>25</v>
      </c>
      <c r="C69" s="1">
        <v>9</v>
      </c>
      <c r="D69" s="1" t="s">
        <v>6</v>
      </c>
      <c r="E69" s="1">
        <v>4</v>
      </c>
      <c r="F69" s="1" t="s">
        <v>8</v>
      </c>
      <c r="G69" s="1" t="s">
        <v>8</v>
      </c>
      <c r="H69" s="5">
        <f>IF(Table48[[#This Row],[Response]]="Yes",1,"")</f>
        <v>1</v>
      </c>
      <c r="I69" s="5" t="str">
        <f>IF(Table48[[#This Row],[Response]]="No",1,"")</f>
        <v/>
      </c>
      <c r="J69" s="5">
        <f>IF(SUM(Table48[[#This Row],[If Yes]:[If No]])=1,1,"")</f>
        <v>1</v>
      </c>
      <c r="K69" s="5">
        <f>IF(IF(Table48[[#This Row],[Pre or Post]]="Pre",1,0)+IF(Table48[[#This Row],[If Yes]]=1,1,0)=2,1,"")</f>
        <v>1</v>
      </c>
      <c r="L69" s="5" t="str">
        <f>IF(IF(Table48[[#This Row],[Pre or Post]]="Pre",1,0)+IF(Table48[[#This Row],[If No]]=1,1,0)=2,1,"")</f>
        <v/>
      </c>
      <c r="M69" s="5" t="str">
        <f>IF(IF(Table48[[#This Row],[Pre or Post]]="Post",1,0)+IF(Table48[[#This Row],[If Yes]]=1,1,0)=2,1,"")</f>
        <v/>
      </c>
      <c r="N69" s="5" t="str">
        <f>IF(IF(Table48[[#This Row],[Pre or Post]]="Post",1,0)+IF(Table48[[#This Row],[If No]]=1,1,0)=2,1,"")</f>
        <v/>
      </c>
    </row>
    <row r="70" spans="1:14">
      <c r="A70" s="1" t="s">
        <v>24</v>
      </c>
      <c r="B70" s="1" t="s">
        <v>25</v>
      </c>
      <c r="C70" s="1">
        <v>9</v>
      </c>
      <c r="D70" s="1" t="s">
        <v>16</v>
      </c>
      <c r="E70" s="1">
        <v>8</v>
      </c>
      <c r="F70" s="1" t="s">
        <v>8</v>
      </c>
      <c r="G70" s="2" t="s">
        <v>8</v>
      </c>
      <c r="H70" s="5">
        <f>IF(Table48[[#This Row],[Response]]="Yes",1,"")</f>
        <v>1</v>
      </c>
      <c r="I70" s="5" t="str">
        <f>IF(Table48[[#This Row],[Response]]="No",1,"")</f>
        <v/>
      </c>
      <c r="J70" s="5">
        <f>IF(SUM(Table48[[#This Row],[If Yes]:[If No]])=1,1,"")</f>
        <v>1</v>
      </c>
      <c r="K70" s="5" t="str">
        <f>IF(IF(Table48[[#This Row],[Pre or Post]]="Pre",1,0)+IF(Table48[[#This Row],[If Yes]]=1,1,0)=2,1,"")</f>
        <v/>
      </c>
      <c r="L70" s="5" t="str">
        <f>IF(IF(Table48[[#This Row],[Pre or Post]]="Pre",1,0)+IF(Table48[[#This Row],[If No]]=1,1,0)=2,1,"")</f>
        <v/>
      </c>
      <c r="M70" s="5">
        <f>IF(IF(Table48[[#This Row],[Pre or Post]]="Post",1,0)+IF(Table48[[#This Row],[If Yes]]=1,1,0)=2,1,"")</f>
        <v>1</v>
      </c>
      <c r="N70" s="5" t="str">
        <f>IF(IF(Table48[[#This Row],[Pre or Post]]="Post",1,0)+IF(Table48[[#This Row],[If No]]=1,1,0)=2,1,"")</f>
        <v/>
      </c>
    </row>
    <row r="71" spans="1:14">
      <c r="A71" s="1" t="s">
        <v>24</v>
      </c>
      <c r="B71" s="1" t="s">
        <v>25</v>
      </c>
      <c r="C71" s="1">
        <v>10</v>
      </c>
      <c r="D71" s="1" t="s">
        <v>6</v>
      </c>
      <c r="E71" s="1">
        <v>4</v>
      </c>
      <c r="F71" s="1" t="s">
        <v>9</v>
      </c>
      <c r="G71" s="1" t="s">
        <v>8</v>
      </c>
      <c r="H71" s="5" t="str">
        <f>IF(Table48[[#This Row],[Response]]="Yes",1,"")</f>
        <v/>
      </c>
      <c r="I71" s="5">
        <f>IF(Table48[[#This Row],[Response]]="No",1,"")</f>
        <v>1</v>
      </c>
      <c r="J71" s="5">
        <f>IF(SUM(Table48[[#This Row],[If Yes]:[If No]])=1,1,"")</f>
        <v>1</v>
      </c>
      <c r="K71" s="5" t="str">
        <f>IF(IF(Table48[[#This Row],[Pre or Post]]="Pre",1,0)+IF(Table48[[#This Row],[If Yes]]=1,1,0)=2,1,"")</f>
        <v/>
      </c>
      <c r="L71" s="5">
        <f>IF(IF(Table48[[#This Row],[Pre or Post]]="Pre",1,0)+IF(Table48[[#This Row],[If No]]=1,1,0)=2,1,"")</f>
        <v>1</v>
      </c>
      <c r="M71" s="5" t="str">
        <f>IF(IF(Table48[[#This Row],[Pre or Post]]="Post",1,0)+IF(Table48[[#This Row],[If Yes]]=1,1,0)=2,1,"")</f>
        <v/>
      </c>
      <c r="N71" s="5" t="str">
        <f>IF(IF(Table48[[#This Row],[Pre or Post]]="Post",1,0)+IF(Table48[[#This Row],[If No]]=1,1,0)=2,1,"")</f>
        <v/>
      </c>
    </row>
    <row r="72" spans="1:14">
      <c r="A72" s="1" t="s">
        <v>24</v>
      </c>
      <c r="B72" s="1" t="s">
        <v>25</v>
      </c>
      <c r="C72" s="1">
        <v>10</v>
      </c>
      <c r="D72" s="1" t="s">
        <v>16</v>
      </c>
      <c r="E72" s="1">
        <v>8</v>
      </c>
      <c r="F72" s="1" t="s">
        <v>9</v>
      </c>
      <c r="G72" s="2" t="s">
        <v>8</v>
      </c>
      <c r="H72" s="5" t="str">
        <f>IF(Table48[[#This Row],[Response]]="Yes",1,"")</f>
        <v/>
      </c>
      <c r="I72" s="5">
        <f>IF(Table48[[#This Row],[Response]]="No",1,"")</f>
        <v>1</v>
      </c>
      <c r="J72" s="5">
        <f>IF(SUM(Table48[[#This Row],[If Yes]:[If No]])=1,1,"")</f>
        <v>1</v>
      </c>
      <c r="K72" s="5" t="str">
        <f>IF(IF(Table48[[#This Row],[Pre or Post]]="Pre",1,0)+IF(Table48[[#This Row],[If Yes]]=1,1,0)=2,1,"")</f>
        <v/>
      </c>
      <c r="L72" s="5" t="str">
        <f>IF(IF(Table48[[#This Row],[Pre or Post]]="Pre",1,0)+IF(Table48[[#This Row],[If No]]=1,1,0)=2,1,"")</f>
        <v/>
      </c>
      <c r="M72" s="5" t="str">
        <f>IF(IF(Table48[[#This Row],[Pre or Post]]="Post",1,0)+IF(Table48[[#This Row],[If Yes]]=1,1,0)=2,1,"")</f>
        <v/>
      </c>
      <c r="N72" s="5">
        <f>IF(IF(Table48[[#This Row],[Pre or Post]]="Post",1,0)+IF(Table48[[#This Row],[If No]]=1,1,0)=2,1,"")</f>
        <v>1</v>
      </c>
    </row>
    <row r="73" spans="1:14">
      <c r="A73" s="1" t="s">
        <v>24</v>
      </c>
      <c r="B73" s="1" t="s">
        <v>25</v>
      </c>
      <c r="C73" s="1">
        <v>11</v>
      </c>
      <c r="D73" s="1" t="s">
        <v>6</v>
      </c>
      <c r="E73" s="1">
        <v>4</v>
      </c>
      <c r="F73" s="1" t="s">
        <v>8</v>
      </c>
      <c r="G73" s="1" t="s">
        <v>8</v>
      </c>
      <c r="H73" s="5">
        <f>IF(Table48[[#This Row],[Response]]="Yes",1,"")</f>
        <v>1</v>
      </c>
      <c r="I73" s="5" t="str">
        <f>IF(Table48[[#This Row],[Response]]="No",1,"")</f>
        <v/>
      </c>
      <c r="J73" s="5">
        <f>IF(SUM(Table48[[#This Row],[If Yes]:[If No]])=1,1,"")</f>
        <v>1</v>
      </c>
      <c r="K73" s="5">
        <f>IF(IF(Table48[[#This Row],[Pre or Post]]="Pre",1,0)+IF(Table48[[#This Row],[If Yes]]=1,1,0)=2,1,"")</f>
        <v>1</v>
      </c>
      <c r="L73" s="5" t="str">
        <f>IF(IF(Table48[[#This Row],[Pre or Post]]="Pre",1,0)+IF(Table48[[#This Row],[If No]]=1,1,0)=2,1,"")</f>
        <v/>
      </c>
      <c r="M73" s="5" t="str">
        <f>IF(IF(Table48[[#This Row],[Pre or Post]]="Post",1,0)+IF(Table48[[#This Row],[If Yes]]=1,1,0)=2,1,"")</f>
        <v/>
      </c>
      <c r="N73" s="5" t="str">
        <f>IF(IF(Table48[[#This Row],[Pre or Post]]="Post",1,0)+IF(Table48[[#This Row],[If No]]=1,1,0)=2,1,"")</f>
        <v/>
      </c>
    </row>
    <row r="74" spans="1:14">
      <c r="A74" s="1" t="s">
        <v>24</v>
      </c>
      <c r="B74" s="1" t="s">
        <v>25</v>
      </c>
      <c r="C74" s="1">
        <v>11</v>
      </c>
      <c r="D74" s="1" t="s">
        <v>16</v>
      </c>
      <c r="E74" s="1">
        <v>8</v>
      </c>
      <c r="F74" s="1" t="s">
        <v>9</v>
      </c>
      <c r="G74" s="2" t="s">
        <v>8</v>
      </c>
      <c r="H74" s="5" t="str">
        <f>IF(Table48[[#This Row],[Response]]="Yes",1,"")</f>
        <v/>
      </c>
      <c r="I74" s="5">
        <f>IF(Table48[[#This Row],[Response]]="No",1,"")</f>
        <v>1</v>
      </c>
      <c r="J74" s="5">
        <f>IF(SUM(Table48[[#This Row],[If Yes]:[If No]])=1,1,"")</f>
        <v>1</v>
      </c>
      <c r="K74" s="5" t="str">
        <f>IF(IF(Table48[[#This Row],[Pre or Post]]="Pre",1,0)+IF(Table48[[#This Row],[If Yes]]=1,1,0)=2,1,"")</f>
        <v/>
      </c>
      <c r="L74" s="5" t="str">
        <f>IF(IF(Table48[[#This Row],[Pre or Post]]="Pre",1,0)+IF(Table48[[#This Row],[If No]]=1,1,0)=2,1,"")</f>
        <v/>
      </c>
      <c r="M74" s="5" t="str">
        <f>IF(IF(Table48[[#This Row],[Pre or Post]]="Post",1,0)+IF(Table48[[#This Row],[If Yes]]=1,1,0)=2,1,"")</f>
        <v/>
      </c>
      <c r="N74" s="5">
        <f>IF(IF(Table48[[#This Row],[Pre or Post]]="Post",1,0)+IF(Table48[[#This Row],[If No]]=1,1,0)=2,1,"")</f>
        <v>1</v>
      </c>
    </row>
    <row r="75" spans="1:14">
      <c r="A75" s="1" t="s">
        <v>24</v>
      </c>
      <c r="B75" s="1" t="s">
        <v>25</v>
      </c>
      <c r="C75" s="1">
        <v>12</v>
      </c>
      <c r="D75" s="1" t="s">
        <v>6</v>
      </c>
      <c r="E75" s="1">
        <v>4</v>
      </c>
      <c r="F75" s="1" t="s">
        <v>8</v>
      </c>
      <c r="G75" s="1" t="s">
        <v>8</v>
      </c>
      <c r="H75" s="5">
        <f>IF(Table48[[#This Row],[Response]]="Yes",1,"")</f>
        <v>1</v>
      </c>
      <c r="I75" s="5" t="str">
        <f>IF(Table48[[#This Row],[Response]]="No",1,"")</f>
        <v/>
      </c>
      <c r="J75" s="5">
        <f>IF(SUM(Table48[[#This Row],[If Yes]:[If No]])=1,1,"")</f>
        <v>1</v>
      </c>
      <c r="K75" s="5">
        <f>IF(IF(Table48[[#This Row],[Pre or Post]]="Pre",1,0)+IF(Table48[[#This Row],[If Yes]]=1,1,0)=2,1,"")</f>
        <v>1</v>
      </c>
      <c r="L75" s="5" t="str">
        <f>IF(IF(Table48[[#This Row],[Pre or Post]]="Pre",1,0)+IF(Table48[[#This Row],[If No]]=1,1,0)=2,1,"")</f>
        <v/>
      </c>
      <c r="M75" s="5" t="str">
        <f>IF(IF(Table48[[#This Row],[Pre or Post]]="Post",1,0)+IF(Table48[[#This Row],[If Yes]]=1,1,0)=2,1,"")</f>
        <v/>
      </c>
      <c r="N75" s="5" t="str">
        <f>IF(IF(Table48[[#This Row],[Pre or Post]]="Post",1,0)+IF(Table48[[#This Row],[If No]]=1,1,0)=2,1,"")</f>
        <v/>
      </c>
    </row>
    <row r="76" spans="1:14">
      <c r="A76" s="1" t="s">
        <v>24</v>
      </c>
      <c r="B76" s="1" t="s">
        <v>25</v>
      </c>
      <c r="C76" s="1">
        <v>12</v>
      </c>
      <c r="D76" s="1" t="s">
        <v>16</v>
      </c>
      <c r="E76" s="1">
        <v>8</v>
      </c>
      <c r="F76" s="1" t="s">
        <v>8</v>
      </c>
      <c r="G76" s="2" t="s">
        <v>8</v>
      </c>
      <c r="H76" s="5">
        <f>IF(Table48[[#This Row],[Response]]="Yes",1,"")</f>
        <v>1</v>
      </c>
      <c r="I76" s="5" t="str">
        <f>IF(Table48[[#This Row],[Response]]="No",1,"")</f>
        <v/>
      </c>
      <c r="J76" s="5">
        <f>IF(SUM(Table48[[#This Row],[If Yes]:[If No]])=1,1,"")</f>
        <v>1</v>
      </c>
      <c r="K76" s="5" t="str">
        <f>IF(IF(Table48[[#This Row],[Pre or Post]]="Pre",1,0)+IF(Table48[[#This Row],[If Yes]]=1,1,0)=2,1,"")</f>
        <v/>
      </c>
      <c r="L76" s="5" t="str">
        <f>IF(IF(Table48[[#This Row],[Pre or Post]]="Pre",1,0)+IF(Table48[[#This Row],[If No]]=1,1,0)=2,1,"")</f>
        <v/>
      </c>
      <c r="M76" s="5">
        <f>IF(IF(Table48[[#This Row],[Pre or Post]]="Post",1,0)+IF(Table48[[#This Row],[If Yes]]=1,1,0)=2,1,"")</f>
        <v>1</v>
      </c>
      <c r="N76" s="5" t="str">
        <f>IF(IF(Table48[[#This Row],[Pre or Post]]="Post",1,0)+IF(Table48[[#This Row],[If No]]=1,1,0)=2,1,"")</f>
        <v/>
      </c>
    </row>
    <row r="77" spans="1:14">
      <c r="A77" s="1" t="s">
        <v>24</v>
      </c>
      <c r="B77" s="1" t="s">
        <v>25</v>
      </c>
      <c r="C77" s="1">
        <v>13</v>
      </c>
      <c r="D77" s="1" t="s">
        <v>6</v>
      </c>
      <c r="E77" s="1">
        <v>4</v>
      </c>
      <c r="F77" s="1" t="s">
        <v>9</v>
      </c>
      <c r="G77" s="1" t="s">
        <v>8</v>
      </c>
      <c r="H77" s="5" t="str">
        <f>IF(Table48[[#This Row],[Response]]="Yes",1,"")</f>
        <v/>
      </c>
      <c r="I77" s="5">
        <f>IF(Table48[[#This Row],[Response]]="No",1,"")</f>
        <v>1</v>
      </c>
      <c r="J77" s="5">
        <f>IF(SUM(Table48[[#This Row],[If Yes]:[If No]])=1,1,"")</f>
        <v>1</v>
      </c>
      <c r="K77" s="5" t="str">
        <f>IF(IF(Table48[[#This Row],[Pre or Post]]="Pre",1,0)+IF(Table48[[#This Row],[If Yes]]=1,1,0)=2,1,"")</f>
        <v/>
      </c>
      <c r="L77" s="5">
        <f>IF(IF(Table48[[#This Row],[Pre or Post]]="Pre",1,0)+IF(Table48[[#This Row],[If No]]=1,1,0)=2,1,"")</f>
        <v>1</v>
      </c>
      <c r="M77" s="5" t="str">
        <f>IF(IF(Table48[[#This Row],[Pre or Post]]="Post",1,0)+IF(Table48[[#This Row],[If Yes]]=1,1,0)=2,1,"")</f>
        <v/>
      </c>
      <c r="N77" s="5" t="str">
        <f>IF(IF(Table48[[#This Row],[Pre or Post]]="Post",1,0)+IF(Table48[[#This Row],[If No]]=1,1,0)=2,1,"")</f>
        <v/>
      </c>
    </row>
    <row r="78" spans="1:14">
      <c r="A78" s="1" t="s">
        <v>24</v>
      </c>
      <c r="B78" s="1" t="s">
        <v>25</v>
      </c>
      <c r="C78" s="1">
        <v>13</v>
      </c>
      <c r="D78" s="1" t="s">
        <v>16</v>
      </c>
      <c r="E78" s="1">
        <v>8</v>
      </c>
      <c r="F78" s="1" t="s">
        <v>8</v>
      </c>
      <c r="G78" s="2" t="s">
        <v>8</v>
      </c>
      <c r="H78" s="5">
        <f>IF(Table48[[#This Row],[Response]]="Yes",1,"")</f>
        <v>1</v>
      </c>
      <c r="I78" s="5" t="str">
        <f>IF(Table48[[#This Row],[Response]]="No",1,"")</f>
        <v/>
      </c>
      <c r="J78" s="5">
        <f>IF(SUM(Table48[[#This Row],[If Yes]:[If No]])=1,1,"")</f>
        <v>1</v>
      </c>
      <c r="K78" s="5" t="str">
        <f>IF(IF(Table48[[#This Row],[Pre or Post]]="Pre",1,0)+IF(Table48[[#This Row],[If Yes]]=1,1,0)=2,1,"")</f>
        <v/>
      </c>
      <c r="L78" s="5" t="str">
        <f>IF(IF(Table48[[#This Row],[Pre or Post]]="Pre",1,0)+IF(Table48[[#This Row],[If No]]=1,1,0)=2,1,"")</f>
        <v/>
      </c>
      <c r="M78" s="5">
        <f>IF(IF(Table48[[#This Row],[Pre or Post]]="Post",1,0)+IF(Table48[[#This Row],[If Yes]]=1,1,0)=2,1,"")</f>
        <v>1</v>
      </c>
      <c r="N78" s="5" t="str">
        <f>IF(IF(Table48[[#This Row],[Pre or Post]]="Post",1,0)+IF(Table48[[#This Row],[If No]]=1,1,0)=2,1,"")</f>
        <v/>
      </c>
    </row>
    <row r="79" spans="1:14">
      <c r="A79" s="1" t="s">
        <v>24</v>
      </c>
      <c r="B79" s="1" t="s">
        <v>25</v>
      </c>
      <c r="C79" s="1">
        <v>14</v>
      </c>
      <c r="D79" s="1" t="s">
        <v>6</v>
      </c>
      <c r="E79" s="1">
        <v>4</v>
      </c>
      <c r="F79" s="1" t="s">
        <v>8</v>
      </c>
      <c r="G79" s="1" t="s">
        <v>8</v>
      </c>
      <c r="H79" s="5">
        <f>IF(Table48[[#This Row],[Response]]="Yes",1,"")</f>
        <v>1</v>
      </c>
      <c r="I79" s="5" t="str">
        <f>IF(Table48[[#This Row],[Response]]="No",1,"")</f>
        <v/>
      </c>
      <c r="J79" s="5">
        <f>IF(SUM(Table48[[#This Row],[If Yes]:[If No]])=1,1,"")</f>
        <v>1</v>
      </c>
      <c r="K79" s="5">
        <f>IF(IF(Table48[[#This Row],[Pre or Post]]="Pre",1,0)+IF(Table48[[#This Row],[If Yes]]=1,1,0)=2,1,"")</f>
        <v>1</v>
      </c>
      <c r="L79" s="5" t="str">
        <f>IF(IF(Table48[[#This Row],[Pre or Post]]="Pre",1,0)+IF(Table48[[#This Row],[If No]]=1,1,0)=2,1,"")</f>
        <v/>
      </c>
      <c r="M79" s="5" t="str">
        <f>IF(IF(Table48[[#This Row],[Pre or Post]]="Post",1,0)+IF(Table48[[#This Row],[If Yes]]=1,1,0)=2,1,"")</f>
        <v/>
      </c>
      <c r="N79" s="5" t="str">
        <f>IF(IF(Table48[[#This Row],[Pre or Post]]="Post",1,0)+IF(Table48[[#This Row],[If No]]=1,1,0)=2,1,"")</f>
        <v/>
      </c>
    </row>
    <row r="80" spans="1:14">
      <c r="A80" s="1" t="s">
        <v>24</v>
      </c>
      <c r="B80" s="1" t="s">
        <v>25</v>
      </c>
      <c r="C80" s="1">
        <v>14</v>
      </c>
      <c r="D80" s="1" t="s">
        <v>16</v>
      </c>
      <c r="E80" s="1">
        <v>8</v>
      </c>
      <c r="F80" s="1" t="s">
        <v>8</v>
      </c>
      <c r="G80" s="2" t="s">
        <v>8</v>
      </c>
      <c r="H80" s="5">
        <f>IF(Table48[[#This Row],[Response]]="Yes",1,"")</f>
        <v>1</v>
      </c>
      <c r="I80" s="5" t="str">
        <f>IF(Table48[[#This Row],[Response]]="No",1,"")</f>
        <v/>
      </c>
      <c r="J80" s="5">
        <f>IF(SUM(Table48[[#This Row],[If Yes]:[If No]])=1,1,"")</f>
        <v>1</v>
      </c>
      <c r="K80" s="5" t="str">
        <f>IF(IF(Table48[[#This Row],[Pre or Post]]="Pre",1,0)+IF(Table48[[#This Row],[If Yes]]=1,1,0)=2,1,"")</f>
        <v/>
      </c>
      <c r="L80" s="5" t="str">
        <f>IF(IF(Table48[[#This Row],[Pre or Post]]="Pre",1,0)+IF(Table48[[#This Row],[If No]]=1,1,0)=2,1,"")</f>
        <v/>
      </c>
      <c r="M80" s="5">
        <f>IF(IF(Table48[[#This Row],[Pre or Post]]="Post",1,0)+IF(Table48[[#This Row],[If Yes]]=1,1,0)=2,1,"")</f>
        <v>1</v>
      </c>
      <c r="N80" s="5" t="str">
        <f>IF(IF(Table48[[#This Row],[Pre or Post]]="Post",1,0)+IF(Table48[[#This Row],[If No]]=1,1,0)=2,1,"")</f>
        <v/>
      </c>
    </row>
    <row r="81" spans="1:14">
      <c r="A81" s="1" t="s">
        <v>24</v>
      </c>
      <c r="B81" s="1" t="s">
        <v>25</v>
      </c>
      <c r="C81" s="1">
        <v>15</v>
      </c>
      <c r="D81" s="1" t="s">
        <v>6</v>
      </c>
      <c r="E81" s="1">
        <v>4</v>
      </c>
      <c r="F81" s="1" t="s">
        <v>9</v>
      </c>
      <c r="G81" s="2" t="s">
        <v>9</v>
      </c>
      <c r="H81" s="5" t="str">
        <f>IF(Table48[[#This Row],[Response]]="Yes",1,"")</f>
        <v/>
      </c>
      <c r="I81" s="5">
        <f>IF(Table48[[#This Row],[Response]]="No",1,"")</f>
        <v>1</v>
      </c>
      <c r="J81" s="5">
        <f>IF(SUM(Table48[[#This Row],[If Yes]:[If No]])=1,1,"")</f>
        <v>1</v>
      </c>
      <c r="K81" s="5" t="str">
        <f>IF(IF(Table48[[#This Row],[Pre or Post]]="Pre",1,0)+IF(Table48[[#This Row],[If Yes]]=1,1,0)=2,1,"")</f>
        <v/>
      </c>
      <c r="L81" s="5">
        <f>IF(IF(Table48[[#This Row],[Pre or Post]]="Pre",1,0)+IF(Table48[[#This Row],[If No]]=1,1,0)=2,1,"")</f>
        <v>1</v>
      </c>
      <c r="M81" s="5" t="str">
        <f>IF(IF(Table48[[#This Row],[Pre or Post]]="Post",1,0)+IF(Table48[[#This Row],[If Yes]]=1,1,0)=2,1,"")</f>
        <v/>
      </c>
      <c r="N81" s="5" t="str">
        <f>IF(IF(Table48[[#This Row],[Pre or Post]]="Post",1,0)+IF(Table48[[#This Row],[If No]]=1,1,0)=2,1,"")</f>
        <v/>
      </c>
    </row>
    <row r="82" spans="1:14">
      <c r="A82" s="1" t="s">
        <v>24</v>
      </c>
      <c r="B82" s="1" t="s">
        <v>25</v>
      </c>
      <c r="C82" s="1">
        <v>16</v>
      </c>
      <c r="D82" s="1" t="s">
        <v>6</v>
      </c>
      <c r="E82" s="1">
        <v>4</v>
      </c>
      <c r="F82" s="1" t="s">
        <v>8</v>
      </c>
      <c r="G82" s="2" t="s">
        <v>9</v>
      </c>
      <c r="H82" s="5">
        <f>IF(Table48[[#This Row],[Response]]="Yes",1,"")</f>
        <v>1</v>
      </c>
      <c r="I82" s="5" t="str">
        <f>IF(Table48[[#This Row],[Response]]="No",1,"")</f>
        <v/>
      </c>
      <c r="J82" s="5">
        <f>IF(SUM(Table48[[#This Row],[If Yes]:[If No]])=1,1,"")</f>
        <v>1</v>
      </c>
      <c r="K82" s="5">
        <f>IF(IF(Table48[[#This Row],[Pre or Post]]="Pre",1,0)+IF(Table48[[#This Row],[If Yes]]=1,1,0)=2,1,"")</f>
        <v>1</v>
      </c>
      <c r="L82" s="5" t="str">
        <f>IF(IF(Table48[[#This Row],[Pre or Post]]="Pre",1,0)+IF(Table48[[#This Row],[If No]]=1,1,0)=2,1,"")</f>
        <v/>
      </c>
      <c r="M82" s="5" t="str">
        <f>IF(IF(Table48[[#This Row],[Pre or Post]]="Post",1,0)+IF(Table48[[#This Row],[If Yes]]=1,1,0)=2,1,"")</f>
        <v/>
      </c>
      <c r="N82" s="5" t="str">
        <f>IF(IF(Table48[[#This Row],[Pre or Post]]="Post",1,0)+IF(Table48[[#This Row],[If No]]=1,1,0)=2,1,"")</f>
        <v/>
      </c>
    </row>
    <row r="83" spans="1:14">
      <c r="A83" s="1" t="s">
        <v>24</v>
      </c>
      <c r="B83" s="1" t="s">
        <v>25</v>
      </c>
      <c r="C83" s="1">
        <v>17</v>
      </c>
      <c r="D83" s="1" t="s">
        <v>6</v>
      </c>
      <c r="E83" s="1">
        <v>4</v>
      </c>
      <c r="G83" s="2" t="s">
        <v>9</v>
      </c>
      <c r="H83" s="5" t="str">
        <f>IF(Table48[[#This Row],[Response]]="Yes",1,"")</f>
        <v/>
      </c>
      <c r="I83" s="5" t="str">
        <f>IF(Table48[[#This Row],[Response]]="No",1,"")</f>
        <v/>
      </c>
      <c r="J83" s="5" t="str">
        <f>IF(SUM(Table48[[#This Row],[If Yes]:[If No]])=1,1,"")</f>
        <v/>
      </c>
      <c r="K83" s="5" t="str">
        <f>IF(IF(Table48[[#This Row],[Pre or Post]]="Pre",1,0)+IF(Table48[[#This Row],[If Yes]]=1,1,0)=2,1,"")</f>
        <v/>
      </c>
      <c r="L83" s="5" t="str">
        <f>IF(IF(Table48[[#This Row],[Pre or Post]]="Pre",1,0)+IF(Table48[[#This Row],[If No]]=1,1,0)=2,1,"")</f>
        <v/>
      </c>
      <c r="M83" s="5" t="str">
        <f>IF(IF(Table48[[#This Row],[Pre or Post]]="Post",1,0)+IF(Table48[[#This Row],[If Yes]]=1,1,0)=2,1,"")</f>
        <v/>
      </c>
      <c r="N83" s="5" t="str">
        <f>IF(IF(Table48[[#This Row],[Pre or Post]]="Post",1,0)+IF(Table48[[#This Row],[If No]]=1,1,0)=2,1,"")</f>
        <v/>
      </c>
    </row>
    <row r="84" spans="1:14">
      <c r="A84" s="1" t="s">
        <v>24</v>
      </c>
      <c r="B84" s="1" t="s">
        <v>25</v>
      </c>
      <c r="C84" s="1">
        <v>18</v>
      </c>
      <c r="D84" s="1" t="s">
        <v>16</v>
      </c>
      <c r="E84" s="1">
        <v>8</v>
      </c>
      <c r="F84" s="1" t="s">
        <v>8</v>
      </c>
      <c r="G84" s="2" t="s">
        <v>9</v>
      </c>
      <c r="H84" s="5">
        <f>IF(Table48[[#This Row],[Response]]="Yes",1,"")</f>
        <v>1</v>
      </c>
      <c r="I84" s="5" t="str">
        <f>IF(Table48[[#This Row],[Response]]="No",1,"")</f>
        <v/>
      </c>
      <c r="J84" s="5">
        <f>IF(SUM(Table48[[#This Row],[If Yes]:[If No]])=1,1,"")</f>
        <v>1</v>
      </c>
      <c r="K84" s="5" t="str">
        <f>IF(IF(Table48[[#This Row],[Pre or Post]]="Pre",1,0)+IF(Table48[[#This Row],[If Yes]]=1,1,0)=2,1,"")</f>
        <v/>
      </c>
      <c r="L84" s="5" t="str">
        <f>IF(IF(Table48[[#This Row],[Pre or Post]]="Pre",1,0)+IF(Table48[[#This Row],[If No]]=1,1,0)=2,1,"")</f>
        <v/>
      </c>
      <c r="M84" s="5">
        <f>IF(IF(Table48[[#This Row],[Pre or Post]]="Post",1,0)+IF(Table48[[#This Row],[If Yes]]=1,1,0)=2,1,"")</f>
        <v>1</v>
      </c>
      <c r="N84" s="5" t="str">
        <f>IF(IF(Table48[[#This Row],[Pre or Post]]="Post",1,0)+IF(Table48[[#This Row],[If No]]=1,1,0)=2,1,"")</f>
        <v/>
      </c>
    </row>
    <row r="85" spans="1:14">
      <c r="A85" s="1" t="s">
        <v>24</v>
      </c>
      <c r="B85" s="1" t="s">
        <v>25</v>
      </c>
      <c r="C85" s="1">
        <v>19</v>
      </c>
      <c r="D85" s="1" t="s">
        <v>16</v>
      </c>
      <c r="E85" s="1">
        <v>8</v>
      </c>
      <c r="F85" s="1" t="s">
        <v>8</v>
      </c>
      <c r="G85" s="2" t="s">
        <v>9</v>
      </c>
      <c r="H85" s="5">
        <f>IF(Table48[[#This Row],[Response]]="Yes",1,"")</f>
        <v>1</v>
      </c>
      <c r="I85" s="5" t="str">
        <f>IF(Table48[[#This Row],[Response]]="No",1,"")</f>
        <v/>
      </c>
      <c r="J85" s="5">
        <f>IF(SUM(Table48[[#This Row],[If Yes]:[If No]])=1,1,"")</f>
        <v>1</v>
      </c>
      <c r="K85" s="5" t="str">
        <f>IF(IF(Table48[[#This Row],[Pre or Post]]="Pre",1,0)+IF(Table48[[#This Row],[If Yes]]=1,1,0)=2,1,"")</f>
        <v/>
      </c>
      <c r="L85" s="5" t="str">
        <f>IF(IF(Table48[[#This Row],[Pre or Post]]="Pre",1,0)+IF(Table48[[#This Row],[If No]]=1,1,0)=2,1,"")</f>
        <v/>
      </c>
      <c r="M85" s="5">
        <f>IF(IF(Table48[[#This Row],[Pre or Post]]="Post",1,0)+IF(Table48[[#This Row],[If Yes]]=1,1,0)=2,1,"")</f>
        <v>1</v>
      </c>
      <c r="N85" s="5" t="str">
        <f>IF(IF(Table48[[#This Row],[Pre or Post]]="Post",1,0)+IF(Table48[[#This Row],[If No]]=1,1,0)=2,1,"")</f>
        <v/>
      </c>
    </row>
    <row r="86" spans="1:14">
      <c r="A86" s="1" t="s">
        <v>24</v>
      </c>
      <c r="B86" s="1" t="s">
        <v>25</v>
      </c>
      <c r="C86" s="1">
        <v>20</v>
      </c>
      <c r="D86" s="1" t="s">
        <v>16</v>
      </c>
      <c r="E86" s="1">
        <v>8</v>
      </c>
      <c r="F86" s="1" t="s">
        <v>8</v>
      </c>
      <c r="G86" s="2" t="s">
        <v>9</v>
      </c>
      <c r="H86" s="5">
        <f>IF(Table48[[#This Row],[Response]]="Yes",1,"")</f>
        <v>1</v>
      </c>
      <c r="I86" s="5" t="str">
        <f>IF(Table48[[#This Row],[Response]]="No",1,"")</f>
        <v/>
      </c>
      <c r="J86" s="5">
        <f>IF(SUM(Table48[[#This Row],[If Yes]:[If No]])=1,1,"")</f>
        <v>1</v>
      </c>
      <c r="K86" s="5" t="str">
        <f>IF(IF(Table48[[#This Row],[Pre or Post]]="Pre",1,0)+IF(Table48[[#This Row],[If Yes]]=1,1,0)=2,1,"")</f>
        <v/>
      </c>
      <c r="L86" s="5" t="str">
        <f>IF(IF(Table48[[#This Row],[Pre or Post]]="Pre",1,0)+IF(Table48[[#This Row],[If No]]=1,1,0)=2,1,"")</f>
        <v/>
      </c>
      <c r="M86" s="5">
        <f>IF(IF(Table48[[#This Row],[Pre or Post]]="Post",1,0)+IF(Table48[[#This Row],[If Yes]]=1,1,0)=2,1,"")</f>
        <v>1</v>
      </c>
      <c r="N86" s="5" t="str">
        <f>IF(IF(Table48[[#This Row],[Pre or Post]]="Post",1,0)+IF(Table48[[#This Row],[If No]]=1,1,0)=2,1,"")</f>
        <v/>
      </c>
    </row>
    <row r="87" spans="1:14">
      <c r="A87" s="1" t="s">
        <v>24</v>
      </c>
      <c r="B87" s="1" t="s">
        <v>25</v>
      </c>
      <c r="C87" s="1">
        <v>21</v>
      </c>
      <c r="D87" s="1" t="s">
        <v>16</v>
      </c>
      <c r="E87" s="1">
        <v>8</v>
      </c>
      <c r="F87" s="1" t="s">
        <v>9</v>
      </c>
      <c r="G87" s="2" t="s">
        <v>9</v>
      </c>
      <c r="H87" s="5" t="str">
        <f>IF(Table48[[#This Row],[Response]]="Yes",1,"")</f>
        <v/>
      </c>
      <c r="I87" s="5">
        <f>IF(Table48[[#This Row],[Response]]="No",1,"")</f>
        <v>1</v>
      </c>
      <c r="J87" s="5">
        <f>IF(SUM(Table48[[#This Row],[If Yes]:[If No]])=1,1,"")</f>
        <v>1</v>
      </c>
      <c r="K87" s="5" t="str">
        <f>IF(IF(Table48[[#This Row],[Pre or Post]]="Pre",1,0)+IF(Table48[[#This Row],[If Yes]]=1,1,0)=2,1,"")</f>
        <v/>
      </c>
      <c r="L87" s="5" t="str">
        <f>IF(IF(Table48[[#This Row],[Pre or Post]]="Pre",1,0)+IF(Table48[[#This Row],[If No]]=1,1,0)=2,1,"")</f>
        <v/>
      </c>
      <c r="M87" s="5" t="str">
        <f>IF(IF(Table48[[#This Row],[Pre or Post]]="Post",1,0)+IF(Table48[[#This Row],[If Yes]]=1,1,0)=2,1,"")</f>
        <v/>
      </c>
      <c r="N87" s="5">
        <f>IF(IF(Table48[[#This Row],[Pre or Post]]="Post",1,0)+IF(Table48[[#This Row],[If No]]=1,1,0)=2,1,"")</f>
        <v>1</v>
      </c>
    </row>
    <row r="88" spans="1:14">
      <c r="A88" s="2" t="s">
        <v>24</v>
      </c>
      <c r="B88" s="2" t="s">
        <v>28</v>
      </c>
      <c r="C88" s="1">
        <v>1</v>
      </c>
      <c r="D88" s="1" t="s">
        <v>6</v>
      </c>
      <c r="E88" s="1">
        <v>4</v>
      </c>
      <c r="F88" s="1" t="s">
        <v>9</v>
      </c>
      <c r="G88" s="2" t="s">
        <v>8</v>
      </c>
      <c r="H88" s="5" t="str">
        <f>IF(Table48[[#This Row],[Response]]="Yes",1,"")</f>
        <v/>
      </c>
      <c r="I88" s="5">
        <f>IF(Table48[[#This Row],[Response]]="No",1,"")</f>
        <v>1</v>
      </c>
      <c r="J88" s="5">
        <f>IF(SUM(Table48[[#This Row],[If Yes]:[If No]])=1,1,"")</f>
        <v>1</v>
      </c>
      <c r="K88" s="5" t="str">
        <f>IF(IF(Table48[[#This Row],[Pre or Post]]="Pre",1,0)+IF(Table48[[#This Row],[If Yes]]=1,1,0)=2,1,"")</f>
        <v/>
      </c>
      <c r="L88" s="5">
        <f>IF(IF(Table48[[#This Row],[Pre or Post]]="Pre",1,0)+IF(Table48[[#This Row],[If No]]=1,1,0)=2,1,"")</f>
        <v>1</v>
      </c>
      <c r="M88" s="5" t="str">
        <f>IF(IF(Table48[[#This Row],[Pre or Post]]="Post",1,0)+IF(Table48[[#This Row],[If Yes]]=1,1,0)=2,1,"")</f>
        <v/>
      </c>
      <c r="N88" s="5" t="str">
        <f>IF(IF(Table48[[#This Row],[Pre or Post]]="Post",1,0)+IF(Table48[[#This Row],[If No]]=1,1,0)=2,1,"")</f>
        <v/>
      </c>
    </row>
    <row r="89" spans="1:14">
      <c r="A89" s="2" t="s">
        <v>24</v>
      </c>
      <c r="B89" s="2" t="s">
        <v>28</v>
      </c>
      <c r="C89" s="1">
        <v>1</v>
      </c>
      <c r="D89" s="1" t="s">
        <v>16</v>
      </c>
      <c r="E89" s="1">
        <v>8</v>
      </c>
      <c r="F89" s="2" t="s">
        <v>8</v>
      </c>
      <c r="G89" s="2" t="s">
        <v>8</v>
      </c>
      <c r="H89" s="5">
        <f>IF(Table48[[#This Row],[Response]]="Yes",1,"")</f>
        <v>1</v>
      </c>
      <c r="I89" s="5" t="str">
        <f>IF(Table48[[#This Row],[Response]]="No",1,"")</f>
        <v/>
      </c>
      <c r="J89" s="5">
        <f>IF(SUM(Table48[[#This Row],[If Yes]:[If No]])=1,1,"")</f>
        <v>1</v>
      </c>
      <c r="K89" s="5" t="str">
        <f>IF(IF(Table48[[#This Row],[Pre or Post]]="Pre",1,0)+IF(Table48[[#This Row],[If Yes]]=1,1,0)=2,1,"")</f>
        <v/>
      </c>
      <c r="L89" s="5" t="str">
        <f>IF(IF(Table48[[#This Row],[Pre or Post]]="Pre",1,0)+IF(Table48[[#This Row],[If No]]=1,1,0)=2,1,"")</f>
        <v/>
      </c>
      <c r="M89" s="5">
        <f>IF(IF(Table48[[#This Row],[Pre or Post]]="Post",1,0)+IF(Table48[[#This Row],[If Yes]]=1,1,0)=2,1,"")</f>
        <v>1</v>
      </c>
      <c r="N89" s="5" t="str">
        <f>IF(IF(Table48[[#This Row],[Pre or Post]]="Post",1,0)+IF(Table48[[#This Row],[If No]]=1,1,0)=2,1,"")</f>
        <v/>
      </c>
    </row>
    <row r="90" spans="1:14">
      <c r="A90" s="2" t="s">
        <v>24</v>
      </c>
      <c r="B90" s="2" t="s">
        <v>28</v>
      </c>
      <c r="C90" s="1">
        <v>2</v>
      </c>
      <c r="D90" s="1" t="s">
        <v>6</v>
      </c>
      <c r="E90" s="1">
        <v>4</v>
      </c>
      <c r="F90" s="1" t="s">
        <v>8</v>
      </c>
      <c r="G90" s="2" t="s">
        <v>8</v>
      </c>
      <c r="H90" s="5">
        <f>IF(Table48[[#This Row],[Response]]="Yes",1,"")</f>
        <v>1</v>
      </c>
      <c r="I90" s="5" t="str">
        <f>IF(Table48[[#This Row],[Response]]="No",1,"")</f>
        <v/>
      </c>
      <c r="J90" s="5">
        <f>IF(SUM(Table48[[#This Row],[If Yes]:[If No]])=1,1,"")</f>
        <v>1</v>
      </c>
      <c r="K90" s="5">
        <f>IF(IF(Table48[[#This Row],[Pre or Post]]="Pre",1,0)+IF(Table48[[#This Row],[If Yes]]=1,1,0)=2,1,"")</f>
        <v>1</v>
      </c>
      <c r="L90" s="5" t="str">
        <f>IF(IF(Table48[[#This Row],[Pre or Post]]="Pre",1,0)+IF(Table48[[#This Row],[If No]]=1,1,0)=2,1,"")</f>
        <v/>
      </c>
      <c r="M90" s="5" t="str">
        <f>IF(IF(Table48[[#This Row],[Pre or Post]]="Post",1,0)+IF(Table48[[#This Row],[If Yes]]=1,1,0)=2,1,"")</f>
        <v/>
      </c>
      <c r="N90" s="5" t="str">
        <f>IF(IF(Table48[[#This Row],[Pre or Post]]="Post",1,0)+IF(Table48[[#This Row],[If No]]=1,1,0)=2,1,"")</f>
        <v/>
      </c>
    </row>
    <row r="91" spans="1:14">
      <c r="A91" s="2" t="s">
        <v>24</v>
      </c>
      <c r="B91" s="2" t="s">
        <v>28</v>
      </c>
      <c r="C91" s="1">
        <v>2</v>
      </c>
      <c r="D91" s="1" t="s">
        <v>16</v>
      </c>
      <c r="E91" s="1">
        <v>8</v>
      </c>
      <c r="F91" s="2" t="s">
        <v>9</v>
      </c>
      <c r="G91" s="2" t="s">
        <v>8</v>
      </c>
      <c r="H91" s="5" t="str">
        <f>IF(Table48[[#This Row],[Response]]="Yes",1,"")</f>
        <v/>
      </c>
      <c r="I91" s="5">
        <f>IF(Table48[[#This Row],[Response]]="No",1,"")</f>
        <v>1</v>
      </c>
      <c r="J91" s="5">
        <f>IF(SUM(Table48[[#This Row],[If Yes]:[If No]])=1,1,"")</f>
        <v>1</v>
      </c>
      <c r="K91" s="5" t="str">
        <f>IF(IF(Table48[[#This Row],[Pre or Post]]="Pre",1,0)+IF(Table48[[#This Row],[If Yes]]=1,1,0)=2,1,"")</f>
        <v/>
      </c>
      <c r="L91" s="5" t="str">
        <f>IF(IF(Table48[[#This Row],[Pre or Post]]="Pre",1,0)+IF(Table48[[#This Row],[If No]]=1,1,0)=2,1,"")</f>
        <v/>
      </c>
      <c r="M91" s="5" t="str">
        <f>IF(IF(Table48[[#This Row],[Pre or Post]]="Post",1,0)+IF(Table48[[#This Row],[If Yes]]=1,1,0)=2,1,"")</f>
        <v/>
      </c>
      <c r="N91" s="5">
        <f>IF(IF(Table48[[#This Row],[Pre or Post]]="Post",1,0)+IF(Table48[[#This Row],[If No]]=1,1,0)=2,1,"")</f>
        <v>1</v>
      </c>
    </row>
    <row r="92" spans="1:14">
      <c r="A92" s="2" t="s">
        <v>24</v>
      </c>
      <c r="B92" s="2" t="s">
        <v>28</v>
      </c>
      <c r="C92" s="1">
        <v>3</v>
      </c>
      <c r="D92" s="1" t="s">
        <v>6</v>
      </c>
      <c r="E92" s="1">
        <v>4</v>
      </c>
      <c r="F92" s="1" t="s">
        <v>8</v>
      </c>
      <c r="G92" s="2" t="s">
        <v>8</v>
      </c>
      <c r="H92" s="5">
        <f>IF(Table48[[#This Row],[Response]]="Yes",1,"")</f>
        <v>1</v>
      </c>
      <c r="I92" s="5" t="str">
        <f>IF(Table48[[#This Row],[Response]]="No",1,"")</f>
        <v/>
      </c>
      <c r="J92" s="5">
        <f>IF(SUM(Table48[[#This Row],[If Yes]:[If No]])=1,1,"")</f>
        <v>1</v>
      </c>
      <c r="K92" s="5">
        <f>IF(IF(Table48[[#This Row],[Pre or Post]]="Pre",1,0)+IF(Table48[[#This Row],[If Yes]]=1,1,0)=2,1,"")</f>
        <v>1</v>
      </c>
      <c r="L92" s="5" t="str">
        <f>IF(IF(Table48[[#This Row],[Pre or Post]]="Pre",1,0)+IF(Table48[[#This Row],[If No]]=1,1,0)=2,1,"")</f>
        <v/>
      </c>
      <c r="M92" s="5" t="str">
        <f>IF(IF(Table48[[#This Row],[Pre or Post]]="Post",1,0)+IF(Table48[[#This Row],[If Yes]]=1,1,0)=2,1,"")</f>
        <v/>
      </c>
      <c r="N92" s="5" t="str">
        <f>IF(IF(Table48[[#This Row],[Pre or Post]]="Post",1,0)+IF(Table48[[#This Row],[If No]]=1,1,0)=2,1,"")</f>
        <v/>
      </c>
    </row>
    <row r="93" spans="1:14">
      <c r="A93" s="2" t="s">
        <v>24</v>
      </c>
      <c r="B93" s="2" t="s">
        <v>28</v>
      </c>
      <c r="C93" s="1">
        <v>3</v>
      </c>
      <c r="D93" s="1" t="s">
        <v>16</v>
      </c>
      <c r="E93" s="1">
        <v>8</v>
      </c>
      <c r="F93" s="2" t="s">
        <v>9</v>
      </c>
      <c r="G93" s="2" t="s">
        <v>8</v>
      </c>
      <c r="H93" s="5" t="str">
        <f>IF(Table48[[#This Row],[Response]]="Yes",1,"")</f>
        <v/>
      </c>
      <c r="I93" s="5">
        <f>IF(Table48[[#This Row],[Response]]="No",1,"")</f>
        <v>1</v>
      </c>
      <c r="J93" s="5">
        <f>IF(SUM(Table48[[#This Row],[If Yes]:[If No]])=1,1,"")</f>
        <v>1</v>
      </c>
      <c r="K93" s="5" t="str">
        <f>IF(IF(Table48[[#This Row],[Pre or Post]]="Pre",1,0)+IF(Table48[[#This Row],[If Yes]]=1,1,0)=2,1,"")</f>
        <v/>
      </c>
      <c r="L93" s="5" t="str">
        <f>IF(IF(Table48[[#This Row],[Pre or Post]]="Pre",1,0)+IF(Table48[[#This Row],[If No]]=1,1,0)=2,1,"")</f>
        <v/>
      </c>
      <c r="M93" s="5" t="str">
        <f>IF(IF(Table48[[#This Row],[Pre or Post]]="Post",1,0)+IF(Table48[[#This Row],[If Yes]]=1,1,0)=2,1,"")</f>
        <v/>
      </c>
      <c r="N93" s="5">
        <f>IF(IF(Table48[[#This Row],[Pre or Post]]="Post",1,0)+IF(Table48[[#This Row],[If No]]=1,1,0)=2,1,"")</f>
        <v>1</v>
      </c>
    </row>
    <row r="94" spans="1:14">
      <c r="A94" s="2" t="s">
        <v>24</v>
      </c>
      <c r="B94" s="2" t="s">
        <v>28</v>
      </c>
      <c r="C94" s="1">
        <v>4</v>
      </c>
      <c r="D94" s="1" t="s">
        <v>6</v>
      </c>
      <c r="E94" s="1">
        <v>4</v>
      </c>
      <c r="F94" s="1" t="s">
        <v>8</v>
      </c>
      <c r="G94" s="2" t="s">
        <v>8</v>
      </c>
      <c r="H94" s="5">
        <f>IF(Table48[[#This Row],[Response]]="Yes",1,"")</f>
        <v>1</v>
      </c>
      <c r="I94" s="5" t="str">
        <f>IF(Table48[[#This Row],[Response]]="No",1,"")</f>
        <v/>
      </c>
      <c r="J94" s="5">
        <f>IF(SUM(Table48[[#This Row],[If Yes]:[If No]])=1,1,"")</f>
        <v>1</v>
      </c>
      <c r="K94" s="5">
        <f>IF(IF(Table48[[#This Row],[Pre or Post]]="Pre",1,0)+IF(Table48[[#This Row],[If Yes]]=1,1,0)=2,1,"")</f>
        <v>1</v>
      </c>
      <c r="L94" s="5" t="str">
        <f>IF(IF(Table48[[#This Row],[Pre or Post]]="Pre",1,0)+IF(Table48[[#This Row],[If No]]=1,1,0)=2,1,"")</f>
        <v/>
      </c>
      <c r="M94" s="5" t="str">
        <f>IF(IF(Table48[[#This Row],[Pre or Post]]="Post",1,0)+IF(Table48[[#This Row],[If Yes]]=1,1,0)=2,1,"")</f>
        <v/>
      </c>
      <c r="N94" s="5" t="str">
        <f>IF(IF(Table48[[#This Row],[Pre or Post]]="Post",1,0)+IF(Table48[[#This Row],[If No]]=1,1,0)=2,1,"")</f>
        <v/>
      </c>
    </row>
    <row r="95" spans="1:14">
      <c r="A95" s="2" t="s">
        <v>24</v>
      </c>
      <c r="B95" s="2" t="s">
        <v>28</v>
      </c>
      <c r="C95" s="1">
        <v>4</v>
      </c>
      <c r="D95" s="1" t="s">
        <v>16</v>
      </c>
      <c r="E95" s="1">
        <v>8</v>
      </c>
      <c r="F95" s="2" t="s">
        <v>8</v>
      </c>
      <c r="G95" s="2" t="s">
        <v>8</v>
      </c>
      <c r="H95" s="5">
        <f>IF(Table48[[#This Row],[Response]]="Yes",1,"")</f>
        <v>1</v>
      </c>
      <c r="I95" s="5" t="str">
        <f>IF(Table48[[#This Row],[Response]]="No",1,"")</f>
        <v/>
      </c>
      <c r="J95" s="5">
        <f>IF(SUM(Table48[[#This Row],[If Yes]:[If No]])=1,1,"")</f>
        <v>1</v>
      </c>
      <c r="K95" s="5" t="str">
        <f>IF(IF(Table48[[#This Row],[Pre or Post]]="Pre",1,0)+IF(Table48[[#This Row],[If Yes]]=1,1,0)=2,1,"")</f>
        <v/>
      </c>
      <c r="L95" s="5" t="str">
        <f>IF(IF(Table48[[#This Row],[Pre or Post]]="Pre",1,0)+IF(Table48[[#This Row],[If No]]=1,1,0)=2,1,"")</f>
        <v/>
      </c>
      <c r="M95" s="5">
        <f>IF(IF(Table48[[#This Row],[Pre or Post]]="Post",1,0)+IF(Table48[[#This Row],[If Yes]]=1,1,0)=2,1,"")</f>
        <v>1</v>
      </c>
      <c r="N95" s="5" t="str">
        <f>IF(IF(Table48[[#This Row],[Pre or Post]]="Post",1,0)+IF(Table48[[#This Row],[If No]]=1,1,0)=2,1,"")</f>
        <v/>
      </c>
    </row>
    <row r="96" spans="1:14">
      <c r="A96" s="2" t="s">
        <v>24</v>
      </c>
      <c r="B96" s="2" t="s">
        <v>28</v>
      </c>
      <c r="C96" s="1">
        <v>5</v>
      </c>
      <c r="D96" s="1" t="s">
        <v>6</v>
      </c>
      <c r="E96" s="1">
        <v>4</v>
      </c>
      <c r="F96" s="1" t="s">
        <v>9</v>
      </c>
      <c r="G96" s="2" t="s">
        <v>8</v>
      </c>
      <c r="H96" s="5" t="str">
        <f>IF(Table48[[#This Row],[Response]]="Yes",1,"")</f>
        <v/>
      </c>
      <c r="I96" s="5">
        <f>IF(Table48[[#This Row],[Response]]="No",1,"")</f>
        <v>1</v>
      </c>
      <c r="J96" s="5">
        <f>IF(SUM(Table48[[#This Row],[If Yes]:[If No]])=1,1,"")</f>
        <v>1</v>
      </c>
      <c r="K96" s="5" t="str">
        <f>IF(IF(Table48[[#This Row],[Pre or Post]]="Pre",1,0)+IF(Table48[[#This Row],[If Yes]]=1,1,0)=2,1,"")</f>
        <v/>
      </c>
      <c r="L96" s="5">
        <f>IF(IF(Table48[[#This Row],[Pre or Post]]="Pre",1,0)+IF(Table48[[#This Row],[If No]]=1,1,0)=2,1,"")</f>
        <v>1</v>
      </c>
      <c r="M96" s="5" t="str">
        <f>IF(IF(Table48[[#This Row],[Pre or Post]]="Post",1,0)+IF(Table48[[#This Row],[If Yes]]=1,1,0)=2,1,"")</f>
        <v/>
      </c>
      <c r="N96" s="5" t="str">
        <f>IF(IF(Table48[[#This Row],[Pre or Post]]="Post",1,0)+IF(Table48[[#This Row],[If No]]=1,1,0)=2,1,"")</f>
        <v/>
      </c>
    </row>
    <row r="97" spans="1:14">
      <c r="A97" s="2" t="s">
        <v>24</v>
      </c>
      <c r="B97" s="2" t="s">
        <v>28</v>
      </c>
      <c r="C97" s="1">
        <v>5</v>
      </c>
      <c r="D97" s="1" t="s">
        <v>16</v>
      </c>
      <c r="E97" s="1">
        <v>8</v>
      </c>
      <c r="F97" s="2" t="s">
        <v>8</v>
      </c>
      <c r="G97" s="2" t="s">
        <v>8</v>
      </c>
      <c r="H97" s="5">
        <f>IF(Table48[[#This Row],[Response]]="Yes",1,"")</f>
        <v>1</v>
      </c>
      <c r="I97" s="5" t="str">
        <f>IF(Table48[[#This Row],[Response]]="No",1,"")</f>
        <v/>
      </c>
      <c r="J97" s="5">
        <f>IF(SUM(Table48[[#This Row],[If Yes]:[If No]])=1,1,"")</f>
        <v>1</v>
      </c>
      <c r="K97" s="5" t="str">
        <f>IF(IF(Table48[[#This Row],[Pre or Post]]="Pre",1,0)+IF(Table48[[#This Row],[If Yes]]=1,1,0)=2,1,"")</f>
        <v/>
      </c>
      <c r="L97" s="5" t="str">
        <f>IF(IF(Table48[[#This Row],[Pre or Post]]="Pre",1,0)+IF(Table48[[#This Row],[If No]]=1,1,0)=2,1,"")</f>
        <v/>
      </c>
      <c r="M97" s="5">
        <f>IF(IF(Table48[[#This Row],[Pre or Post]]="Post",1,0)+IF(Table48[[#This Row],[If Yes]]=1,1,0)=2,1,"")</f>
        <v>1</v>
      </c>
      <c r="N97" s="5" t="str">
        <f>IF(IF(Table48[[#This Row],[Pre or Post]]="Post",1,0)+IF(Table48[[#This Row],[If No]]=1,1,0)=2,1,"")</f>
        <v/>
      </c>
    </row>
    <row r="98" spans="1:14">
      <c r="A98" s="2" t="s">
        <v>24</v>
      </c>
      <c r="B98" s="2" t="s">
        <v>28</v>
      </c>
      <c r="C98" s="1">
        <v>6</v>
      </c>
      <c r="D98" s="1" t="s">
        <v>6</v>
      </c>
      <c r="E98" s="1">
        <v>4</v>
      </c>
      <c r="F98" s="1" t="s">
        <v>8</v>
      </c>
      <c r="G98" s="2" t="s">
        <v>8</v>
      </c>
      <c r="H98" s="5">
        <f>IF(Table48[[#This Row],[Response]]="Yes",1,"")</f>
        <v>1</v>
      </c>
      <c r="I98" s="5" t="str">
        <f>IF(Table48[[#This Row],[Response]]="No",1,"")</f>
        <v/>
      </c>
      <c r="J98" s="5">
        <f>IF(SUM(Table48[[#This Row],[If Yes]:[If No]])=1,1,"")</f>
        <v>1</v>
      </c>
      <c r="K98" s="5">
        <f>IF(IF(Table48[[#This Row],[Pre or Post]]="Pre",1,0)+IF(Table48[[#This Row],[If Yes]]=1,1,0)=2,1,"")</f>
        <v>1</v>
      </c>
      <c r="L98" s="5" t="str">
        <f>IF(IF(Table48[[#This Row],[Pre or Post]]="Pre",1,0)+IF(Table48[[#This Row],[If No]]=1,1,0)=2,1,"")</f>
        <v/>
      </c>
      <c r="M98" s="5" t="str">
        <f>IF(IF(Table48[[#This Row],[Pre or Post]]="Post",1,0)+IF(Table48[[#This Row],[If Yes]]=1,1,0)=2,1,"")</f>
        <v/>
      </c>
      <c r="N98" s="5" t="str">
        <f>IF(IF(Table48[[#This Row],[Pre or Post]]="Post",1,0)+IF(Table48[[#This Row],[If No]]=1,1,0)=2,1,"")</f>
        <v/>
      </c>
    </row>
    <row r="99" spans="1:14">
      <c r="A99" s="2" t="s">
        <v>24</v>
      </c>
      <c r="B99" s="2" t="s">
        <v>28</v>
      </c>
      <c r="C99" s="1">
        <v>6</v>
      </c>
      <c r="D99" s="1" t="s">
        <v>16</v>
      </c>
      <c r="E99" s="1">
        <v>8</v>
      </c>
      <c r="F99" s="2" t="s">
        <v>8</v>
      </c>
      <c r="G99" s="2" t="s">
        <v>8</v>
      </c>
      <c r="H99" s="5">
        <f>IF(Table48[[#This Row],[Response]]="Yes",1,"")</f>
        <v>1</v>
      </c>
      <c r="I99" s="5" t="str">
        <f>IF(Table48[[#This Row],[Response]]="No",1,"")</f>
        <v/>
      </c>
      <c r="J99" s="5">
        <f>IF(SUM(Table48[[#This Row],[If Yes]:[If No]])=1,1,"")</f>
        <v>1</v>
      </c>
      <c r="K99" s="5" t="str">
        <f>IF(IF(Table48[[#This Row],[Pre or Post]]="Pre",1,0)+IF(Table48[[#This Row],[If Yes]]=1,1,0)=2,1,"")</f>
        <v/>
      </c>
      <c r="L99" s="5" t="str">
        <f>IF(IF(Table48[[#This Row],[Pre or Post]]="Pre",1,0)+IF(Table48[[#This Row],[If No]]=1,1,0)=2,1,"")</f>
        <v/>
      </c>
      <c r="M99" s="5">
        <f>IF(IF(Table48[[#This Row],[Pre or Post]]="Post",1,0)+IF(Table48[[#This Row],[If Yes]]=1,1,0)=2,1,"")</f>
        <v>1</v>
      </c>
      <c r="N99" s="5" t="str">
        <f>IF(IF(Table48[[#This Row],[Pre or Post]]="Post",1,0)+IF(Table48[[#This Row],[If No]]=1,1,0)=2,1,"")</f>
        <v/>
      </c>
    </row>
    <row r="100" spans="1:14">
      <c r="A100" s="2" t="s">
        <v>24</v>
      </c>
      <c r="B100" s="2" t="s">
        <v>28</v>
      </c>
      <c r="C100" s="1">
        <v>7</v>
      </c>
      <c r="D100" s="1" t="s">
        <v>6</v>
      </c>
      <c r="E100" s="1">
        <v>4</v>
      </c>
      <c r="F100" s="1" t="s">
        <v>9</v>
      </c>
      <c r="G100" s="2" t="s">
        <v>8</v>
      </c>
      <c r="H100" s="5" t="str">
        <f>IF(Table48[[#This Row],[Response]]="Yes",1,"")</f>
        <v/>
      </c>
      <c r="I100" s="5">
        <f>IF(Table48[[#This Row],[Response]]="No",1,"")</f>
        <v>1</v>
      </c>
      <c r="J100" s="5">
        <f>IF(SUM(Table48[[#This Row],[If Yes]:[If No]])=1,1,"")</f>
        <v>1</v>
      </c>
      <c r="K100" s="5" t="str">
        <f>IF(IF(Table48[[#This Row],[Pre or Post]]="Pre",1,0)+IF(Table48[[#This Row],[If Yes]]=1,1,0)=2,1,"")</f>
        <v/>
      </c>
      <c r="L100" s="5">
        <f>IF(IF(Table48[[#This Row],[Pre or Post]]="Pre",1,0)+IF(Table48[[#This Row],[If No]]=1,1,0)=2,1,"")</f>
        <v>1</v>
      </c>
      <c r="M100" s="5" t="str">
        <f>IF(IF(Table48[[#This Row],[Pre or Post]]="Post",1,0)+IF(Table48[[#This Row],[If Yes]]=1,1,0)=2,1,"")</f>
        <v/>
      </c>
      <c r="N100" s="5" t="str">
        <f>IF(IF(Table48[[#This Row],[Pre or Post]]="Post",1,0)+IF(Table48[[#This Row],[If No]]=1,1,0)=2,1,"")</f>
        <v/>
      </c>
    </row>
    <row r="101" spans="1:14">
      <c r="A101" s="2" t="s">
        <v>24</v>
      </c>
      <c r="B101" s="2" t="s">
        <v>28</v>
      </c>
      <c r="C101" s="1">
        <v>7</v>
      </c>
      <c r="D101" s="1" t="s">
        <v>16</v>
      </c>
      <c r="E101" s="1">
        <v>8</v>
      </c>
      <c r="F101" s="2" t="s">
        <v>8</v>
      </c>
      <c r="G101" s="2" t="s">
        <v>8</v>
      </c>
      <c r="H101" s="5">
        <f>IF(Table48[[#This Row],[Response]]="Yes",1,"")</f>
        <v>1</v>
      </c>
      <c r="I101" s="5" t="str">
        <f>IF(Table48[[#This Row],[Response]]="No",1,"")</f>
        <v/>
      </c>
      <c r="J101" s="5">
        <f>IF(SUM(Table48[[#This Row],[If Yes]:[If No]])=1,1,"")</f>
        <v>1</v>
      </c>
      <c r="K101" s="5" t="str">
        <f>IF(IF(Table48[[#This Row],[Pre or Post]]="Pre",1,0)+IF(Table48[[#This Row],[If Yes]]=1,1,0)=2,1,"")</f>
        <v/>
      </c>
      <c r="L101" s="5" t="str">
        <f>IF(IF(Table48[[#This Row],[Pre or Post]]="Pre",1,0)+IF(Table48[[#This Row],[If No]]=1,1,0)=2,1,"")</f>
        <v/>
      </c>
      <c r="M101" s="5">
        <f>IF(IF(Table48[[#This Row],[Pre or Post]]="Post",1,0)+IF(Table48[[#This Row],[If Yes]]=1,1,0)=2,1,"")</f>
        <v>1</v>
      </c>
      <c r="N101" s="5" t="str">
        <f>IF(IF(Table48[[#This Row],[Pre or Post]]="Post",1,0)+IF(Table48[[#This Row],[If No]]=1,1,0)=2,1,"")</f>
        <v/>
      </c>
    </row>
    <row r="102" spans="1:14">
      <c r="A102" s="2" t="s">
        <v>24</v>
      </c>
      <c r="B102" s="2" t="s">
        <v>28</v>
      </c>
      <c r="C102" s="1">
        <v>8</v>
      </c>
      <c r="D102" s="1" t="s">
        <v>6</v>
      </c>
      <c r="E102" s="1">
        <v>4</v>
      </c>
      <c r="F102" s="1" t="s">
        <v>9</v>
      </c>
      <c r="G102" s="2" t="s">
        <v>8</v>
      </c>
      <c r="H102" s="5" t="str">
        <f>IF(Table48[[#This Row],[Response]]="Yes",1,"")</f>
        <v/>
      </c>
      <c r="I102" s="5">
        <f>IF(Table48[[#This Row],[Response]]="No",1,"")</f>
        <v>1</v>
      </c>
      <c r="J102" s="5">
        <f>IF(SUM(Table48[[#This Row],[If Yes]:[If No]])=1,1,"")</f>
        <v>1</v>
      </c>
      <c r="K102" s="5" t="str">
        <f>IF(IF(Table48[[#This Row],[Pre or Post]]="Pre",1,0)+IF(Table48[[#This Row],[If Yes]]=1,1,0)=2,1,"")</f>
        <v/>
      </c>
      <c r="L102" s="5">
        <f>IF(IF(Table48[[#This Row],[Pre or Post]]="Pre",1,0)+IF(Table48[[#This Row],[If No]]=1,1,0)=2,1,"")</f>
        <v>1</v>
      </c>
      <c r="M102" s="5" t="str">
        <f>IF(IF(Table48[[#This Row],[Pre or Post]]="Post",1,0)+IF(Table48[[#This Row],[If Yes]]=1,1,0)=2,1,"")</f>
        <v/>
      </c>
      <c r="N102" s="5" t="str">
        <f>IF(IF(Table48[[#This Row],[Pre or Post]]="Post",1,0)+IF(Table48[[#This Row],[If No]]=1,1,0)=2,1,"")</f>
        <v/>
      </c>
    </row>
    <row r="103" spans="1:14">
      <c r="A103" s="2" t="s">
        <v>24</v>
      </c>
      <c r="B103" s="2" t="s">
        <v>28</v>
      </c>
      <c r="C103" s="1">
        <v>8</v>
      </c>
      <c r="D103" s="1" t="s">
        <v>16</v>
      </c>
      <c r="E103" s="1">
        <v>8</v>
      </c>
      <c r="F103" s="1" t="s">
        <v>8</v>
      </c>
      <c r="G103" s="2" t="s">
        <v>8</v>
      </c>
      <c r="H103" s="5">
        <f>IF(Table48[[#This Row],[Response]]="Yes",1,"")</f>
        <v>1</v>
      </c>
      <c r="I103" s="5" t="str">
        <f>IF(Table48[[#This Row],[Response]]="No",1,"")</f>
        <v/>
      </c>
      <c r="J103" s="5">
        <f>IF(SUM(Table48[[#This Row],[If Yes]:[If No]])=1,1,"")</f>
        <v>1</v>
      </c>
      <c r="K103" s="5" t="str">
        <f>IF(IF(Table48[[#This Row],[Pre or Post]]="Pre",1,0)+IF(Table48[[#This Row],[If Yes]]=1,1,0)=2,1,"")</f>
        <v/>
      </c>
      <c r="L103" s="5" t="str">
        <f>IF(IF(Table48[[#This Row],[Pre or Post]]="Pre",1,0)+IF(Table48[[#This Row],[If No]]=1,1,0)=2,1,"")</f>
        <v/>
      </c>
      <c r="M103" s="5">
        <f>IF(IF(Table48[[#This Row],[Pre or Post]]="Post",1,0)+IF(Table48[[#This Row],[If Yes]]=1,1,0)=2,1,"")</f>
        <v>1</v>
      </c>
      <c r="N103" s="5" t="str">
        <f>IF(IF(Table48[[#This Row],[Pre or Post]]="Post",1,0)+IF(Table48[[#This Row],[If No]]=1,1,0)=2,1,"")</f>
        <v/>
      </c>
    </row>
    <row r="104" spans="1:14">
      <c r="A104" s="2" t="s">
        <v>24</v>
      </c>
      <c r="B104" s="2" t="s">
        <v>28</v>
      </c>
      <c r="C104" s="1">
        <v>9</v>
      </c>
      <c r="D104" s="1" t="s">
        <v>6</v>
      </c>
      <c r="E104" s="1">
        <v>4</v>
      </c>
      <c r="F104" s="1" t="s">
        <v>8</v>
      </c>
      <c r="G104" s="2" t="s">
        <v>8</v>
      </c>
      <c r="H104" s="5">
        <f>IF(Table48[[#This Row],[Response]]="Yes",1,"")</f>
        <v>1</v>
      </c>
      <c r="I104" s="5" t="str">
        <f>IF(Table48[[#This Row],[Response]]="No",1,"")</f>
        <v/>
      </c>
      <c r="J104" s="5">
        <f>IF(SUM(Table48[[#This Row],[If Yes]:[If No]])=1,1,"")</f>
        <v>1</v>
      </c>
      <c r="K104" s="5">
        <f>IF(IF(Table48[[#This Row],[Pre or Post]]="Pre",1,0)+IF(Table48[[#This Row],[If Yes]]=1,1,0)=2,1,"")</f>
        <v>1</v>
      </c>
      <c r="L104" s="5" t="str">
        <f>IF(IF(Table48[[#This Row],[Pre or Post]]="Pre",1,0)+IF(Table48[[#This Row],[If No]]=1,1,0)=2,1,"")</f>
        <v/>
      </c>
      <c r="M104" s="5" t="str">
        <f>IF(IF(Table48[[#This Row],[Pre or Post]]="Post",1,0)+IF(Table48[[#This Row],[If Yes]]=1,1,0)=2,1,"")</f>
        <v/>
      </c>
      <c r="N104" s="5" t="str">
        <f>IF(IF(Table48[[#This Row],[Pre or Post]]="Post",1,0)+IF(Table48[[#This Row],[If No]]=1,1,0)=2,1,"")</f>
        <v/>
      </c>
    </row>
    <row r="105" spans="1:14">
      <c r="A105" s="2" t="s">
        <v>24</v>
      </c>
      <c r="B105" s="2" t="s">
        <v>28</v>
      </c>
      <c r="C105" s="1">
        <v>9</v>
      </c>
      <c r="D105" s="1" t="s">
        <v>16</v>
      </c>
      <c r="E105" s="1">
        <v>8</v>
      </c>
      <c r="F105" s="1" t="s">
        <v>9</v>
      </c>
      <c r="G105" s="2" t="s">
        <v>8</v>
      </c>
      <c r="H105" s="5" t="str">
        <f>IF(Table48[[#This Row],[Response]]="Yes",1,"")</f>
        <v/>
      </c>
      <c r="I105" s="5">
        <f>IF(Table48[[#This Row],[Response]]="No",1,"")</f>
        <v>1</v>
      </c>
      <c r="J105" s="5">
        <f>IF(SUM(Table48[[#This Row],[If Yes]:[If No]])=1,1,"")</f>
        <v>1</v>
      </c>
      <c r="K105" s="5" t="str">
        <f>IF(IF(Table48[[#This Row],[Pre or Post]]="Pre",1,0)+IF(Table48[[#This Row],[If Yes]]=1,1,0)=2,1,"")</f>
        <v/>
      </c>
      <c r="L105" s="5" t="str">
        <f>IF(IF(Table48[[#This Row],[Pre or Post]]="Pre",1,0)+IF(Table48[[#This Row],[If No]]=1,1,0)=2,1,"")</f>
        <v/>
      </c>
      <c r="M105" s="5" t="str">
        <f>IF(IF(Table48[[#This Row],[Pre or Post]]="Post",1,0)+IF(Table48[[#This Row],[If Yes]]=1,1,0)=2,1,"")</f>
        <v/>
      </c>
      <c r="N105" s="5">
        <f>IF(IF(Table48[[#This Row],[Pre or Post]]="Post",1,0)+IF(Table48[[#This Row],[If No]]=1,1,0)=2,1,"")</f>
        <v>1</v>
      </c>
    </row>
    <row r="106" spans="1:14">
      <c r="A106" s="2" t="s">
        <v>24</v>
      </c>
      <c r="B106" s="2" t="s">
        <v>28</v>
      </c>
      <c r="C106" s="1">
        <v>10</v>
      </c>
      <c r="D106" s="1" t="s">
        <v>6</v>
      </c>
      <c r="E106" s="1">
        <v>4</v>
      </c>
      <c r="F106" s="1" t="s">
        <v>8</v>
      </c>
      <c r="G106" s="2" t="s">
        <v>8</v>
      </c>
      <c r="H106" s="5">
        <f>IF(Table48[[#This Row],[Response]]="Yes",1,"")</f>
        <v>1</v>
      </c>
      <c r="I106" s="5" t="str">
        <f>IF(Table48[[#This Row],[Response]]="No",1,"")</f>
        <v/>
      </c>
      <c r="J106" s="5">
        <f>IF(SUM(Table48[[#This Row],[If Yes]:[If No]])=1,1,"")</f>
        <v>1</v>
      </c>
      <c r="K106" s="5">
        <f>IF(IF(Table48[[#This Row],[Pre or Post]]="Pre",1,0)+IF(Table48[[#This Row],[If Yes]]=1,1,0)=2,1,"")</f>
        <v>1</v>
      </c>
      <c r="L106" s="5" t="str">
        <f>IF(IF(Table48[[#This Row],[Pre or Post]]="Pre",1,0)+IF(Table48[[#This Row],[If No]]=1,1,0)=2,1,"")</f>
        <v/>
      </c>
      <c r="M106" s="5" t="str">
        <f>IF(IF(Table48[[#This Row],[Pre or Post]]="Post",1,0)+IF(Table48[[#This Row],[If Yes]]=1,1,0)=2,1,"")</f>
        <v/>
      </c>
      <c r="N106" s="5" t="str">
        <f>IF(IF(Table48[[#This Row],[Pre or Post]]="Post",1,0)+IF(Table48[[#This Row],[If No]]=1,1,0)=2,1,"")</f>
        <v/>
      </c>
    </row>
    <row r="107" spans="1:14">
      <c r="A107" s="2" t="s">
        <v>24</v>
      </c>
      <c r="B107" s="2" t="s">
        <v>28</v>
      </c>
      <c r="C107" s="1">
        <v>10</v>
      </c>
      <c r="D107" s="1" t="s">
        <v>16</v>
      </c>
      <c r="E107" s="1">
        <v>8</v>
      </c>
      <c r="G107" s="2" t="s">
        <v>8</v>
      </c>
      <c r="H107" s="5" t="str">
        <f>IF(Table48[[#This Row],[Response]]="Yes",1,"")</f>
        <v/>
      </c>
      <c r="I107" s="5" t="str">
        <f>IF(Table48[[#This Row],[Response]]="No",1,"")</f>
        <v/>
      </c>
      <c r="J107" s="5" t="str">
        <f>IF(SUM(Table48[[#This Row],[If Yes]:[If No]])=1,1,"")</f>
        <v/>
      </c>
      <c r="K107" s="5" t="str">
        <f>IF(IF(Table48[[#This Row],[Pre or Post]]="Pre",1,0)+IF(Table48[[#This Row],[If Yes]]=1,1,0)=2,1,"")</f>
        <v/>
      </c>
      <c r="L107" s="5" t="str">
        <f>IF(IF(Table48[[#This Row],[Pre or Post]]="Pre",1,0)+IF(Table48[[#This Row],[If No]]=1,1,0)=2,1,"")</f>
        <v/>
      </c>
      <c r="M107" s="5" t="str">
        <f>IF(IF(Table48[[#This Row],[Pre or Post]]="Post",1,0)+IF(Table48[[#This Row],[If Yes]]=1,1,0)=2,1,"")</f>
        <v/>
      </c>
      <c r="N107" s="5" t="str">
        <f>IF(IF(Table48[[#This Row],[Pre or Post]]="Post",1,0)+IF(Table48[[#This Row],[If No]]=1,1,0)=2,1,"")</f>
        <v/>
      </c>
    </row>
    <row r="108" spans="1:14">
      <c r="A108" s="2" t="s">
        <v>24</v>
      </c>
      <c r="B108" s="2" t="s">
        <v>28</v>
      </c>
      <c r="C108" s="1">
        <v>11</v>
      </c>
      <c r="D108" s="1" t="s">
        <v>6</v>
      </c>
      <c r="E108" s="1">
        <v>4</v>
      </c>
      <c r="F108" s="1" t="s">
        <v>8</v>
      </c>
      <c r="G108" s="2" t="s">
        <v>8</v>
      </c>
      <c r="H108" s="5">
        <f>IF(Table48[[#This Row],[Response]]="Yes",1,"")</f>
        <v>1</v>
      </c>
      <c r="I108" s="5" t="str">
        <f>IF(Table48[[#This Row],[Response]]="No",1,"")</f>
        <v/>
      </c>
      <c r="J108" s="5">
        <f>IF(SUM(Table48[[#This Row],[If Yes]:[If No]])=1,1,"")</f>
        <v>1</v>
      </c>
      <c r="K108" s="5">
        <f>IF(IF(Table48[[#This Row],[Pre or Post]]="Pre",1,0)+IF(Table48[[#This Row],[If Yes]]=1,1,0)=2,1,"")</f>
        <v>1</v>
      </c>
      <c r="L108" s="5" t="str">
        <f>IF(IF(Table48[[#This Row],[Pre or Post]]="Pre",1,0)+IF(Table48[[#This Row],[If No]]=1,1,0)=2,1,"")</f>
        <v/>
      </c>
      <c r="M108" s="5" t="str">
        <f>IF(IF(Table48[[#This Row],[Pre or Post]]="Post",1,0)+IF(Table48[[#This Row],[If Yes]]=1,1,0)=2,1,"")</f>
        <v/>
      </c>
      <c r="N108" s="5" t="str">
        <f>IF(IF(Table48[[#This Row],[Pre or Post]]="Post",1,0)+IF(Table48[[#This Row],[If No]]=1,1,0)=2,1,"")</f>
        <v/>
      </c>
    </row>
    <row r="109" spans="1:14">
      <c r="A109" s="2" t="s">
        <v>24</v>
      </c>
      <c r="B109" s="2" t="s">
        <v>28</v>
      </c>
      <c r="C109" s="1">
        <v>11</v>
      </c>
      <c r="D109" s="1" t="s">
        <v>16</v>
      </c>
      <c r="E109" s="1">
        <v>8</v>
      </c>
      <c r="F109" s="1" t="s">
        <v>8</v>
      </c>
      <c r="G109" s="2" t="s">
        <v>8</v>
      </c>
      <c r="H109" s="5">
        <f>IF(Table48[[#This Row],[Response]]="Yes",1,"")</f>
        <v>1</v>
      </c>
      <c r="I109" s="5" t="str">
        <f>IF(Table48[[#This Row],[Response]]="No",1,"")</f>
        <v/>
      </c>
      <c r="J109" s="5">
        <f>IF(SUM(Table48[[#This Row],[If Yes]:[If No]])=1,1,"")</f>
        <v>1</v>
      </c>
      <c r="K109" s="5" t="str">
        <f>IF(IF(Table48[[#This Row],[Pre or Post]]="Pre",1,0)+IF(Table48[[#This Row],[If Yes]]=1,1,0)=2,1,"")</f>
        <v/>
      </c>
      <c r="L109" s="5" t="str">
        <f>IF(IF(Table48[[#This Row],[Pre or Post]]="Pre",1,0)+IF(Table48[[#This Row],[If No]]=1,1,0)=2,1,"")</f>
        <v/>
      </c>
      <c r="M109" s="5">
        <f>IF(IF(Table48[[#This Row],[Pre or Post]]="Post",1,0)+IF(Table48[[#This Row],[If Yes]]=1,1,0)=2,1,"")</f>
        <v>1</v>
      </c>
      <c r="N109" s="5" t="str">
        <f>IF(IF(Table48[[#This Row],[Pre or Post]]="Post",1,0)+IF(Table48[[#This Row],[If No]]=1,1,0)=2,1,"")</f>
        <v/>
      </c>
    </row>
    <row r="110" spans="1:14">
      <c r="A110" s="2" t="s">
        <v>24</v>
      </c>
      <c r="B110" s="2" t="s">
        <v>28</v>
      </c>
      <c r="C110" s="1">
        <v>12</v>
      </c>
      <c r="D110" s="1" t="s">
        <v>6</v>
      </c>
      <c r="E110" s="1">
        <v>4</v>
      </c>
      <c r="F110" s="2" t="s">
        <v>8</v>
      </c>
      <c r="G110" s="2" t="s">
        <v>8</v>
      </c>
      <c r="H110" s="5">
        <f>IF(Table48[[#This Row],[Response]]="Yes",1,"")</f>
        <v>1</v>
      </c>
      <c r="I110" s="5" t="str">
        <f>IF(Table48[[#This Row],[Response]]="No",1,"")</f>
        <v/>
      </c>
      <c r="J110" s="5">
        <f>IF(SUM(Table48[[#This Row],[If Yes]:[If No]])=1,1,"")</f>
        <v>1</v>
      </c>
      <c r="K110" s="5">
        <f>IF(IF(Table48[[#This Row],[Pre or Post]]="Pre",1,0)+IF(Table48[[#This Row],[If Yes]]=1,1,0)=2,1,"")</f>
        <v>1</v>
      </c>
      <c r="L110" s="5" t="str">
        <f>IF(IF(Table48[[#This Row],[Pre or Post]]="Pre",1,0)+IF(Table48[[#This Row],[If No]]=1,1,0)=2,1,"")</f>
        <v/>
      </c>
      <c r="M110" s="5" t="str">
        <f>IF(IF(Table48[[#This Row],[Pre or Post]]="Post",1,0)+IF(Table48[[#This Row],[If Yes]]=1,1,0)=2,1,"")</f>
        <v/>
      </c>
      <c r="N110" s="5" t="str">
        <f>IF(IF(Table48[[#This Row],[Pre or Post]]="Post",1,0)+IF(Table48[[#This Row],[If No]]=1,1,0)=2,1,"")</f>
        <v/>
      </c>
    </row>
    <row r="111" spans="1:14">
      <c r="A111" s="2" t="s">
        <v>24</v>
      </c>
      <c r="B111" s="2" t="s">
        <v>28</v>
      </c>
      <c r="C111" s="1">
        <v>12</v>
      </c>
      <c r="D111" s="1" t="s">
        <v>16</v>
      </c>
      <c r="E111" s="1">
        <v>8</v>
      </c>
      <c r="F111" s="1" t="s">
        <v>9</v>
      </c>
      <c r="G111" s="2" t="s">
        <v>8</v>
      </c>
      <c r="H111" s="5" t="str">
        <f>IF(Table48[[#This Row],[Response]]="Yes",1,"")</f>
        <v/>
      </c>
      <c r="I111" s="5">
        <f>IF(Table48[[#This Row],[Response]]="No",1,"")</f>
        <v>1</v>
      </c>
      <c r="J111" s="5">
        <f>IF(SUM(Table48[[#This Row],[If Yes]:[If No]])=1,1,"")</f>
        <v>1</v>
      </c>
      <c r="K111" s="5" t="str">
        <f>IF(IF(Table48[[#This Row],[Pre or Post]]="Pre",1,0)+IF(Table48[[#This Row],[If Yes]]=1,1,0)=2,1,"")</f>
        <v/>
      </c>
      <c r="L111" s="5" t="str">
        <f>IF(IF(Table48[[#This Row],[Pre or Post]]="Pre",1,0)+IF(Table48[[#This Row],[If No]]=1,1,0)=2,1,"")</f>
        <v/>
      </c>
      <c r="M111" s="5" t="str">
        <f>IF(IF(Table48[[#This Row],[Pre or Post]]="Post",1,0)+IF(Table48[[#This Row],[If Yes]]=1,1,0)=2,1,"")</f>
        <v/>
      </c>
      <c r="N111" s="5">
        <f>IF(IF(Table48[[#This Row],[Pre or Post]]="Post",1,0)+IF(Table48[[#This Row],[If No]]=1,1,0)=2,1,"")</f>
        <v>1</v>
      </c>
    </row>
    <row r="112" spans="1:14">
      <c r="A112" s="2" t="s">
        <v>24</v>
      </c>
      <c r="B112" s="2" t="s">
        <v>28</v>
      </c>
      <c r="C112" s="1">
        <v>13</v>
      </c>
      <c r="D112" s="1" t="s">
        <v>6</v>
      </c>
      <c r="E112" s="1">
        <v>4</v>
      </c>
      <c r="F112" s="2" t="s">
        <v>8</v>
      </c>
      <c r="G112" s="2" t="s">
        <v>8</v>
      </c>
      <c r="H112" s="5">
        <f>IF(Table48[[#This Row],[Response]]="Yes",1,"")</f>
        <v>1</v>
      </c>
      <c r="I112" s="5" t="str">
        <f>IF(Table48[[#This Row],[Response]]="No",1,"")</f>
        <v/>
      </c>
      <c r="J112" s="5">
        <f>IF(SUM(Table48[[#This Row],[If Yes]:[If No]])=1,1,"")</f>
        <v>1</v>
      </c>
      <c r="K112" s="5">
        <f>IF(IF(Table48[[#This Row],[Pre or Post]]="Pre",1,0)+IF(Table48[[#This Row],[If Yes]]=1,1,0)=2,1,"")</f>
        <v>1</v>
      </c>
      <c r="L112" s="5" t="str">
        <f>IF(IF(Table48[[#This Row],[Pre or Post]]="Pre",1,0)+IF(Table48[[#This Row],[If No]]=1,1,0)=2,1,"")</f>
        <v/>
      </c>
      <c r="M112" s="5" t="str">
        <f>IF(IF(Table48[[#This Row],[Pre or Post]]="Post",1,0)+IF(Table48[[#This Row],[If Yes]]=1,1,0)=2,1,"")</f>
        <v/>
      </c>
      <c r="N112" s="5" t="str">
        <f>IF(IF(Table48[[#This Row],[Pre or Post]]="Post",1,0)+IF(Table48[[#This Row],[If No]]=1,1,0)=2,1,"")</f>
        <v/>
      </c>
    </row>
    <row r="113" spans="1:14">
      <c r="A113" s="2" t="s">
        <v>24</v>
      </c>
      <c r="B113" s="2" t="s">
        <v>28</v>
      </c>
      <c r="C113" s="1">
        <v>13</v>
      </c>
      <c r="D113" s="1" t="s">
        <v>16</v>
      </c>
      <c r="E113" s="1">
        <v>8</v>
      </c>
      <c r="F113" s="1" t="s">
        <v>8</v>
      </c>
      <c r="G113" s="2" t="s">
        <v>8</v>
      </c>
      <c r="H113" s="5">
        <f>IF(Table48[[#This Row],[Response]]="Yes",1,"")</f>
        <v>1</v>
      </c>
      <c r="I113" s="5" t="str">
        <f>IF(Table48[[#This Row],[Response]]="No",1,"")</f>
        <v/>
      </c>
      <c r="J113" s="5">
        <f>IF(SUM(Table48[[#This Row],[If Yes]:[If No]])=1,1,"")</f>
        <v>1</v>
      </c>
      <c r="K113" s="5" t="str">
        <f>IF(IF(Table48[[#This Row],[Pre or Post]]="Pre",1,0)+IF(Table48[[#This Row],[If Yes]]=1,1,0)=2,1,"")</f>
        <v/>
      </c>
      <c r="L113" s="5" t="str">
        <f>IF(IF(Table48[[#This Row],[Pre or Post]]="Pre",1,0)+IF(Table48[[#This Row],[If No]]=1,1,0)=2,1,"")</f>
        <v/>
      </c>
      <c r="M113" s="5">
        <f>IF(IF(Table48[[#This Row],[Pre or Post]]="Post",1,0)+IF(Table48[[#This Row],[If Yes]]=1,1,0)=2,1,"")</f>
        <v>1</v>
      </c>
      <c r="N113" s="5" t="str">
        <f>IF(IF(Table48[[#This Row],[Pre or Post]]="Post",1,0)+IF(Table48[[#This Row],[If No]]=1,1,0)=2,1,"")</f>
        <v/>
      </c>
    </row>
    <row r="114" spans="1:14">
      <c r="A114" s="2" t="s">
        <v>24</v>
      </c>
      <c r="B114" s="2" t="s">
        <v>31</v>
      </c>
      <c r="C114" s="1">
        <v>1</v>
      </c>
      <c r="D114" s="2" t="s">
        <v>16</v>
      </c>
      <c r="E114" s="1">
        <v>8</v>
      </c>
      <c r="F114" s="1" t="s">
        <v>8</v>
      </c>
      <c r="G114" s="2" t="s">
        <v>9</v>
      </c>
      <c r="H114" s="5">
        <f>IF(Table48[[#This Row],[Response]]="Yes",1,"")</f>
        <v>1</v>
      </c>
      <c r="I114" s="5" t="str">
        <f>IF(Table48[[#This Row],[Response]]="No",1,"")</f>
        <v/>
      </c>
      <c r="J114" s="5">
        <f>IF(SUM(Table48[[#This Row],[If Yes]:[If No]])=1,1,"")</f>
        <v>1</v>
      </c>
      <c r="K114" s="5" t="str">
        <f>IF(IF(Table48[[#This Row],[Pre or Post]]="Pre",1,0)+IF(Table48[[#This Row],[If Yes]]=1,1,0)=2,1,"")</f>
        <v/>
      </c>
      <c r="L114" s="5" t="str">
        <f>IF(IF(Table48[[#This Row],[Pre or Post]]="Pre",1,0)+IF(Table48[[#This Row],[If No]]=1,1,0)=2,1,"")</f>
        <v/>
      </c>
      <c r="M114" s="5">
        <f>IF(IF(Table48[[#This Row],[Pre or Post]]="Post",1,0)+IF(Table48[[#This Row],[If Yes]]=1,1,0)=2,1,"")</f>
        <v>1</v>
      </c>
      <c r="N114" s="5" t="str">
        <f>IF(IF(Table48[[#This Row],[Pre or Post]]="Post",1,0)+IF(Table48[[#This Row],[If No]]=1,1,0)=2,1,"")</f>
        <v/>
      </c>
    </row>
    <row r="115" spans="1:14">
      <c r="A115" s="2" t="s">
        <v>24</v>
      </c>
      <c r="B115" s="2" t="s">
        <v>31</v>
      </c>
      <c r="C115" s="1">
        <v>2</v>
      </c>
      <c r="D115" s="2" t="s">
        <v>16</v>
      </c>
      <c r="E115" s="1">
        <v>8</v>
      </c>
      <c r="G115" s="2" t="s">
        <v>9</v>
      </c>
      <c r="H115" s="5" t="str">
        <f>IF(Table48[[#This Row],[Response]]="Yes",1,"")</f>
        <v/>
      </c>
      <c r="I115" s="5" t="str">
        <f>IF(Table48[[#This Row],[Response]]="No",1,"")</f>
        <v/>
      </c>
      <c r="J115" s="5" t="str">
        <f>IF(SUM(Table48[[#This Row],[If Yes]:[If No]])=1,1,"")</f>
        <v/>
      </c>
      <c r="K115" s="5" t="str">
        <f>IF(IF(Table48[[#This Row],[Pre or Post]]="Pre",1,0)+IF(Table48[[#This Row],[If Yes]]=1,1,0)=2,1,"")</f>
        <v/>
      </c>
      <c r="L115" s="5" t="str">
        <f>IF(IF(Table48[[#This Row],[Pre or Post]]="Pre",1,0)+IF(Table48[[#This Row],[If No]]=1,1,0)=2,1,"")</f>
        <v/>
      </c>
      <c r="M115" s="5" t="str">
        <f>IF(IF(Table48[[#This Row],[Pre or Post]]="Post",1,0)+IF(Table48[[#This Row],[If Yes]]=1,1,0)=2,1,"")</f>
        <v/>
      </c>
      <c r="N115" s="5" t="str">
        <f>IF(IF(Table48[[#This Row],[Pre or Post]]="Post",1,0)+IF(Table48[[#This Row],[If No]]=1,1,0)=2,1,"")</f>
        <v/>
      </c>
    </row>
    <row r="116" spans="1:14">
      <c r="A116" s="2" t="s">
        <v>24</v>
      </c>
      <c r="B116" s="2" t="s">
        <v>31</v>
      </c>
      <c r="C116" s="1">
        <v>3</v>
      </c>
      <c r="D116" s="2" t="s">
        <v>16</v>
      </c>
      <c r="E116" s="1">
        <v>8</v>
      </c>
      <c r="F116" s="1" t="s">
        <v>8</v>
      </c>
      <c r="G116" s="2" t="s">
        <v>9</v>
      </c>
      <c r="H116" s="5">
        <f>IF(Table48[[#This Row],[Response]]="Yes",1,"")</f>
        <v>1</v>
      </c>
      <c r="I116" s="5" t="str">
        <f>IF(Table48[[#This Row],[Response]]="No",1,"")</f>
        <v/>
      </c>
      <c r="J116" s="5">
        <f>IF(SUM(Table48[[#This Row],[If Yes]:[If No]])=1,1,"")</f>
        <v>1</v>
      </c>
      <c r="K116" s="5" t="str">
        <f>IF(IF(Table48[[#This Row],[Pre or Post]]="Pre",1,0)+IF(Table48[[#This Row],[If Yes]]=1,1,0)=2,1,"")</f>
        <v/>
      </c>
      <c r="L116" s="5" t="str">
        <f>IF(IF(Table48[[#This Row],[Pre or Post]]="Pre",1,0)+IF(Table48[[#This Row],[If No]]=1,1,0)=2,1,"")</f>
        <v/>
      </c>
      <c r="M116" s="5">
        <f>IF(IF(Table48[[#This Row],[Pre or Post]]="Post",1,0)+IF(Table48[[#This Row],[If Yes]]=1,1,0)=2,1,"")</f>
        <v>1</v>
      </c>
      <c r="N116" s="5" t="str">
        <f>IF(IF(Table48[[#This Row],[Pre or Post]]="Post",1,0)+IF(Table48[[#This Row],[If No]]=1,1,0)=2,1,"")</f>
        <v/>
      </c>
    </row>
    <row r="117" spans="1:14">
      <c r="A117" s="2" t="s">
        <v>24</v>
      </c>
      <c r="B117" s="2" t="s">
        <v>31</v>
      </c>
      <c r="C117" s="1">
        <v>4</v>
      </c>
      <c r="D117" s="2" t="s">
        <v>16</v>
      </c>
      <c r="E117" s="1">
        <v>8</v>
      </c>
      <c r="F117" s="1" t="s">
        <v>8</v>
      </c>
      <c r="G117" s="2" t="s">
        <v>9</v>
      </c>
      <c r="H117" s="5">
        <f>IF(Table48[[#This Row],[Response]]="Yes",1,"")</f>
        <v>1</v>
      </c>
      <c r="I117" s="5" t="str">
        <f>IF(Table48[[#This Row],[Response]]="No",1,"")</f>
        <v/>
      </c>
      <c r="J117" s="5">
        <f>IF(SUM(Table48[[#This Row],[If Yes]:[If No]])=1,1,"")</f>
        <v>1</v>
      </c>
      <c r="K117" s="5" t="str">
        <f>IF(IF(Table48[[#This Row],[Pre or Post]]="Pre",1,0)+IF(Table48[[#This Row],[If Yes]]=1,1,0)=2,1,"")</f>
        <v/>
      </c>
      <c r="L117" s="5" t="str">
        <f>IF(IF(Table48[[#This Row],[Pre or Post]]="Pre",1,0)+IF(Table48[[#This Row],[If No]]=1,1,0)=2,1,"")</f>
        <v/>
      </c>
      <c r="M117" s="5">
        <f>IF(IF(Table48[[#This Row],[Pre or Post]]="Post",1,0)+IF(Table48[[#This Row],[If Yes]]=1,1,0)=2,1,"")</f>
        <v>1</v>
      </c>
      <c r="N117" s="5" t="str">
        <f>IF(IF(Table48[[#This Row],[Pre or Post]]="Post",1,0)+IF(Table48[[#This Row],[If No]]=1,1,0)=2,1,"")</f>
        <v/>
      </c>
    </row>
    <row r="118" spans="1:14">
      <c r="A118" s="2" t="s">
        <v>24</v>
      </c>
      <c r="B118" s="2" t="s">
        <v>31</v>
      </c>
      <c r="C118" s="1">
        <v>5</v>
      </c>
      <c r="D118" s="2" t="s">
        <v>16</v>
      </c>
      <c r="E118" s="1">
        <v>8</v>
      </c>
      <c r="G118" s="2" t="s">
        <v>9</v>
      </c>
      <c r="H118" s="5" t="str">
        <f>IF(Table48[[#This Row],[Response]]="Yes",1,"")</f>
        <v/>
      </c>
      <c r="I118" s="5" t="str">
        <f>IF(Table48[[#This Row],[Response]]="No",1,"")</f>
        <v/>
      </c>
      <c r="J118" s="5" t="str">
        <f>IF(SUM(Table48[[#This Row],[If Yes]:[If No]])=1,1,"")</f>
        <v/>
      </c>
      <c r="K118" s="5" t="str">
        <f>IF(IF(Table48[[#This Row],[Pre or Post]]="Pre",1,0)+IF(Table48[[#This Row],[If Yes]]=1,1,0)=2,1,"")</f>
        <v/>
      </c>
      <c r="L118" s="5" t="str">
        <f>IF(IF(Table48[[#This Row],[Pre or Post]]="Pre",1,0)+IF(Table48[[#This Row],[If No]]=1,1,0)=2,1,"")</f>
        <v/>
      </c>
      <c r="M118" s="5" t="str">
        <f>IF(IF(Table48[[#This Row],[Pre or Post]]="Post",1,0)+IF(Table48[[#This Row],[If Yes]]=1,1,0)=2,1,"")</f>
        <v/>
      </c>
      <c r="N118" s="5" t="str">
        <f>IF(IF(Table48[[#This Row],[Pre or Post]]="Post",1,0)+IF(Table48[[#This Row],[If No]]=1,1,0)=2,1,"")</f>
        <v/>
      </c>
    </row>
    <row r="119" spans="1:14">
      <c r="A119" s="2" t="s">
        <v>24</v>
      </c>
      <c r="B119" s="2" t="s">
        <v>31</v>
      </c>
      <c r="C119" s="1">
        <v>6</v>
      </c>
      <c r="D119" s="2" t="s">
        <v>16</v>
      </c>
      <c r="E119" s="1">
        <v>8</v>
      </c>
      <c r="G119" s="2" t="s">
        <v>9</v>
      </c>
      <c r="H119" s="5" t="str">
        <f>IF(Table48[[#This Row],[Response]]="Yes",1,"")</f>
        <v/>
      </c>
      <c r="I119" s="5" t="str">
        <f>IF(Table48[[#This Row],[Response]]="No",1,"")</f>
        <v/>
      </c>
      <c r="J119" s="5" t="str">
        <f>IF(SUM(Table48[[#This Row],[If Yes]:[If No]])=1,1,"")</f>
        <v/>
      </c>
      <c r="K119" s="5" t="str">
        <f>IF(IF(Table48[[#This Row],[Pre or Post]]="Pre",1,0)+IF(Table48[[#This Row],[If Yes]]=1,1,0)=2,1,"")</f>
        <v/>
      </c>
      <c r="L119" s="5" t="str">
        <f>IF(IF(Table48[[#This Row],[Pre or Post]]="Pre",1,0)+IF(Table48[[#This Row],[If No]]=1,1,0)=2,1,"")</f>
        <v/>
      </c>
      <c r="M119" s="5" t="str">
        <f>IF(IF(Table48[[#This Row],[Pre or Post]]="Post",1,0)+IF(Table48[[#This Row],[If Yes]]=1,1,0)=2,1,"")</f>
        <v/>
      </c>
      <c r="N119" s="5" t="str">
        <f>IF(IF(Table48[[#This Row],[Pre or Post]]="Post",1,0)+IF(Table48[[#This Row],[If No]]=1,1,0)=2,1,"")</f>
        <v/>
      </c>
    </row>
    <row r="120" spans="1:14">
      <c r="A120" s="2" t="s">
        <v>24</v>
      </c>
      <c r="B120" s="2" t="s">
        <v>31</v>
      </c>
      <c r="C120" s="1">
        <v>7</v>
      </c>
      <c r="D120" s="2" t="s">
        <v>16</v>
      </c>
      <c r="E120" s="1">
        <v>8</v>
      </c>
      <c r="F120" s="1" t="s">
        <v>8</v>
      </c>
      <c r="G120" s="2" t="s">
        <v>9</v>
      </c>
      <c r="H120" s="5">
        <f>IF(Table48[[#This Row],[Response]]="Yes",1,"")</f>
        <v>1</v>
      </c>
      <c r="I120" s="5" t="str">
        <f>IF(Table48[[#This Row],[Response]]="No",1,"")</f>
        <v/>
      </c>
      <c r="J120" s="5">
        <f>IF(SUM(Table48[[#This Row],[If Yes]:[If No]])=1,1,"")</f>
        <v>1</v>
      </c>
      <c r="K120" s="5" t="str">
        <f>IF(IF(Table48[[#This Row],[Pre or Post]]="Pre",1,0)+IF(Table48[[#This Row],[If Yes]]=1,1,0)=2,1,"")</f>
        <v/>
      </c>
      <c r="L120" s="5" t="str">
        <f>IF(IF(Table48[[#This Row],[Pre or Post]]="Pre",1,0)+IF(Table48[[#This Row],[If No]]=1,1,0)=2,1,"")</f>
        <v/>
      </c>
      <c r="M120" s="5">
        <f>IF(IF(Table48[[#This Row],[Pre or Post]]="Post",1,0)+IF(Table48[[#This Row],[If Yes]]=1,1,0)=2,1,"")</f>
        <v>1</v>
      </c>
      <c r="N120" s="5" t="str">
        <f>IF(IF(Table48[[#This Row],[Pre or Post]]="Post",1,0)+IF(Table48[[#This Row],[If No]]=1,1,0)=2,1,"")</f>
        <v/>
      </c>
    </row>
    <row r="121" spans="1:14">
      <c r="A121" s="2" t="s">
        <v>24</v>
      </c>
      <c r="B121" s="2" t="s">
        <v>31</v>
      </c>
      <c r="C121" s="1">
        <v>8</v>
      </c>
      <c r="D121" s="2" t="s">
        <v>16</v>
      </c>
      <c r="E121" s="1">
        <v>8</v>
      </c>
      <c r="F121" s="1" t="s">
        <v>8</v>
      </c>
      <c r="G121" s="2" t="s">
        <v>9</v>
      </c>
      <c r="H121" s="5">
        <f>IF(Table48[[#This Row],[Response]]="Yes",1,"")</f>
        <v>1</v>
      </c>
      <c r="I121" s="5" t="str">
        <f>IF(Table48[[#This Row],[Response]]="No",1,"")</f>
        <v/>
      </c>
      <c r="J121" s="5">
        <f>IF(SUM(Table48[[#This Row],[If Yes]:[If No]])=1,1,"")</f>
        <v>1</v>
      </c>
      <c r="K121" s="5" t="str">
        <f>IF(IF(Table48[[#This Row],[Pre or Post]]="Pre",1,0)+IF(Table48[[#This Row],[If Yes]]=1,1,0)=2,1,"")</f>
        <v/>
      </c>
      <c r="L121" s="5" t="str">
        <f>IF(IF(Table48[[#This Row],[Pre or Post]]="Pre",1,0)+IF(Table48[[#This Row],[If No]]=1,1,0)=2,1,"")</f>
        <v/>
      </c>
      <c r="M121" s="5">
        <f>IF(IF(Table48[[#This Row],[Pre or Post]]="Post",1,0)+IF(Table48[[#This Row],[If Yes]]=1,1,0)=2,1,"")</f>
        <v>1</v>
      </c>
      <c r="N121" s="5" t="str">
        <f>IF(IF(Table48[[#This Row],[Pre or Post]]="Post",1,0)+IF(Table48[[#This Row],[If No]]=1,1,0)=2,1,"")</f>
        <v/>
      </c>
    </row>
    <row r="122" spans="1:14">
      <c r="A122" s="2" t="s">
        <v>24</v>
      </c>
      <c r="B122" s="2" t="s">
        <v>31</v>
      </c>
      <c r="C122" s="1">
        <v>9</v>
      </c>
      <c r="D122" s="2" t="s">
        <v>16</v>
      </c>
      <c r="E122" s="1">
        <v>8</v>
      </c>
      <c r="F122" s="1" t="s">
        <v>8</v>
      </c>
      <c r="G122" s="2" t="s">
        <v>9</v>
      </c>
      <c r="H122" s="5">
        <f>IF(Table48[[#This Row],[Response]]="Yes",1,"")</f>
        <v>1</v>
      </c>
      <c r="I122" s="5" t="str">
        <f>IF(Table48[[#This Row],[Response]]="No",1,"")</f>
        <v/>
      </c>
      <c r="J122" s="5">
        <f>IF(SUM(Table48[[#This Row],[If Yes]:[If No]])=1,1,"")</f>
        <v>1</v>
      </c>
      <c r="K122" s="5" t="str">
        <f>IF(IF(Table48[[#This Row],[Pre or Post]]="Pre",1,0)+IF(Table48[[#This Row],[If Yes]]=1,1,0)=2,1,"")</f>
        <v/>
      </c>
      <c r="L122" s="5" t="str">
        <f>IF(IF(Table48[[#This Row],[Pre or Post]]="Pre",1,0)+IF(Table48[[#This Row],[If No]]=1,1,0)=2,1,"")</f>
        <v/>
      </c>
      <c r="M122" s="5">
        <f>IF(IF(Table48[[#This Row],[Pre or Post]]="Post",1,0)+IF(Table48[[#This Row],[If Yes]]=1,1,0)=2,1,"")</f>
        <v>1</v>
      </c>
      <c r="N122" s="5" t="str">
        <f>IF(IF(Table48[[#This Row],[Pre or Post]]="Post",1,0)+IF(Table48[[#This Row],[If No]]=1,1,0)=2,1,"")</f>
        <v/>
      </c>
    </row>
    <row r="123" spans="1:14">
      <c r="A123" s="2" t="s">
        <v>24</v>
      </c>
      <c r="B123" s="2" t="s">
        <v>31</v>
      </c>
      <c r="C123" s="1">
        <v>10</v>
      </c>
      <c r="D123" s="2" t="s">
        <v>16</v>
      </c>
      <c r="E123" s="1">
        <v>8</v>
      </c>
      <c r="F123" s="1" t="s">
        <v>8</v>
      </c>
      <c r="G123" s="2" t="s">
        <v>9</v>
      </c>
      <c r="H123" s="5">
        <f>IF(Table48[[#This Row],[Response]]="Yes",1,"")</f>
        <v>1</v>
      </c>
      <c r="I123" s="5" t="str">
        <f>IF(Table48[[#This Row],[Response]]="No",1,"")</f>
        <v/>
      </c>
      <c r="J123" s="5">
        <f>IF(SUM(Table48[[#This Row],[If Yes]:[If No]])=1,1,"")</f>
        <v>1</v>
      </c>
      <c r="K123" s="5" t="str">
        <f>IF(IF(Table48[[#This Row],[Pre or Post]]="Pre",1,0)+IF(Table48[[#This Row],[If Yes]]=1,1,0)=2,1,"")</f>
        <v/>
      </c>
      <c r="L123" s="5" t="str">
        <f>IF(IF(Table48[[#This Row],[Pre or Post]]="Pre",1,0)+IF(Table48[[#This Row],[If No]]=1,1,0)=2,1,"")</f>
        <v/>
      </c>
      <c r="M123" s="5">
        <f>IF(IF(Table48[[#This Row],[Pre or Post]]="Post",1,0)+IF(Table48[[#This Row],[If Yes]]=1,1,0)=2,1,"")</f>
        <v>1</v>
      </c>
      <c r="N123" s="5" t="str">
        <f>IF(IF(Table48[[#This Row],[Pre or Post]]="Post",1,0)+IF(Table48[[#This Row],[If No]]=1,1,0)=2,1,"")</f>
        <v/>
      </c>
    </row>
    <row r="124" spans="1:14">
      <c r="A124" s="2" t="s">
        <v>24</v>
      </c>
      <c r="B124" s="2" t="s">
        <v>31</v>
      </c>
      <c r="C124" s="1">
        <v>11</v>
      </c>
      <c r="D124" s="2" t="s">
        <v>16</v>
      </c>
      <c r="E124" s="1">
        <v>8</v>
      </c>
      <c r="F124" s="1" t="s">
        <v>8</v>
      </c>
      <c r="G124" s="2" t="s">
        <v>9</v>
      </c>
      <c r="H124" s="5">
        <f>IF(Table48[[#This Row],[Response]]="Yes",1,"")</f>
        <v>1</v>
      </c>
      <c r="I124" s="5" t="str">
        <f>IF(Table48[[#This Row],[Response]]="No",1,"")</f>
        <v/>
      </c>
      <c r="J124" s="5">
        <f>IF(SUM(Table48[[#This Row],[If Yes]:[If No]])=1,1,"")</f>
        <v>1</v>
      </c>
      <c r="K124" s="5" t="str">
        <f>IF(IF(Table48[[#This Row],[Pre or Post]]="Pre",1,0)+IF(Table48[[#This Row],[If Yes]]=1,1,0)=2,1,"")</f>
        <v/>
      </c>
      <c r="L124" s="5" t="str">
        <f>IF(IF(Table48[[#This Row],[Pre or Post]]="Pre",1,0)+IF(Table48[[#This Row],[If No]]=1,1,0)=2,1,"")</f>
        <v/>
      </c>
      <c r="M124" s="5">
        <f>IF(IF(Table48[[#This Row],[Pre or Post]]="Post",1,0)+IF(Table48[[#This Row],[If Yes]]=1,1,0)=2,1,"")</f>
        <v>1</v>
      </c>
      <c r="N124" s="5" t="str">
        <f>IF(IF(Table48[[#This Row],[Pre or Post]]="Post",1,0)+IF(Table48[[#This Row],[If No]]=1,1,0)=2,1,"")</f>
        <v/>
      </c>
    </row>
    <row r="125" spans="1:14">
      <c r="A125" s="2" t="s">
        <v>24</v>
      </c>
      <c r="B125" s="2" t="s">
        <v>31</v>
      </c>
      <c r="C125" s="1">
        <v>12</v>
      </c>
      <c r="D125" s="2" t="s">
        <v>16</v>
      </c>
      <c r="E125" s="1">
        <v>8</v>
      </c>
      <c r="F125" s="1" t="s">
        <v>8</v>
      </c>
      <c r="G125" s="2" t="s">
        <v>9</v>
      </c>
      <c r="H125" s="5">
        <f>IF(Table48[[#This Row],[Response]]="Yes",1,"")</f>
        <v>1</v>
      </c>
      <c r="I125" s="5" t="str">
        <f>IF(Table48[[#This Row],[Response]]="No",1,"")</f>
        <v/>
      </c>
      <c r="J125" s="5">
        <f>IF(SUM(Table48[[#This Row],[If Yes]:[If No]])=1,1,"")</f>
        <v>1</v>
      </c>
      <c r="K125" s="5" t="str">
        <f>IF(IF(Table48[[#This Row],[Pre or Post]]="Pre",1,0)+IF(Table48[[#This Row],[If Yes]]=1,1,0)=2,1,"")</f>
        <v/>
      </c>
      <c r="L125" s="5" t="str">
        <f>IF(IF(Table48[[#This Row],[Pre or Post]]="Pre",1,0)+IF(Table48[[#This Row],[If No]]=1,1,0)=2,1,"")</f>
        <v/>
      </c>
      <c r="M125" s="5">
        <f>IF(IF(Table48[[#This Row],[Pre or Post]]="Post",1,0)+IF(Table48[[#This Row],[If Yes]]=1,1,0)=2,1,"")</f>
        <v>1</v>
      </c>
      <c r="N125" s="5" t="str">
        <f>IF(IF(Table48[[#This Row],[Pre or Post]]="Post",1,0)+IF(Table48[[#This Row],[If No]]=1,1,0)=2,1,"")</f>
        <v/>
      </c>
    </row>
    <row r="126" spans="1:14">
      <c r="A126" s="2" t="s">
        <v>24</v>
      </c>
      <c r="B126" s="2" t="s">
        <v>31</v>
      </c>
      <c r="C126" s="1">
        <v>13</v>
      </c>
      <c r="D126" s="2" t="s">
        <v>16</v>
      </c>
      <c r="E126" s="1">
        <v>8</v>
      </c>
      <c r="F126" s="1" t="s">
        <v>9</v>
      </c>
      <c r="G126" s="2" t="s">
        <v>9</v>
      </c>
      <c r="H126" s="5" t="str">
        <f>IF(Table48[[#This Row],[Response]]="Yes",1,"")</f>
        <v/>
      </c>
      <c r="I126" s="5">
        <f>IF(Table48[[#This Row],[Response]]="No",1,"")</f>
        <v>1</v>
      </c>
      <c r="J126" s="5">
        <f>IF(SUM(Table48[[#This Row],[If Yes]:[If No]])=1,1,"")</f>
        <v>1</v>
      </c>
      <c r="K126" s="5" t="str">
        <f>IF(IF(Table48[[#This Row],[Pre or Post]]="Pre",1,0)+IF(Table48[[#This Row],[If Yes]]=1,1,0)=2,1,"")</f>
        <v/>
      </c>
      <c r="L126" s="5" t="str">
        <f>IF(IF(Table48[[#This Row],[Pre or Post]]="Pre",1,0)+IF(Table48[[#This Row],[If No]]=1,1,0)=2,1,"")</f>
        <v/>
      </c>
      <c r="M126" s="5" t="str">
        <f>IF(IF(Table48[[#This Row],[Pre or Post]]="Post",1,0)+IF(Table48[[#This Row],[If Yes]]=1,1,0)=2,1,"")</f>
        <v/>
      </c>
      <c r="N126" s="5">
        <f>IF(IF(Table48[[#This Row],[Pre or Post]]="Post",1,0)+IF(Table48[[#This Row],[If No]]=1,1,0)=2,1,"")</f>
        <v>1</v>
      </c>
    </row>
    <row r="127" spans="1:14">
      <c r="A127" s="2" t="s">
        <v>24</v>
      </c>
      <c r="B127" s="2" t="s">
        <v>31</v>
      </c>
      <c r="C127" s="1">
        <v>14</v>
      </c>
      <c r="D127" s="2" t="s">
        <v>16</v>
      </c>
      <c r="E127" s="1">
        <v>8</v>
      </c>
      <c r="G127" s="2" t="s">
        <v>9</v>
      </c>
      <c r="H127" s="5" t="str">
        <f>IF(Table48[[#This Row],[Response]]="Yes",1,"")</f>
        <v/>
      </c>
      <c r="I127" s="5" t="str">
        <f>IF(Table48[[#This Row],[Response]]="No",1,"")</f>
        <v/>
      </c>
      <c r="J127" s="5" t="str">
        <f>IF(SUM(Table48[[#This Row],[If Yes]:[If No]])=1,1,"")</f>
        <v/>
      </c>
      <c r="K127" s="5" t="str">
        <f>IF(IF(Table48[[#This Row],[Pre or Post]]="Pre",1,0)+IF(Table48[[#This Row],[If Yes]]=1,1,0)=2,1,"")</f>
        <v/>
      </c>
      <c r="L127" s="5" t="str">
        <f>IF(IF(Table48[[#This Row],[Pre or Post]]="Pre",1,0)+IF(Table48[[#This Row],[If No]]=1,1,0)=2,1,"")</f>
        <v/>
      </c>
      <c r="M127" s="5" t="str">
        <f>IF(IF(Table48[[#This Row],[Pre or Post]]="Post",1,0)+IF(Table48[[#This Row],[If Yes]]=1,1,0)=2,1,"")</f>
        <v/>
      </c>
      <c r="N127" s="5" t="str">
        <f>IF(IF(Table48[[#This Row],[Pre or Post]]="Post",1,0)+IF(Table48[[#This Row],[If No]]=1,1,0)=2,1,"")</f>
        <v/>
      </c>
    </row>
    <row r="128" spans="1:14">
      <c r="A128" s="2" t="s">
        <v>24</v>
      </c>
      <c r="B128" s="2" t="s">
        <v>31</v>
      </c>
      <c r="C128" s="1">
        <v>15</v>
      </c>
      <c r="D128" s="2" t="s">
        <v>16</v>
      </c>
      <c r="E128" s="1">
        <v>8</v>
      </c>
      <c r="F128" s="1" t="s">
        <v>8</v>
      </c>
      <c r="G128" s="2" t="s">
        <v>9</v>
      </c>
      <c r="H128" s="5">
        <f>IF(Table48[[#This Row],[Response]]="Yes",1,"")</f>
        <v>1</v>
      </c>
      <c r="I128" s="5" t="str">
        <f>IF(Table48[[#This Row],[Response]]="No",1,"")</f>
        <v/>
      </c>
      <c r="J128" s="5">
        <f>IF(SUM(Table48[[#This Row],[If Yes]:[If No]])=1,1,"")</f>
        <v>1</v>
      </c>
      <c r="K128" s="5" t="str">
        <f>IF(IF(Table48[[#This Row],[Pre or Post]]="Pre",1,0)+IF(Table48[[#This Row],[If Yes]]=1,1,0)=2,1,"")</f>
        <v/>
      </c>
      <c r="L128" s="5" t="str">
        <f>IF(IF(Table48[[#This Row],[Pre or Post]]="Pre",1,0)+IF(Table48[[#This Row],[If No]]=1,1,0)=2,1,"")</f>
        <v/>
      </c>
      <c r="M128" s="5">
        <f>IF(IF(Table48[[#This Row],[Pre or Post]]="Post",1,0)+IF(Table48[[#This Row],[If Yes]]=1,1,0)=2,1,"")</f>
        <v>1</v>
      </c>
      <c r="N128" s="5" t="str">
        <f>IF(IF(Table48[[#This Row],[Pre or Post]]="Post",1,0)+IF(Table48[[#This Row],[If No]]=1,1,0)=2,1,"")</f>
        <v/>
      </c>
    </row>
    <row r="129" spans="1:14">
      <c r="A129" s="2" t="s">
        <v>24</v>
      </c>
      <c r="B129" s="2" t="s">
        <v>26</v>
      </c>
      <c r="C129" s="1">
        <v>1</v>
      </c>
      <c r="D129" s="1" t="s">
        <v>6</v>
      </c>
      <c r="E129" s="1">
        <v>4</v>
      </c>
      <c r="F129" s="1" t="s">
        <v>9</v>
      </c>
      <c r="G129" s="2" t="s">
        <v>8</v>
      </c>
      <c r="H129" s="5" t="str">
        <f>IF(Table48[[#This Row],[Response]]="Yes",1,"")</f>
        <v/>
      </c>
      <c r="I129" s="5">
        <f>IF(Table48[[#This Row],[Response]]="No",1,"")</f>
        <v>1</v>
      </c>
      <c r="J129" s="5">
        <f>IF(SUM(Table48[[#This Row],[If Yes]:[If No]])=1,1,"")</f>
        <v>1</v>
      </c>
      <c r="K129" s="5" t="str">
        <f>IF(IF(Table48[[#This Row],[Pre or Post]]="Pre",1,0)+IF(Table48[[#This Row],[If Yes]]=1,1,0)=2,1,"")</f>
        <v/>
      </c>
      <c r="L129" s="5">
        <f>IF(IF(Table48[[#This Row],[Pre or Post]]="Pre",1,0)+IF(Table48[[#This Row],[If No]]=1,1,0)=2,1,"")</f>
        <v>1</v>
      </c>
      <c r="M129" s="5" t="str">
        <f>IF(IF(Table48[[#This Row],[Pre or Post]]="Post",1,0)+IF(Table48[[#This Row],[If Yes]]=1,1,0)=2,1,"")</f>
        <v/>
      </c>
      <c r="N129" s="5" t="str">
        <f>IF(IF(Table48[[#This Row],[Pre or Post]]="Post",1,0)+IF(Table48[[#This Row],[If No]]=1,1,0)=2,1,"")</f>
        <v/>
      </c>
    </row>
    <row r="130" spans="1:14">
      <c r="A130" s="2" t="s">
        <v>24</v>
      </c>
      <c r="B130" s="2" t="s">
        <v>26</v>
      </c>
      <c r="C130" s="1">
        <v>1</v>
      </c>
      <c r="D130" s="1" t="s">
        <v>16</v>
      </c>
      <c r="E130" s="1">
        <v>8</v>
      </c>
      <c r="F130" s="1" t="s">
        <v>8</v>
      </c>
      <c r="G130" s="2" t="s">
        <v>8</v>
      </c>
      <c r="H130" s="5">
        <f>IF(Table48[[#This Row],[Response]]="Yes",1,"")</f>
        <v>1</v>
      </c>
      <c r="I130" s="5" t="str">
        <f>IF(Table48[[#This Row],[Response]]="No",1,"")</f>
        <v/>
      </c>
      <c r="J130" s="5">
        <f>IF(SUM(Table48[[#This Row],[If Yes]:[If No]])=1,1,"")</f>
        <v>1</v>
      </c>
      <c r="K130" s="5" t="str">
        <f>IF(IF(Table48[[#This Row],[Pre or Post]]="Pre",1,0)+IF(Table48[[#This Row],[If Yes]]=1,1,0)=2,1,"")</f>
        <v/>
      </c>
      <c r="L130" s="5" t="str">
        <f>IF(IF(Table48[[#This Row],[Pre or Post]]="Pre",1,0)+IF(Table48[[#This Row],[If No]]=1,1,0)=2,1,"")</f>
        <v/>
      </c>
      <c r="M130" s="5">
        <f>IF(IF(Table48[[#This Row],[Pre or Post]]="Post",1,0)+IF(Table48[[#This Row],[If Yes]]=1,1,0)=2,1,"")</f>
        <v>1</v>
      </c>
      <c r="N130" s="5" t="str">
        <f>IF(IF(Table48[[#This Row],[Pre or Post]]="Post",1,0)+IF(Table48[[#This Row],[If No]]=1,1,0)=2,1,"")</f>
        <v/>
      </c>
    </row>
    <row r="131" spans="1:14">
      <c r="A131" s="2" t="s">
        <v>24</v>
      </c>
      <c r="B131" s="2" t="s">
        <v>26</v>
      </c>
      <c r="C131" s="1">
        <v>2</v>
      </c>
      <c r="D131" s="1" t="s">
        <v>6</v>
      </c>
      <c r="E131" s="1">
        <v>4</v>
      </c>
      <c r="F131" s="1" t="s">
        <v>9</v>
      </c>
      <c r="G131" s="2" t="s">
        <v>8</v>
      </c>
      <c r="H131" s="5" t="str">
        <f>IF(Table48[[#This Row],[Response]]="Yes",1,"")</f>
        <v/>
      </c>
      <c r="I131" s="5">
        <f>IF(Table48[[#This Row],[Response]]="No",1,"")</f>
        <v>1</v>
      </c>
      <c r="J131" s="5">
        <f>IF(SUM(Table48[[#This Row],[If Yes]:[If No]])=1,1,"")</f>
        <v>1</v>
      </c>
      <c r="K131" s="5" t="str">
        <f>IF(IF(Table48[[#This Row],[Pre or Post]]="Pre",1,0)+IF(Table48[[#This Row],[If Yes]]=1,1,0)=2,1,"")</f>
        <v/>
      </c>
      <c r="L131" s="5">
        <f>IF(IF(Table48[[#This Row],[Pre or Post]]="Pre",1,0)+IF(Table48[[#This Row],[If No]]=1,1,0)=2,1,"")</f>
        <v>1</v>
      </c>
      <c r="M131" s="5" t="str">
        <f>IF(IF(Table48[[#This Row],[Pre or Post]]="Post",1,0)+IF(Table48[[#This Row],[If Yes]]=1,1,0)=2,1,"")</f>
        <v/>
      </c>
      <c r="N131" s="5" t="str">
        <f>IF(IF(Table48[[#This Row],[Pre or Post]]="Post",1,0)+IF(Table48[[#This Row],[If No]]=1,1,0)=2,1,"")</f>
        <v/>
      </c>
    </row>
    <row r="132" spans="1:14">
      <c r="A132" s="2" t="s">
        <v>24</v>
      </c>
      <c r="B132" s="2" t="s">
        <v>26</v>
      </c>
      <c r="C132" s="1">
        <v>2</v>
      </c>
      <c r="D132" s="1" t="s">
        <v>16</v>
      </c>
      <c r="E132" s="1">
        <v>8</v>
      </c>
      <c r="F132" s="1" t="s">
        <v>9</v>
      </c>
      <c r="G132" s="2" t="s">
        <v>8</v>
      </c>
      <c r="H132" s="5" t="str">
        <f>IF(Table48[[#This Row],[Response]]="Yes",1,"")</f>
        <v/>
      </c>
      <c r="I132" s="5">
        <f>IF(Table48[[#This Row],[Response]]="No",1,"")</f>
        <v>1</v>
      </c>
      <c r="J132" s="5">
        <f>IF(SUM(Table48[[#This Row],[If Yes]:[If No]])=1,1,"")</f>
        <v>1</v>
      </c>
      <c r="K132" s="5" t="str">
        <f>IF(IF(Table48[[#This Row],[Pre or Post]]="Pre",1,0)+IF(Table48[[#This Row],[If Yes]]=1,1,0)=2,1,"")</f>
        <v/>
      </c>
      <c r="L132" s="5" t="str">
        <f>IF(IF(Table48[[#This Row],[Pre or Post]]="Pre",1,0)+IF(Table48[[#This Row],[If No]]=1,1,0)=2,1,"")</f>
        <v/>
      </c>
      <c r="M132" s="5" t="str">
        <f>IF(IF(Table48[[#This Row],[Pre or Post]]="Post",1,0)+IF(Table48[[#This Row],[If Yes]]=1,1,0)=2,1,"")</f>
        <v/>
      </c>
      <c r="N132" s="5">
        <f>IF(IF(Table48[[#This Row],[Pre or Post]]="Post",1,0)+IF(Table48[[#This Row],[If No]]=1,1,0)=2,1,"")</f>
        <v>1</v>
      </c>
    </row>
    <row r="133" spans="1:14">
      <c r="A133" s="2" t="s">
        <v>24</v>
      </c>
      <c r="B133" s="2" t="s">
        <v>26</v>
      </c>
      <c r="C133" s="1">
        <v>3</v>
      </c>
      <c r="D133" s="1" t="s">
        <v>6</v>
      </c>
      <c r="E133" s="1">
        <v>4</v>
      </c>
      <c r="F133" s="1" t="s">
        <v>9</v>
      </c>
      <c r="G133" s="2" t="s">
        <v>8</v>
      </c>
      <c r="H133" s="5" t="str">
        <f>IF(Table48[[#This Row],[Response]]="Yes",1,"")</f>
        <v/>
      </c>
      <c r="I133" s="5">
        <f>IF(Table48[[#This Row],[Response]]="No",1,"")</f>
        <v>1</v>
      </c>
      <c r="J133" s="5">
        <f>IF(SUM(Table48[[#This Row],[If Yes]:[If No]])=1,1,"")</f>
        <v>1</v>
      </c>
      <c r="K133" s="5" t="str">
        <f>IF(IF(Table48[[#This Row],[Pre or Post]]="Pre",1,0)+IF(Table48[[#This Row],[If Yes]]=1,1,0)=2,1,"")</f>
        <v/>
      </c>
      <c r="L133" s="5">
        <f>IF(IF(Table48[[#This Row],[Pre or Post]]="Pre",1,0)+IF(Table48[[#This Row],[If No]]=1,1,0)=2,1,"")</f>
        <v>1</v>
      </c>
      <c r="M133" s="5" t="str">
        <f>IF(IF(Table48[[#This Row],[Pre or Post]]="Post",1,0)+IF(Table48[[#This Row],[If Yes]]=1,1,0)=2,1,"")</f>
        <v/>
      </c>
      <c r="N133" s="5" t="str">
        <f>IF(IF(Table48[[#This Row],[Pre or Post]]="Post",1,0)+IF(Table48[[#This Row],[If No]]=1,1,0)=2,1,"")</f>
        <v/>
      </c>
    </row>
    <row r="134" spans="1:14">
      <c r="A134" s="2" t="s">
        <v>24</v>
      </c>
      <c r="B134" s="2" t="s">
        <v>26</v>
      </c>
      <c r="C134" s="1">
        <v>3</v>
      </c>
      <c r="D134" s="1" t="s">
        <v>16</v>
      </c>
      <c r="E134" s="1">
        <v>8</v>
      </c>
      <c r="F134" s="1" t="s">
        <v>9</v>
      </c>
      <c r="G134" s="2" t="s">
        <v>8</v>
      </c>
      <c r="H134" s="5" t="str">
        <f>IF(Table48[[#This Row],[Response]]="Yes",1,"")</f>
        <v/>
      </c>
      <c r="I134" s="5">
        <f>IF(Table48[[#This Row],[Response]]="No",1,"")</f>
        <v>1</v>
      </c>
      <c r="J134" s="5">
        <f>IF(SUM(Table48[[#This Row],[If Yes]:[If No]])=1,1,"")</f>
        <v>1</v>
      </c>
      <c r="K134" s="5" t="str">
        <f>IF(IF(Table48[[#This Row],[Pre or Post]]="Pre",1,0)+IF(Table48[[#This Row],[If Yes]]=1,1,0)=2,1,"")</f>
        <v/>
      </c>
      <c r="L134" s="5" t="str">
        <f>IF(IF(Table48[[#This Row],[Pre or Post]]="Pre",1,0)+IF(Table48[[#This Row],[If No]]=1,1,0)=2,1,"")</f>
        <v/>
      </c>
      <c r="M134" s="5" t="str">
        <f>IF(IF(Table48[[#This Row],[Pre or Post]]="Post",1,0)+IF(Table48[[#This Row],[If Yes]]=1,1,0)=2,1,"")</f>
        <v/>
      </c>
      <c r="N134" s="5">
        <f>IF(IF(Table48[[#This Row],[Pre or Post]]="Post",1,0)+IF(Table48[[#This Row],[If No]]=1,1,0)=2,1,"")</f>
        <v>1</v>
      </c>
    </row>
    <row r="135" spans="1:14">
      <c r="A135" s="2" t="s">
        <v>24</v>
      </c>
      <c r="B135" s="2" t="s">
        <v>26</v>
      </c>
      <c r="C135" s="1">
        <v>4</v>
      </c>
      <c r="D135" s="1" t="s">
        <v>6</v>
      </c>
      <c r="E135" s="1">
        <v>4</v>
      </c>
      <c r="F135" s="1" t="s">
        <v>8</v>
      </c>
      <c r="G135" s="2" t="s">
        <v>8</v>
      </c>
      <c r="H135" s="5">
        <f>IF(Table48[[#This Row],[Response]]="Yes",1,"")</f>
        <v>1</v>
      </c>
      <c r="I135" s="5" t="str">
        <f>IF(Table48[[#This Row],[Response]]="No",1,"")</f>
        <v/>
      </c>
      <c r="J135" s="5">
        <f>IF(SUM(Table48[[#This Row],[If Yes]:[If No]])=1,1,"")</f>
        <v>1</v>
      </c>
      <c r="K135" s="5">
        <f>IF(IF(Table48[[#This Row],[Pre or Post]]="Pre",1,0)+IF(Table48[[#This Row],[If Yes]]=1,1,0)=2,1,"")</f>
        <v>1</v>
      </c>
      <c r="L135" s="5" t="str">
        <f>IF(IF(Table48[[#This Row],[Pre or Post]]="Pre",1,0)+IF(Table48[[#This Row],[If No]]=1,1,0)=2,1,"")</f>
        <v/>
      </c>
      <c r="M135" s="5" t="str">
        <f>IF(IF(Table48[[#This Row],[Pre or Post]]="Post",1,0)+IF(Table48[[#This Row],[If Yes]]=1,1,0)=2,1,"")</f>
        <v/>
      </c>
      <c r="N135" s="5" t="str">
        <f>IF(IF(Table48[[#This Row],[Pre or Post]]="Post",1,0)+IF(Table48[[#This Row],[If No]]=1,1,0)=2,1,"")</f>
        <v/>
      </c>
    </row>
    <row r="136" spans="1:14">
      <c r="A136" s="2" t="s">
        <v>24</v>
      </c>
      <c r="B136" s="2" t="s">
        <v>26</v>
      </c>
      <c r="C136" s="1">
        <v>4</v>
      </c>
      <c r="D136" s="1" t="s">
        <v>16</v>
      </c>
      <c r="E136" s="1">
        <v>8</v>
      </c>
      <c r="F136" s="1" t="s">
        <v>9</v>
      </c>
      <c r="G136" s="2" t="s">
        <v>8</v>
      </c>
      <c r="H136" s="5" t="str">
        <f>IF(Table48[[#This Row],[Response]]="Yes",1,"")</f>
        <v/>
      </c>
      <c r="I136" s="5">
        <f>IF(Table48[[#This Row],[Response]]="No",1,"")</f>
        <v>1</v>
      </c>
      <c r="J136" s="5">
        <f>IF(SUM(Table48[[#This Row],[If Yes]:[If No]])=1,1,"")</f>
        <v>1</v>
      </c>
      <c r="K136" s="5" t="str">
        <f>IF(IF(Table48[[#This Row],[Pre or Post]]="Pre",1,0)+IF(Table48[[#This Row],[If Yes]]=1,1,0)=2,1,"")</f>
        <v/>
      </c>
      <c r="L136" s="5" t="str">
        <f>IF(IF(Table48[[#This Row],[Pre or Post]]="Pre",1,0)+IF(Table48[[#This Row],[If No]]=1,1,0)=2,1,"")</f>
        <v/>
      </c>
      <c r="M136" s="5" t="str">
        <f>IF(IF(Table48[[#This Row],[Pre or Post]]="Post",1,0)+IF(Table48[[#This Row],[If Yes]]=1,1,0)=2,1,"")</f>
        <v/>
      </c>
      <c r="N136" s="5">
        <f>IF(IF(Table48[[#This Row],[Pre or Post]]="Post",1,0)+IF(Table48[[#This Row],[If No]]=1,1,0)=2,1,"")</f>
        <v>1</v>
      </c>
    </row>
    <row r="137" spans="1:14">
      <c r="A137" s="2" t="s">
        <v>24</v>
      </c>
      <c r="B137" s="2" t="s">
        <v>26</v>
      </c>
      <c r="C137" s="1">
        <v>5</v>
      </c>
      <c r="D137" s="1" t="s">
        <v>6</v>
      </c>
      <c r="E137" s="1">
        <v>4</v>
      </c>
      <c r="F137" s="1" t="s">
        <v>8</v>
      </c>
      <c r="G137" s="2" t="s">
        <v>8</v>
      </c>
      <c r="H137" s="5">
        <f>IF(Table48[[#This Row],[Response]]="Yes",1,"")</f>
        <v>1</v>
      </c>
      <c r="I137" s="5" t="str">
        <f>IF(Table48[[#This Row],[Response]]="No",1,"")</f>
        <v/>
      </c>
      <c r="J137" s="5">
        <f>IF(SUM(Table48[[#This Row],[If Yes]:[If No]])=1,1,"")</f>
        <v>1</v>
      </c>
      <c r="K137" s="5">
        <f>IF(IF(Table48[[#This Row],[Pre or Post]]="Pre",1,0)+IF(Table48[[#This Row],[If Yes]]=1,1,0)=2,1,"")</f>
        <v>1</v>
      </c>
      <c r="L137" s="5" t="str">
        <f>IF(IF(Table48[[#This Row],[Pre or Post]]="Pre",1,0)+IF(Table48[[#This Row],[If No]]=1,1,0)=2,1,"")</f>
        <v/>
      </c>
      <c r="M137" s="5" t="str">
        <f>IF(IF(Table48[[#This Row],[Pre or Post]]="Post",1,0)+IF(Table48[[#This Row],[If Yes]]=1,1,0)=2,1,"")</f>
        <v/>
      </c>
      <c r="N137" s="5" t="str">
        <f>IF(IF(Table48[[#This Row],[Pre or Post]]="Post",1,0)+IF(Table48[[#This Row],[If No]]=1,1,0)=2,1,"")</f>
        <v/>
      </c>
    </row>
    <row r="138" spans="1:14">
      <c r="A138" s="2" t="s">
        <v>24</v>
      </c>
      <c r="B138" s="2" t="s">
        <v>26</v>
      </c>
      <c r="C138" s="1">
        <v>5</v>
      </c>
      <c r="D138" s="1" t="s">
        <v>16</v>
      </c>
      <c r="E138" s="1">
        <v>8</v>
      </c>
      <c r="F138" s="1" t="s">
        <v>8</v>
      </c>
      <c r="G138" s="2" t="s">
        <v>8</v>
      </c>
      <c r="H138" s="5">
        <f>IF(Table48[[#This Row],[Response]]="Yes",1,"")</f>
        <v>1</v>
      </c>
      <c r="I138" s="5" t="str">
        <f>IF(Table48[[#This Row],[Response]]="No",1,"")</f>
        <v/>
      </c>
      <c r="J138" s="5">
        <f>IF(SUM(Table48[[#This Row],[If Yes]:[If No]])=1,1,"")</f>
        <v>1</v>
      </c>
      <c r="K138" s="5" t="str">
        <f>IF(IF(Table48[[#This Row],[Pre or Post]]="Pre",1,0)+IF(Table48[[#This Row],[If Yes]]=1,1,0)=2,1,"")</f>
        <v/>
      </c>
      <c r="L138" s="5" t="str">
        <f>IF(IF(Table48[[#This Row],[Pre or Post]]="Pre",1,0)+IF(Table48[[#This Row],[If No]]=1,1,0)=2,1,"")</f>
        <v/>
      </c>
      <c r="M138" s="5">
        <f>IF(IF(Table48[[#This Row],[Pre or Post]]="Post",1,0)+IF(Table48[[#This Row],[If Yes]]=1,1,0)=2,1,"")</f>
        <v>1</v>
      </c>
      <c r="N138" s="5" t="str">
        <f>IF(IF(Table48[[#This Row],[Pre or Post]]="Post",1,0)+IF(Table48[[#This Row],[If No]]=1,1,0)=2,1,"")</f>
        <v/>
      </c>
    </row>
    <row r="139" spans="1:14">
      <c r="A139" s="2" t="s">
        <v>24</v>
      </c>
      <c r="B139" s="2" t="s">
        <v>26</v>
      </c>
      <c r="C139" s="1">
        <v>6</v>
      </c>
      <c r="D139" s="1" t="s">
        <v>6</v>
      </c>
      <c r="E139" s="1">
        <v>4</v>
      </c>
      <c r="F139" s="1" t="s">
        <v>9</v>
      </c>
      <c r="G139" s="2" t="s">
        <v>8</v>
      </c>
      <c r="H139" s="5" t="str">
        <f>IF(Table48[[#This Row],[Response]]="Yes",1,"")</f>
        <v/>
      </c>
      <c r="I139" s="5">
        <f>IF(Table48[[#This Row],[Response]]="No",1,"")</f>
        <v>1</v>
      </c>
      <c r="J139" s="5">
        <f>IF(SUM(Table48[[#This Row],[If Yes]:[If No]])=1,1,"")</f>
        <v>1</v>
      </c>
      <c r="K139" s="5" t="str">
        <f>IF(IF(Table48[[#This Row],[Pre or Post]]="Pre",1,0)+IF(Table48[[#This Row],[If Yes]]=1,1,0)=2,1,"")</f>
        <v/>
      </c>
      <c r="L139" s="5">
        <f>IF(IF(Table48[[#This Row],[Pre or Post]]="Pre",1,0)+IF(Table48[[#This Row],[If No]]=1,1,0)=2,1,"")</f>
        <v>1</v>
      </c>
      <c r="M139" s="5" t="str">
        <f>IF(IF(Table48[[#This Row],[Pre or Post]]="Post",1,0)+IF(Table48[[#This Row],[If Yes]]=1,1,0)=2,1,"")</f>
        <v/>
      </c>
      <c r="N139" s="5" t="str">
        <f>IF(IF(Table48[[#This Row],[Pre or Post]]="Post",1,0)+IF(Table48[[#This Row],[If No]]=1,1,0)=2,1,"")</f>
        <v/>
      </c>
    </row>
    <row r="140" spans="1:14">
      <c r="A140" s="2" t="s">
        <v>24</v>
      </c>
      <c r="B140" s="2" t="s">
        <v>26</v>
      </c>
      <c r="C140" s="1">
        <v>6</v>
      </c>
      <c r="D140" s="1" t="s">
        <v>16</v>
      </c>
      <c r="E140" s="1">
        <v>8</v>
      </c>
      <c r="F140" s="1" t="s">
        <v>8</v>
      </c>
      <c r="G140" s="2" t="s">
        <v>8</v>
      </c>
      <c r="H140" s="5">
        <f>IF(Table48[[#This Row],[Response]]="Yes",1,"")</f>
        <v>1</v>
      </c>
      <c r="I140" s="5" t="str">
        <f>IF(Table48[[#This Row],[Response]]="No",1,"")</f>
        <v/>
      </c>
      <c r="J140" s="5">
        <f>IF(SUM(Table48[[#This Row],[If Yes]:[If No]])=1,1,"")</f>
        <v>1</v>
      </c>
      <c r="K140" s="5" t="str">
        <f>IF(IF(Table48[[#This Row],[Pre or Post]]="Pre",1,0)+IF(Table48[[#This Row],[If Yes]]=1,1,0)=2,1,"")</f>
        <v/>
      </c>
      <c r="L140" s="5" t="str">
        <f>IF(IF(Table48[[#This Row],[Pre or Post]]="Pre",1,0)+IF(Table48[[#This Row],[If No]]=1,1,0)=2,1,"")</f>
        <v/>
      </c>
      <c r="M140" s="5">
        <f>IF(IF(Table48[[#This Row],[Pre or Post]]="Post",1,0)+IF(Table48[[#This Row],[If Yes]]=1,1,0)=2,1,"")</f>
        <v>1</v>
      </c>
      <c r="N140" s="5" t="str">
        <f>IF(IF(Table48[[#This Row],[Pre or Post]]="Post",1,0)+IF(Table48[[#This Row],[If No]]=1,1,0)=2,1,"")</f>
        <v/>
      </c>
    </row>
    <row r="141" spans="1:14">
      <c r="A141" s="2" t="s">
        <v>24</v>
      </c>
      <c r="B141" s="2" t="s">
        <v>26</v>
      </c>
      <c r="C141" s="1">
        <v>7</v>
      </c>
      <c r="D141" s="1" t="s">
        <v>6</v>
      </c>
      <c r="E141" s="1">
        <v>4</v>
      </c>
      <c r="F141" s="1" t="s">
        <v>9</v>
      </c>
      <c r="G141" s="2" t="s">
        <v>8</v>
      </c>
      <c r="H141" s="5" t="str">
        <f>IF(Table48[[#This Row],[Response]]="Yes",1,"")</f>
        <v/>
      </c>
      <c r="I141" s="5">
        <f>IF(Table48[[#This Row],[Response]]="No",1,"")</f>
        <v>1</v>
      </c>
      <c r="J141" s="5">
        <f>IF(SUM(Table48[[#This Row],[If Yes]:[If No]])=1,1,"")</f>
        <v>1</v>
      </c>
      <c r="K141" s="5" t="str">
        <f>IF(IF(Table48[[#This Row],[Pre or Post]]="Pre",1,0)+IF(Table48[[#This Row],[If Yes]]=1,1,0)=2,1,"")</f>
        <v/>
      </c>
      <c r="L141" s="5">
        <f>IF(IF(Table48[[#This Row],[Pre or Post]]="Pre",1,0)+IF(Table48[[#This Row],[If No]]=1,1,0)=2,1,"")</f>
        <v>1</v>
      </c>
      <c r="M141" s="5" t="str">
        <f>IF(IF(Table48[[#This Row],[Pre or Post]]="Post",1,0)+IF(Table48[[#This Row],[If Yes]]=1,1,0)=2,1,"")</f>
        <v/>
      </c>
      <c r="N141" s="5" t="str">
        <f>IF(IF(Table48[[#This Row],[Pre or Post]]="Post",1,0)+IF(Table48[[#This Row],[If No]]=1,1,0)=2,1,"")</f>
        <v/>
      </c>
    </row>
    <row r="142" spans="1:14">
      <c r="A142" s="2" t="s">
        <v>24</v>
      </c>
      <c r="B142" s="2" t="s">
        <v>26</v>
      </c>
      <c r="C142" s="1">
        <v>7</v>
      </c>
      <c r="D142" s="1" t="s">
        <v>16</v>
      </c>
      <c r="E142" s="1">
        <v>8</v>
      </c>
      <c r="F142" s="1" t="s">
        <v>8</v>
      </c>
      <c r="G142" s="2" t="s">
        <v>8</v>
      </c>
      <c r="H142" s="5">
        <f>IF(Table48[[#This Row],[Response]]="Yes",1,"")</f>
        <v>1</v>
      </c>
      <c r="I142" s="5" t="str">
        <f>IF(Table48[[#This Row],[Response]]="No",1,"")</f>
        <v/>
      </c>
      <c r="J142" s="5">
        <f>IF(SUM(Table48[[#This Row],[If Yes]:[If No]])=1,1,"")</f>
        <v>1</v>
      </c>
      <c r="K142" s="5" t="str">
        <f>IF(IF(Table48[[#This Row],[Pre or Post]]="Pre",1,0)+IF(Table48[[#This Row],[If Yes]]=1,1,0)=2,1,"")</f>
        <v/>
      </c>
      <c r="L142" s="5" t="str">
        <f>IF(IF(Table48[[#This Row],[Pre or Post]]="Pre",1,0)+IF(Table48[[#This Row],[If No]]=1,1,0)=2,1,"")</f>
        <v/>
      </c>
      <c r="M142" s="5">
        <f>IF(IF(Table48[[#This Row],[Pre or Post]]="Post",1,0)+IF(Table48[[#This Row],[If Yes]]=1,1,0)=2,1,"")</f>
        <v>1</v>
      </c>
      <c r="N142" s="5" t="str">
        <f>IF(IF(Table48[[#This Row],[Pre or Post]]="Post",1,0)+IF(Table48[[#This Row],[If No]]=1,1,0)=2,1,"")</f>
        <v/>
      </c>
    </row>
    <row r="143" spans="1:14">
      <c r="A143" s="2" t="s">
        <v>24</v>
      </c>
      <c r="B143" s="2" t="s">
        <v>26</v>
      </c>
      <c r="C143" s="1">
        <v>8</v>
      </c>
      <c r="D143" s="1" t="s">
        <v>6</v>
      </c>
      <c r="E143" s="1">
        <v>4</v>
      </c>
      <c r="F143" s="1" t="s">
        <v>8</v>
      </c>
      <c r="G143" s="2" t="s">
        <v>8</v>
      </c>
      <c r="H143" s="5">
        <f>IF(Table48[[#This Row],[Response]]="Yes",1,"")</f>
        <v>1</v>
      </c>
      <c r="I143" s="5" t="str">
        <f>IF(Table48[[#This Row],[Response]]="No",1,"")</f>
        <v/>
      </c>
      <c r="J143" s="5">
        <f>IF(SUM(Table48[[#This Row],[If Yes]:[If No]])=1,1,"")</f>
        <v>1</v>
      </c>
      <c r="K143" s="5">
        <f>IF(IF(Table48[[#This Row],[Pre or Post]]="Pre",1,0)+IF(Table48[[#This Row],[If Yes]]=1,1,0)=2,1,"")</f>
        <v>1</v>
      </c>
      <c r="L143" s="5" t="str">
        <f>IF(IF(Table48[[#This Row],[Pre or Post]]="Pre",1,0)+IF(Table48[[#This Row],[If No]]=1,1,0)=2,1,"")</f>
        <v/>
      </c>
      <c r="M143" s="5" t="str">
        <f>IF(IF(Table48[[#This Row],[Pre or Post]]="Post",1,0)+IF(Table48[[#This Row],[If Yes]]=1,1,0)=2,1,"")</f>
        <v/>
      </c>
      <c r="N143" s="5" t="str">
        <f>IF(IF(Table48[[#This Row],[Pre or Post]]="Post",1,0)+IF(Table48[[#This Row],[If No]]=1,1,0)=2,1,"")</f>
        <v/>
      </c>
    </row>
    <row r="144" spans="1:14">
      <c r="A144" s="2" t="s">
        <v>24</v>
      </c>
      <c r="B144" s="2" t="s">
        <v>26</v>
      </c>
      <c r="C144" s="1">
        <v>8</v>
      </c>
      <c r="D144" s="1" t="s">
        <v>16</v>
      </c>
      <c r="E144" s="1">
        <v>8</v>
      </c>
      <c r="F144" s="1" t="s">
        <v>8</v>
      </c>
      <c r="G144" s="2" t="s">
        <v>8</v>
      </c>
      <c r="H144" s="5">
        <f>IF(Table48[[#This Row],[Response]]="Yes",1,"")</f>
        <v>1</v>
      </c>
      <c r="I144" s="5" t="str">
        <f>IF(Table48[[#This Row],[Response]]="No",1,"")</f>
        <v/>
      </c>
      <c r="J144" s="5">
        <f>IF(SUM(Table48[[#This Row],[If Yes]:[If No]])=1,1,"")</f>
        <v>1</v>
      </c>
      <c r="K144" s="5" t="str">
        <f>IF(IF(Table48[[#This Row],[Pre or Post]]="Pre",1,0)+IF(Table48[[#This Row],[If Yes]]=1,1,0)=2,1,"")</f>
        <v/>
      </c>
      <c r="L144" s="5" t="str">
        <f>IF(IF(Table48[[#This Row],[Pre or Post]]="Pre",1,0)+IF(Table48[[#This Row],[If No]]=1,1,0)=2,1,"")</f>
        <v/>
      </c>
      <c r="M144" s="5">
        <f>IF(IF(Table48[[#This Row],[Pre or Post]]="Post",1,0)+IF(Table48[[#This Row],[If Yes]]=1,1,0)=2,1,"")</f>
        <v>1</v>
      </c>
      <c r="N144" s="5" t="str">
        <f>IF(IF(Table48[[#This Row],[Pre or Post]]="Post",1,0)+IF(Table48[[#This Row],[If No]]=1,1,0)=2,1,"")</f>
        <v/>
      </c>
    </row>
    <row r="145" spans="1:14">
      <c r="A145" s="2" t="s">
        <v>24</v>
      </c>
      <c r="B145" s="2" t="s">
        <v>26</v>
      </c>
      <c r="C145" s="1">
        <v>9</v>
      </c>
      <c r="D145" s="1" t="s">
        <v>6</v>
      </c>
      <c r="E145" s="1">
        <v>4</v>
      </c>
      <c r="F145" s="1" t="s">
        <v>8</v>
      </c>
      <c r="G145" s="2" t="s">
        <v>8</v>
      </c>
      <c r="H145" s="5">
        <f>IF(Table48[[#This Row],[Response]]="Yes",1,"")</f>
        <v>1</v>
      </c>
      <c r="I145" s="5" t="str">
        <f>IF(Table48[[#This Row],[Response]]="No",1,"")</f>
        <v/>
      </c>
      <c r="J145" s="5">
        <f>IF(SUM(Table48[[#This Row],[If Yes]:[If No]])=1,1,"")</f>
        <v>1</v>
      </c>
      <c r="K145" s="5">
        <f>IF(IF(Table48[[#This Row],[Pre or Post]]="Pre",1,0)+IF(Table48[[#This Row],[If Yes]]=1,1,0)=2,1,"")</f>
        <v>1</v>
      </c>
      <c r="L145" s="5" t="str">
        <f>IF(IF(Table48[[#This Row],[Pre or Post]]="Pre",1,0)+IF(Table48[[#This Row],[If No]]=1,1,0)=2,1,"")</f>
        <v/>
      </c>
      <c r="M145" s="5" t="str">
        <f>IF(IF(Table48[[#This Row],[Pre or Post]]="Post",1,0)+IF(Table48[[#This Row],[If Yes]]=1,1,0)=2,1,"")</f>
        <v/>
      </c>
      <c r="N145" s="5" t="str">
        <f>IF(IF(Table48[[#This Row],[Pre or Post]]="Post",1,0)+IF(Table48[[#This Row],[If No]]=1,1,0)=2,1,"")</f>
        <v/>
      </c>
    </row>
    <row r="146" spans="1:14">
      <c r="A146" s="2" t="s">
        <v>24</v>
      </c>
      <c r="B146" s="2" t="s">
        <v>26</v>
      </c>
      <c r="C146" s="1">
        <v>9</v>
      </c>
      <c r="D146" s="1" t="s">
        <v>16</v>
      </c>
      <c r="E146" s="1">
        <v>8</v>
      </c>
      <c r="F146" s="1" t="s">
        <v>8</v>
      </c>
      <c r="G146" s="2" t="s">
        <v>8</v>
      </c>
      <c r="H146" s="5">
        <f>IF(Table48[[#This Row],[Response]]="Yes",1,"")</f>
        <v>1</v>
      </c>
      <c r="I146" s="5" t="str">
        <f>IF(Table48[[#This Row],[Response]]="No",1,"")</f>
        <v/>
      </c>
      <c r="J146" s="5">
        <f>IF(SUM(Table48[[#This Row],[If Yes]:[If No]])=1,1,"")</f>
        <v>1</v>
      </c>
      <c r="K146" s="5" t="str">
        <f>IF(IF(Table48[[#This Row],[Pre or Post]]="Pre",1,0)+IF(Table48[[#This Row],[If Yes]]=1,1,0)=2,1,"")</f>
        <v/>
      </c>
      <c r="L146" s="5" t="str">
        <f>IF(IF(Table48[[#This Row],[Pre or Post]]="Pre",1,0)+IF(Table48[[#This Row],[If No]]=1,1,0)=2,1,"")</f>
        <v/>
      </c>
      <c r="M146" s="5">
        <f>IF(IF(Table48[[#This Row],[Pre or Post]]="Post",1,0)+IF(Table48[[#This Row],[If Yes]]=1,1,0)=2,1,"")</f>
        <v>1</v>
      </c>
      <c r="N146" s="5" t="str">
        <f>IF(IF(Table48[[#This Row],[Pre or Post]]="Post",1,0)+IF(Table48[[#This Row],[If No]]=1,1,0)=2,1,"")</f>
        <v/>
      </c>
    </row>
    <row r="147" spans="1:14">
      <c r="A147" s="2" t="s">
        <v>24</v>
      </c>
      <c r="B147" s="2" t="s">
        <v>26</v>
      </c>
      <c r="C147" s="1">
        <v>10</v>
      </c>
      <c r="D147" s="1" t="s">
        <v>6</v>
      </c>
      <c r="E147" s="1">
        <v>4</v>
      </c>
      <c r="F147" s="1" t="s">
        <v>8</v>
      </c>
      <c r="G147" s="2" t="s">
        <v>8</v>
      </c>
      <c r="H147" s="5">
        <f>IF(Table48[[#This Row],[Response]]="Yes",1,"")</f>
        <v>1</v>
      </c>
      <c r="I147" s="5" t="str">
        <f>IF(Table48[[#This Row],[Response]]="No",1,"")</f>
        <v/>
      </c>
      <c r="J147" s="5">
        <f>IF(SUM(Table48[[#This Row],[If Yes]:[If No]])=1,1,"")</f>
        <v>1</v>
      </c>
      <c r="K147" s="5">
        <f>IF(IF(Table48[[#This Row],[Pre or Post]]="Pre",1,0)+IF(Table48[[#This Row],[If Yes]]=1,1,0)=2,1,"")</f>
        <v>1</v>
      </c>
      <c r="L147" s="5" t="str">
        <f>IF(IF(Table48[[#This Row],[Pre or Post]]="Pre",1,0)+IF(Table48[[#This Row],[If No]]=1,1,0)=2,1,"")</f>
        <v/>
      </c>
      <c r="M147" s="5" t="str">
        <f>IF(IF(Table48[[#This Row],[Pre or Post]]="Post",1,0)+IF(Table48[[#This Row],[If Yes]]=1,1,0)=2,1,"")</f>
        <v/>
      </c>
      <c r="N147" s="5" t="str">
        <f>IF(IF(Table48[[#This Row],[Pre or Post]]="Post",1,0)+IF(Table48[[#This Row],[If No]]=1,1,0)=2,1,"")</f>
        <v/>
      </c>
    </row>
    <row r="148" spans="1:14">
      <c r="A148" s="2" t="s">
        <v>24</v>
      </c>
      <c r="B148" s="2" t="s">
        <v>26</v>
      </c>
      <c r="C148" s="1">
        <v>10</v>
      </c>
      <c r="D148" s="1" t="s">
        <v>16</v>
      </c>
      <c r="E148" s="1">
        <v>8</v>
      </c>
      <c r="F148" s="1" t="s">
        <v>8</v>
      </c>
      <c r="G148" s="2" t="s">
        <v>8</v>
      </c>
      <c r="H148" s="5">
        <f>IF(Table48[[#This Row],[Response]]="Yes",1,"")</f>
        <v>1</v>
      </c>
      <c r="I148" s="5" t="str">
        <f>IF(Table48[[#This Row],[Response]]="No",1,"")</f>
        <v/>
      </c>
      <c r="J148" s="5">
        <f>IF(SUM(Table48[[#This Row],[If Yes]:[If No]])=1,1,"")</f>
        <v>1</v>
      </c>
      <c r="K148" s="5" t="str">
        <f>IF(IF(Table48[[#This Row],[Pre or Post]]="Pre",1,0)+IF(Table48[[#This Row],[If Yes]]=1,1,0)=2,1,"")</f>
        <v/>
      </c>
      <c r="L148" s="5" t="str">
        <f>IF(IF(Table48[[#This Row],[Pre or Post]]="Pre",1,0)+IF(Table48[[#This Row],[If No]]=1,1,0)=2,1,"")</f>
        <v/>
      </c>
      <c r="M148" s="5">
        <f>IF(IF(Table48[[#This Row],[Pre or Post]]="Post",1,0)+IF(Table48[[#This Row],[If Yes]]=1,1,0)=2,1,"")</f>
        <v>1</v>
      </c>
      <c r="N148" s="5" t="str">
        <f>IF(IF(Table48[[#This Row],[Pre or Post]]="Post",1,0)+IF(Table48[[#This Row],[If No]]=1,1,0)=2,1,"")</f>
        <v/>
      </c>
    </row>
    <row r="149" spans="1:14">
      <c r="A149" s="2" t="s">
        <v>24</v>
      </c>
      <c r="B149" s="2" t="s">
        <v>26</v>
      </c>
      <c r="C149" s="1">
        <v>11</v>
      </c>
      <c r="D149" s="1" t="s">
        <v>6</v>
      </c>
      <c r="E149" s="1">
        <v>4</v>
      </c>
      <c r="F149" s="1" t="s">
        <v>9</v>
      </c>
      <c r="G149" s="2" t="s">
        <v>8</v>
      </c>
      <c r="H149" s="5" t="str">
        <f>IF(Table48[[#This Row],[Response]]="Yes",1,"")</f>
        <v/>
      </c>
      <c r="I149" s="5">
        <f>IF(Table48[[#This Row],[Response]]="No",1,"")</f>
        <v>1</v>
      </c>
      <c r="J149" s="5">
        <f>IF(SUM(Table48[[#This Row],[If Yes]:[If No]])=1,1,"")</f>
        <v>1</v>
      </c>
      <c r="K149" s="5" t="str">
        <f>IF(IF(Table48[[#This Row],[Pre or Post]]="Pre",1,0)+IF(Table48[[#This Row],[If Yes]]=1,1,0)=2,1,"")</f>
        <v/>
      </c>
      <c r="L149" s="5">
        <f>IF(IF(Table48[[#This Row],[Pre or Post]]="Pre",1,0)+IF(Table48[[#This Row],[If No]]=1,1,0)=2,1,"")</f>
        <v>1</v>
      </c>
      <c r="M149" s="5" t="str">
        <f>IF(IF(Table48[[#This Row],[Pre or Post]]="Post",1,0)+IF(Table48[[#This Row],[If Yes]]=1,1,0)=2,1,"")</f>
        <v/>
      </c>
      <c r="N149" s="5" t="str">
        <f>IF(IF(Table48[[#This Row],[Pre or Post]]="Post",1,0)+IF(Table48[[#This Row],[If No]]=1,1,0)=2,1,"")</f>
        <v/>
      </c>
    </row>
    <row r="150" spans="1:14">
      <c r="A150" s="2" t="s">
        <v>24</v>
      </c>
      <c r="B150" s="2" t="s">
        <v>26</v>
      </c>
      <c r="C150" s="1">
        <v>11</v>
      </c>
      <c r="D150" s="1" t="s">
        <v>16</v>
      </c>
      <c r="E150" s="1">
        <v>8</v>
      </c>
      <c r="F150" s="1" t="s">
        <v>8</v>
      </c>
      <c r="G150" s="2" t="s">
        <v>8</v>
      </c>
      <c r="H150" s="5">
        <f>IF(Table48[[#This Row],[Response]]="Yes",1,"")</f>
        <v>1</v>
      </c>
      <c r="I150" s="5" t="str">
        <f>IF(Table48[[#This Row],[Response]]="No",1,"")</f>
        <v/>
      </c>
      <c r="J150" s="5">
        <f>IF(SUM(Table48[[#This Row],[If Yes]:[If No]])=1,1,"")</f>
        <v>1</v>
      </c>
      <c r="K150" s="5" t="str">
        <f>IF(IF(Table48[[#This Row],[Pre or Post]]="Pre",1,0)+IF(Table48[[#This Row],[If Yes]]=1,1,0)=2,1,"")</f>
        <v/>
      </c>
      <c r="L150" s="5" t="str">
        <f>IF(IF(Table48[[#This Row],[Pre or Post]]="Pre",1,0)+IF(Table48[[#This Row],[If No]]=1,1,0)=2,1,"")</f>
        <v/>
      </c>
      <c r="M150" s="5">
        <f>IF(IF(Table48[[#This Row],[Pre or Post]]="Post",1,0)+IF(Table48[[#This Row],[If Yes]]=1,1,0)=2,1,"")</f>
        <v>1</v>
      </c>
      <c r="N150" s="5" t="str">
        <f>IF(IF(Table48[[#This Row],[Pre or Post]]="Post",1,0)+IF(Table48[[#This Row],[If No]]=1,1,0)=2,1,"")</f>
        <v/>
      </c>
    </row>
    <row r="151" spans="1:14">
      <c r="A151" s="2" t="s">
        <v>24</v>
      </c>
      <c r="B151" s="2" t="s">
        <v>26</v>
      </c>
      <c r="C151" s="1">
        <v>12</v>
      </c>
      <c r="D151" s="1" t="s">
        <v>6</v>
      </c>
      <c r="E151" s="1">
        <v>4</v>
      </c>
      <c r="F151" s="1" t="s">
        <v>8</v>
      </c>
      <c r="G151" s="2" t="s">
        <v>8</v>
      </c>
      <c r="H151" s="5">
        <f>IF(Table48[[#This Row],[Response]]="Yes",1,"")</f>
        <v>1</v>
      </c>
      <c r="I151" s="5" t="str">
        <f>IF(Table48[[#This Row],[Response]]="No",1,"")</f>
        <v/>
      </c>
      <c r="J151" s="5">
        <f>IF(SUM(Table48[[#This Row],[If Yes]:[If No]])=1,1,"")</f>
        <v>1</v>
      </c>
      <c r="K151" s="5">
        <f>IF(IF(Table48[[#This Row],[Pre or Post]]="Pre",1,0)+IF(Table48[[#This Row],[If Yes]]=1,1,0)=2,1,"")</f>
        <v>1</v>
      </c>
      <c r="L151" s="5" t="str">
        <f>IF(IF(Table48[[#This Row],[Pre or Post]]="Pre",1,0)+IF(Table48[[#This Row],[If No]]=1,1,0)=2,1,"")</f>
        <v/>
      </c>
      <c r="M151" s="5" t="str">
        <f>IF(IF(Table48[[#This Row],[Pre or Post]]="Post",1,0)+IF(Table48[[#This Row],[If Yes]]=1,1,0)=2,1,"")</f>
        <v/>
      </c>
      <c r="N151" s="5" t="str">
        <f>IF(IF(Table48[[#This Row],[Pre or Post]]="Post",1,0)+IF(Table48[[#This Row],[If No]]=1,1,0)=2,1,"")</f>
        <v/>
      </c>
    </row>
    <row r="152" spans="1:14">
      <c r="A152" s="2" t="s">
        <v>24</v>
      </c>
      <c r="B152" s="2" t="s">
        <v>26</v>
      </c>
      <c r="C152" s="1">
        <v>12</v>
      </c>
      <c r="D152" s="1" t="s">
        <v>16</v>
      </c>
      <c r="E152" s="1">
        <v>8</v>
      </c>
      <c r="F152" s="1" t="s">
        <v>8</v>
      </c>
      <c r="G152" s="2" t="s">
        <v>8</v>
      </c>
      <c r="H152" s="5">
        <f>IF(Table48[[#This Row],[Response]]="Yes",1,"")</f>
        <v>1</v>
      </c>
      <c r="I152" s="5" t="str">
        <f>IF(Table48[[#This Row],[Response]]="No",1,"")</f>
        <v/>
      </c>
      <c r="J152" s="5">
        <f>IF(SUM(Table48[[#This Row],[If Yes]:[If No]])=1,1,"")</f>
        <v>1</v>
      </c>
      <c r="K152" s="5" t="str">
        <f>IF(IF(Table48[[#This Row],[Pre or Post]]="Pre",1,0)+IF(Table48[[#This Row],[If Yes]]=1,1,0)=2,1,"")</f>
        <v/>
      </c>
      <c r="L152" s="5" t="str">
        <f>IF(IF(Table48[[#This Row],[Pre or Post]]="Pre",1,0)+IF(Table48[[#This Row],[If No]]=1,1,0)=2,1,"")</f>
        <v/>
      </c>
      <c r="M152" s="5">
        <f>IF(IF(Table48[[#This Row],[Pre or Post]]="Post",1,0)+IF(Table48[[#This Row],[If Yes]]=1,1,0)=2,1,"")</f>
        <v>1</v>
      </c>
      <c r="N152" s="5" t="str">
        <f>IF(IF(Table48[[#This Row],[Pre or Post]]="Post",1,0)+IF(Table48[[#This Row],[If No]]=1,1,0)=2,1,"")</f>
        <v/>
      </c>
    </row>
    <row r="153" spans="1:14">
      <c r="A153" s="2" t="s">
        <v>24</v>
      </c>
      <c r="B153" s="2" t="s">
        <v>26</v>
      </c>
      <c r="C153" s="1">
        <v>13</v>
      </c>
      <c r="D153" s="1" t="s">
        <v>6</v>
      </c>
      <c r="E153" s="1">
        <v>4</v>
      </c>
      <c r="F153" s="1" t="s">
        <v>8</v>
      </c>
      <c r="G153" s="2" t="s">
        <v>8</v>
      </c>
      <c r="H153" s="5">
        <f>IF(Table48[[#This Row],[Response]]="Yes",1,"")</f>
        <v>1</v>
      </c>
      <c r="I153" s="5" t="str">
        <f>IF(Table48[[#This Row],[Response]]="No",1,"")</f>
        <v/>
      </c>
      <c r="J153" s="5">
        <f>IF(SUM(Table48[[#This Row],[If Yes]:[If No]])=1,1,"")</f>
        <v>1</v>
      </c>
      <c r="K153" s="5">
        <f>IF(IF(Table48[[#This Row],[Pre or Post]]="Pre",1,0)+IF(Table48[[#This Row],[If Yes]]=1,1,0)=2,1,"")</f>
        <v>1</v>
      </c>
      <c r="L153" s="5" t="str">
        <f>IF(IF(Table48[[#This Row],[Pre or Post]]="Pre",1,0)+IF(Table48[[#This Row],[If No]]=1,1,0)=2,1,"")</f>
        <v/>
      </c>
      <c r="M153" s="5" t="str">
        <f>IF(IF(Table48[[#This Row],[Pre or Post]]="Post",1,0)+IF(Table48[[#This Row],[If Yes]]=1,1,0)=2,1,"")</f>
        <v/>
      </c>
      <c r="N153" s="5" t="str">
        <f>IF(IF(Table48[[#This Row],[Pre or Post]]="Post",1,0)+IF(Table48[[#This Row],[If No]]=1,1,0)=2,1,"")</f>
        <v/>
      </c>
    </row>
    <row r="154" spans="1:14">
      <c r="A154" s="2" t="s">
        <v>24</v>
      </c>
      <c r="B154" s="2" t="s">
        <v>26</v>
      </c>
      <c r="C154" s="1">
        <v>13</v>
      </c>
      <c r="D154" s="1" t="s">
        <v>16</v>
      </c>
      <c r="E154" s="1">
        <v>8</v>
      </c>
      <c r="F154" s="1" t="s">
        <v>9</v>
      </c>
      <c r="G154" s="2" t="s">
        <v>8</v>
      </c>
      <c r="H154" s="5" t="str">
        <f>IF(Table48[[#This Row],[Response]]="Yes",1,"")</f>
        <v/>
      </c>
      <c r="I154" s="5">
        <f>IF(Table48[[#This Row],[Response]]="No",1,"")</f>
        <v>1</v>
      </c>
      <c r="J154" s="5">
        <f>IF(SUM(Table48[[#This Row],[If Yes]:[If No]])=1,1,"")</f>
        <v>1</v>
      </c>
      <c r="K154" s="5" t="str">
        <f>IF(IF(Table48[[#This Row],[Pre or Post]]="Pre",1,0)+IF(Table48[[#This Row],[If Yes]]=1,1,0)=2,1,"")</f>
        <v/>
      </c>
      <c r="L154" s="5" t="str">
        <f>IF(IF(Table48[[#This Row],[Pre or Post]]="Pre",1,0)+IF(Table48[[#This Row],[If No]]=1,1,0)=2,1,"")</f>
        <v/>
      </c>
      <c r="M154" s="5" t="str">
        <f>IF(IF(Table48[[#This Row],[Pre or Post]]="Post",1,0)+IF(Table48[[#This Row],[If Yes]]=1,1,0)=2,1,"")</f>
        <v/>
      </c>
      <c r="N154" s="5">
        <f>IF(IF(Table48[[#This Row],[Pre or Post]]="Post",1,0)+IF(Table48[[#This Row],[If No]]=1,1,0)=2,1,"")</f>
        <v>1</v>
      </c>
    </row>
    <row r="155" spans="1:14">
      <c r="A155" s="2" t="s">
        <v>24</v>
      </c>
      <c r="B155" s="2" t="s">
        <v>26</v>
      </c>
      <c r="C155" s="1">
        <v>14</v>
      </c>
      <c r="D155" s="1" t="s">
        <v>6</v>
      </c>
      <c r="E155" s="1">
        <v>4</v>
      </c>
      <c r="F155" s="1" t="s">
        <v>9</v>
      </c>
      <c r="G155" s="2" t="s">
        <v>8</v>
      </c>
      <c r="H155" s="5" t="str">
        <f>IF(Table48[[#This Row],[Response]]="Yes",1,"")</f>
        <v/>
      </c>
      <c r="I155" s="5">
        <f>IF(Table48[[#This Row],[Response]]="No",1,"")</f>
        <v>1</v>
      </c>
      <c r="J155" s="5">
        <f>IF(SUM(Table48[[#This Row],[If Yes]:[If No]])=1,1,"")</f>
        <v>1</v>
      </c>
      <c r="K155" s="5" t="str">
        <f>IF(IF(Table48[[#This Row],[Pre or Post]]="Pre",1,0)+IF(Table48[[#This Row],[If Yes]]=1,1,0)=2,1,"")</f>
        <v/>
      </c>
      <c r="L155" s="5">
        <f>IF(IF(Table48[[#This Row],[Pre or Post]]="Pre",1,0)+IF(Table48[[#This Row],[If No]]=1,1,0)=2,1,"")</f>
        <v>1</v>
      </c>
      <c r="M155" s="5" t="str">
        <f>IF(IF(Table48[[#This Row],[Pre or Post]]="Post",1,0)+IF(Table48[[#This Row],[If Yes]]=1,1,0)=2,1,"")</f>
        <v/>
      </c>
      <c r="N155" s="5" t="str">
        <f>IF(IF(Table48[[#This Row],[Pre or Post]]="Post",1,0)+IF(Table48[[#This Row],[If No]]=1,1,0)=2,1,"")</f>
        <v/>
      </c>
    </row>
    <row r="156" spans="1:14">
      <c r="A156" s="2" t="s">
        <v>24</v>
      </c>
      <c r="B156" s="2" t="s">
        <v>26</v>
      </c>
      <c r="C156" s="1">
        <v>14</v>
      </c>
      <c r="D156" s="1" t="s">
        <v>16</v>
      </c>
      <c r="E156" s="1">
        <v>8</v>
      </c>
      <c r="F156" s="1" t="s">
        <v>9</v>
      </c>
      <c r="G156" s="2" t="s">
        <v>8</v>
      </c>
      <c r="H156" s="5" t="str">
        <f>IF(Table48[[#This Row],[Response]]="Yes",1,"")</f>
        <v/>
      </c>
      <c r="I156" s="5">
        <f>IF(Table48[[#This Row],[Response]]="No",1,"")</f>
        <v>1</v>
      </c>
      <c r="J156" s="5">
        <f>IF(SUM(Table48[[#This Row],[If Yes]:[If No]])=1,1,"")</f>
        <v>1</v>
      </c>
      <c r="K156" s="5" t="str">
        <f>IF(IF(Table48[[#This Row],[Pre or Post]]="Pre",1,0)+IF(Table48[[#This Row],[If Yes]]=1,1,0)=2,1,"")</f>
        <v/>
      </c>
      <c r="L156" s="5" t="str">
        <f>IF(IF(Table48[[#This Row],[Pre or Post]]="Pre",1,0)+IF(Table48[[#This Row],[If No]]=1,1,0)=2,1,"")</f>
        <v/>
      </c>
      <c r="M156" s="5" t="str">
        <f>IF(IF(Table48[[#This Row],[Pre or Post]]="Post",1,0)+IF(Table48[[#This Row],[If Yes]]=1,1,0)=2,1,"")</f>
        <v/>
      </c>
      <c r="N156" s="5">
        <f>IF(IF(Table48[[#This Row],[Pre or Post]]="Post",1,0)+IF(Table48[[#This Row],[If No]]=1,1,0)=2,1,"")</f>
        <v>1</v>
      </c>
    </row>
    <row r="157" spans="1:14">
      <c r="A157" s="2" t="s">
        <v>24</v>
      </c>
      <c r="B157" s="2" t="s">
        <v>26</v>
      </c>
      <c r="C157" s="1">
        <v>15</v>
      </c>
      <c r="D157" s="1" t="s">
        <v>6</v>
      </c>
      <c r="E157" s="1">
        <v>4</v>
      </c>
      <c r="F157" s="1" t="s">
        <v>9</v>
      </c>
      <c r="G157" s="2" t="s">
        <v>8</v>
      </c>
      <c r="H157" s="5" t="str">
        <f>IF(Table48[[#This Row],[Response]]="Yes",1,"")</f>
        <v/>
      </c>
      <c r="I157" s="5">
        <f>IF(Table48[[#This Row],[Response]]="No",1,"")</f>
        <v>1</v>
      </c>
      <c r="J157" s="5">
        <f>IF(SUM(Table48[[#This Row],[If Yes]:[If No]])=1,1,"")</f>
        <v>1</v>
      </c>
      <c r="K157" s="5" t="str">
        <f>IF(IF(Table48[[#This Row],[Pre or Post]]="Pre",1,0)+IF(Table48[[#This Row],[If Yes]]=1,1,0)=2,1,"")</f>
        <v/>
      </c>
      <c r="L157" s="5">
        <f>IF(IF(Table48[[#This Row],[Pre or Post]]="Pre",1,0)+IF(Table48[[#This Row],[If No]]=1,1,0)=2,1,"")</f>
        <v>1</v>
      </c>
      <c r="M157" s="5" t="str">
        <f>IF(IF(Table48[[#This Row],[Pre or Post]]="Post",1,0)+IF(Table48[[#This Row],[If Yes]]=1,1,0)=2,1,"")</f>
        <v/>
      </c>
      <c r="N157" s="5" t="str">
        <f>IF(IF(Table48[[#This Row],[Pre or Post]]="Post",1,0)+IF(Table48[[#This Row],[If No]]=1,1,0)=2,1,"")</f>
        <v/>
      </c>
    </row>
    <row r="158" spans="1:14">
      <c r="A158" s="2" t="s">
        <v>24</v>
      </c>
      <c r="B158" s="2" t="s">
        <v>26</v>
      </c>
      <c r="C158" s="1">
        <v>15</v>
      </c>
      <c r="D158" s="1" t="s">
        <v>16</v>
      </c>
      <c r="E158" s="1">
        <v>8</v>
      </c>
      <c r="F158" s="1" t="s">
        <v>8</v>
      </c>
      <c r="G158" s="2" t="s">
        <v>8</v>
      </c>
      <c r="H158" s="5">
        <f>IF(Table48[[#This Row],[Response]]="Yes",1,"")</f>
        <v>1</v>
      </c>
      <c r="I158" s="5" t="str">
        <f>IF(Table48[[#This Row],[Response]]="No",1,"")</f>
        <v/>
      </c>
      <c r="J158" s="5">
        <f>IF(SUM(Table48[[#This Row],[If Yes]:[If No]])=1,1,"")</f>
        <v>1</v>
      </c>
      <c r="K158" s="5" t="str">
        <f>IF(IF(Table48[[#This Row],[Pre or Post]]="Pre",1,0)+IF(Table48[[#This Row],[If Yes]]=1,1,0)=2,1,"")</f>
        <v/>
      </c>
      <c r="L158" s="5" t="str">
        <f>IF(IF(Table48[[#This Row],[Pre or Post]]="Pre",1,0)+IF(Table48[[#This Row],[If No]]=1,1,0)=2,1,"")</f>
        <v/>
      </c>
      <c r="M158" s="5">
        <f>IF(IF(Table48[[#This Row],[Pre or Post]]="Post",1,0)+IF(Table48[[#This Row],[If Yes]]=1,1,0)=2,1,"")</f>
        <v>1</v>
      </c>
      <c r="N158" s="5" t="str">
        <f>IF(IF(Table48[[#This Row],[Pre or Post]]="Post",1,0)+IF(Table48[[#This Row],[If No]]=1,1,0)=2,1,"")</f>
        <v/>
      </c>
    </row>
    <row r="159" spans="1:14">
      <c r="A159" s="2"/>
      <c r="B159" s="2"/>
      <c r="C159" s="2"/>
      <c r="D159" s="2"/>
      <c r="E159" s="2"/>
      <c r="F159" s="2"/>
      <c r="G159" s="2"/>
      <c r="H159" s="6">
        <f>SUM([If Yes])</f>
        <v>104</v>
      </c>
      <c r="I159" s="6">
        <f>SUM([If No])</f>
        <v>44</v>
      </c>
      <c r="J159" s="2">
        <f>SUM([Answered?])</f>
        <v>148</v>
      </c>
      <c r="K159" s="2">
        <f>SUM([Pre Yes])</f>
        <v>31</v>
      </c>
      <c r="L159" s="2">
        <f>SUM([Pre No])</f>
        <v>29</v>
      </c>
      <c r="M159" s="2">
        <f>SUM([Post Yes])</f>
        <v>73</v>
      </c>
      <c r="N159" s="2">
        <f>SUM([Post No])</f>
        <v>15</v>
      </c>
    </row>
    <row r="160" spans="1:14">
      <c r="A160" s="2"/>
      <c r="B160" s="2"/>
      <c r="C160" s="2"/>
      <c r="D160" s="2"/>
      <c r="E160" s="2"/>
      <c r="F160" s="2"/>
      <c r="G160" s="2"/>
      <c r="H160" s="6"/>
      <c r="I160" s="6"/>
      <c r="J160" s="2"/>
      <c r="K160" s="2"/>
      <c r="L160" s="2"/>
      <c r="M160" s="2"/>
      <c r="N160" s="2"/>
    </row>
    <row r="161" spans="1:9">
      <c r="A161" s="1" t="s">
        <v>4</v>
      </c>
      <c r="B161" s="1" t="s">
        <v>36</v>
      </c>
      <c r="C161" s="1" t="s">
        <v>37</v>
      </c>
      <c r="D161" s="1" t="s">
        <v>8</v>
      </c>
      <c r="E161" s="1" t="s">
        <v>9</v>
      </c>
      <c r="F161" s="1" t="s">
        <v>42</v>
      </c>
      <c r="G161" s="1" t="s">
        <v>43</v>
      </c>
    </row>
    <row r="162" spans="1:9">
      <c r="A162" s="1" t="s">
        <v>6</v>
      </c>
      <c r="B162" s="1">
        <f>COUNTIF(Table48[Pre or Post],"Pre")</f>
        <v>61</v>
      </c>
      <c r="C162" s="1">
        <f>SUM(Table48[[#Totals],[Pre Yes]:[Pre No]])</f>
        <v>60</v>
      </c>
      <c r="D162" s="1">
        <f>Table48[[#Totals],[Pre Yes]]</f>
        <v>31</v>
      </c>
      <c r="E162" s="1">
        <f>Table48[[#Totals],[Pre No]]</f>
        <v>29</v>
      </c>
      <c r="F162" s="1">
        <f>D162/C162*100</f>
        <v>51.666666666666671</v>
      </c>
      <c r="G162" s="1">
        <f>E162/C162*100</f>
        <v>48.333333333333336</v>
      </c>
    </row>
    <row r="163" spans="1:9">
      <c r="A163" s="1" t="s">
        <v>16</v>
      </c>
      <c r="B163" s="1">
        <f>COUNTIF(Table48[Pre or Post],"Post")</f>
        <v>96</v>
      </c>
      <c r="C163" s="1">
        <f>SUM(Table48[[#Totals],[Post Yes]:[Post No]])</f>
        <v>88</v>
      </c>
      <c r="D163" s="1">
        <f>Table48[[#Totals],[Post Yes]]</f>
        <v>73</v>
      </c>
      <c r="E163" s="1">
        <f>Table48[[#Totals],[Post No]]</f>
        <v>15</v>
      </c>
      <c r="F163" s="1">
        <f>D163/C163*100</f>
        <v>82.954545454545453</v>
      </c>
      <c r="G163" s="1">
        <f>E163/C163*100</f>
        <v>17.045454545454543</v>
      </c>
    </row>
    <row r="165" spans="1:9" s="7" customFormat="1" ht="30">
      <c r="A165" s="7" t="s">
        <v>44</v>
      </c>
      <c r="B165" s="7" t="s">
        <v>45</v>
      </c>
      <c r="C165" s="7" t="s">
        <v>46</v>
      </c>
      <c r="D165" s="7" t="s">
        <v>49</v>
      </c>
      <c r="E165" s="7" t="s">
        <v>50</v>
      </c>
      <c r="F165" s="7" t="s">
        <v>47</v>
      </c>
      <c r="G165" s="7" t="s">
        <v>48</v>
      </c>
      <c r="H165" s="7" t="s">
        <v>52</v>
      </c>
      <c r="I165" s="7" t="s">
        <v>51</v>
      </c>
    </row>
    <row r="166" spans="1:9">
      <c r="A166" s="1">
        <v>22</v>
      </c>
      <c r="B166" s="1">
        <v>7</v>
      </c>
      <c r="C166" s="1">
        <f>COUNTIF(Table48[Pre and Post?],"Yes")/2</f>
        <v>58</v>
      </c>
      <c r="D166" s="1">
        <f>A166/C166*100</f>
        <v>37.931034482758619</v>
      </c>
      <c r="E166" s="1">
        <f>B166/C166*100</f>
        <v>12.068965517241379</v>
      </c>
      <c r="F166" s="1">
        <f>SUM(Table610[[Changed to Yes]:[Changed to No]])</f>
        <v>29</v>
      </c>
      <c r="G166" s="1">
        <f>[Total Changed]/[Pre and Post]*100</f>
        <v>50</v>
      </c>
      <c r="H166" s="1">
        <f>[% Total Changed to Yes]/[Total % Changed]*100</f>
        <v>75.862068965517238</v>
      </c>
      <c r="I166" s="1">
        <f>[% Total Changed to No]/[Total % Changed]*100</f>
        <v>24.137931034482758</v>
      </c>
    </row>
  </sheetData>
  <conditionalFormatting sqref="F2:F158">
    <cfRule type="cellIs" dxfId="1543" priority="4" operator="equal">
      <formula>"Yes"</formula>
    </cfRule>
    <cfRule type="cellIs" dxfId="1542" priority="3" operator="equal">
      <formula>"No"</formula>
    </cfRule>
  </conditionalFormatting>
  <conditionalFormatting sqref="G2:G158">
    <cfRule type="cellIs" dxfId="1541" priority="2" operator="equal">
      <formula>"No"</formula>
    </cfRule>
    <cfRule type="cellIs" dxfId="1540" priority="1" operator="equal">
      <formula>"Yes"</formula>
    </cfRule>
  </conditionalFormatting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4"/>
  <sheetViews>
    <sheetView zoomScale="70" zoomScaleNormal="70" workbookViewId="0">
      <selection activeCell="H21" sqref="H21"/>
    </sheetView>
  </sheetViews>
  <sheetFormatPr defaultRowHeight="15"/>
  <cols>
    <col min="1" max="1" width="7.5703125" bestFit="1" customWidth="1"/>
    <col min="2" max="2" width="12.85546875" bestFit="1" customWidth="1"/>
    <col min="3" max="3" width="15" bestFit="1" customWidth="1"/>
    <col min="4" max="4" width="15.85546875" bestFit="1" customWidth="1"/>
    <col min="5" max="10" width="12" bestFit="1" customWidth="1"/>
  </cols>
  <sheetData>
    <row r="1" spans="1:10">
      <c r="A1" s="1" t="s">
        <v>53</v>
      </c>
      <c r="B1" s="1" t="s">
        <v>4</v>
      </c>
      <c r="C1" s="1" t="s">
        <v>36</v>
      </c>
      <c r="D1" s="1" t="s">
        <v>37</v>
      </c>
      <c r="E1" s="1" t="s">
        <v>8</v>
      </c>
      <c r="F1" s="1" t="s">
        <v>9</v>
      </c>
      <c r="G1" s="1" t="s">
        <v>42</v>
      </c>
      <c r="H1" s="1" t="s">
        <v>43</v>
      </c>
    </row>
    <row r="2" spans="1:10">
      <c r="A2" s="1" t="s">
        <v>12</v>
      </c>
      <c r="B2" s="1" t="s">
        <v>6</v>
      </c>
      <c r="C2" s="1">
        <f>COUNTIF(Table4[Pre or Post],"Pre")</f>
        <v>40</v>
      </c>
      <c r="D2" s="1">
        <f>SUM(Table4[[#Totals],[Pre Yes]:[Pre No]])</f>
        <v>40</v>
      </c>
      <c r="E2" s="1">
        <f>Table4[[#Totals],[Pre Yes]]</f>
        <v>19</v>
      </c>
      <c r="F2" s="1">
        <f>Table4[[#Totals],[Pre No]]</f>
        <v>21</v>
      </c>
      <c r="G2" s="1">
        <f>E2/D2*100</f>
        <v>47.5</v>
      </c>
      <c r="H2" s="1">
        <f>F2/D2*100</f>
        <v>52.5</v>
      </c>
    </row>
    <row r="3" spans="1:10">
      <c r="A3" s="2" t="s">
        <v>24</v>
      </c>
      <c r="B3" s="1" t="s">
        <v>6</v>
      </c>
      <c r="C3" s="1">
        <f>COUNTIF(Table48[Pre or Post],"Pre")</f>
        <v>61</v>
      </c>
      <c r="D3" s="1">
        <f>SUM(Table48[[#Totals],[Pre Yes]:[Pre No]])</f>
        <v>60</v>
      </c>
      <c r="E3" s="1">
        <f>Table48[[#Totals],[Pre Yes]]</f>
        <v>31</v>
      </c>
      <c r="F3" s="1">
        <f>Table48[[#Totals],[Pre No]]</f>
        <v>29</v>
      </c>
      <c r="G3" s="1">
        <f>E3/D3*100</f>
        <v>51.666666666666671</v>
      </c>
      <c r="H3" s="1">
        <f>F3/D3*100</f>
        <v>48.333333333333336</v>
      </c>
    </row>
    <row r="4" spans="1:10">
      <c r="A4" s="1"/>
      <c r="B4" s="1"/>
      <c r="C4" s="1"/>
      <c r="D4" s="1"/>
      <c r="E4" s="1"/>
      <c r="F4" s="1"/>
      <c r="G4" s="1"/>
      <c r="H4" s="1"/>
    </row>
    <row r="5" spans="1:10" ht="15.75" thickBot="1">
      <c r="A5" s="8" t="s">
        <v>53</v>
      </c>
      <c r="B5" s="8" t="s">
        <v>4</v>
      </c>
      <c r="C5" s="8" t="s">
        <v>36</v>
      </c>
      <c r="D5" s="8" t="s">
        <v>37</v>
      </c>
      <c r="E5" s="8" t="s">
        <v>8</v>
      </c>
      <c r="F5" s="8" t="s">
        <v>9</v>
      </c>
      <c r="G5" s="8" t="s">
        <v>42</v>
      </c>
      <c r="H5" s="9" t="s">
        <v>43</v>
      </c>
    </row>
    <row r="6" spans="1:10" ht="15.75" thickTop="1">
      <c r="A6" t="s">
        <v>12</v>
      </c>
      <c r="B6" s="3" t="s">
        <v>16</v>
      </c>
      <c r="C6" s="1">
        <v>65</v>
      </c>
      <c r="D6" s="1">
        <v>49</v>
      </c>
      <c r="E6" s="1">
        <v>47</v>
      </c>
      <c r="F6" s="1">
        <v>2</v>
      </c>
      <c r="G6" s="1">
        <v>95.918367346938766</v>
      </c>
      <c r="H6" s="1">
        <v>4.0816326530612246</v>
      </c>
    </row>
    <row r="7" spans="1:10">
      <c r="A7" t="s">
        <v>24</v>
      </c>
      <c r="B7" s="4" t="s">
        <v>16</v>
      </c>
      <c r="C7" s="1">
        <v>96</v>
      </c>
      <c r="D7" s="1">
        <v>88</v>
      </c>
      <c r="E7" s="1">
        <v>73</v>
      </c>
      <c r="F7" s="1">
        <v>15</v>
      </c>
      <c r="G7" s="1">
        <v>82.954545454545453</v>
      </c>
      <c r="H7" s="1">
        <v>17.045454545454543</v>
      </c>
    </row>
    <row r="9" spans="1:10" ht="45">
      <c r="A9" s="7" t="s">
        <v>53</v>
      </c>
      <c r="B9" s="7" t="s">
        <v>44</v>
      </c>
      <c r="C9" s="7" t="s">
        <v>45</v>
      </c>
      <c r="D9" s="7" t="s">
        <v>46</v>
      </c>
      <c r="E9" s="7" t="s">
        <v>49</v>
      </c>
      <c r="F9" s="7" t="s">
        <v>50</v>
      </c>
      <c r="G9" s="7" t="s">
        <v>47</v>
      </c>
      <c r="H9" s="7" t="s">
        <v>48</v>
      </c>
      <c r="I9" s="7" t="s">
        <v>52</v>
      </c>
      <c r="J9" s="7" t="s">
        <v>51</v>
      </c>
    </row>
    <row r="10" spans="1:10">
      <c r="A10" s="10" t="s">
        <v>12</v>
      </c>
      <c r="B10" s="1">
        <v>18</v>
      </c>
      <c r="C10" s="1">
        <v>0</v>
      </c>
      <c r="D10" s="5">
        <v>40</v>
      </c>
      <c r="E10" s="1">
        <v>45</v>
      </c>
      <c r="F10" s="1">
        <v>0</v>
      </c>
      <c r="G10" s="5">
        <v>18</v>
      </c>
      <c r="H10" s="5">
        <v>45</v>
      </c>
      <c r="I10" s="5">
        <v>100</v>
      </c>
      <c r="J10" s="5">
        <v>0</v>
      </c>
    </row>
    <row r="11" spans="1:10">
      <c r="A11" s="11" t="s">
        <v>24</v>
      </c>
      <c r="B11" s="1">
        <v>22</v>
      </c>
      <c r="C11" s="1">
        <v>7</v>
      </c>
      <c r="D11" s="5">
        <v>58</v>
      </c>
      <c r="E11" s="1">
        <v>37.931034482758619</v>
      </c>
      <c r="F11" s="1">
        <v>12.068965517241379</v>
      </c>
      <c r="G11" s="5">
        <v>29</v>
      </c>
      <c r="H11" s="5">
        <v>50</v>
      </c>
      <c r="I11" s="5">
        <v>75.862068965517238</v>
      </c>
      <c r="J11" s="5">
        <v>24.137931034482758</v>
      </c>
    </row>
    <row r="13" spans="1:10">
      <c r="A13" s="28" t="s">
        <v>54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>
      <c r="A14" s="28" t="s">
        <v>55</v>
      </c>
      <c r="B14" s="28"/>
      <c r="C14" s="28"/>
      <c r="D14" s="28"/>
      <c r="E14" s="28"/>
      <c r="F14" s="28"/>
      <c r="G14" s="28"/>
      <c r="H14" s="28"/>
      <c r="I14" s="28"/>
      <c r="J14" s="28"/>
    </row>
  </sheetData>
  <mergeCells count="2">
    <mergeCell ref="A13:J13"/>
    <mergeCell ref="A14:J14"/>
  </mergeCells>
  <conditionalFormatting sqref="C2:C3">
    <cfRule type="aboveAverage" dxfId="1488" priority="42"/>
    <cfRule type="aboveAverage" dxfId="1487" priority="41" aboveAverage="0"/>
  </conditionalFormatting>
  <conditionalFormatting sqref="D2:D3">
    <cfRule type="aboveAverage" dxfId="1486" priority="40"/>
    <cfRule type="aboveAverage" dxfId="1485" priority="39" aboveAverage="0"/>
  </conditionalFormatting>
  <conditionalFormatting sqref="E2:E3">
    <cfRule type="aboveAverage" dxfId="1484" priority="38"/>
    <cfRule type="aboveAverage" dxfId="1483" priority="36" aboveAverage="0"/>
  </conditionalFormatting>
  <conditionalFormatting sqref="F2:F3">
    <cfRule type="aboveAverage" dxfId="1482" priority="37"/>
    <cfRule type="aboveAverage" dxfId="1481" priority="35" aboveAverage="0"/>
  </conditionalFormatting>
  <conditionalFormatting sqref="G2:G3">
    <cfRule type="aboveAverage" dxfId="1480" priority="34" aboveAverage="0"/>
    <cfRule type="aboveAverage" dxfId="1479" priority="33"/>
  </conditionalFormatting>
  <conditionalFormatting sqref="H2:H3">
    <cfRule type="aboveAverage" dxfId="1478" priority="32" aboveAverage="0"/>
    <cfRule type="aboveAverage" dxfId="1477" priority="2"/>
  </conditionalFormatting>
  <conditionalFormatting sqref="C6:C7">
    <cfRule type="aboveAverage" dxfId="1476" priority="30" aboveAverage="0"/>
    <cfRule type="aboveAverage" dxfId="1475" priority="31"/>
  </conditionalFormatting>
  <conditionalFormatting sqref="D6:D7">
    <cfRule type="aboveAverage" dxfId="1474" priority="28" aboveAverage="0"/>
    <cfRule type="aboveAverage" dxfId="1473" priority="29"/>
  </conditionalFormatting>
  <conditionalFormatting sqref="E6:E7">
    <cfRule type="aboveAverage" dxfId="1472" priority="26" aboveAverage="0"/>
    <cfRule type="aboveAverage" dxfId="1471" priority="27"/>
  </conditionalFormatting>
  <conditionalFormatting sqref="F6:F7">
    <cfRule type="aboveAverage" dxfId="1470" priority="24" aboveAverage="0"/>
    <cfRule type="aboveAverage" dxfId="1469" priority="25"/>
  </conditionalFormatting>
  <conditionalFormatting sqref="G6:G7">
    <cfRule type="aboveAverage" dxfId="1468" priority="22"/>
    <cfRule type="aboveAverage" dxfId="1467" priority="23" aboveAverage="0"/>
  </conditionalFormatting>
  <conditionalFormatting sqref="H6:H7">
    <cfRule type="aboveAverage" dxfId="1466" priority="21" aboveAverage="0"/>
    <cfRule type="aboveAverage" dxfId="1465" priority="1"/>
  </conditionalFormatting>
  <conditionalFormatting sqref="B10:B11">
    <cfRule type="aboveAverage" dxfId="1464" priority="20"/>
    <cfRule type="aboveAverage" dxfId="1463" priority="19" aboveAverage="0"/>
  </conditionalFormatting>
  <conditionalFormatting sqref="C10:C11">
    <cfRule type="aboveAverage" dxfId="1462" priority="18"/>
    <cfRule type="aboveAverage" dxfId="1461" priority="17" aboveAverage="0"/>
  </conditionalFormatting>
  <conditionalFormatting sqref="D10:D11">
    <cfRule type="aboveAverage" dxfId="1460" priority="16"/>
    <cfRule type="aboveAverage" dxfId="1459" priority="15" aboveAverage="0"/>
  </conditionalFormatting>
  <conditionalFormatting sqref="E10:E11">
    <cfRule type="aboveAverage" dxfId="1458" priority="14"/>
    <cfRule type="aboveAverage" dxfId="1457" priority="13" aboveAverage="0"/>
  </conditionalFormatting>
  <conditionalFormatting sqref="F10:F11">
    <cfRule type="aboveAverage" dxfId="1456" priority="12"/>
    <cfRule type="aboveAverage" dxfId="1455" priority="11" aboveAverage="0"/>
  </conditionalFormatting>
  <conditionalFormatting sqref="G10:G11">
    <cfRule type="aboveAverage" dxfId="1454" priority="10"/>
    <cfRule type="aboveAverage" dxfId="1453" priority="9" aboveAverage="0"/>
  </conditionalFormatting>
  <conditionalFormatting sqref="H10:H11">
    <cfRule type="aboveAverage" dxfId="1452" priority="8"/>
    <cfRule type="aboveAverage" dxfId="1451" priority="7" aboveAverage="0"/>
  </conditionalFormatting>
  <conditionalFormatting sqref="I10:I11">
    <cfRule type="aboveAverage" dxfId="1450" priority="6"/>
    <cfRule type="aboveAverage" dxfId="1449" priority="5" aboveAverage="0"/>
  </conditionalFormatting>
  <conditionalFormatting sqref="J10:J11">
    <cfRule type="aboveAverage" dxfId="1448" priority="4"/>
    <cfRule type="aboveAverage" dxfId="1447" priority="3" aboveAverage="0"/>
  </conditionalFormatting>
  <pageMargins left="0.7" right="0.7" top="0.75" bottom="0.75" header="0.3" footer="0.3"/>
  <pageSetup scale="74" orientation="portrait" horizontalDpi="300" verticalDpi="300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15"/>
  <sheetViews>
    <sheetView workbookViewId="0">
      <pane ySplit="1" topLeftCell="A74" activePane="bottomLeft" state="frozen"/>
      <selection activeCell="E37" sqref="E37"/>
      <selection pane="bottomLeft" activeCell="G107" sqref="A107:G112"/>
    </sheetView>
  </sheetViews>
  <sheetFormatPr defaultColWidth="16.7109375" defaultRowHeight="15"/>
  <cols>
    <col min="1" max="16384" width="16.7109375" style="1"/>
  </cols>
  <sheetData>
    <row r="1" spans="1:13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33</v>
      </c>
      <c r="H1" s="1" t="s">
        <v>34</v>
      </c>
      <c r="I1" s="1" t="s">
        <v>35</v>
      </c>
      <c r="J1" s="1" t="s">
        <v>56</v>
      </c>
      <c r="K1" s="1" t="s">
        <v>57</v>
      </c>
      <c r="L1" s="1" t="s">
        <v>58</v>
      </c>
      <c r="M1" s="1" t="s">
        <v>59</v>
      </c>
    </row>
    <row r="2" spans="1:13">
      <c r="A2" s="1" t="s">
        <v>12</v>
      </c>
      <c r="B2" s="1" t="s">
        <v>10</v>
      </c>
      <c r="C2" s="1">
        <v>1</v>
      </c>
      <c r="D2" s="1" t="s">
        <v>16</v>
      </c>
      <c r="E2" s="1">
        <v>11</v>
      </c>
      <c r="F2" s="1" t="s">
        <v>9</v>
      </c>
      <c r="G2" s="5" t="str">
        <f>IF(Table416[[#This Row],[Response]]="Yes",1,"")</f>
        <v/>
      </c>
      <c r="H2" s="5">
        <f>IF(Table416[[#This Row],[Response]]="No",1,"")</f>
        <v>1</v>
      </c>
      <c r="I2" s="5">
        <f>IF(SUM(Table416[[#This Row],[If Yes]:[If No]])=1,1,"")</f>
        <v>1</v>
      </c>
      <c r="J2" s="5" t="str">
        <f>IF(IF(Table416[[#This Row],[Old or New?]]="New",1,0)+IF(Table416[[#This Row],[If Yes]]=1,1,0)=2,1,"")</f>
        <v/>
      </c>
      <c r="K2" s="5" t="str">
        <f>IF(IF(Table416[[#This Row],[Old or New?]]="New",1,0)+IF(Table416[[#This Row],[If No]]=1,1,0)=2,1,"")</f>
        <v/>
      </c>
      <c r="L2" s="5" t="str">
        <f>IF(IF(Table416[[#This Row],[Old or New?]]="Old",1,0)+IF(Table416[[#This Row],[If Yes]]=1,1,0)=2,1,"")</f>
        <v/>
      </c>
      <c r="M2" s="5">
        <f>IF(IF(Table416[[#This Row],[Old or New?]]="Old",1,0)+IF(Table416[[#This Row],[If No]]=1,1,0)=2,1,"")</f>
        <v>1</v>
      </c>
    </row>
    <row r="3" spans="1:13">
      <c r="A3" s="1" t="s">
        <v>12</v>
      </c>
      <c r="B3" s="1" t="s">
        <v>10</v>
      </c>
      <c r="C3" s="1">
        <v>2</v>
      </c>
      <c r="D3" s="1" t="s">
        <v>16</v>
      </c>
      <c r="E3" s="1">
        <v>11</v>
      </c>
      <c r="F3" s="1" t="s">
        <v>9</v>
      </c>
      <c r="G3" s="5" t="str">
        <f>IF(Table416[[#This Row],[Response]]="Yes",1,"")</f>
        <v/>
      </c>
      <c r="H3" s="5">
        <f>IF(Table416[[#This Row],[Response]]="No",1,"")</f>
        <v>1</v>
      </c>
      <c r="I3" s="5">
        <f>IF(SUM(Table416[[#This Row],[If Yes]:[If No]])=1,1,"")</f>
        <v>1</v>
      </c>
      <c r="J3" s="5" t="str">
        <f>IF(IF(Table416[[#This Row],[Old or New?]]="New",1,0)+IF(Table416[[#This Row],[If Yes]]=1,1,0)=2,1,"")</f>
        <v/>
      </c>
      <c r="K3" s="5" t="str">
        <f>IF(IF(Table416[[#This Row],[Old or New?]]="New",1,0)+IF(Table416[[#This Row],[If No]]=1,1,0)=2,1,"")</f>
        <v/>
      </c>
      <c r="L3" s="5" t="str">
        <f>IF(IF(Table416[[#This Row],[Old or New?]]="Old",1,0)+IF(Table416[[#This Row],[If Yes]]=1,1,0)=2,1,"")</f>
        <v/>
      </c>
      <c r="M3" s="5">
        <f>IF(IF(Table416[[#This Row],[Old or New?]]="Old",1,0)+IF(Table416[[#This Row],[If No]]=1,1,0)=2,1,"")</f>
        <v>1</v>
      </c>
    </row>
    <row r="4" spans="1:13">
      <c r="A4" s="1" t="s">
        <v>12</v>
      </c>
      <c r="B4" s="1" t="s">
        <v>10</v>
      </c>
      <c r="C4" s="1">
        <v>3</v>
      </c>
      <c r="D4" s="1" t="s">
        <v>16</v>
      </c>
      <c r="E4" s="1">
        <v>11</v>
      </c>
      <c r="F4" s="1" t="s">
        <v>9</v>
      </c>
      <c r="G4" s="5" t="str">
        <f>IF(Table416[[#This Row],[Response]]="Yes",1,"")</f>
        <v/>
      </c>
      <c r="H4" s="5">
        <f>IF(Table416[[#This Row],[Response]]="No",1,"")</f>
        <v>1</v>
      </c>
      <c r="I4" s="5">
        <f>IF(SUM(Table416[[#This Row],[If Yes]:[If No]])=1,1,"")</f>
        <v>1</v>
      </c>
      <c r="J4" s="5" t="str">
        <f>IF(IF(Table416[[#This Row],[Old or New?]]="New",1,0)+IF(Table416[[#This Row],[If Yes]]=1,1,0)=2,1,"")</f>
        <v/>
      </c>
      <c r="K4" s="5" t="str">
        <f>IF(IF(Table416[[#This Row],[Old or New?]]="New",1,0)+IF(Table416[[#This Row],[If No]]=1,1,0)=2,1,"")</f>
        <v/>
      </c>
      <c r="L4" s="5" t="str">
        <f>IF(IF(Table416[[#This Row],[Old or New?]]="Old",1,0)+IF(Table416[[#This Row],[If Yes]]=1,1,0)=2,1,"")</f>
        <v/>
      </c>
      <c r="M4" s="5">
        <f>IF(IF(Table416[[#This Row],[Old or New?]]="Old",1,0)+IF(Table416[[#This Row],[If No]]=1,1,0)=2,1,"")</f>
        <v>1</v>
      </c>
    </row>
    <row r="5" spans="1:13">
      <c r="A5" s="1" t="s">
        <v>12</v>
      </c>
      <c r="B5" s="1" t="s">
        <v>10</v>
      </c>
      <c r="C5" s="1">
        <v>4</v>
      </c>
      <c r="D5" s="1" t="s">
        <v>16</v>
      </c>
      <c r="E5" s="1">
        <v>11</v>
      </c>
      <c r="F5" s="1" t="s">
        <v>9</v>
      </c>
      <c r="G5" s="5" t="str">
        <f>IF(Table416[[#This Row],[Response]]="Yes",1,"")</f>
        <v/>
      </c>
      <c r="H5" s="5">
        <f>IF(Table416[[#This Row],[Response]]="No",1,"")</f>
        <v>1</v>
      </c>
      <c r="I5" s="5">
        <f>IF(SUM(Table416[[#This Row],[If Yes]:[If No]])=1,1,"")</f>
        <v>1</v>
      </c>
      <c r="J5" s="5" t="str">
        <f>IF(IF(Table416[[#This Row],[Old or New?]]="New",1,0)+IF(Table416[[#This Row],[If Yes]]=1,1,0)=2,1,"")</f>
        <v/>
      </c>
      <c r="K5" s="5" t="str">
        <f>IF(IF(Table416[[#This Row],[Old or New?]]="New",1,0)+IF(Table416[[#This Row],[If No]]=1,1,0)=2,1,"")</f>
        <v/>
      </c>
      <c r="L5" s="5" t="str">
        <f>IF(IF(Table416[[#This Row],[Old or New?]]="Old",1,0)+IF(Table416[[#This Row],[If Yes]]=1,1,0)=2,1,"")</f>
        <v/>
      </c>
      <c r="M5" s="5">
        <f>IF(IF(Table416[[#This Row],[Old or New?]]="Old",1,0)+IF(Table416[[#This Row],[If No]]=1,1,0)=2,1,"")</f>
        <v>1</v>
      </c>
    </row>
    <row r="6" spans="1:13">
      <c r="A6" s="1" t="s">
        <v>12</v>
      </c>
      <c r="B6" s="1" t="s">
        <v>10</v>
      </c>
      <c r="C6" s="1">
        <v>5</v>
      </c>
      <c r="D6" s="1" t="s">
        <v>16</v>
      </c>
      <c r="E6" s="1">
        <v>11</v>
      </c>
      <c r="F6" s="1" t="s">
        <v>9</v>
      </c>
      <c r="G6" s="5" t="str">
        <f>IF(Table416[[#This Row],[Response]]="Yes",1,"")</f>
        <v/>
      </c>
      <c r="H6" s="5">
        <f>IF(Table416[[#This Row],[Response]]="No",1,"")</f>
        <v>1</v>
      </c>
      <c r="I6" s="5">
        <f>IF(SUM(Table416[[#This Row],[If Yes]:[If No]])=1,1,"")</f>
        <v>1</v>
      </c>
      <c r="J6" s="5" t="str">
        <f>IF(IF(Table416[[#This Row],[Old or New?]]="New",1,0)+IF(Table416[[#This Row],[If Yes]]=1,1,0)=2,1,"")</f>
        <v/>
      </c>
      <c r="K6" s="5" t="str">
        <f>IF(IF(Table416[[#This Row],[Old or New?]]="New",1,0)+IF(Table416[[#This Row],[If No]]=1,1,0)=2,1,"")</f>
        <v/>
      </c>
      <c r="L6" s="5" t="str">
        <f>IF(IF(Table416[[#This Row],[Old or New?]]="Old",1,0)+IF(Table416[[#This Row],[If Yes]]=1,1,0)=2,1,"")</f>
        <v/>
      </c>
      <c r="M6" s="5">
        <f>IF(IF(Table416[[#This Row],[Old or New?]]="Old",1,0)+IF(Table416[[#This Row],[If No]]=1,1,0)=2,1,"")</f>
        <v>1</v>
      </c>
    </row>
    <row r="7" spans="1:13">
      <c r="A7" s="1" t="s">
        <v>12</v>
      </c>
      <c r="B7" s="1" t="s">
        <v>10</v>
      </c>
      <c r="C7" s="1">
        <v>6</v>
      </c>
      <c r="D7" s="1" t="s">
        <v>16</v>
      </c>
      <c r="E7" s="1">
        <v>11</v>
      </c>
      <c r="F7" s="1" t="s">
        <v>9</v>
      </c>
      <c r="G7" s="5" t="str">
        <f>IF(Table416[[#This Row],[Response]]="Yes",1,"")</f>
        <v/>
      </c>
      <c r="H7" s="5">
        <f>IF(Table416[[#This Row],[Response]]="No",1,"")</f>
        <v>1</v>
      </c>
      <c r="I7" s="5">
        <f>IF(SUM(Table416[[#This Row],[If Yes]:[If No]])=1,1,"")</f>
        <v>1</v>
      </c>
      <c r="J7" s="5" t="str">
        <f>IF(IF(Table416[[#This Row],[Old or New?]]="New",1,0)+IF(Table416[[#This Row],[If Yes]]=1,1,0)=2,1,"")</f>
        <v/>
      </c>
      <c r="K7" s="5" t="str">
        <f>IF(IF(Table416[[#This Row],[Old or New?]]="New",1,0)+IF(Table416[[#This Row],[If No]]=1,1,0)=2,1,"")</f>
        <v/>
      </c>
      <c r="L7" s="5" t="str">
        <f>IF(IF(Table416[[#This Row],[Old or New?]]="Old",1,0)+IF(Table416[[#This Row],[If Yes]]=1,1,0)=2,1,"")</f>
        <v/>
      </c>
      <c r="M7" s="5">
        <f>IF(IF(Table416[[#This Row],[Old or New?]]="Old",1,0)+IF(Table416[[#This Row],[If No]]=1,1,0)=2,1,"")</f>
        <v>1</v>
      </c>
    </row>
    <row r="8" spans="1:13">
      <c r="A8" s="1" t="s">
        <v>12</v>
      </c>
      <c r="B8" s="1" t="s">
        <v>10</v>
      </c>
      <c r="C8" s="1">
        <v>7</v>
      </c>
      <c r="D8" s="1" t="s">
        <v>16</v>
      </c>
      <c r="E8" s="2">
        <v>11</v>
      </c>
      <c r="F8" s="2" t="s">
        <v>9</v>
      </c>
      <c r="G8" s="5" t="str">
        <f>IF(Table416[[#This Row],[Response]]="Yes",1,"")</f>
        <v/>
      </c>
      <c r="H8" s="5">
        <f>IF(Table416[[#This Row],[Response]]="No",1,"")</f>
        <v>1</v>
      </c>
      <c r="I8" s="5">
        <f>IF(SUM(Table416[[#This Row],[If Yes]:[If No]])=1,1,"")</f>
        <v>1</v>
      </c>
      <c r="J8" s="5" t="str">
        <f>IF(IF(Table416[[#This Row],[Old or New?]]="New",1,0)+IF(Table416[[#This Row],[If Yes]]=1,1,0)=2,1,"")</f>
        <v/>
      </c>
      <c r="K8" s="5" t="str">
        <f>IF(IF(Table416[[#This Row],[Old or New?]]="New",1,0)+IF(Table416[[#This Row],[If No]]=1,1,0)=2,1,"")</f>
        <v/>
      </c>
      <c r="L8" s="5" t="str">
        <f>IF(IF(Table416[[#This Row],[Old or New?]]="Old",1,0)+IF(Table416[[#This Row],[If Yes]]=1,1,0)=2,1,"")</f>
        <v/>
      </c>
      <c r="M8" s="5">
        <f>IF(IF(Table416[[#This Row],[Old or New?]]="Old",1,0)+IF(Table416[[#This Row],[If No]]=1,1,0)=2,1,"")</f>
        <v>1</v>
      </c>
    </row>
    <row r="9" spans="1:13">
      <c r="A9" s="1" t="s">
        <v>12</v>
      </c>
      <c r="B9" s="1" t="s">
        <v>10</v>
      </c>
      <c r="C9" s="1">
        <v>8</v>
      </c>
      <c r="D9" s="1" t="s">
        <v>16</v>
      </c>
      <c r="E9" s="1">
        <v>11</v>
      </c>
      <c r="F9" s="1" t="s">
        <v>9</v>
      </c>
      <c r="G9" s="5" t="str">
        <f>IF(Table416[[#This Row],[Response]]="Yes",1,"")</f>
        <v/>
      </c>
      <c r="H9" s="5">
        <f>IF(Table416[[#This Row],[Response]]="No",1,"")</f>
        <v>1</v>
      </c>
      <c r="I9" s="5">
        <f>IF(SUM(Table416[[#This Row],[If Yes]:[If No]])=1,1,"")</f>
        <v>1</v>
      </c>
      <c r="J9" s="5" t="str">
        <f>IF(IF(Table416[[#This Row],[Old or New?]]="New",1,0)+IF(Table416[[#This Row],[If Yes]]=1,1,0)=2,1,"")</f>
        <v/>
      </c>
      <c r="K9" s="5" t="str">
        <f>IF(IF(Table416[[#This Row],[Old or New?]]="New",1,0)+IF(Table416[[#This Row],[If No]]=1,1,0)=2,1,"")</f>
        <v/>
      </c>
      <c r="L9" s="5" t="str">
        <f>IF(IF(Table416[[#This Row],[Old or New?]]="Old",1,0)+IF(Table416[[#This Row],[If Yes]]=1,1,0)=2,1,"")</f>
        <v/>
      </c>
      <c r="M9" s="5">
        <f>IF(IF(Table416[[#This Row],[Old or New?]]="Old",1,0)+IF(Table416[[#This Row],[If No]]=1,1,0)=2,1,"")</f>
        <v>1</v>
      </c>
    </row>
    <row r="10" spans="1:13">
      <c r="A10" s="1" t="s">
        <v>12</v>
      </c>
      <c r="B10" s="1" t="s">
        <v>10</v>
      </c>
      <c r="C10" s="1">
        <v>9</v>
      </c>
      <c r="D10" s="1" t="s">
        <v>16</v>
      </c>
      <c r="E10" s="2">
        <v>11</v>
      </c>
      <c r="F10" s="1" t="s">
        <v>9</v>
      </c>
      <c r="G10" s="5" t="str">
        <f>IF(Table416[[#This Row],[Response]]="Yes",1,"")</f>
        <v/>
      </c>
      <c r="H10" s="5">
        <f>IF(Table416[[#This Row],[Response]]="No",1,"")</f>
        <v>1</v>
      </c>
      <c r="I10" s="5">
        <f>IF(SUM(Table416[[#This Row],[If Yes]:[If No]])=1,1,"")</f>
        <v>1</v>
      </c>
      <c r="J10" s="5" t="str">
        <f>IF(IF(Table416[[#This Row],[Old or New?]]="New",1,0)+IF(Table416[[#This Row],[If Yes]]=1,1,0)=2,1,"")</f>
        <v/>
      </c>
      <c r="K10" s="5" t="str">
        <f>IF(IF(Table416[[#This Row],[Old or New?]]="New",1,0)+IF(Table416[[#This Row],[If No]]=1,1,0)=2,1,"")</f>
        <v/>
      </c>
      <c r="L10" s="5" t="str">
        <f>IF(IF(Table416[[#This Row],[Old or New?]]="Old",1,0)+IF(Table416[[#This Row],[If Yes]]=1,1,0)=2,1,"")</f>
        <v/>
      </c>
      <c r="M10" s="5">
        <f>IF(IF(Table416[[#This Row],[Old or New?]]="Old",1,0)+IF(Table416[[#This Row],[If No]]=1,1,0)=2,1,"")</f>
        <v>1</v>
      </c>
    </row>
    <row r="11" spans="1:13">
      <c r="A11" s="1" t="s">
        <v>12</v>
      </c>
      <c r="B11" s="1" t="s">
        <v>10</v>
      </c>
      <c r="C11" s="1">
        <v>10</v>
      </c>
      <c r="D11" s="1" t="s">
        <v>16</v>
      </c>
      <c r="E11" s="1">
        <v>11</v>
      </c>
      <c r="F11" s="1" t="s">
        <v>9</v>
      </c>
      <c r="G11" s="5" t="str">
        <f>IF(Table416[[#This Row],[Response]]="Yes",1,"")</f>
        <v/>
      </c>
      <c r="H11" s="5">
        <f>IF(Table416[[#This Row],[Response]]="No",1,"")</f>
        <v>1</v>
      </c>
      <c r="I11" s="5">
        <f>IF(SUM(Table416[[#This Row],[If Yes]:[If No]])=1,1,"")</f>
        <v>1</v>
      </c>
      <c r="J11" s="5" t="str">
        <f>IF(IF(Table416[[#This Row],[Old or New?]]="New",1,0)+IF(Table416[[#This Row],[If Yes]]=1,1,0)=2,1,"")</f>
        <v/>
      </c>
      <c r="K11" s="5" t="str">
        <f>IF(IF(Table416[[#This Row],[Old or New?]]="New",1,0)+IF(Table416[[#This Row],[If No]]=1,1,0)=2,1,"")</f>
        <v/>
      </c>
      <c r="L11" s="5" t="str">
        <f>IF(IF(Table416[[#This Row],[Old or New?]]="Old",1,0)+IF(Table416[[#This Row],[If Yes]]=1,1,0)=2,1,"")</f>
        <v/>
      </c>
      <c r="M11" s="5">
        <f>IF(IF(Table416[[#This Row],[Old or New?]]="Old",1,0)+IF(Table416[[#This Row],[If No]]=1,1,0)=2,1,"")</f>
        <v>1</v>
      </c>
    </row>
    <row r="12" spans="1:13">
      <c r="A12" s="1" t="s">
        <v>12</v>
      </c>
      <c r="B12" s="1" t="s">
        <v>10</v>
      </c>
      <c r="C12" s="1">
        <v>11</v>
      </c>
      <c r="D12" s="1" t="s">
        <v>16</v>
      </c>
      <c r="E12" s="2">
        <v>11</v>
      </c>
      <c r="F12" s="1" t="s">
        <v>9</v>
      </c>
      <c r="G12" s="5" t="str">
        <f>IF(Table416[[#This Row],[Response]]="Yes",1,"")</f>
        <v/>
      </c>
      <c r="H12" s="5">
        <f>IF(Table416[[#This Row],[Response]]="No",1,"")</f>
        <v>1</v>
      </c>
      <c r="I12" s="5">
        <f>IF(SUM(Table416[[#This Row],[If Yes]:[If No]])=1,1,"")</f>
        <v>1</v>
      </c>
      <c r="J12" s="5" t="str">
        <f>IF(IF(Table416[[#This Row],[Old or New?]]="New",1,0)+IF(Table416[[#This Row],[If Yes]]=1,1,0)=2,1,"")</f>
        <v/>
      </c>
      <c r="K12" s="5" t="str">
        <f>IF(IF(Table416[[#This Row],[Old or New?]]="New",1,0)+IF(Table416[[#This Row],[If No]]=1,1,0)=2,1,"")</f>
        <v/>
      </c>
      <c r="L12" s="5" t="str">
        <f>IF(IF(Table416[[#This Row],[Old or New?]]="Old",1,0)+IF(Table416[[#This Row],[If Yes]]=1,1,0)=2,1,"")</f>
        <v/>
      </c>
      <c r="M12" s="5">
        <f>IF(IF(Table416[[#This Row],[Old or New?]]="Old",1,0)+IF(Table416[[#This Row],[If No]]=1,1,0)=2,1,"")</f>
        <v>1</v>
      </c>
    </row>
    <row r="13" spans="1:13">
      <c r="A13" s="1" t="s">
        <v>12</v>
      </c>
      <c r="B13" s="1" t="s">
        <v>10</v>
      </c>
      <c r="C13" s="1">
        <v>12</v>
      </c>
      <c r="D13" s="1" t="s">
        <v>16</v>
      </c>
      <c r="E13" s="1">
        <v>11</v>
      </c>
      <c r="F13" s="1" t="s">
        <v>9</v>
      </c>
      <c r="G13" s="5" t="str">
        <f>IF(Table416[[#This Row],[Response]]="Yes",1,"")</f>
        <v/>
      </c>
      <c r="H13" s="5">
        <f>IF(Table416[[#This Row],[Response]]="No",1,"")</f>
        <v>1</v>
      </c>
      <c r="I13" s="5">
        <f>IF(SUM(Table416[[#This Row],[If Yes]:[If No]])=1,1,"")</f>
        <v>1</v>
      </c>
      <c r="J13" s="5" t="str">
        <f>IF(IF(Table416[[#This Row],[Old or New?]]="New",1,0)+IF(Table416[[#This Row],[If Yes]]=1,1,0)=2,1,"")</f>
        <v/>
      </c>
      <c r="K13" s="5" t="str">
        <f>IF(IF(Table416[[#This Row],[Old or New?]]="New",1,0)+IF(Table416[[#This Row],[If No]]=1,1,0)=2,1,"")</f>
        <v/>
      </c>
      <c r="L13" s="5" t="str">
        <f>IF(IF(Table416[[#This Row],[Old or New?]]="Old",1,0)+IF(Table416[[#This Row],[If Yes]]=1,1,0)=2,1,"")</f>
        <v/>
      </c>
      <c r="M13" s="5">
        <f>IF(IF(Table416[[#This Row],[Old or New?]]="Old",1,0)+IF(Table416[[#This Row],[If No]]=1,1,0)=2,1,"")</f>
        <v>1</v>
      </c>
    </row>
    <row r="14" spans="1:13">
      <c r="A14" s="1" t="s">
        <v>12</v>
      </c>
      <c r="B14" s="1" t="s">
        <v>10</v>
      </c>
      <c r="C14" s="1">
        <v>13</v>
      </c>
      <c r="D14" s="1" t="s">
        <v>16</v>
      </c>
      <c r="E14" s="2">
        <v>11</v>
      </c>
      <c r="F14" s="1" t="s">
        <v>9</v>
      </c>
      <c r="G14" s="5" t="str">
        <f>IF(Table416[[#This Row],[Response]]="Yes",1,"")</f>
        <v/>
      </c>
      <c r="H14" s="5">
        <f>IF(Table416[[#This Row],[Response]]="No",1,"")</f>
        <v>1</v>
      </c>
      <c r="I14" s="5">
        <f>IF(SUM(Table416[[#This Row],[If Yes]:[If No]])=1,1,"")</f>
        <v>1</v>
      </c>
      <c r="J14" s="5" t="str">
        <f>IF(IF(Table416[[#This Row],[Old or New?]]="New",1,0)+IF(Table416[[#This Row],[If Yes]]=1,1,0)=2,1,"")</f>
        <v/>
      </c>
      <c r="K14" s="5" t="str">
        <f>IF(IF(Table416[[#This Row],[Old or New?]]="New",1,0)+IF(Table416[[#This Row],[If No]]=1,1,0)=2,1,"")</f>
        <v/>
      </c>
      <c r="L14" s="5" t="str">
        <f>IF(IF(Table416[[#This Row],[Old or New?]]="Old",1,0)+IF(Table416[[#This Row],[If Yes]]=1,1,0)=2,1,"")</f>
        <v/>
      </c>
      <c r="M14" s="5">
        <f>IF(IF(Table416[[#This Row],[Old or New?]]="Old",1,0)+IF(Table416[[#This Row],[If No]]=1,1,0)=2,1,"")</f>
        <v>1</v>
      </c>
    </row>
    <row r="15" spans="1:13">
      <c r="A15" s="1" t="s">
        <v>12</v>
      </c>
      <c r="B15" s="1" t="s">
        <v>10</v>
      </c>
      <c r="C15" s="1">
        <v>14</v>
      </c>
      <c r="D15" s="1" t="s">
        <v>16</v>
      </c>
      <c r="E15" s="1">
        <v>11</v>
      </c>
      <c r="F15" s="1" t="s">
        <v>9</v>
      </c>
      <c r="G15" s="5" t="str">
        <f>IF(Table416[[#This Row],[Response]]="Yes",1,"")</f>
        <v/>
      </c>
      <c r="H15" s="5">
        <f>IF(Table416[[#This Row],[Response]]="No",1,"")</f>
        <v>1</v>
      </c>
      <c r="I15" s="5">
        <f>IF(SUM(Table416[[#This Row],[If Yes]:[If No]])=1,1,"")</f>
        <v>1</v>
      </c>
      <c r="J15" s="5" t="str">
        <f>IF(IF(Table416[[#This Row],[Old or New?]]="New",1,0)+IF(Table416[[#This Row],[If Yes]]=1,1,0)=2,1,"")</f>
        <v/>
      </c>
      <c r="K15" s="5" t="str">
        <f>IF(IF(Table416[[#This Row],[Old or New?]]="New",1,0)+IF(Table416[[#This Row],[If No]]=1,1,0)=2,1,"")</f>
        <v/>
      </c>
      <c r="L15" s="5" t="str">
        <f>IF(IF(Table416[[#This Row],[Old or New?]]="Old",1,0)+IF(Table416[[#This Row],[If Yes]]=1,1,0)=2,1,"")</f>
        <v/>
      </c>
      <c r="M15" s="5">
        <f>IF(IF(Table416[[#This Row],[Old or New?]]="Old",1,0)+IF(Table416[[#This Row],[If No]]=1,1,0)=2,1,"")</f>
        <v>1</v>
      </c>
    </row>
    <row r="16" spans="1:13">
      <c r="A16" s="1" t="s">
        <v>12</v>
      </c>
      <c r="B16" s="1" t="s">
        <v>10</v>
      </c>
      <c r="C16" s="1">
        <v>15</v>
      </c>
      <c r="D16" s="1" t="s">
        <v>16</v>
      </c>
      <c r="E16" s="2">
        <v>11</v>
      </c>
      <c r="F16" s="1" t="s">
        <v>8</v>
      </c>
      <c r="G16" s="5">
        <f>IF(Table416[[#This Row],[Response]]="Yes",1,"")</f>
        <v>1</v>
      </c>
      <c r="H16" s="5" t="str">
        <f>IF(Table416[[#This Row],[Response]]="No",1,"")</f>
        <v/>
      </c>
      <c r="I16" s="5">
        <f>IF(SUM(Table416[[#This Row],[If Yes]:[If No]])=1,1,"")</f>
        <v>1</v>
      </c>
      <c r="J16" s="5" t="str">
        <f>IF(IF(Table416[[#This Row],[Old or New?]]="New",1,0)+IF(Table416[[#This Row],[If Yes]]=1,1,0)=2,1,"")</f>
        <v/>
      </c>
      <c r="K16" s="5" t="str">
        <f>IF(IF(Table416[[#This Row],[Old or New?]]="New",1,0)+IF(Table416[[#This Row],[If No]]=1,1,0)=2,1,"")</f>
        <v/>
      </c>
      <c r="L16" s="5">
        <f>IF(IF(Table416[[#This Row],[Old or New?]]="Old",1,0)+IF(Table416[[#This Row],[If Yes]]=1,1,0)=2,1,"")</f>
        <v>1</v>
      </c>
      <c r="M16" s="5" t="str">
        <f>IF(IF(Table416[[#This Row],[Old or New?]]="Old",1,0)+IF(Table416[[#This Row],[If No]]=1,1,0)=2,1,"")</f>
        <v/>
      </c>
    </row>
    <row r="17" spans="1:13">
      <c r="A17" s="1" t="s">
        <v>12</v>
      </c>
      <c r="B17" s="1" t="s">
        <v>10</v>
      </c>
      <c r="C17" s="1">
        <v>16</v>
      </c>
      <c r="D17" s="1" t="s">
        <v>16</v>
      </c>
      <c r="E17" s="1">
        <v>11</v>
      </c>
      <c r="F17" s="1" t="s">
        <v>9</v>
      </c>
      <c r="G17" s="5" t="str">
        <f>IF(Table416[[#This Row],[Response]]="Yes",1,"")</f>
        <v/>
      </c>
      <c r="H17" s="5">
        <f>IF(Table416[[#This Row],[Response]]="No",1,"")</f>
        <v>1</v>
      </c>
      <c r="I17" s="5">
        <f>IF(SUM(Table416[[#This Row],[If Yes]:[If No]])=1,1,"")</f>
        <v>1</v>
      </c>
      <c r="J17" s="5" t="str">
        <f>IF(IF(Table416[[#This Row],[Old or New?]]="New",1,0)+IF(Table416[[#This Row],[If Yes]]=1,1,0)=2,1,"")</f>
        <v/>
      </c>
      <c r="K17" s="5" t="str">
        <f>IF(IF(Table416[[#This Row],[Old or New?]]="New",1,0)+IF(Table416[[#This Row],[If No]]=1,1,0)=2,1,"")</f>
        <v/>
      </c>
      <c r="L17" s="5" t="str">
        <f>IF(IF(Table416[[#This Row],[Old or New?]]="Old",1,0)+IF(Table416[[#This Row],[If Yes]]=1,1,0)=2,1,"")</f>
        <v/>
      </c>
      <c r="M17" s="5">
        <f>IF(IF(Table416[[#This Row],[Old or New?]]="Old",1,0)+IF(Table416[[#This Row],[If No]]=1,1,0)=2,1,"")</f>
        <v>1</v>
      </c>
    </row>
    <row r="18" spans="1:13">
      <c r="A18" s="1" t="s">
        <v>12</v>
      </c>
      <c r="B18" s="1" t="s">
        <v>10</v>
      </c>
      <c r="C18" s="1">
        <v>17</v>
      </c>
      <c r="D18" s="1" t="s">
        <v>16</v>
      </c>
      <c r="E18" s="1">
        <v>11</v>
      </c>
      <c r="F18" s="1" t="s">
        <v>9</v>
      </c>
      <c r="G18" s="5" t="str">
        <f>IF(Table416[[#This Row],[Response]]="Yes",1,"")</f>
        <v/>
      </c>
      <c r="H18" s="5">
        <f>IF(Table416[[#This Row],[Response]]="No",1,"")</f>
        <v>1</v>
      </c>
      <c r="I18" s="5">
        <f>IF(SUM(Table416[[#This Row],[If Yes]:[If No]])=1,1,"")</f>
        <v>1</v>
      </c>
      <c r="J18" s="5" t="str">
        <f>IF(IF(Table416[[#This Row],[Old or New?]]="New",1,0)+IF(Table416[[#This Row],[If Yes]]=1,1,0)=2,1,"")</f>
        <v/>
      </c>
      <c r="K18" s="5" t="str">
        <f>IF(IF(Table416[[#This Row],[Old or New?]]="New",1,0)+IF(Table416[[#This Row],[If No]]=1,1,0)=2,1,"")</f>
        <v/>
      </c>
      <c r="L18" s="5" t="str">
        <f>IF(IF(Table416[[#This Row],[Old or New?]]="Old",1,0)+IF(Table416[[#This Row],[If Yes]]=1,1,0)=2,1,"")</f>
        <v/>
      </c>
      <c r="M18" s="5">
        <f>IF(IF(Table416[[#This Row],[Old or New?]]="Old",1,0)+IF(Table416[[#This Row],[If No]]=1,1,0)=2,1,"")</f>
        <v>1</v>
      </c>
    </row>
    <row r="19" spans="1:13">
      <c r="A19" s="1" t="s">
        <v>12</v>
      </c>
      <c r="B19" s="1" t="s">
        <v>10</v>
      </c>
      <c r="C19" s="1">
        <v>18</v>
      </c>
      <c r="D19" s="1" t="s">
        <v>16</v>
      </c>
      <c r="E19" s="2">
        <v>11</v>
      </c>
      <c r="F19" s="1" t="s">
        <v>9</v>
      </c>
      <c r="G19" s="5" t="str">
        <f>IF(Table416[[#This Row],[Response]]="Yes",1,"")</f>
        <v/>
      </c>
      <c r="H19" s="5">
        <f>IF(Table416[[#This Row],[Response]]="No",1,"")</f>
        <v>1</v>
      </c>
      <c r="I19" s="5">
        <f>IF(SUM(Table416[[#This Row],[If Yes]:[If No]])=1,1,"")</f>
        <v>1</v>
      </c>
      <c r="J19" s="5" t="str">
        <f>IF(IF(Table416[[#This Row],[Old or New?]]="New",1,0)+IF(Table416[[#This Row],[If Yes]]=1,1,0)=2,1,"")</f>
        <v/>
      </c>
      <c r="K19" s="5" t="str">
        <f>IF(IF(Table416[[#This Row],[Old or New?]]="New",1,0)+IF(Table416[[#This Row],[If No]]=1,1,0)=2,1,"")</f>
        <v/>
      </c>
      <c r="L19" s="5" t="str">
        <f>IF(IF(Table416[[#This Row],[Old or New?]]="Old",1,0)+IF(Table416[[#This Row],[If Yes]]=1,1,0)=2,1,"")</f>
        <v/>
      </c>
      <c r="M19" s="5">
        <f>IF(IF(Table416[[#This Row],[Old or New?]]="Old",1,0)+IF(Table416[[#This Row],[If No]]=1,1,0)=2,1,"")</f>
        <v>1</v>
      </c>
    </row>
    <row r="20" spans="1:13">
      <c r="A20" s="2" t="s">
        <v>12</v>
      </c>
      <c r="B20" s="2" t="s">
        <v>21</v>
      </c>
      <c r="C20" s="1">
        <v>1</v>
      </c>
      <c r="D20" s="2" t="s">
        <v>16</v>
      </c>
      <c r="E20" s="1">
        <v>11</v>
      </c>
      <c r="F20" s="1" t="s">
        <v>9</v>
      </c>
      <c r="G20" s="5" t="str">
        <f>IF(Table416[[#This Row],[Response]]="Yes",1,"")</f>
        <v/>
      </c>
      <c r="H20" s="5">
        <f>IF(Table416[[#This Row],[Response]]="No",1,"")</f>
        <v>1</v>
      </c>
      <c r="I20" s="5">
        <f>IF(SUM(Table416[[#This Row],[If Yes]:[If No]])=1,1,"")</f>
        <v>1</v>
      </c>
      <c r="J20" s="5" t="str">
        <f>IF(IF(Table416[[#This Row],[Old or New?]]="New",1,0)+IF(Table416[[#This Row],[If Yes]]=1,1,0)=2,1,"")</f>
        <v/>
      </c>
      <c r="K20" s="5" t="str">
        <f>IF(IF(Table416[[#This Row],[Old or New?]]="New",1,0)+IF(Table416[[#This Row],[If No]]=1,1,0)=2,1,"")</f>
        <v/>
      </c>
      <c r="L20" s="5" t="str">
        <f>IF(IF(Table416[[#This Row],[Old or New?]]="Old",1,0)+IF(Table416[[#This Row],[If Yes]]=1,1,0)=2,1,"")</f>
        <v/>
      </c>
      <c r="M20" s="5">
        <f>IF(IF(Table416[[#This Row],[Old or New?]]="Old",1,0)+IF(Table416[[#This Row],[If No]]=1,1,0)=2,1,"")</f>
        <v>1</v>
      </c>
    </row>
    <row r="21" spans="1:13">
      <c r="A21" s="2" t="s">
        <v>12</v>
      </c>
      <c r="B21" s="2" t="s">
        <v>21</v>
      </c>
      <c r="C21" s="1">
        <v>2</v>
      </c>
      <c r="D21" s="2" t="s">
        <v>16</v>
      </c>
      <c r="E21" s="1">
        <v>11</v>
      </c>
      <c r="F21" s="1" t="s">
        <v>9</v>
      </c>
      <c r="G21" s="5" t="str">
        <f>IF(Table416[[#This Row],[Response]]="Yes",1,"")</f>
        <v/>
      </c>
      <c r="H21" s="5">
        <f>IF(Table416[[#This Row],[Response]]="No",1,"")</f>
        <v>1</v>
      </c>
      <c r="I21" s="5">
        <f>IF(SUM(Table416[[#This Row],[If Yes]:[If No]])=1,1,"")</f>
        <v>1</v>
      </c>
      <c r="J21" s="5" t="str">
        <f>IF(IF(Table416[[#This Row],[Old or New?]]="New",1,0)+IF(Table416[[#This Row],[If Yes]]=1,1,0)=2,1,"")</f>
        <v/>
      </c>
      <c r="K21" s="5" t="str">
        <f>IF(IF(Table416[[#This Row],[Old or New?]]="New",1,0)+IF(Table416[[#This Row],[If No]]=1,1,0)=2,1,"")</f>
        <v/>
      </c>
      <c r="L21" s="5" t="str">
        <f>IF(IF(Table416[[#This Row],[Old or New?]]="Old",1,0)+IF(Table416[[#This Row],[If Yes]]=1,1,0)=2,1,"")</f>
        <v/>
      </c>
      <c r="M21" s="5">
        <f>IF(IF(Table416[[#This Row],[Old or New?]]="Old",1,0)+IF(Table416[[#This Row],[If No]]=1,1,0)=2,1,"")</f>
        <v>1</v>
      </c>
    </row>
    <row r="22" spans="1:13">
      <c r="A22" s="2" t="s">
        <v>12</v>
      </c>
      <c r="B22" s="2" t="s">
        <v>21</v>
      </c>
      <c r="C22" s="1">
        <v>3</v>
      </c>
      <c r="D22" s="2" t="s">
        <v>16</v>
      </c>
      <c r="E22" s="1">
        <v>11</v>
      </c>
      <c r="F22" s="1" t="s">
        <v>8</v>
      </c>
      <c r="G22" s="5">
        <f>IF(Table416[[#This Row],[Response]]="Yes",1,"")</f>
        <v>1</v>
      </c>
      <c r="H22" s="5" t="str">
        <f>IF(Table416[[#This Row],[Response]]="No",1,"")</f>
        <v/>
      </c>
      <c r="I22" s="5">
        <f>IF(SUM(Table416[[#This Row],[If Yes]:[If No]])=1,1,"")</f>
        <v>1</v>
      </c>
      <c r="J22" s="5" t="str">
        <f>IF(IF(Table416[[#This Row],[Old or New?]]="New",1,0)+IF(Table416[[#This Row],[If Yes]]=1,1,0)=2,1,"")</f>
        <v/>
      </c>
      <c r="K22" s="5" t="str">
        <f>IF(IF(Table416[[#This Row],[Old or New?]]="New",1,0)+IF(Table416[[#This Row],[If No]]=1,1,0)=2,1,"")</f>
        <v/>
      </c>
      <c r="L22" s="5">
        <f>IF(IF(Table416[[#This Row],[Old or New?]]="Old",1,0)+IF(Table416[[#This Row],[If Yes]]=1,1,0)=2,1,"")</f>
        <v>1</v>
      </c>
      <c r="M22" s="5" t="str">
        <f>IF(IF(Table416[[#This Row],[Old or New?]]="Old",1,0)+IF(Table416[[#This Row],[If No]]=1,1,0)=2,1,"")</f>
        <v/>
      </c>
    </row>
    <row r="23" spans="1:13">
      <c r="A23" s="2" t="s">
        <v>12</v>
      </c>
      <c r="B23" s="2" t="s">
        <v>21</v>
      </c>
      <c r="C23" s="1">
        <v>4</v>
      </c>
      <c r="D23" s="2" t="s">
        <v>16</v>
      </c>
      <c r="E23" s="1">
        <v>11</v>
      </c>
      <c r="F23" s="1" t="s">
        <v>9</v>
      </c>
      <c r="G23" s="5" t="str">
        <f>IF(Table416[[#This Row],[Response]]="Yes",1,"")</f>
        <v/>
      </c>
      <c r="H23" s="5">
        <f>IF(Table416[[#This Row],[Response]]="No",1,"")</f>
        <v>1</v>
      </c>
      <c r="I23" s="5">
        <f>IF(SUM(Table416[[#This Row],[If Yes]:[If No]])=1,1,"")</f>
        <v>1</v>
      </c>
      <c r="J23" s="5" t="str">
        <f>IF(IF(Table416[[#This Row],[Old or New?]]="New",1,0)+IF(Table416[[#This Row],[If Yes]]=1,1,0)=2,1,"")</f>
        <v/>
      </c>
      <c r="K23" s="5" t="str">
        <f>IF(IF(Table416[[#This Row],[Old or New?]]="New",1,0)+IF(Table416[[#This Row],[If No]]=1,1,0)=2,1,"")</f>
        <v/>
      </c>
      <c r="L23" s="5" t="str">
        <f>IF(IF(Table416[[#This Row],[Old or New?]]="Old",1,0)+IF(Table416[[#This Row],[If Yes]]=1,1,0)=2,1,"")</f>
        <v/>
      </c>
      <c r="M23" s="5">
        <f>IF(IF(Table416[[#This Row],[Old or New?]]="Old",1,0)+IF(Table416[[#This Row],[If No]]=1,1,0)=2,1,"")</f>
        <v>1</v>
      </c>
    </row>
    <row r="24" spans="1:13">
      <c r="A24" s="2" t="s">
        <v>12</v>
      </c>
      <c r="B24" s="2" t="s">
        <v>21</v>
      </c>
      <c r="C24" s="1">
        <v>5</v>
      </c>
      <c r="D24" s="2" t="s">
        <v>16</v>
      </c>
      <c r="E24" s="1">
        <v>11</v>
      </c>
      <c r="F24" s="1" t="s">
        <v>9</v>
      </c>
      <c r="G24" s="5" t="str">
        <f>IF(Table416[[#This Row],[Response]]="Yes",1,"")</f>
        <v/>
      </c>
      <c r="H24" s="5">
        <f>IF(Table416[[#This Row],[Response]]="No",1,"")</f>
        <v>1</v>
      </c>
      <c r="I24" s="5">
        <f>IF(SUM(Table416[[#This Row],[If Yes]:[If No]])=1,1,"")</f>
        <v>1</v>
      </c>
      <c r="J24" s="5" t="str">
        <f>IF(IF(Table416[[#This Row],[Old or New?]]="New",1,0)+IF(Table416[[#This Row],[If Yes]]=1,1,0)=2,1,"")</f>
        <v/>
      </c>
      <c r="K24" s="5" t="str">
        <f>IF(IF(Table416[[#This Row],[Old or New?]]="New",1,0)+IF(Table416[[#This Row],[If No]]=1,1,0)=2,1,"")</f>
        <v/>
      </c>
      <c r="L24" s="5" t="str">
        <f>IF(IF(Table416[[#This Row],[Old or New?]]="Old",1,0)+IF(Table416[[#This Row],[If Yes]]=1,1,0)=2,1,"")</f>
        <v/>
      </c>
      <c r="M24" s="5">
        <f>IF(IF(Table416[[#This Row],[Old or New?]]="Old",1,0)+IF(Table416[[#This Row],[If No]]=1,1,0)=2,1,"")</f>
        <v>1</v>
      </c>
    </row>
    <row r="25" spans="1:13">
      <c r="A25" s="2" t="s">
        <v>12</v>
      </c>
      <c r="B25" s="2" t="s">
        <v>21</v>
      </c>
      <c r="C25" s="1">
        <v>6</v>
      </c>
      <c r="D25" s="2" t="s">
        <v>16</v>
      </c>
      <c r="E25" s="1">
        <v>11</v>
      </c>
      <c r="F25" s="1" t="s">
        <v>9</v>
      </c>
      <c r="G25" s="5" t="str">
        <f>IF(Table416[[#This Row],[Response]]="Yes",1,"")</f>
        <v/>
      </c>
      <c r="H25" s="5">
        <f>IF(Table416[[#This Row],[Response]]="No",1,"")</f>
        <v>1</v>
      </c>
      <c r="I25" s="5">
        <f>IF(SUM(Table416[[#This Row],[If Yes]:[If No]])=1,1,"")</f>
        <v>1</v>
      </c>
      <c r="J25" s="5" t="str">
        <f>IF(IF(Table416[[#This Row],[Old or New?]]="New",1,0)+IF(Table416[[#This Row],[If Yes]]=1,1,0)=2,1,"")</f>
        <v/>
      </c>
      <c r="K25" s="5" t="str">
        <f>IF(IF(Table416[[#This Row],[Old or New?]]="New",1,0)+IF(Table416[[#This Row],[If No]]=1,1,0)=2,1,"")</f>
        <v/>
      </c>
      <c r="L25" s="5" t="str">
        <f>IF(IF(Table416[[#This Row],[Old or New?]]="Old",1,0)+IF(Table416[[#This Row],[If Yes]]=1,1,0)=2,1,"")</f>
        <v/>
      </c>
      <c r="M25" s="5">
        <f>IF(IF(Table416[[#This Row],[Old or New?]]="Old",1,0)+IF(Table416[[#This Row],[If No]]=1,1,0)=2,1,"")</f>
        <v>1</v>
      </c>
    </row>
    <row r="26" spans="1:13">
      <c r="A26" s="2" t="s">
        <v>12</v>
      </c>
      <c r="B26" s="2" t="s">
        <v>21</v>
      </c>
      <c r="C26" s="1">
        <v>7</v>
      </c>
      <c r="D26" s="2" t="s">
        <v>16</v>
      </c>
      <c r="E26" s="2">
        <v>11</v>
      </c>
      <c r="F26" s="1" t="s">
        <v>9</v>
      </c>
      <c r="G26" s="5" t="str">
        <f>IF(Table416[[#This Row],[Response]]="Yes",1,"")</f>
        <v/>
      </c>
      <c r="H26" s="5">
        <f>IF(Table416[[#This Row],[Response]]="No",1,"")</f>
        <v>1</v>
      </c>
      <c r="I26" s="5">
        <f>IF(SUM(Table416[[#This Row],[If Yes]:[If No]])=1,1,"")</f>
        <v>1</v>
      </c>
      <c r="J26" s="5" t="str">
        <f>IF(IF(Table416[[#This Row],[Old or New?]]="New",1,0)+IF(Table416[[#This Row],[If Yes]]=1,1,0)=2,1,"")</f>
        <v/>
      </c>
      <c r="K26" s="5" t="str">
        <f>IF(IF(Table416[[#This Row],[Old or New?]]="New",1,0)+IF(Table416[[#This Row],[If No]]=1,1,0)=2,1,"")</f>
        <v/>
      </c>
      <c r="L26" s="5" t="str">
        <f>IF(IF(Table416[[#This Row],[Old or New?]]="Old",1,0)+IF(Table416[[#This Row],[If Yes]]=1,1,0)=2,1,"")</f>
        <v/>
      </c>
      <c r="M26" s="5">
        <f>IF(IF(Table416[[#This Row],[Old or New?]]="Old",1,0)+IF(Table416[[#This Row],[If No]]=1,1,0)=2,1,"")</f>
        <v>1</v>
      </c>
    </row>
    <row r="27" spans="1:13">
      <c r="A27" s="2" t="s">
        <v>12</v>
      </c>
      <c r="B27" s="2" t="s">
        <v>21</v>
      </c>
      <c r="C27" s="1">
        <v>8</v>
      </c>
      <c r="D27" s="2" t="s">
        <v>16</v>
      </c>
      <c r="E27" s="1">
        <v>11</v>
      </c>
      <c r="F27" s="1" t="s">
        <v>9</v>
      </c>
      <c r="G27" s="5" t="str">
        <f>IF(Table416[[#This Row],[Response]]="Yes",1,"")</f>
        <v/>
      </c>
      <c r="H27" s="5">
        <f>IF(Table416[[#This Row],[Response]]="No",1,"")</f>
        <v>1</v>
      </c>
      <c r="I27" s="5">
        <f>IF(SUM(Table416[[#This Row],[If Yes]:[If No]])=1,1,"")</f>
        <v>1</v>
      </c>
      <c r="J27" s="5" t="str">
        <f>IF(IF(Table416[[#This Row],[Old or New?]]="New",1,0)+IF(Table416[[#This Row],[If Yes]]=1,1,0)=2,1,"")</f>
        <v/>
      </c>
      <c r="K27" s="5" t="str">
        <f>IF(IF(Table416[[#This Row],[Old or New?]]="New",1,0)+IF(Table416[[#This Row],[If No]]=1,1,0)=2,1,"")</f>
        <v/>
      </c>
      <c r="L27" s="5" t="str">
        <f>IF(IF(Table416[[#This Row],[Old or New?]]="Old",1,0)+IF(Table416[[#This Row],[If Yes]]=1,1,0)=2,1,"")</f>
        <v/>
      </c>
      <c r="M27" s="5">
        <f>IF(IF(Table416[[#This Row],[Old or New?]]="Old",1,0)+IF(Table416[[#This Row],[If No]]=1,1,0)=2,1,"")</f>
        <v>1</v>
      </c>
    </row>
    <row r="28" spans="1:13">
      <c r="A28" s="2" t="s">
        <v>12</v>
      </c>
      <c r="B28" s="2" t="s">
        <v>21</v>
      </c>
      <c r="C28" s="1">
        <v>9</v>
      </c>
      <c r="D28" s="2" t="s">
        <v>16</v>
      </c>
      <c r="E28" s="2">
        <v>11</v>
      </c>
      <c r="F28" s="1" t="s">
        <v>9</v>
      </c>
      <c r="G28" s="5" t="str">
        <f>IF(Table416[[#This Row],[Response]]="Yes",1,"")</f>
        <v/>
      </c>
      <c r="H28" s="5">
        <f>IF(Table416[[#This Row],[Response]]="No",1,"")</f>
        <v>1</v>
      </c>
      <c r="I28" s="5">
        <f>IF(SUM(Table416[[#This Row],[If Yes]:[If No]])=1,1,"")</f>
        <v>1</v>
      </c>
      <c r="J28" s="5" t="str">
        <f>IF(IF(Table416[[#This Row],[Old or New?]]="New",1,0)+IF(Table416[[#This Row],[If Yes]]=1,1,0)=2,1,"")</f>
        <v/>
      </c>
      <c r="K28" s="5" t="str">
        <f>IF(IF(Table416[[#This Row],[Old or New?]]="New",1,0)+IF(Table416[[#This Row],[If No]]=1,1,0)=2,1,"")</f>
        <v/>
      </c>
      <c r="L28" s="5" t="str">
        <f>IF(IF(Table416[[#This Row],[Old or New?]]="Old",1,0)+IF(Table416[[#This Row],[If Yes]]=1,1,0)=2,1,"")</f>
        <v/>
      </c>
      <c r="M28" s="5">
        <f>IF(IF(Table416[[#This Row],[Old or New?]]="Old",1,0)+IF(Table416[[#This Row],[If No]]=1,1,0)=2,1,"")</f>
        <v>1</v>
      </c>
    </row>
    <row r="29" spans="1:13">
      <c r="A29" s="2" t="s">
        <v>12</v>
      </c>
      <c r="B29" s="2" t="s">
        <v>21</v>
      </c>
      <c r="C29" s="1">
        <v>10</v>
      </c>
      <c r="D29" s="2" t="s">
        <v>16</v>
      </c>
      <c r="E29" s="1">
        <v>11</v>
      </c>
      <c r="F29" s="1" t="s">
        <v>9</v>
      </c>
      <c r="G29" s="5" t="str">
        <f>IF(Table416[[#This Row],[Response]]="Yes",1,"")</f>
        <v/>
      </c>
      <c r="H29" s="5">
        <f>IF(Table416[[#This Row],[Response]]="No",1,"")</f>
        <v>1</v>
      </c>
      <c r="I29" s="5">
        <f>IF(SUM(Table416[[#This Row],[If Yes]:[If No]])=1,1,"")</f>
        <v>1</v>
      </c>
      <c r="J29" s="5" t="str">
        <f>IF(IF(Table416[[#This Row],[Old or New?]]="New",1,0)+IF(Table416[[#This Row],[If Yes]]=1,1,0)=2,1,"")</f>
        <v/>
      </c>
      <c r="K29" s="5" t="str">
        <f>IF(IF(Table416[[#This Row],[Old or New?]]="New",1,0)+IF(Table416[[#This Row],[If No]]=1,1,0)=2,1,"")</f>
        <v/>
      </c>
      <c r="L29" s="5" t="str">
        <f>IF(IF(Table416[[#This Row],[Old or New?]]="Old",1,0)+IF(Table416[[#This Row],[If Yes]]=1,1,0)=2,1,"")</f>
        <v/>
      </c>
      <c r="M29" s="5">
        <f>IF(IF(Table416[[#This Row],[Old or New?]]="Old",1,0)+IF(Table416[[#This Row],[If No]]=1,1,0)=2,1,"")</f>
        <v>1</v>
      </c>
    </row>
    <row r="30" spans="1:13">
      <c r="A30" s="2" t="s">
        <v>12</v>
      </c>
      <c r="B30" s="2" t="s">
        <v>21</v>
      </c>
      <c r="C30" s="1">
        <v>11</v>
      </c>
      <c r="D30" s="2" t="s">
        <v>16</v>
      </c>
      <c r="E30" s="2">
        <v>11</v>
      </c>
      <c r="F30" s="1" t="s">
        <v>9</v>
      </c>
      <c r="G30" s="5" t="str">
        <f>IF(Table416[[#This Row],[Response]]="Yes",1,"")</f>
        <v/>
      </c>
      <c r="H30" s="5">
        <f>IF(Table416[[#This Row],[Response]]="No",1,"")</f>
        <v>1</v>
      </c>
      <c r="I30" s="5">
        <f>IF(SUM(Table416[[#This Row],[If Yes]:[If No]])=1,1,"")</f>
        <v>1</v>
      </c>
      <c r="J30" s="5" t="str">
        <f>IF(IF(Table416[[#This Row],[Old or New?]]="New",1,0)+IF(Table416[[#This Row],[If Yes]]=1,1,0)=2,1,"")</f>
        <v/>
      </c>
      <c r="K30" s="5" t="str">
        <f>IF(IF(Table416[[#This Row],[Old or New?]]="New",1,0)+IF(Table416[[#This Row],[If No]]=1,1,0)=2,1,"")</f>
        <v/>
      </c>
      <c r="L30" s="5" t="str">
        <f>IF(IF(Table416[[#This Row],[Old or New?]]="Old",1,0)+IF(Table416[[#This Row],[If Yes]]=1,1,0)=2,1,"")</f>
        <v/>
      </c>
      <c r="M30" s="5">
        <f>IF(IF(Table416[[#This Row],[Old or New?]]="Old",1,0)+IF(Table416[[#This Row],[If No]]=1,1,0)=2,1,"")</f>
        <v>1</v>
      </c>
    </row>
    <row r="31" spans="1:13">
      <c r="A31" s="2" t="s">
        <v>12</v>
      </c>
      <c r="B31" s="2" t="s">
        <v>21</v>
      </c>
      <c r="C31" s="1">
        <v>12</v>
      </c>
      <c r="D31" s="2" t="s">
        <v>16</v>
      </c>
      <c r="E31" s="1">
        <v>11</v>
      </c>
      <c r="F31" s="1" t="s">
        <v>9</v>
      </c>
      <c r="G31" s="5" t="str">
        <f>IF(Table416[[#This Row],[Response]]="Yes",1,"")</f>
        <v/>
      </c>
      <c r="H31" s="5">
        <f>IF(Table416[[#This Row],[Response]]="No",1,"")</f>
        <v>1</v>
      </c>
      <c r="I31" s="5">
        <f>IF(SUM(Table416[[#This Row],[If Yes]:[If No]])=1,1,"")</f>
        <v>1</v>
      </c>
      <c r="J31" s="5" t="str">
        <f>IF(IF(Table416[[#This Row],[Old or New?]]="New",1,0)+IF(Table416[[#This Row],[If Yes]]=1,1,0)=2,1,"")</f>
        <v/>
      </c>
      <c r="K31" s="5" t="str">
        <f>IF(IF(Table416[[#This Row],[Old or New?]]="New",1,0)+IF(Table416[[#This Row],[If No]]=1,1,0)=2,1,"")</f>
        <v/>
      </c>
      <c r="L31" s="5" t="str">
        <f>IF(IF(Table416[[#This Row],[Old or New?]]="Old",1,0)+IF(Table416[[#This Row],[If Yes]]=1,1,0)=2,1,"")</f>
        <v/>
      </c>
      <c r="M31" s="5">
        <f>IF(IF(Table416[[#This Row],[Old or New?]]="Old",1,0)+IF(Table416[[#This Row],[If No]]=1,1,0)=2,1,"")</f>
        <v>1</v>
      </c>
    </row>
    <row r="32" spans="1:13">
      <c r="A32" s="2" t="s">
        <v>12</v>
      </c>
      <c r="B32" s="2" t="s">
        <v>21</v>
      </c>
      <c r="C32" s="1">
        <v>13</v>
      </c>
      <c r="D32" s="2" t="s">
        <v>16</v>
      </c>
      <c r="E32" s="2">
        <v>11</v>
      </c>
      <c r="F32" s="1" t="s">
        <v>9</v>
      </c>
      <c r="G32" s="5" t="str">
        <f>IF(Table416[[#This Row],[Response]]="Yes",1,"")</f>
        <v/>
      </c>
      <c r="H32" s="5">
        <f>IF(Table416[[#This Row],[Response]]="No",1,"")</f>
        <v>1</v>
      </c>
      <c r="I32" s="5">
        <f>IF(SUM(Table416[[#This Row],[If Yes]:[If No]])=1,1,"")</f>
        <v>1</v>
      </c>
      <c r="J32" s="5" t="str">
        <f>IF(IF(Table416[[#This Row],[Old or New?]]="New",1,0)+IF(Table416[[#This Row],[If Yes]]=1,1,0)=2,1,"")</f>
        <v/>
      </c>
      <c r="K32" s="5" t="str">
        <f>IF(IF(Table416[[#This Row],[Old or New?]]="New",1,0)+IF(Table416[[#This Row],[If No]]=1,1,0)=2,1,"")</f>
        <v/>
      </c>
      <c r="L32" s="5" t="str">
        <f>IF(IF(Table416[[#This Row],[Old or New?]]="Old",1,0)+IF(Table416[[#This Row],[If Yes]]=1,1,0)=2,1,"")</f>
        <v/>
      </c>
      <c r="M32" s="5">
        <f>IF(IF(Table416[[#This Row],[Old or New?]]="Old",1,0)+IF(Table416[[#This Row],[If No]]=1,1,0)=2,1,"")</f>
        <v>1</v>
      </c>
    </row>
    <row r="33" spans="1:13">
      <c r="A33" s="2" t="s">
        <v>12</v>
      </c>
      <c r="B33" s="2" t="s">
        <v>21</v>
      </c>
      <c r="C33" s="1">
        <v>14</v>
      </c>
      <c r="D33" s="2" t="s">
        <v>16</v>
      </c>
      <c r="E33" s="1">
        <v>11</v>
      </c>
      <c r="F33" s="1" t="s">
        <v>9</v>
      </c>
      <c r="G33" s="5" t="str">
        <f>IF(Table416[[#This Row],[Response]]="Yes",1,"")</f>
        <v/>
      </c>
      <c r="H33" s="5">
        <f>IF(Table416[[#This Row],[Response]]="No",1,"")</f>
        <v>1</v>
      </c>
      <c r="I33" s="5">
        <f>IF(SUM(Table416[[#This Row],[If Yes]:[If No]])=1,1,"")</f>
        <v>1</v>
      </c>
      <c r="J33" s="5" t="str">
        <f>IF(IF(Table416[[#This Row],[Old or New?]]="New",1,0)+IF(Table416[[#This Row],[If Yes]]=1,1,0)=2,1,"")</f>
        <v/>
      </c>
      <c r="K33" s="5" t="str">
        <f>IF(IF(Table416[[#This Row],[Old or New?]]="New",1,0)+IF(Table416[[#This Row],[If No]]=1,1,0)=2,1,"")</f>
        <v/>
      </c>
      <c r="L33" s="5" t="str">
        <f>IF(IF(Table416[[#This Row],[Old or New?]]="Old",1,0)+IF(Table416[[#This Row],[If Yes]]=1,1,0)=2,1,"")</f>
        <v/>
      </c>
      <c r="M33" s="5">
        <f>IF(IF(Table416[[#This Row],[Old or New?]]="Old",1,0)+IF(Table416[[#This Row],[If No]]=1,1,0)=2,1,"")</f>
        <v>1</v>
      </c>
    </row>
    <row r="34" spans="1:13">
      <c r="A34" s="2" t="s">
        <v>12</v>
      </c>
      <c r="B34" s="2" t="s">
        <v>21</v>
      </c>
      <c r="C34" s="1">
        <v>15</v>
      </c>
      <c r="D34" s="2" t="s">
        <v>16</v>
      </c>
      <c r="E34" s="2">
        <v>11</v>
      </c>
      <c r="F34" s="1" t="s">
        <v>9</v>
      </c>
      <c r="G34" s="5" t="str">
        <f>IF(Table416[[#This Row],[Response]]="Yes",1,"")</f>
        <v/>
      </c>
      <c r="H34" s="5">
        <f>IF(Table416[[#This Row],[Response]]="No",1,"")</f>
        <v>1</v>
      </c>
      <c r="I34" s="5">
        <f>IF(SUM(Table416[[#This Row],[If Yes]:[If No]])=1,1,"")</f>
        <v>1</v>
      </c>
      <c r="J34" s="5" t="str">
        <f>IF(IF(Table416[[#This Row],[Old or New?]]="New",1,0)+IF(Table416[[#This Row],[If Yes]]=1,1,0)=2,1,"")</f>
        <v/>
      </c>
      <c r="K34" s="5" t="str">
        <f>IF(IF(Table416[[#This Row],[Old or New?]]="New",1,0)+IF(Table416[[#This Row],[If No]]=1,1,0)=2,1,"")</f>
        <v/>
      </c>
      <c r="L34" s="5" t="str">
        <f>IF(IF(Table416[[#This Row],[Old or New?]]="Old",1,0)+IF(Table416[[#This Row],[If Yes]]=1,1,0)=2,1,"")</f>
        <v/>
      </c>
      <c r="M34" s="5">
        <f>IF(IF(Table416[[#This Row],[Old or New?]]="Old",1,0)+IF(Table416[[#This Row],[If No]]=1,1,0)=2,1,"")</f>
        <v>1</v>
      </c>
    </row>
    <row r="35" spans="1:13">
      <c r="A35" s="2" t="s">
        <v>12</v>
      </c>
      <c r="B35" s="2" t="s">
        <v>21</v>
      </c>
      <c r="C35" s="1">
        <v>16</v>
      </c>
      <c r="D35" s="2" t="s">
        <v>16</v>
      </c>
      <c r="E35" s="1">
        <v>11</v>
      </c>
      <c r="F35" s="1" t="s">
        <v>9</v>
      </c>
      <c r="G35" s="5" t="str">
        <f>IF(Table416[[#This Row],[Response]]="Yes",1,"")</f>
        <v/>
      </c>
      <c r="H35" s="5">
        <f>IF(Table416[[#This Row],[Response]]="No",1,"")</f>
        <v>1</v>
      </c>
      <c r="I35" s="5">
        <f>IF(SUM(Table416[[#This Row],[If Yes]:[If No]])=1,1,"")</f>
        <v>1</v>
      </c>
      <c r="J35" s="5" t="str">
        <f>IF(IF(Table416[[#This Row],[Old or New?]]="New",1,0)+IF(Table416[[#This Row],[If Yes]]=1,1,0)=2,1,"")</f>
        <v/>
      </c>
      <c r="K35" s="5" t="str">
        <f>IF(IF(Table416[[#This Row],[Old or New?]]="New",1,0)+IF(Table416[[#This Row],[If No]]=1,1,0)=2,1,"")</f>
        <v/>
      </c>
      <c r="L35" s="5" t="str">
        <f>IF(IF(Table416[[#This Row],[Old or New?]]="Old",1,0)+IF(Table416[[#This Row],[If Yes]]=1,1,0)=2,1,"")</f>
        <v/>
      </c>
      <c r="M35" s="5">
        <f>IF(IF(Table416[[#This Row],[Old or New?]]="Old",1,0)+IF(Table416[[#This Row],[If No]]=1,1,0)=2,1,"")</f>
        <v>1</v>
      </c>
    </row>
    <row r="36" spans="1:13">
      <c r="A36" s="2" t="s">
        <v>12</v>
      </c>
      <c r="B36" s="2" t="s">
        <v>21</v>
      </c>
      <c r="C36" s="1">
        <v>17</v>
      </c>
      <c r="D36" s="2" t="s">
        <v>16</v>
      </c>
      <c r="E36" s="1">
        <v>11</v>
      </c>
      <c r="F36" s="1" t="s">
        <v>8</v>
      </c>
      <c r="G36" s="5">
        <f>IF(Table416[[#This Row],[Response]]="Yes",1,"")</f>
        <v>1</v>
      </c>
      <c r="H36" s="5" t="str">
        <f>IF(Table416[[#This Row],[Response]]="No",1,"")</f>
        <v/>
      </c>
      <c r="I36" s="5">
        <f>IF(SUM(Table416[[#This Row],[If Yes]:[If No]])=1,1,"")</f>
        <v>1</v>
      </c>
      <c r="J36" s="5" t="str">
        <f>IF(IF(Table416[[#This Row],[Old or New?]]="New",1,0)+IF(Table416[[#This Row],[If Yes]]=1,1,0)=2,1,"")</f>
        <v/>
      </c>
      <c r="K36" s="5" t="str">
        <f>IF(IF(Table416[[#This Row],[Old or New?]]="New",1,0)+IF(Table416[[#This Row],[If No]]=1,1,0)=2,1,"")</f>
        <v/>
      </c>
      <c r="L36" s="5">
        <f>IF(IF(Table416[[#This Row],[Old or New?]]="Old",1,0)+IF(Table416[[#This Row],[If Yes]]=1,1,0)=2,1,"")</f>
        <v>1</v>
      </c>
      <c r="M36" s="5" t="str">
        <f>IF(IF(Table416[[#This Row],[Old or New?]]="Old",1,0)+IF(Table416[[#This Row],[If No]]=1,1,0)=2,1,"")</f>
        <v/>
      </c>
    </row>
    <row r="37" spans="1:13">
      <c r="A37" s="2" t="s">
        <v>12</v>
      </c>
      <c r="B37" s="2" t="s">
        <v>21</v>
      </c>
      <c r="C37" s="1">
        <v>18</v>
      </c>
      <c r="D37" s="2" t="s">
        <v>16</v>
      </c>
      <c r="E37" s="2">
        <v>11</v>
      </c>
      <c r="F37" s="1" t="s">
        <v>9</v>
      </c>
      <c r="G37" s="5" t="str">
        <f>IF(Table416[[#This Row],[Response]]="Yes",1,"")</f>
        <v/>
      </c>
      <c r="H37" s="5">
        <f>IF(Table416[[#This Row],[Response]]="No",1,"")</f>
        <v>1</v>
      </c>
      <c r="I37" s="5">
        <f>IF(SUM(Table416[[#This Row],[If Yes]:[If No]])=1,1,"")</f>
        <v>1</v>
      </c>
      <c r="J37" s="5" t="str">
        <f>IF(IF(Table416[[#This Row],[Old or New?]]="New",1,0)+IF(Table416[[#This Row],[If Yes]]=1,1,0)=2,1,"")</f>
        <v/>
      </c>
      <c r="K37" s="5" t="str">
        <f>IF(IF(Table416[[#This Row],[Old or New?]]="New",1,0)+IF(Table416[[#This Row],[If No]]=1,1,0)=2,1,"")</f>
        <v/>
      </c>
      <c r="L37" s="5" t="str">
        <f>IF(IF(Table416[[#This Row],[Old or New?]]="Old",1,0)+IF(Table416[[#This Row],[If Yes]]=1,1,0)=2,1,"")</f>
        <v/>
      </c>
      <c r="M37" s="5">
        <f>IF(IF(Table416[[#This Row],[Old or New?]]="Old",1,0)+IF(Table416[[#This Row],[If No]]=1,1,0)=2,1,"")</f>
        <v>1</v>
      </c>
    </row>
    <row r="38" spans="1:13">
      <c r="A38" s="2" t="s">
        <v>12</v>
      </c>
      <c r="B38" s="2" t="s">
        <v>21</v>
      </c>
      <c r="C38" s="1">
        <v>19</v>
      </c>
      <c r="D38" s="2" t="s">
        <v>16</v>
      </c>
      <c r="E38" s="2">
        <v>11</v>
      </c>
      <c r="F38" s="1" t="s">
        <v>8</v>
      </c>
      <c r="G38" s="5">
        <f>IF(Table416[[#This Row],[Response]]="Yes",1,"")</f>
        <v>1</v>
      </c>
      <c r="H38" s="5" t="str">
        <f>IF(Table416[[#This Row],[Response]]="No",1,"")</f>
        <v/>
      </c>
      <c r="I38" s="5">
        <f>IF(SUM(Table416[[#This Row],[If Yes]:[If No]])=1,1,"")</f>
        <v>1</v>
      </c>
      <c r="J38" s="5" t="str">
        <f>IF(IF(Table416[[#This Row],[Old or New?]]="New",1,0)+IF(Table416[[#This Row],[If Yes]]=1,1,0)=2,1,"")</f>
        <v/>
      </c>
      <c r="K38" s="5" t="str">
        <f>IF(IF(Table416[[#This Row],[Old or New?]]="New",1,0)+IF(Table416[[#This Row],[If No]]=1,1,0)=2,1,"")</f>
        <v/>
      </c>
      <c r="L38" s="5">
        <f>IF(IF(Table416[[#This Row],[Old or New?]]="Old",1,0)+IF(Table416[[#This Row],[If Yes]]=1,1,0)=2,1,"")</f>
        <v>1</v>
      </c>
      <c r="M38" s="5" t="str">
        <f>IF(IF(Table416[[#This Row],[Old or New?]]="Old",1,0)+IF(Table416[[#This Row],[If No]]=1,1,0)=2,1,"")</f>
        <v/>
      </c>
    </row>
    <row r="39" spans="1:13">
      <c r="A39" s="2" t="s">
        <v>12</v>
      </c>
      <c r="B39" s="2" t="s">
        <v>21</v>
      </c>
      <c r="C39" s="1">
        <v>20</v>
      </c>
      <c r="D39" s="2" t="s">
        <v>16</v>
      </c>
      <c r="E39" s="1">
        <v>11</v>
      </c>
      <c r="F39" s="1" t="s">
        <v>9</v>
      </c>
      <c r="G39" s="5" t="str">
        <f>IF(Table416[[#This Row],[Response]]="Yes",1,"")</f>
        <v/>
      </c>
      <c r="H39" s="5">
        <f>IF(Table416[[#This Row],[Response]]="No",1,"")</f>
        <v>1</v>
      </c>
      <c r="I39" s="5">
        <f>IF(SUM(Table416[[#This Row],[If Yes]:[If No]])=1,1,"")</f>
        <v>1</v>
      </c>
      <c r="J39" s="5" t="str">
        <f>IF(IF(Table416[[#This Row],[Old or New?]]="New",1,0)+IF(Table416[[#This Row],[If Yes]]=1,1,0)=2,1,"")</f>
        <v/>
      </c>
      <c r="K39" s="5" t="str">
        <f>IF(IF(Table416[[#This Row],[Old or New?]]="New",1,0)+IF(Table416[[#This Row],[If No]]=1,1,0)=2,1,"")</f>
        <v/>
      </c>
      <c r="L39" s="5" t="str">
        <f>IF(IF(Table416[[#This Row],[Old or New?]]="Old",1,0)+IF(Table416[[#This Row],[If Yes]]=1,1,0)=2,1,"")</f>
        <v/>
      </c>
      <c r="M39" s="5">
        <f>IF(IF(Table416[[#This Row],[Old or New?]]="Old",1,0)+IF(Table416[[#This Row],[If No]]=1,1,0)=2,1,"")</f>
        <v>1</v>
      </c>
    </row>
    <row r="40" spans="1:13">
      <c r="A40" s="2" t="s">
        <v>12</v>
      </c>
      <c r="B40" s="2" t="s">
        <v>21</v>
      </c>
      <c r="C40" s="1">
        <v>21</v>
      </c>
      <c r="D40" s="2" t="s">
        <v>16</v>
      </c>
      <c r="E40" s="1">
        <v>11</v>
      </c>
      <c r="F40" s="1" t="s">
        <v>8</v>
      </c>
      <c r="G40" s="5">
        <f>IF(Table416[[#This Row],[Response]]="Yes",1,"")</f>
        <v>1</v>
      </c>
      <c r="H40" s="5" t="str">
        <f>IF(Table416[[#This Row],[Response]]="No",1,"")</f>
        <v/>
      </c>
      <c r="I40" s="5">
        <f>IF(SUM(Table416[[#This Row],[If Yes]:[If No]])=1,1,"")</f>
        <v>1</v>
      </c>
      <c r="J40" s="5" t="str">
        <f>IF(IF(Table416[[#This Row],[Old or New?]]="New",1,0)+IF(Table416[[#This Row],[If Yes]]=1,1,0)=2,1,"")</f>
        <v/>
      </c>
      <c r="K40" s="5" t="str">
        <f>IF(IF(Table416[[#This Row],[Old or New?]]="New",1,0)+IF(Table416[[#This Row],[If No]]=1,1,0)=2,1,"")</f>
        <v/>
      </c>
      <c r="L40" s="5">
        <f>IF(IF(Table416[[#This Row],[Old or New?]]="Old",1,0)+IF(Table416[[#This Row],[If Yes]]=1,1,0)=2,1,"")</f>
        <v>1</v>
      </c>
      <c r="M40" s="5" t="str">
        <f>IF(IF(Table416[[#This Row],[Old or New?]]="Old",1,0)+IF(Table416[[#This Row],[If No]]=1,1,0)=2,1,"")</f>
        <v/>
      </c>
    </row>
    <row r="41" spans="1:13">
      <c r="A41" s="2" t="s">
        <v>12</v>
      </c>
      <c r="B41" s="2" t="s">
        <v>21</v>
      </c>
      <c r="C41" s="1">
        <v>22</v>
      </c>
      <c r="D41" s="2" t="s">
        <v>16</v>
      </c>
      <c r="E41" s="2">
        <v>11</v>
      </c>
      <c r="F41" s="1" t="s">
        <v>9</v>
      </c>
      <c r="G41" s="5" t="str">
        <f>IF(Table416[[#This Row],[Response]]="Yes",1,"")</f>
        <v/>
      </c>
      <c r="H41" s="5">
        <f>IF(Table416[[#This Row],[Response]]="No",1,"")</f>
        <v>1</v>
      </c>
      <c r="I41" s="5">
        <f>IF(SUM(Table416[[#This Row],[If Yes]:[If No]])=1,1,"")</f>
        <v>1</v>
      </c>
      <c r="J41" s="5" t="str">
        <f>IF(IF(Table416[[#This Row],[Old or New?]]="New",1,0)+IF(Table416[[#This Row],[If Yes]]=1,1,0)=2,1,"")</f>
        <v/>
      </c>
      <c r="K41" s="5" t="str">
        <f>IF(IF(Table416[[#This Row],[Old or New?]]="New",1,0)+IF(Table416[[#This Row],[If No]]=1,1,0)=2,1,"")</f>
        <v/>
      </c>
      <c r="L41" s="5" t="str">
        <f>IF(IF(Table416[[#This Row],[Old or New?]]="Old",1,0)+IF(Table416[[#This Row],[If Yes]]=1,1,0)=2,1,"")</f>
        <v/>
      </c>
      <c r="M41" s="5">
        <f>IF(IF(Table416[[#This Row],[Old or New?]]="Old",1,0)+IF(Table416[[#This Row],[If No]]=1,1,0)=2,1,"")</f>
        <v>1</v>
      </c>
    </row>
    <row r="42" spans="1:13">
      <c r="A42" s="2" t="s">
        <v>12</v>
      </c>
      <c r="B42" s="2" t="s">
        <v>21</v>
      </c>
      <c r="C42" s="1">
        <v>23</v>
      </c>
      <c r="D42" s="2" t="s">
        <v>16</v>
      </c>
      <c r="E42" s="2">
        <v>11</v>
      </c>
      <c r="G42" s="5" t="str">
        <f>IF(Table416[[#This Row],[Response]]="Yes",1,"")</f>
        <v/>
      </c>
      <c r="H42" s="5" t="str">
        <f>IF(Table416[[#This Row],[Response]]="No",1,"")</f>
        <v/>
      </c>
      <c r="I42" s="5" t="str">
        <f>IF(SUM(Table416[[#This Row],[If Yes]:[If No]])=1,1,"")</f>
        <v/>
      </c>
      <c r="J42" s="5" t="str">
        <f>IF(IF(Table416[[#This Row],[Old or New?]]="New",1,0)+IF(Table416[[#This Row],[If Yes]]=1,1,0)=2,1,"")</f>
        <v/>
      </c>
      <c r="K42" s="5" t="str">
        <f>IF(IF(Table416[[#This Row],[Old or New?]]="New",1,0)+IF(Table416[[#This Row],[If No]]=1,1,0)=2,1,"")</f>
        <v/>
      </c>
      <c r="L42" s="5" t="str">
        <f>IF(IF(Table416[[#This Row],[Old or New?]]="Old",1,0)+IF(Table416[[#This Row],[If Yes]]=1,1,0)=2,1,"")</f>
        <v/>
      </c>
      <c r="M42" s="5" t="str">
        <f>IF(IF(Table416[[#This Row],[Old or New?]]="Old",1,0)+IF(Table416[[#This Row],[If No]]=1,1,0)=2,1,"")</f>
        <v/>
      </c>
    </row>
    <row r="43" spans="1:13">
      <c r="A43" s="1" t="s">
        <v>24</v>
      </c>
      <c r="B43" s="1" t="s">
        <v>23</v>
      </c>
      <c r="C43" s="1">
        <v>1</v>
      </c>
      <c r="D43" s="1" t="s">
        <v>16</v>
      </c>
      <c r="E43" s="1">
        <v>11</v>
      </c>
      <c r="F43" s="1" t="s">
        <v>9</v>
      </c>
      <c r="G43" s="5" t="str">
        <f>IF(Table416[[#This Row],[Response]]="Yes",1,"")</f>
        <v/>
      </c>
      <c r="H43" s="5">
        <f>IF(Table416[[#This Row],[Response]]="No",1,"")</f>
        <v>1</v>
      </c>
      <c r="I43" s="5">
        <f>IF(SUM(Table416[[#This Row],[If Yes]:[If No]])=1,1,"")</f>
        <v>1</v>
      </c>
      <c r="J43" s="5" t="str">
        <f>IF(IF(Table416[[#This Row],[Old or New?]]="New",1,0)+IF(Table416[[#This Row],[If Yes]]=1,1,0)=2,1,"")</f>
        <v/>
      </c>
      <c r="K43" s="5">
        <f>IF(IF(Table416[[#This Row],[Old or New?]]="New",1,0)+IF(Table416[[#This Row],[If No]]=1,1,0)=2,1,"")</f>
        <v>1</v>
      </c>
      <c r="L43" s="5" t="str">
        <f>IF(IF(Table416[[#This Row],[Old or New?]]="Old",1,0)+IF(Table416[[#This Row],[If Yes]]=1,1,0)=2,1,"")</f>
        <v/>
      </c>
      <c r="M43" s="5" t="str">
        <f>IF(IF(Table416[[#This Row],[Old or New?]]="Old",1,0)+IF(Table416[[#This Row],[If No]]=1,1,0)=2,1,"")</f>
        <v/>
      </c>
    </row>
    <row r="44" spans="1:13">
      <c r="A44" s="1" t="s">
        <v>24</v>
      </c>
      <c r="B44" s="1" t="s">
        <v>23</v>
      </c>
      <c r="C44" s="1">
        <v>2</v>
      </c>
      <c r="D44" s="1" t="s">
        <v>16</v>
      </c>
      <c r="E44" s="1">
        <v>11</v>
      </c>
      <c r="F44" s="1" t="s">
        <v>9</v>
      </c>
      <c r="G44" s="5" t="str">
        <f>IF(Table416[[#This Row],[Response]]="Yes",1,"")</f>
        <v/>
      </c>
      <c r="H44" s="5">
        <f>IF(Table416[[#This Row],[Response]]="No",1,"")</f>
        <v>1</v>
      </c>
      <c r="I44" s="5">
        <f>IF(SUM(Table416[[#This Row],[If Yes]:[If No]])=1,1,"")</f>
        <v>1</v>
      </c>
      <c r="J44" s="5" t="str">
        <f>IF(IF(Table416[[#This Row],[Old or New?]]="New",1,0)+IF(Table416[[#This Row],[If Yes]]=1,1,0)=2,1,"")</f>
        <v/>
      </c>
      <c r="K44" s="5">
        <f>IF(IF(Table416[[#This Row],[Old or New?]]="New",1,0)+IF(Table416[[#This Row],[If No]]=1,1,0)=2,1,"")</f>
        <v>1</v>
      </c>
      <c r="L44" s="5" t="str">
        <f>IF(IF(Table416[[#This Row],[Old or New?]]="Old",1,0)+IF(Table416[[#This Row],[If Yes]]=1,1,0)=2,1,"")</f>
        <v/>
      </c>
      <c r="M44" s="5" t="str">
        <f>IF(IF(Table416[[#This Row],[Old or New?]]="Old",1,0)+IF(Table416[[#This Row],[If No]]=1,1,0)=2,1,"")</f>
        <v/>
      </c>
    </row>
    <row r="45" spans="1:13">
      <c r="A45" s="1" t="s">
        <v>24</v>
      </c>
      <c r="B45" s="1" t="s">
        <v>23</v>
      </c>
      <c r="C45" s="1">
        <v>3</v>
      </c>
      <c r="D45" s="1" t="s">
        <v>16</v>
      </c>
      <c r="E45" s="1">
        <v>11</v>
      </c>
      <c r="F45" s="1" t="s">
        <v>9</v>
      </c>
      <c r="G45" s="5" t="str">
        <f>IF(Table416[[#This Row],[Response]]="Yes",1,"")</f>
        <v/>
      </c>
      <c r="H45" s="5">
        <f>IF(Table416[[#This Row],[Response]]="No",1,"")</f>
        <v>1</v>
      </c>
      <c r="I45" s="5">
        <f>IF(SUM(Table416[[#This Row],[If Yes]:[If No]])=1,1,"")</f>
        <v>1</v>
      </c>
      <c r="J45" s="5" t="str">
        <f>IF(IF(Table416[[#This Row],[Old or New?]]="New",1,0)+IF(Table416[[#This Row],[If Yes]]=1,1,0)=2,1,"")</f>
        <v/>
      </c>
      <c r="K45" s="5">
        <f>IF(IF(Table416[[#This Row],[Old or New?]]="New",1,0)+IF(Table416[[#This Row],[If No]]=1,1,0)=2,1,"")</f>
        <v>1</v>
      </c>
      <c r="L45" s="5" t="str">
        <f>IF(IF(Table416[[#This Row],[Old or New?]]="Old",1,0)+IF(Table416[[#This Row],[If Yes]]=1,1,0)=2,1,"")</f>
        <v/>
      </c>
      <c r="M45" s="5" t="str">
        <f>IF(IF(Table416[[#This Row],[Old or New?]]="Old",1,0)+IF(Table416[[#This Row],[If No]]=1,1,0)=2,1,"")</f>
        <v/>
      </c>
    </row>
    <row r="46" spans="1:13">
      <c r="A46" s="1" t="s">
        <v>24</v>
      </c>
      <c r="B46" s="1" t="s">
        <v>23</v>
      </c>
      <c r="C46" s="1">
        <v>4</v>
      </c>
      <c r="D46" s="1" t="s">
        <v>16</v>
      </c>
      <c r="E46" s="1">
        <v>11</v>
      </c>
      <c r="F46" s="1" t="s">
        <v>9</v>
      </c>
      <c r="G46" s="5" t="str">
        <f>IF(Table416[[#This Row],[Response]]="Yes",1,"")</f>
        <v/>
      </c>
      <c r="H46" s="5">
        <f>IF(Table416[[#This Row],[Response]]="No",1,"")</f>
        <v>1</v>
      </c>
      <c r="I46" s="5">
        <f>IF(SUM(Table416[[#This Row],[If Yes]:[If No]])=1,1,"")</f>
        <v>1</v>
      </c>
      <c r="J46" s="5" t="str">
        <f>IF(IF(Table416[[#This Row],[Old or New?]]="New",1,0)+IF(Table416[[#This Row],[If Yes]]=1,1,0)=2,1,"")</f>
        <v/>
      </c>
      <c r="K46" s="5">
        <f>IF(IF(Table416[[#This Row],[Old or New?]]="New",1,0)+IF(Table416[[#This Row],[If No]]=1,1,0)=2,1,"")</f>
        <v>1</v>
      </c>
      <c r="L46" s="5" t="str">
        <f>IF(IF(Table416[[#This Row],[Old or New?]]="Old",1,0)+IF(Table416[[#This Row],[If Yes]]=1,1,0)=2,1,"")</f>
        <v/>
      </c>
      <c r="M46" s="5" t="str">
        <f>IF(IF(Table416[[#This Row],[Old or New?]]="Old",1,0)+IF(Table416[[#This Row],[If No]]=1,1,0)=2,1,"")</f>
        <v/>
      </c>
    </row>
    <row r="47" spans="1:13">
      <c r="A47" s="1" t="s">
        <v>24</v>
      </c>
      <c r="B47" s="1" t="s">
        <v>23</v>
      </c>
      <c r="C47" s="1">
        <v>5</v>
      </c>
      <c r="D47" s="1" t="s">
        <v>16</v>
      </c>
      <c r="E47" s="1">
        <v>11</v>
      </c>
      <c r="F47" s="1" t="s">
        <v>9</v>
      </c>
      <c r="G47" s="5" t="str">
        <f>IF(Table416[[#This Row],[Response]]="Yes",1,"")</f>
        <v/>
      </c>
      <c r="H47" s="5">
        <f>IF(Table416[[#This Row],[Response]]="No",1,"")</f>
        <v>1</v>
      </c>
      <c r="I47" s="5">
        <f>IF(SUM(Table416[[#This Row],[If Yes]:[If No]])=1,1,"")</f>
        <v>1</v>
      </c>
      <c r="J47" s="5" t="str">
        <f>IF(IF(Table416[[#This Row],[Old or New?]]="New",1,0)+IF(Table416[[#This Row],[If Yes]]=1,1,0)=2,1,"")</f>
        <v/>
      </c>
      <c r="K47" s="5">
        <f>IF(IF(Table416[[#This Row],[Old or New?]]="New",1,0)+IF(Table416[[#This Row],[If No]]=1,1,0)=2,1,"")</f>
        <v>1</v>
      </c>
      <c r="L47" s="5" t="str">
        <f>IF(IF(Table416[[#This Row],[Old or New?]]="Old",1,0)+IF(Table416[[#This Row],[If Yes]]=1,1,0)=2,1,"")</f>
        <v/>
      </c>
      <c r="M47" s="5" t="str">
        <f>IF(IF(Table416[[#This Row],[Old or New?]]="Old",1,0)+IF(Table416[[#This Row],[If No]]=1,1,0)=2,1,"")</f>
        <v/>
      </c>
    </row>
    <row r="48" spans="1:13">
      <c r="A48" s="1" t="s">
        <v>24</v>
      </c>
      <c r="B48" s="1" t="s">
        <v>23</v>
      </c>
      <c r="C48" s="1">
        <v>6</v>
      </c>
      <c r="D48" s="1" t="s">
        <v>16</v>
      </c>
      <c r="E48" s="1">
        <v>11</v>
      </c>
      <c r="F48" s="1" t="s">
        <v>9</v>
      </c>
      <c r="G48" s="5" t="str">
        <f>IF(Table416[[#This Row],[Response]]="Yes",1,"")</f>
        <v/>
      </c>
      <c r="H48" s="5">
        <f>IF(Table416[[#This Row],[Response]]="No",1,"")</f>
        <v>1</v>
      </c>
      <c r="I48" s="5">
        <f>IF(SUM(Table416[[#This Row],[If Yes]:[If No]])=1,1,"")</f>
        <v>1</v>
      </c>
      <c r="J48" s="5" t="str">
        <f>IF(IF(Table416[[#This Row],[Old or New?]]="New",1,0)+IF(Table416[[#This Row],[If Yes]]=1,1,0)=2,1,"")</f>
        <v/>
      </c>
      <c r="K48" s="5">
        <f>IF(IF(Table416[[#This Row],[Old or New?]]="New",1,0)+IF(Table416[[#This Row],[If No]]=1,1,0)=2,1,"")</f>
        <v>1</v>
      </c>
      <c r="L48" s="5" t="str">
        <f>IF(IF(Table416[[#This Row],[Old or New?]]="Old",1,0)+IF(Table416[[#This Row],[If Yes]]=1,1,0)=2,1,"")</f>
        <v/>
      </c>
      <c r="M48" s="5" t="str">
        <f>IF(IF(Table416[[#This Row],[Old or New?]]="Old",1,0)+IF(Table416[[#This Row],[If No]]=1,1,0)=2,1,"")</f>
        <v/>
      </c>
    </row>
    <row r="49" spans="1:13">
      <c r="A49" s="1" t="s">
        <v>24</v>
      </c>
      <c r="B49" s="1" t="s">
        <v>23</v>
      </c>
      <c r="C49" s="1">
        <v>7</v>
      </c>
      <c r="D49" s="1" t="s">
        <v>16</v>
      </c>
      <c r="E49" s="1">
        <v>11</v>
      </c>
      <c r="F49" s="1" t="s">
        <v>9</v>
      </c>
      <c r="G49" s="5" t="str">
        <f>IF(Table416[[#This Row],[Response]]="Yes",1,"")</f>
        <v/>
      </c>
      <c r="H49" s="5">
        <f>IF(Table416[[#This Row],[Response]]="No",1,"")</f>
        <v>1</v>
      </c>
      <c r="I49" s="5">
        <f>IF(SUM(Table416[[#This Row],[If Yes]:[If No]])=1,1,"")</f>
        <v>1</v>
      </c>
      <c r="J49" s="5" t="str">
        <f>IF(IF(Table416[[#This Row],[Old or New?]]="New",1,0)+IF(Table416[[#This Row],[If Yes]]=1,1,0)=2,1,"")</f>
        <v/>
      </c>
      <c r="K49" s="5">
        <f>IF(IF(Table416[[#This Row],[Old or New?]]="New",1,0)+IF(Table416[[#This Row],[If No]]=1,1,0)=2,1,"")</f>
        <v>1</v>
      </c>
      <c r="L49" s="5" t="str">
        <f>IF(IF(Table416[[#This Row],[Old or New?]]="Old",1,0)+IF(Table416[[#This Row],[If Yes]]=1,1,0)=2,1,"")</f>
        <v/>
      </c>
      <c r="M49" s="5" t="str">
        <f>IF(IF(Table416[[#This Row],[Old or New?]]="Old",1,0)+IF(Table416[[#This Row],[If No]]=1,1,0)=2,1,"")</f>
        <v/>
      </c>
    </row>
    <row r="50" spans="1:13">
      <c r="A50" s="1" t="s">
        <v>24</v>
      </c>
      <c r="B50" s="1" t="s">
        <v>23</v>
      </c>
      <c r="C50" s="1">
        <v>8</v>
      </c>
      <c r="D50" s="1" t="s">
        <v>16</v>
      </c>
      <c r="E50" s="2">
        <v>11</v>
      </c>
      <c r="F50" s="2" t="s">
        <v>9</v>
      </c>
      <c r="G50" s="5" t="str">
        <f>IF(Table416[[#This Row],[Response]]="Yes",1,"")</f>
        <v/>
      </c>
      <c r="H50" s="5">
        <f>IF(Table416[[#This Row],[Response]]="No",1,"")</f>
        <v>1</v>
      </c>
      <c r="I50" s="5">
        <f>IF(SUM(Table416[[#This Row],[If Yes]:[If No]])=1,1,"")</f>
        <v>1</v>
      </c>
      <c r="J50" s="5" t="str">
        <f>IF(IF(Table416[[#This Row],[Old or New?]]="New",1,0)+IF(Table416[[#This Row],[If Yes]]=1,1,0)=2,1,"")</f>
        <v/>
      </c>
      <c r="K50" s="5">
        <f>IF(IF(Table416[[#This Row],[Old or New?]]="New",1,0)+IF(Table416[[#This Row],[If No]]=1,1,0)=2,1,"")</f>
        <v>1</v>
      </c>
      <c r="L50" s="5" t="str">
        <f>IF(IF(Table416[[#This Row],[Old or New?]]="Old",1,0)+IF(Table416[[#This Row],[If Yes]]=1,1,0)=2,1,"")</f>
        <v/>
      </c>
      <c r="M50" s="5" t="str">
        <f>IF(IF(Table416[[#This Row],[Old or New?]]="Old",1,0)+IF(Table416[[#This Row],[If No]]=1,1,0)=2,1,"")</f>
        <v/>
      </c>
    </row>
    <row r="51" spans="1:13">
      <c r="A51" s="1" t="s">
        <v>24</v>
      </c>
      <c r="B51" s="1" t="s">
        <v>23</v>
      </c>
      <c r="C51" s="1">
        <v>9</v>
      </c>
      <c r="D51" s="1" t="s">
        <v>16</v>
      </c>
      <c r="E51" s="1">
        <v>11</v>
      </c>
      <c r="F51" s="1" t="s">
        <v>9</v>
      </c>
      <c r="G51" s="5" t="str">
        <f>IF(Table416[[#This Row],[Response]]="Yes",1,"")</f>
        <v/>
      </c>
      <c r="H51" s="5">
        <f>IF(Table416[[#This Row],[Response]]="No",1,"")</f>
        <v>1</v>
      </c>
      <c r="I51" s="5">
        <f>IF(SUM(Table416[[#This Row],[If Yes]:[If No]])=1,1,"")</f>
        <v>1</v>
      </c>
      <c r="J51" s="5" t="str">
        <f>IF(IF(Table416[[#This Row],[Old or New?]]="New",1,0)+IF(Table416[[#This Row],[If Yes]]=1,1,0)=2,1,"")</f>
        <v/>
      </c>
      <c r="K51" s="5">
        <f>IF(IF(Table416[[#This Row],[Old or New?]]="New",1,0)+IF(Table416[[#This Row],[If No]]=1,1,0)=2,1,"")</f>
        <v>1</v>
      </c>
      <c r="L51" s="5" t="str">
        <f>IF(IF(Table416[[#This Row],[Old or New?]]="Old",1,0)+IF(Table416[[#This Row],[If Yes]]=1,1,0)=2,1,"")</f>
        <v/>
      </c>
      <c r="M51" s="5" t="str">
        <f>IF(IF(Table416[[#This Row],[Old or New?]]="Old",1,0)+IF(Table416[[#This Row],[If No]]=1,1,0)=2,1,"")</f>
        <v/>
      </c>
    </row>
    <row r="52" spans="1:13">
      <c r="A52" s="1" t="s">
        <v>24</v>
      </c>
      <c r="B52" s="1" t="s">
        <v>23</v>
      </c>
      <c r="C52" s="1">
        <v>10</v>
      </c>
      <c r="D52" s="1" t="s">
        <v>16</v>
      </c>
      <c r="E52" s="1">
        <v>11</v>
      </c>
      <c r="F52" s="1" t="s">
        <v>9</v>
      </c>
      <c r="G52" s="5" t="str">
        <f>IF(Table416[[#This Row],[Response]]="Yes",1,"")</f>
        <v/>
      </c>
      <c r="H52" s="5">
        <f>IF(Table416[[#This Row],[Response]]="No",1,"")</f>
        <v>1</v>
      </c>
      <c r="I52" s="5">
        <f>IF(SUM(Table416[[#This Row],[If Yes]:[If No]])=1,1,"")</f>
        <v>1</v>
      </c>
      <c r="J52" s="5" t="str">
        <f>IF(IF(Table416[[#This Row],[Old or New?]]="New",1,0)+IF(Table416[[#This Row],[If Yes]]=1,1,0)=2,1,"")</f>
        <v/>
      </c>
      <c r="K52" s="5">
        <f>IF(IF(Table416[[#This Row],[Old or New?]]="New",1,0)+IF(Table416[[#This Row],[If No]]=1,1,0)=2,1,"")</f>
        <v>1</v>
      </c>
      <c r="L52" s="5" t="str">
        <f>IF(IF(Table416[[#This Row],[Old or New?]]="Old",1,0)+IF(Table416[[#This Row],[If Yes]]=1,1,0)=2,1,"")</f>
        <v/>
      </c>
      <c r="M52" s="5" t="str">
        <f>IF(IF(Table416[[#This Row],[Old or New?]]="Old",1,0)+IF(Table416[[#This Row],[If No]]=1,1,0)=2,1,"")</f>
        <v/>
      </c>
    </row>
    <row r="53" spans="1:13">
      <c r="A53" s="1" t="s">
        <v>24</v>
      </c>
      <c r="B53" s="1" t="s">
        <v>23</v>
      </c>
      <c r="C53" s="1">
        <v>11</v>
      </c>
      <c r="D53" s="1" t="s">
        <v>16</v>
      </c>
      <c r="E53" s="1">
        <v>11</v>
      </c>
      <c r="F53" s="1" t="s">
        <v>9</v>
      </c>
      <c r="G53" s="5" t="str">
        <f>IF(Table416[[#This Row],[Response]]="Yes",1,"")</f>
        <v/>
      </c>
      <c r="H53" s="5">
        <f>IF(Table416[[#This Row],[Response]]="No",1,"")</f>
        <v>1</v>
      </c>
      <c r="I53" s="5">
        <f>IF(SUM(Table416[[#This Row],[If Yes]:[If No]])=1,1,"")</f>
        <v>1</v>
      </c>
      <c r="J53" s="5" t="str">
        <f>IF(IF(Table416[[#This Row],[Old or New?]]="New",1,0)+IF(Table416[[#This Row],[If Yes]]=1,1,0)=2,1,"")</f>
        <v/>
      </c>
      <c r="K53" s="5">
        <f>IF(IF(Table416[[#This Row],[Old or New?]]="New",1,0)+IF(Table416[[#This Row],[If No]]=1,1,0)=2,1,"")</f>
        <v>1</v>
      </c>
      <c r="L53" s="5" t="str">
        <f>IF(IF(Table416[[#This Row],[Old or New?]]="Old",1,0)+IF(Table416[[#This Row],[If Yes]]=1,1,0)=2,1,"")</f>
        <v/>
      </c>
      <c r="M53" s="5" t="str">
        <f>IF(IF(Table416[[#This Row],[Old or New?]]="Old",1,0)+IF(Table416[[#This Row],[If No]]=1,1,0)=2,1,"")</f>
        <v/>
      </c>
    </row>
    <row r="54" spans="1:13">
      <c r="A54" s="1" t="s">
        <v>24</v>
      </c>
      <c r="B54" s="1" t="s">
        <v>23</v>
      </c>
      <c r="C54" s="1">
        <v>12</v>
      </c>
      <c r="D54" s="1" t="s">
        <v>16</v>
      </c>
      <c r="E54" s="1">
        <v>11</v>
      </c>
      <c r="F54" s="1" t="s">
        <v>9</v>
      </c>
      <c r="G54" s="5" t="str">
        <f>IF(Table416[[#This Row],[Response]]="Yes",1,"")</f>
        <v/>
      </c>
      <c r="H54" s="5">
        <f>IF(Table416[[#This Row],[Response]]="No",1,"")</f>
        <v>1</v>
      </c>
      <c r="I54" s="5">
        <f>IF(SUM(Table416[[#This Row],[If Yes]:[If No]])=1,1,"")</f>
        <v>1</v>
      </c>
      <c r="J54" s="5" t="str">
        <f>IF(IF(Table416[[#This Row],[Old or New?]]="New",1,0)+IF(Table416[[#This Row],[If Yes]]=1,1,0)=2,1,"")</f>
        <v/>
      </c>
      <c r="K54" s="5">
        <f>IF(IF(Table416[[#This Row],[Old or New?]]="New",1,0)+IF(Table416[[#This Row],[If No]]=1,1,0)=2,1,"")</f>
        <v>1</v>
      </c>
      <c r="L54" s="5" t="str">
        <f>IF(IF(Table416[[#This Row],[Old or New?]]="Old",1,0)+IF(Table416[[#This Row],[If Yes]]=1,1,0)=2,1,"")</f>
        <v/>
      </c>
      <c r="M54" s="5" t="str">
        <f>IF(IF(Table416[[#This Row],[Old or New?]]="Old",1,0)+IF(Table416[[#This Row],[If No]]=1,1,0)=2,1,"")</f>
        <v/>
      </c>
    </row>
    <row r="55" spans="1:13">
      <c r="A55" s="1" t="s">
        <v>24</v>
      </c>
      <c r="B55" s="1" t="s">
        <v>23</v>
      </c>
      <c r="C55" s="1">
        <v>13</v>
      </c>
      <c r="D55" s="1" t="s">
        <v>16</v>
      </c>
      <c r="E55" s="1">
        <v>11</v>
      </c>
      <c r="F55" s="1" t="s">
        <v>9</v>
      </c>
      <c r="G55" s="5" t="str">
        <f>IF(Table416[[#This Row],[Response]]="Yes",1,"")</f>
        <v/>
      </c>
      <c r="H55" s="5">
        <f>IF(Table416[[#This Row],[Response]]="No",1,"")</f>
        <v>1</v>
      </c>
      <c r="I55" s="5">
        <f>IF(SUM(Table416[[#This Row],[If Yes]:[If No]])=1,1,"")</f>
        <v>1</v>
      </c>
      <c r="J55" s="5" t="str">
        <f>IF(IF(Table416[[#This Row],[Old or New?]]="New",1,0)+IF(Table416[[#This Row],[If Yes]]=1,1,0)=2,1,"")</f>
        <v/>
      </c>
      <c r="K55" s="5">
        <f>IF(IF(Table416[[#This Row],[Old or New?]]="New",1,0)+IF(Table416[[#This Row],[If No]]=1,1,0)=2,1,"")</f>
        <v>1</v>
      </c>
      <c r="L55" s="5" t="str">
        <f>IF(IF(Table416[[#This Row],[Old or New?]]="Old",1,0)+IF(Table416[[#This Row],[If Yes]]=1,1,0)=2,1,"")</f>
        <v/>
      </c>
      <c r="M55" s="5" t="str">
        <f>IF(IF(Table416[[#This Row],[Old or New?]]="Old",1,0)+IF(Table416[[#This Row],[If No]]=1,1,0)=2,1,"")</f>
        <v/>
      </c>
    </row>
    <row r="56" spans="1:13">
      <c r="A56" s="1" t="s">
        <v>24</v>
      </c>
      <c r="B56" s="1" t="s">
        <v>23</v>
      </c>
      <c r="C56" s="1">
        <v>14</v>
      </c>
      <c r="D56" s="1" t="s">
        <v>16</v>
      </c>
      <c r="E56" s="1">
        <v>11</v>
      </c>
      <c r="F56" s="1" t="s">
        <v>9</v>
      </c>
      <c r="G56" s="5" t="str">
        <f>IF(Table416[[#This Row],[Response]]="Yes",1,"")</f>
        <v/>
      </c>
      <c r="H56" s="5">
        <f>IF(Table416[[#This Row],[Response]]="No",1,"")</f>
        <v>1</v>
      </c>
      <c r="I56" s="5">
        <f>IF(SUM(Table416[[#This Row],[If Yes]:[If No]])=1,1,"")</f>
        <v>1</v>
      </c>
      <c r="J56" s="5" t="str">
        <f>IF(IF(Table416[[#This Row],[Old or New?]]="New",1,0)+IF(Table416[[#This Row],[If Yes]]=1,1,0)=2,1,"")</f>
        <v/>
      </c>
      <c r="K56" s="5">
        <f>IF(IF(Table416[[#This Row],[Old or New?]]="New",1,0)+IF(Table416[[#This Row],[If No]]=1,1,0)=2,1,"")</f>
        <v>1</v>
      </c>
      <c r="L56" s="5" t="str">
        <f>IF(IF(Table416[[#This Row],[Old or New?]]="Old",1,0)+IF(Table416[[#This Row],[If Yes]]=1,1,0)=2,1,"")</f>
        <v/>
      </c>
      <c r="M56" s="5" t="str">
        <f>IF(IF(Table416[[#This Row],[Old or New?]]="Old",1,0)+IF(Table416[[#This Row],[If No]]=1,1,0)=2,1,"")</f>
        <v/>
      </c>
    </row>
    <row r="57" spans="1:13">
      <c r="A57" s="1" t="s">
        <v>24</v>
      </c>
      <c r="B57" s="1" t="s">
        <v>23</v>
      </c>
      <c r="C57" s="1">
        <v>15</v>
      </c>
      <c r="D57" s="1" t="s">
        <v>16</v>
      </c>
      <c r="E57" s="1">
        <v>11</v>
      </c>
      <c r="F57" s="1" t="s">
        <v>9</v>
      </c>
      <c r="G57" s="5" t="str">
        <f>IF(Table416[[#This Row],[Response]]="Yes",1,"")</f>
        <v/>
      </c>
      <c r="H57" s="5">
        <f>IF(Table416[[#This Row],[Response]]="No",1,"")</f>
        <v>1</v>
      </c>
      <c r="I57" s="5">
        <f>IF(SUM(Table416[[#This Row],[If Yes]:[If No]])=1,1,"")</f>
        <v>1</v>
      </c>
      <c r="J57" s="5" t="str">
        <f>IF(IF(Table416[[#This Row],[Old or New?]]="New",1,0)+IF(Table416[[#This Row],[If Yes]]=1,1,0)=2,1,"")</f>
        <v/>
      </c>
      <c r="K57" s="5">
        <f>IF(IF(Table416[[#This Row],[Old or New?]]="New",1,0)+IF(Table416[[#This Row],[If No]]=1,1,0)=2,1,"")</f>
        <v>1</v>
      </c>
      <c r="L57" s="5" t="str">
        <f>IF(IF(Table416[[#This Row],[Old or New?]]="Old",1,0)+IF(Table416[[#This Row],[If Yes]]=1,1,0)=2,1,"")</f>
        <v/>
      </c>
      <c r="M57" s="5" t="str">
        <f>IF(IF(Table416[[#This Row],[Old or New?]]="Old",1,0)+IF(Table416[[#This Row],[If No]]=1,1,0)=2,1,"")</f>
        <v/>
      </c>
    </row>
    <row r="58" spans="1:13">
      <c r="A58" s="1" t="s">
        <v>24</v>
      </c>
      <c r="B58" s="1" t="s">
        <v>23</v>
      </c>
      <c r="C58" s="1">
        <v>16</v>
      </c>
      <c r="D58" s="1" t="s">
        <v>16</v>
      </c>
      <c r="E58" s="2">
        <v>11</v>
      </c>
      <c r="F58" s="1" t="s">
        <v>9</v>
      </c>
      <c r="G58" s="5" t="str">
        <f>IF(Table416[[#This Row],[Response]]="Yes",1,"")</f>
        <v/>
      </c>
      <c r="H58" s="5">
        <f>IF(Table416[[#This Row],[Response]]="No",1,"")</f>
        <v>1</v>
      </c>
      <c r="I58" s="5">
        <f>IF(SUM(Table416[[#This Row],[If Yes]:[If No]])=1,1,"")</f>
        <v>1</v>
      </c>
      <c r="J58" s="5" t="str">
        <f>IF(IF(Table416[[#This Row],[Old or New?]]="New",1,0)+IF(Table416[[#This Row],[If Yes]]=1,1,0)=2,1,"")</f>
        <v/>
      </c>
      <c r="K58" s="5">
        <f>IF(IF(Table416[[#This Row],[Old or New?]]="New",1,0)+IF(Table416[[#This Row],[If No]]=1,1,0)=2,1,"")</f>
        <v>1</v>
      </c>
      <c r="L58" s="5" t="str">
        <f>IF(IF(Table416[[#This Row],[Old or New?]]="Old",1,0)+IF(Table416[[#This Row],[If Yes]]=1,1,0)=2,1,"")</f>
        <v/>
      </c>
      <c r="M58" s="5" t="str">
        <f>IF(IF(Table416[[#This Row],[Old or New?]]="Old",1,0)+IF(Table416[[#This Row],[If No]]=1,1,0)=2,1,"")</f>
        <v/>
      </c>
    </row>
    <row r="59" spans="1:13">
      <c r="A59" s="1" t="s">
        <v>24</v>
      </c>
      <c r="B59" s="1" t="s">
        <v>25</v>
      </c>
      <c r="C59" s="1">
        <v>1</v>
      </c>
      <c r="D59" s="1" t="s">
        <v>16</v>
      </c>
      <c r="E59" s="1">
        <v>11</v>
      </c>
      <c r="F59" s="1" t="s">
        <v>9</v>
      </c>
      <c r="G59" s="5" t="str">
        <f>IF(Table416[[#This Row],[Response]]="Yes",1,"")</f>
        <v/>
      </c>
      <c r="H59" s="5">
        <f>IF(Table416[[#This Row],[Response]]="No",1,"")</f>
        <v>1</v>
      </c>
      <c r="I59" s="5">
        <f>IF(SUM(Table416[[#This Row],[If Yes]:[If No]])=1,1,"")</f>
        <v>1</v>
      </c>
      <c r="J59" s="5" t="str">
        <f>IF(IF(Table416[[#This Row],[Old or New?]]="New",1,0)+IF(Table416[[#This Row],[If Yes]]=1,1,0)=2,1,"")</f>
        <v/>
      </c>
      <c r="K59" s="5">
        <f>IF(IF(Table416[[#This Row],[Old or New?]]="New",1,0)+IF(Table416[[#This Row],[If No]]=1,1,0)=2,1,"")</f>
        <v>1</v>
      </c>
      <c r="L59" s="5" t="str">
        <f>IF(IF(Table416[[#This Row],[Old or New?]]="Old",1,0)+IF(Table416[[#This Row],[If Yes]]=1,1,0)=2,1,"")</f>
        <v/>
      </c>
      <c r="M59" s="5" t="str">
        <f>IF(IF(Table416[[#This Row],[Old or New?]]="Old",1,0)+IF(Table416[[#This Row],[If No]]=1,1,0)=2,1,"")</f>
        <v/>
      </c>
    </row>
    <row r="60" spans="1:13">
      <c r="A60" s="1" t="s">
        <v>24</v>
      </c>
      <c r="B60" s="1" t="s">
        <v>25</v>
      </c>
      <c r="C60" s="1">
        <v>2</v>
      </c>
      <c r="D60" s="1" t="s">
        <v>16</v>
      </c>
      <c r="E60" s="1">
        <v>11</v>
      </c>
      <c r="F60" s="1" t="s">
        <v>9</v>
      </c>
      <c r="G60" s="5" t="str">
        <f>IF(Table416[[#This Row],[Response]]="Yes",1,"")</f>
        <v/>
      </c>
      <c r="H60" s="5">
        <f>IF(Table416[[#This Row],[Response]]="No",1,"")</f>
        <v>1</v>
      </c>
      <c r="I60" s="5">
        <f>IF(SUM(Table416[[#This Row],[If Yes]:[If No]])=1,1,"")</f>
        <v>1</v>
      </c>
      <c r="J60" s="5" t="str">
        <f>IF(IF(Table416[[#This Row],[Old or New?]]="New",1,0)+IF(Table416[[#This Row],[If Yes]]=1,1,0)=2,1,"")</f>
        <v/>
      </c>
      <c r="K60" s="5">
        <f>IF(IF(Table416[[#This Row],[Old or New?]]="New",1,0)+IF(Table416[[#This Row],[If No]]=1,1,0)=2,1,"")</f>
        <v>1</v>
      </c>
      <c r="L60" s="5" t="str">
        <f>IF(IF(Table416[[#This Row],[Old or New?]]="Old",1,0)+IF(Table416[[#This Row],[If Yes]]=1,1,0)=2,1,"")</f>
        <v/>
      </c>
      <c r="M60" s="5" t="str">
        <f>IF(IF(Table416[[#This Row],[Old or New?]]="Old",1,0)+IF(Table416[[#This Row],[If No]]=1,1,0)=2,1,"")</f>
        <v/>
      </c>
    </row>
    <row r="61" spans="1:13">
      <c r="A61" s="1" t="s">
        <v>24</v>
      </c>
      <c r="B61" s="1" t="s">
        <v>25</v>
      </c>
      <c r="C61" s="1">
        <v>3</v>
      </c>
      <c r="D61" s="1" t="s">
        <v>16</v>
      </c>
      <c r="E61" s="1">
        <v>11</v>
      </c>
      <c r="F61" s="1" t="s">
        <v>9</v>
      </c>
      <c r="G61" s="5" t="str">
        <f>IF(Table416[[#This Row],[Response]]="Yes",1,"")</f>
        <v/>
      </c>
      <c r="H61" s="5">
        <f>IF(Table416[[#This Row],[Response]]="No",1,"")</f>
        <v>1</v>
      </c>
      <c r="I61" s="5">
        <f>IF(SUM(Table416[[#This Row],[If Yes]:[If No]])=1,1,"")</f>
        <v>1</v>
      </c>
      <c r="J61" s="5" t="str">
        <f>IF(IF(Table416[[#This Row],[Old or New?]]="New",1,0)+IF(Table416[[#This Row],[If Yes]]=1,1,0)=2,1,"")</f>
        <v/>
      </c>
      <c r="K61" s="5">
        <f>IF(IF(Table416[[#This Row],[Old or New?]]="New",1,0)+IF(Table416[[#This Row],[If No]]=1,1,0)=2,1,"")</f>
        <v>1</v>
      </c>
      <c r="L61" s="5" t="str">
        <f>IF(IF(Table416[[#This Row],[Old or New?]]="Old",1,0)+IF(Table416[[#This Row],[If Yes]]=1,1,0)=2,1,"")</f>
        <v/>
      </c>
      <c r="M61" s="5" t="str">
        <f>IF(IF(Table416[[#This Row],[Old or New?]]="Old",1,0)+IF(Table416[[#This Row],[If No]]=1,1,0)=2,1,"")</f>
        <v/>
      </c>
    </row>
    <row r="62" spans="1:13">
      <c r="A62" s="1" t="s">
        <v>24</v>
      </c>
      <c r="B62" s="1" t="s">
        <v>25</v>
      </c>
      <c r="C62" s="1">
        <v>4</v>
      </c>
      <c r="D62" s="1" t="s">
        <v>16</v>
      </c>
      <c r="E62" s="1">
        <v>11</v>
      </c>
      <c r="F62" s="1" t="s">
        <v>9</v>
      </c>
      <c r="G62" s="5" t="str">
        <f>IF(Table416[[#This Row],[Response]]="Yes",1,"")</f>
        <v/>
      </c>
      <c r="H62" s="5">
        <f>IF(Table416[[#This Row],[Response]]="No",1,"")</f>
        <v>1</v>
      </c>
      <c r="I62" s="5">
        <f>IF(SUM(Table416[[#This Row],[If Yes]:[If No]])=1,1,"")</f>
        <v>1</v>
      </c>
      <c r="J62" s="5" t="str">
        <f>IF(IF(Table416[[#This Row],[Old or New?]]="New",1,0)+IF(Table416[[#This Row],[If Yes]]=1,1,0)=2,1,"")</f>
        <v/>
      </c>
      <c r="K62" s="5">
        <f>IF(IF(Table416[[#This Row],[Old or New?]]="New",1,0)+IF(Table416[[#This Row],[If No]]=1,1,0)=2,1,"")</f>
        <v>1</v>
      </c>
      <c r="L62" s="5" t="str">
        <f>IF(IF(Table416[[#This Row],[Old or New?]]="Old",1,0)+IF(Table416[[#This Row],[If Yes]]=1,1,0)=2,1,"")</f>
        <v/>
      </c>
      <c r="M62" s="5" t="str">
        <f>IF(IF(Table416[[#This Row],[Old or New?]]="Old",1,0)+IF(Table416[[#This Row],[If No]]=1,1,0)=2,1,"")</f>
        <v/>
      </c>
    </row>
    <row r="63" spans="1:13">
      <c r="A63" s="1" t="s">
        <v>24</v>
      </c>
      <c r="B63" s="1" t="s">
        <v>25</v>
      </c>
      <c r="C63" s="1">
        <v>5</v>
      </c>
      <c r="D63" s="1" t="s">
        <v>16</v>
      </c>
      <c r="E63" s="1">
        <v>11</v>
      </c>
      <c r="F63" s="1" t="s">
        <v>9</v>
      </c>
      <c r="G63" s="5" t="str">
        <f>IF(Table416[[#This Row],[Response]]="Yes",1,"")</f>
        <v/>
      </c>
      <c r="H63" s="5">
        <f>IF(Table416[[#This Row],[Response]]="No",1,"")</f>
        <v>1</v>
      </c>
      <c r="I63" s="5">
        <f>IF(SUM(Table416[[#This Row],[If Yes]:[If No]])=1,1,"")</f>
        <v>1</v>
      </c>
      <c r="J63" s="5" t="str">
        <f>IF(IF(Table416[[#This Row],[Old or New?]]="New",1,0)+IF(Table416[[#This Row],[If Yes]]=1,1,0)=2,1,"")</f>
        <v/>
      </c>
      <c r="K63" s="5">
        <f>IF(IF(Table416[[#This Row],[Old or New?]]="New",1,0)+IF(Table416[[#This Row],[If No]]=1,1,0)=2,1,"")</f>
        <v>1</v>
      </c>
      <c r="L63" s="5" t="str">
        <f>IF(IF(Table416[[#This Row],[Old or New?]]="Old",1,0)+IF(Table416[[#This Row],[If Yes]]=1,1,0)=2,1,"")</f>
        <v/>
      </c>
      <c r="M63" s="5" t="str">
        <f>IF(IF(Table416[[#This Row],[Old or New?]]="Old",1,0)+IF(Table416[[#This Row],[If No]]=1,1,0)=2,1,"")</f>
        <v/>
      </c>
    </row>
    <row r="64" spans="1:13">
      <c r="A64" s="1" t="s">
        <v>24</v>
      </c>
      <c r="B64" s="1" t="s">
        <v>25</v>
      </c>
      <c r="C64" s="1">
        <v>6</v>
      </c>
      <c r="D64" s="1" t="s">
        <v>16</v>
      </c>
      <c r="E64" s="1">
        <v>11</v>
      </c>
      <c r="F64" s="1" t="s">
        <v>9</v>
      </c>
      <c r="G64" s="5" t="str">
        <f>IF(Table416[[#This Row],[Response]]="Yes",1,"")</f>
        <v/>
      </c>
      <c r="H64" s="5">
        <f>IF(Table416[[#This Row],[Response]]="No",1,"")</f>
        <v>1</v>
      </c>
      <c r="I64" s="5">
        <f>IF(SUM(Table416[[#This Row],[If Yes]:[If No]])=1,1,"")</f>
        <v>1</v>
      </c>
      <c r="J64" s="5" t="str">
        <f>IF(IF(Table416[[#This Row],[Old or New?]]="New",1,0)+IF(Table416[[#This Row],[If Yes]]=1,1,0)=2,1,"")</f>
        <v/>
      </c>
      <c r="K64" s="5">
        <f>IF(IF(Table416[[#This Row],[Old or New?]]="New",1,0)+IF(Table416[[#This Row],[If No]]=1,1,0)=2,1,"")</f>
        <v>1</v>
      </c>
      <c r="L64" s="5" t="str">
        <f>IF(IF(Table416[[#This Row],[Old or New?]]="Old",1,0)+IF(Table416[[#This Row],[If Yes]]=1,1,0)=2,1,"")</f>
        <v/>
      </c>
      <c r="M64" s="5" t="str">
        <f>IF(IF(Table416[[#This Row],[Old or New?]]="Old",1,0)+IF(Table416[[#This Row],[If No]]=1,1,0)=2,1,"")</f>
        <v/>
      </c>
    </row>
    <row r="65" spans="1:13">
      <c r="A65" s="1" t="s">
        <v>24</v>
      </c>
      <c r="B65" s="1" t="s">
        <v>25</v>
      </c>
      <c r="C65" s="1">
        <v>7</v>
      </c>
      <c r="D65" s="1" t="s">
        <v>16</v>
      </c>
      <c r="E65" s="1">
        <v>11</v>
      </c>
      <c r="F65" s="1" t="s">
        <v>9</v>
      </c>
      <c r="G65" s="5" t="str">
        <f>IF(Table416[[#This Row],[Response]]="Yes",1,"")</f>
        <v/>
      </c>
      <c r="H65" s="5">
        <f>IF(Table416[[#This Row],[Response]]="No",1,"")</f>
        <v>1</v>
      </c>
      <c r="I65" s="5">
        <f>IF(SUM(Table416[[#This Row],[If Yes]:[If No]])=1,1,"")</f>
        <v>1</v>
      </c>
      <c r="J65" s="5" t="str">
        <f>IF(IF(Table416[[#This Row],[Old or New?]]="New",1,0)+IF(Table416[[#This Row],[If Yes]]=1,1,0)=2,1,"")</f>
        <v/>
      </c>
      <c r="K65" s="5">
        <f>IF(IF(Table416[[#This Row],[Old or New?]]="New",1,0)+IF(Table416[[#This Row],[If No]]=1,1,0)=2,1,"")</f>
        <v>1</v>
      </c>
      <c r="L65" s="5" t="str">
        <f>IF(IF(Table416[[#This Row],[Old or New?]]="Old",1,0)+IF(Table416[[#This Row],[If Yes]]=1,1,0)=2,1,"")</f>
        <v/>
      </c>
      <c r="M65" s="5" t="str">
        <f>IF(IF(Table416[[#This Row],[Old or New?]]="Old",1,0)+IF(Table416[[#This Row],[If No]]=1,1,0)=2,1,"")</f>
        <v/>
      </c>
    </row>
    <row r="66" spans="1:13">
      <c r="A66" s="1" t="s">
        <v>24</v>
      </c>
      <c r="B66" s="1" t="s">
        <v>25</v>
      </c>
      <c r="C66" s="1">
        <v>8</v>
      </c>
      <c r="D66" s="1" t="s">
        <v>16</v>
      </c>
      <c r="E66" s="2">
        <v>11</v>
      </c>
      <c r="F66" s="1" t="s">
        <v>9</v>
      </c>
      <c r="G66" s="5" t="str">
        <f>IF(Table416[[#This Row],[Response]]="Yes",1,"")</f>
        <v/>
      </c>
      <c r="H66" s="5">
        <f>IF(Table416[[#This Row],[Response]]="No",1,"")</f>
        <v>1</v>
      </c>
      <c r="I66" s="5">
        <f>IF(SUM(Table416[[#This Row],[If Yes]:[If No]])=1,1,"")</f>
        <v>1</v>
      </c>
      <c r="J66" s="5" t="str">
        <f>IF(IF(Table416[[#This Row],[Old or New?]]="New",1,0)+IF(Table416[[#This Row],[If Yes]]=1,1,0)=2,1,"")</f>
        <v/>
      </c>
      <c r="K66" s="5">
        <f>IF(IF(Table416[[#This Row],[Old or New?]]="New",1,0)+IF(Table416[[#This Row],[If No]]=1,1,0)=2,1,"")</f>
        <v>1</v>
      </c>
      <c r="L66" s="5" t="str">
        <f>IF(IF(Table416[[#This Row],[Old or New?]]="Old",1,0)+IF(Table416[[#This Row],[If Yes]]=1,1,0)=2,1,"")</f>
        <v/>
      </c>
      <c r="M66" s="5" t="str">
        <f>IF(IF(Table416[[#This Row],[Old or New?]]="Old",1,0)+IF(Table416[[#This Row],[If No]]=1,1,0)=2,1,"")</f>
        <v/>
      </c>
    </row>
    <row r="67" spans="1:13">
      <c r="A67" s="1" t="s">
        <v>24</v>
      </c>
      <c r="B67" s="1" t="s">
        <v>25</v>
      </c>
      <c r="C67" s="1">
        <v>9</v>
      </c>
      <c r="D67" s="1" t="s">
        <v>16</v>
      </c>
      <c r="E67" s="1">
        <v>11</v>
      </c>
      <c r="F67" s="2"/>
      <c r="G67" s="5" t="str">
        <f>IF(Table416[[#This Row],[Response]]="Yes",1,"")</f>
        <v/>
      </c>
      <c r="H67" s="5" t="str">
        <f>IF(Table416[[#This Row],[Response]]="No",1,"")</f>
        <v/>
      </c>
      <c r="I67" s="5" t="str">
        <f>IF(SUM(Table416[[#This Row],[If Yes]:[If No]])=1,1,"")</f>
        <v/>
      </c>
      <c r="J67" s="5" t="str">
        <f>IF(IF(Table416[[#This Row],[Old or New?]]="New",1,0)+IF(Table416[[#This Row],[If Yes]]=1,1,0)=2,1,"")</f>
        <v/>
      </c>
      <c r="K67" s="5" t="str">
        <f>IF(IF(Table416[[#This Row],[Old or New?]]="New",1,0)+IF(Table416[[#This Row],[If No]]=1,1,0)=2,1,"")</f>
        <v/>
      </c>
      <c r="L67" s="5" t="str">
        <f>IF(IF(Table416[[#This Row],[Old or New?]]="Old",1,0)+IF(Table416[[#This Row],[If Yes]]=1,1,0)=2,1,"")</f>
        <v/>
      </c>
      <c r="M67" s="5" t="str">
        <f>IF(IF(Table416[[#This Row],[Old or New?]]="Old",1,0)+IF(Table416[[#This Row],[If No]]=1,1,0)=2,1,"")</f>
        <v/>
      </c>
    </row>
    <row r="68" spans="1:13">
      <c r="A68" s="1" t="s">
        <v>24</v>
      </c>
      <c r="B68" s="1" t="s">
        <v>25</v>
      </c>
      <c r="C68" s="1">
        <v>10</v>
      </c>
      <c r="D68" s="1" t="s">
        <v>16</v>
      </c>
      <c r="E68" s="1">
        <v>11</v>
      </c>
      <c r="F68" s="1" t="s">
        <v>9</v>
      </c>
      <c r="G68" s="5" t="str">
        <f>IF(Table416[[#This Row],[Response]]="Yes",1,"")</f>
        <v/>
      </c>
      <c r="H68" s="5">
        <f>IF(Table416[[#This Row],[Response]]="No",1,"")</f>
        <v>1</v>
      </c>
      <c r="I68" s="5">
        <f>IF(SUM(Table416[[#This Row],[If Yes]:[If No]])=1,1,"")</f>
        <v>1</v>
      </c>
      <c r="J68" s="5" t="str">
        <f>IF(IF(Table416[[#This Row],[Old or New?]]="New",1,0)+IF(Table416[[#This Row],[If Yes]]=1,1,0)=2,1,"")</f>
        <v/>
      </c>
      <c r="K68" s="5">
        <f>IF(IF(Table416[[#This Row],[Old or New?]]="New",1,0)+IF(Table416[[#This Row],[If No]]=1,1,0)=2,1,"")</f>
        <v>1</v>
      </c>
      <c r="L68" s="5" t="str">
        <f>IF(IF(Table416[[#This Row],[Old or New?]]="Old",1,0)+IF(Table416[[#This Row],[If Yes]]=1,1,0)=2,1,"")</f>
        <v/>
      </c>
      <c r="M68" s="5" t="str">
        <f>IF(IF(Table416[[#This Row],[Old or New?]]="Old",1,0)+IF(Table416[[#This Row],[If No]]=1,1,0)=2,1,"")</f>
        <v/>
      </c>
    </row>
    <row r="69" spans="1:13">
      <c r="A69" s="1" t="s">
        <v>24</v>
      </c>
      <c r="B69" s="1" t="s">
        <v>25</v>
      </c>
      <c r="C69" s="1">
        <v>11</v>
      </c>
      <c r="D69" s="1" t="s">
        <v>16</v>
      </c>
      <c r="E69" s="1">
        <v>11</v>
      </c>
      <c r="G69" s="5" t="str">
        <f>IF(Table416[[#This Row],[Response]]="Yes",1,"")</f>
        <v/>
      </c>
      <c r="H69" s="5" t="str">
        <f>IF(Table416[[#This Row],[Response]]="No",1,"")</f>
        <v/>
      </c>
      <c r="I69" s="5" t="str">
        <f>IF(SUM(Table416[[#This Row],[If Yes]:[If No]])=1,1,"")</f>
        <v/>
      </c>
      <c r="J69" s="5" t="str">
        <f>IF(IF(Table416[[#This Row],[Old or New?]]="New",1,0)+IF(Table416[[#This Row],[If Yes]]=1,1,0)=2,1,"")</f>
        <v/>
      </c>
      <c r="K69" s="5" t="str">
        <f>IF(IF(Table416[[#This Row],[Old or New?]]="New",1,0)+IF(Table416[[#This Row],[If No]]=1,1,0)=2,1,"")</f>
        <v/>
      </c>
      <c r="L69" s="5" t="str">
        <f>IF(IF(Table416[[#This Row],[Old or New?]]="Old",1,0)+IF(Table416[[#This Row],[If Yes]]=1,1,0)=2,1,"")</f>
        <v/>
      </c>
      <c r="M69" s="5" t="str">
        <f>IF(IF(Table416[[#This Row],[Old or New?]]="Old",1,0)+IF(Table416[[#This Row],[If No]]=1,1,0)=2,1,"")</f>
        <v/>
      </c>
    </row>
    <row r="70" spans="1:13">
      <c r="A70" s="1" t="s">
        <v>24</v>
      </c>
      <c r="B70" s="1" t="s">
        <v>25</v>
      </c>
      <c r="C70" s="1">
        <v>12</v>
      </c>
      <c r="D70" s="1" t="s">
        <v>16</v>
      </c>
      <c r="E70" s="1">
        <v>11</v>
      </c>
      <c r="F70" s="1" t="s">
        <v>9</v>
      </c>
      <c r="G70" s="5" t="str">
        <f>IF(Table416[[#This Row],[Response]]="Yes",1,"")</f>
        <v/>
      </c>
      <c r="H70" s="5">
        <f>IF(Table416[[#This Row],[Response]]="No",1,"")</f>
        <v>1</v>
      </c>
      <c r="I70" s="5">
        <f>IF(SUM(Table416[[#This Row],[If Yes]:[If No]])=1,1,"")</f>
        <v>1</v>
      </c>
      <c r="J70" s="5" t="str">
        <f>IF(IF(Table416[[#This Row],[Old or New?]]="New",1,0)+IF(Table416[[#This Row],[If Yes]]=1,1,0)=2,1,"")</f>
        <v/>
      </c>
      <c r="K70" s="5">
        <f>IF(IF(Table416[[#This Row],[Old or New?]]="New",1,0)+IF(Table416[[#This Row],[If No]]=1,1,0)=2,1,"")</f>
        <v>1</v>
      </c>
      <c r="L70" s="5" t="str">
        <f>IF(IF(Table416[[#This Row],[Old or New?]]="Old",1,0)+IF(Table416[[#This Row],[If Yes]]=1,1,0)=2,1,"")</f>
        <v/>
      </c>
      <c r="M70" s="5" t="str">
        <f>IF(IF(Table416[[#This Row],[Old or New?]]="Old",1,0)+IF(Table416[[#This Row],[If No]]=1,1,0)=2,1,"")</f>
        <v/>
      </c>
    </row>
    <row r="71" spans="1:13">
      <c r="A71" s="1" t="s">
        <v>24</v>
      </c>
      <c r="B71" s="1" t="s">
        <v>25</v>
      </c>
      <c r="C71" s="1">
        <v>13</v>
      </c>
      <c r="D71" s="1" t="s">
        <v>16</v>
      </c>
      <c r="E71" s="1">
        <v>11</v>
      </c>
      <c r="F71" s="1" t="s">
        <v>9</v>
      </c>
      <c r="G71" s="5" t="str">
        <f>IF(Table416[[#This Row],[Response]]="Yes",1,"")</f>
        <v/>
      </c>
      <c r="H71" s="5">
        <f>IF(Table416[[#This Row],[Response]]="No",1,"")</f>
        <v>1</v>
      </c>
      <c r="I71" s="5">
        <f>IF(SUM(Table416[[#This Row],[If Yes]:[If No]])=1,1,"")</f>
        <v>1</v>
      </c>
      <c r="J71" s="5" t="str">
        <f>IF(IF(Table416[[#This Row],[Old or New?]]="New",1,0)+IF(Table416[[#This Row],[If Yes]]=1,1,0)=2,1,"")</f>
        <v/>
      </c>
      <c r="K71" s="5">
        <f>IF(IF(Table416[[#This Row],[Old or New?]]="New",1,0)+IF(Table416[[#This Row],[If No]]=1,1,0)=2,1,"")</f>
        <v>1</v>
      </c>
      <c r="L71" s="5" t="str">
        <f>IF(IF(Table416[[#This Row],[Old or New?]]="Old",1,0)+IF(Table416[[#This Row],[If Yes]]=1,1,0)=2,1,"")</f>
        <v/>
      </c>
      <c r="M71" s="5" t="str">
        <f>IF(IF(Table416[[#This Row],[Old or New?]]="Old",1,0)+IF(Table416[[#This Row],[If No]]=1,1,0)=2,1,"")</f>
        <v/>
      </c>
    </row>
    <row r="72" spans="1:13">
      <c r="A72" s="1" t="s">
        <v>24</v>
      </c>
      <c r="B72" s="1" t="s">
        <v>25</v>
      </c>
      <c r="C72" s="1">
        <v>14</v>
      </c>
      <c r="D72" s="1" t="s">
        <v>16</v>
      </c>
      <c r="E72" s="1">
        <v>11</v>
      </c>
      <c r="G72" s="5" t="str">
        <f>IF(Table416[[#This Row],[Response]]="Yes",1,"")</f>
        <v/>
      </c>
      <c r="H72" s="5" t="str">
        <f>IF(Table416[[#This Row],[Response]]="No",1,"")</f>
        <v/>
      </c>
      <c r="I72" s="5" t="str">
        <f>IF(SUM(Table416[[#This Row],[If Yes]:[If No]])=1,1,"")</f>
        <v/>
      </c>
      <c r="J72" s="5" t="str">
        <f>IF(IF(Table416[[#This Row],[Old or New?]]="New",1,0)+IF(Table416[[#This Row],[If Yes]]=1,1,0)=2,1,"")</f>
        <v/>
      </c>
      <c r="K72" s="5" t="str">
        <f>IF(IF(Table416[[#This Row],[Old or New?]]="New",1,0)+IF(Table416[[#This Row],[If No]]=1,1,0)=2,1,"")</f>
        <v/>
      </c>
      <c r="L72" s="5" t="str">
        <f>IF(IF(Table416[[#This Row],[Old or New?]]="Old",1,0)+IF(Table416[[#This Row],[If Yes]]=1,1,0)=2,1,"")</f>
        <v/>
      </c>
      <c r="M72" s="5" t="str">
        <f>IF(IF(Table416[[#This Row],[Old or New?]]="Old",1,0)+IF(Table416[[#This Row],[If No]]=1,1,0)=2,1,"")</f>
        <v/>
      </c>
    </row>
    <row r="73" spans="1:13">
      <c r="A73" s="1" t="s">
        <v>24</v>
      </c>
      <c r="B73" s="1" t="s">
        <v>25</v>
      </c>
      <c r="C73" s="1">
        <v>18</v>
      </c>
      <c r="D73" s="1" t="s">
        <v>16</v>
      </c>
      <c r="E73" s="1">
        <v>11</v>
      </c>
      <c r="G73" s="5" t="str">
        <f>IF(Table416[[#This Row],[Response]]="Yes",1,"")</f>
        <v/>
      </c>
      <c r="H73" s="5" t="str">
        <f>IF(Table416[[#This Row],[Response]]="No",1,"")</f>
        <v/>
      </c>
      <c r="I73" s="5" t="str">
        <f>IF(SUM(Table416[[#This Row],[If Yes]:[If No]])=1,1,"")</f>
        <v/>
      </c>
      <c r="J73" s="5" t="str">
        <f>IF(IF(Table416[[#This Row],[Old or New?]]="New",1,0)+IF(Table416[[#This Row],[If Yes]]=1,1,0)=2,1,"")</f>
        <v/>
      </c>
      <c r="K73" s="5" t="str">
        <f>IF(IF(Table416[[#This Row],[Old or New?]]="New",1,0)+IF(Table416[[#This Row],[If No]]=1,1,0)=2,1,"")</f>
        <v/>
      </c>
      <c r="L73" s="5" t="str">
        <f>IF(IF(Table416[[#This Row],[Old or New?]]="Old",1,0)+IF(Table416[[#This Row],[If Yes]]=1,1,0)=2,1,"")</f>
        <v/>
      </c>
      <c r="M73" s="5" t="str">
        <f>IF(IF(Table416[[#This Row],[Old or New?]]="Old",1,0)+IF(Table416[[#This Row],[If No]]=1,1,0)=2,1,"")</f>
        <v/>
      </c>
    </row>
    <row r="74" spans="1:13">
      <c r="A74" s="1" t="s">
        <v>24</v>
      </c>
      <c r="B74" s="1" t="s">
        <v>25</v>
      </c>
      <c r="C74" s="1">
        <v>19</v>
      </c>
      <c r="D74" s="1" t="s">
        <v>16</v>
      </c>
      <c r="E74" s="2">
        <v>11</v>
      </c>
      <c r="F74" s="1" t="s">
        <v>9</v>
      </c>
      <c r="G74" s="5" t="str">
        <f>IF(Table416[[#This Row],[Response]]="Yes",1,"")</f>
        <v/>
      </c>
      <c r="H74" s="5">
        <f>IF(Table416[[#This Row],[Response]]="No",1,"")</f>
        <v>1</v>
      </c>
      <c r="I74" s="5">
        <f>IF(SUM(Table416[[#This Row],[If Yes]:[If No]])=1,1,"")</f>
        <v>1</v>
      </c>
      <c r="J74" s="5" t="str">
        <f>IF(IF(Table416[[#This Row],[Old or New?]]="New",1,0)+IF(Table416[[#This Row],[If Yes]]=1,1,0)=2,1,"")</f>
        <v/>
      </c>
      <c r="K74" s="5">
        <f>IF(IF(Table416[[#This Row],[Old or New?]]="New",1,0)+IF(Table416[[#This Row],[If No]]=1,1,0)=2,1,"")</f>
        <v>1</v>
      </c>
      <c r="L74" s="5" t="str">
        <f>IF(IF(Table416[[#This Row],[Old or New?]]="Old",1,0)+IF(Table416[[#This Row],[If Yes]]=1,1,0)=2,1,"")</f>
        <v/>
      </c>
      <c r="M74" s="5" t="str">
        <f>IF(IF(Table416[[#This Row],[Old or New?]]="Old",1,0)+IF(Table416[[#This Row],[If No]]=1,1,0)=2,1,"")</f>
        <v/>
      </c>
    </row>
    <row r="75" spans="1:13">
      <c r="A75" s="1" t="s">
        <v>24</v>
      </c>
      <c r="B75" s="1" t="s">
        <v>25</v>
      </c>
      <c r="C75" s="1">
        <v>20</v>
      </c>
      <c r="D75" s="1" t="s">
        <v>16</v>
      </c>
      <c r="E75" s="2">
        <v>11</v>
      </c>
      <c r="F75" s="1" t="s">
        <v>9</v>
      </c>
      <c r="G75" s="5" t="str">
        <f>IF(Table416[[#This Row],[Response]]="Yes",1,"")</f>
        <v/>
      </c>
      <c r="H75" s="5">
        <f>IF(Table416[[#This Row],[Response]]="No",1,"")</f>
        <v>1</v>
      </c>
      <c r="I75" s="5">
        <f>IF(SUM(Table416[[#This Row],[If Yes]:[If No]])=1,1,"")</f>
        <v>1</v>
      </c>
      <c r="J75" s="5" t="str">
        <f>IF(IF(Table416[[#This Row],[Old or New?]]="New",1,0)+IF(Table416[[#This Row],[If Yes]]=1,1,0)=2,1,"")</f>
        <v/>
      </c>
      <c r="K75" s="5">
        <f>IF(IF(Table416[[#This Row],[Old or New?]]="New",1,0)+IF(Table416[[#This Row],[If No]]=1,1,0)=2,1,"")</f>
        <v>1</v>
      </c>
      <c r="L75" s="5" t="str">
        <f>IF(IF(Table416[[#This Row],[Old or New?]]="Old",1,0)+IF(Table416[[#This Row],[If Yes]]=1,1,0)=2,1,"")</f>
        <v/>
      </c>
      <c r="M75" s="5" t="str">
        <f>IF(IF(Table416[[#This Row],[Old or New?]]="Old",1,0)+IF(Table416[[#This Row],[If No]]=1,1,0)=2,1,"")</f>
        <v/>
      </c>
    </row>
    <row r="76" spans="1:13">
      <c r="A76" s="1" t="s">
        <v>24</v>
      </c>
      <c r="B76" s="1" t="s">
        <v>25</v>
      </c>
      <c r="C76" s="1">
        <v>21</v>
      </c>
      <c r="D76" s="1" t="s">
        <v>16</v>
      </c>
      <c r="E76" s="2">
        <v>11</v>
      </c>
      <c r="F76" s="1" t="s">
        <v>8</v>
      </c>
      <c r="G76" s="5">
        <f>IF(Table416[[#This Row],[Response]]="Yes",1,"")</f>
        <v>1</v>
      </c>
      <c r="H76" s="5" t="str">
        <f>IF(Table416[[#This Row],[Response]]="No",1,"")</f>
        <v/>
      </c>
      <c r="I76" s="5">
        <f>IF(SUM(Table416[[#This Row],[If Yes]:[If No]])=1,1,"")</f>
        <v>1</v>
      </c>
      <c r="J76" s="5">
        <f>IF(IF(Table416[[#This Row],[Old or New?]]="New",1,0)+IF(Table416[[#This Row],[If Yes]]=1,1,0)=2,1,"")</f>
        <v>1</v>
      </c>
      <c r="K76" s="5" t="str">
        <f>IF(IF(Table416[[#This Row],[Old or New?]]="New",1,0)+IF(Table416[[#This Row],[If No]]=1,1,0)=2,1,"")</f>
        <v/>
      </c>
      <c r="L76" s="5" t="str">
        <f>IF(IF(Table416[[#This Row],[Old or New?]]="Old",1,0)+IF(Table416[[#This Row],[If Yes]]=1,1,0)=2,1,"")</f>
        <v/>
      </c>
      <c r="M76" s="5" t="str">
        <f>IF(IF(Table416[[#This Row],[Old or New?]]="Old",1,0)+IF(Table416[[#This Row],[If No]]=1,1,0)=2,1,"")</f>
        <v/>
      </c>
    </row>
    <row r="77" spans="1:13">
      <c r="A77" s="2" t="s">
        <v>24</v>
      </c>
      <c r="B77" s="2" t="s">
        <v>26</v>
      </c>
      <c r="C77" s="1">
        <v>1</v>
      </c>
      <c r="D77" s="1" t="s">
        <v>16</v>
      </c>
      <c r="E77" s="1">
        <v>11</v>
      </c>
      <c r="F77" s="1" t="s">
        <v>9</v>
      </c>
      <c r="G77" s="5" t="str">
        <f>IF(Table416[[#This Row],[Response]]="Yes",1,"")</f>
        <v/>
      </c>
      <c r="H77" s="5">
        <f>IF(Table416[[#This Row],[Response]]="No",1,"")</f>
        <v>1</v>
      </c>
      <c r="I77" s="5">
        <f>IF(SUM(Table416[[#This Row],[If Yes]:[If No]])=1,1,"")</f>
        <v>1</v>
      </c>
      <c r="J77" s="5" t="str">
        <f>IF(IF(Table416[[#This Row],[Old or New?]]="New",1,0)+IF(Table416[[#This Row],[If Yes]]=1,1,0)=2,1,"")</f>
        <v/>
      </c>
      <c r="K77" s="5">
        <f>IF(IF(Table416[[#This Row],[Old or New?]]="New",1,0)+IF(Table416[[#This Row],[If No]]=1,1,0)=2,1,"")</f>
        <v>1</v>
      </c>
      <c r="L77" s="5" t="str">
        <f>IF(IF(Table416[[#This Row],[Old or New?]]="Old",1,0)+IF(Table416[[#This Row],[If Yes]]=1,1,0)=2,1,"")</f>
        <v/>
      </c>
      <c r="M77" s="5" t="str">
        <f>IF(IF(Table416[[#This Row],[Old or New?]]="Old",1,0)+IF(Table416[[#This Row],[If No]]=1,1,0)=2,1,"")</f>
        <v/>
      </c>
    </row>
    <row r="78" spans="1:13">
      <c r="A78" s="2" t="s">
        <v>24</v>
      </c>
      <c r="B78" s="2" t="s">
        <v>26</v>
      </c>
      <c r="C78" s="1">
        <v>2</v>
      </c>
      <c r="D78" s="1" t="s">
        <v>16</v>
      </c>
      <c r="E78" s="1">
        <v>11</v>
      </c>
      <c r="G78" s="5" t="str">
        <f>IF(Table416[[#This Row],[Response]]="Yes",1,"")</f>
        <v/>
      </c>
      <c r="H78" s="5" t="str">
        <f>IF(Table416[[#This Row],[Response]]="No",1,"")</f>
        <v/>
      </c>
      <c r="I78" s="5" t="str">
        <f>IF(SUM(Table416[[#This Row],[If Yes]:[If No]])=1,1,"")</f>
        <v/>
      </c>
      <c r="J78" s="5" t="str">
        <f>IF(IF(Table416[[#This Row],[Old or New?]]="New",1,0)+IF(Table416[[#This Row],[If Yes]]=1,1,0)=2,1,"")</f>
        <v/>
      </c>
      <c r="K78" s="5" t="str">
        <f>IF(IF(Table416[[#This Row],[Old or New?]]="New",1,0)+IF(Table416[[#This Row],[If No]]=1,1,0)=2,1,"")</f>
        <v/>
      </c>
      <c r="L78" s="5" t="str">
        <f>IF(IF(Table416[[#This Row],[Old or New?]]="Old",1,0)+IF(Table416[[#This Row],[If Yes]]=1,1,0)=2,1,"")</f>
        <v/>
      </c>
      <c r="M78" s="5" t="str">
        <f>IF(IF(Table416[[#This Row],[Old or New?]]="Old",1,0)+IF(Table416[[#This Row],[If No]]=1,1,0)=2,1,"")</f>
        <v/>
      </c>
    </row>
    <row r="79" spans="1:13">
      <c r="A79" s="2" t="s">
        <v>24</v>
      </c>
      <c r="B79" s="2" t="s">
        <v>26</v>
      </c>
      <c r="C79" s="1">
        <v>3</v>
      </c>
      <c r="D79" s="1" t="s">
        <v>16</v>
      </c>
      <c r="E79" s="1">
        <v>11</v>
      </c>
      <c r="F79" s="1" t="s">
        <v>9</v>
      </c>
      <c r="G79" s="5" t="str">
        <f>IF(Table416[[#This Row],[Response]]="Yes",1,"")</f>
        <v/>
      </c>
      <c r="H79" s="5">
        <f>IF(Table416[[#This Row],[Response]]="No",1,"")</f>
        <v>1</v>
      </c>
      <c r="I79" s="5">
        <f>IF(SUM(Table416[[#This Row],[If Yes]:[If No]])=1,1,"")</f>
        <v>1</v>
      </c>
      <c r="J79" s="5" t="str">
        <f>IF(IF(Table416[[#This Row],[Old or New?]]="New",1,0)+IF(Table416[[#This Row],[If Yes]]=1,1,0)=2,1,"")</f>
        <v/>
      </c>
      <c r="K79" s="5">
        <f>IF(IF(Table416[[#This Row],[Old or New?]]="New",1,0)+IF(Table416[[#This Row],[If No]]=1,1,0)=2,1,"")</f>
        <v>1</v>
      </c>
      <c r="L79" s="5" t="str">
        <f>IF(IF(Table416[[#This Row],[Old or New?]]="Old",1,0)+IF(Table416[[#This Row],[If Yes]]=1,1,0)=2,1,"")</f>
        <v/>
      </c>
      <c r="M79" s="5" t="str">
        <f>IF(IF(Table416[[#This Row],[Old or New?]]="Old",1,0)+IF(Table416[[#This Row],[If No]]=1,1,0)=2,1,"")</f>
        <v/>
      </c>
    </row>
    <row r="80" spans="1:13">
      <c r="A80" s="2" t="s">
        <v>24</v>
      </c>
      <c r="B80" s="2" t="s">
        <v>26</v>
      </c>
      <c r="C80" s="1">
        <v>4</v>
      </c>
      <c r="D80" s="1" t="s">
        <v>16</v>
      </c>
      <c r="E80" s="1">
        <v>11</v>
      </c>
      <c r="G80" s="5" t="str">
        <f>IF(Table416[[#This Row],[Response]]="Yes",1,"")</f>
        <v/>
      </c>
      <c r="H80" s="5" t="str">
        <f>IF(Table416[[#This Row],[Response]]="No",1,"")</f>
        <v/>
      </c>
      <c r="I80" s="5" t="str">
        <f>IF(SUM(Table416[[#This Row],[If Yes]:[If No]])=1,1,"")</f>
        <v/>
      </c>
      <c r="J80" s="5" t="str">
        <f>IF(IF(Table416[[#This Row],[Old or New?]]="New",1,0)+IF(Table416[[#This Row],[If Yes]]=1,1,0)=2,1,"")</f>
        <v/>
      </c>
      <c r="K80" s="5" t="str">
        <f>IF(IF(Table416[[#This Row],[Old or New?]]="New",1,0)+IF(Table416[[#This Row],[If No]]=1,1,0)=2,1,"")</f>
        <v/>
      </c>
      <c r="L80" s="5" t="str">
        <f>IF(IF(Table416[[#This Row],[Old or New?]]="Old",1,0)+IF(Table416[[#This Row],[If Yes]]=1,1,0)=2,1,"")</f>
        <v/>
      </c>
      <c r="M80" s="5" t="str">
        <f>IF(IF(Table416[[#This Row],[Old or New?]]="Old",1,0)+IF(Table416[[#This Row],[If No]]=1,1,0)=2,1,"")</f>
        <v/>
      </c>
    </row>
    <row r="81" spans="1:13">
      <c r="A81" s="2" t="s">
        <v>24</v>
      </c>
      <c r="B81" s="2" t="s">
        <v>26</v>
      </c>
      <c r="C81" s="1">
        <v>5</v>
      </c>
      <c r="D81" s="1" t="s">
        <v>16</v>
      </c>
      <c r="E81" s="1">
        <v>11</v>
      </c>
      <c r="F81" s="1" t="s">
        <v>9</v>
      </c>
      <c r="G81" s="5" t="str">
        <f>IF(Table416[[#This Row],[Response]]="Yes",1,"")</f>
        <v/>
      </c>
      <c r="H81" s="5">
        <f>IF(Table416[[#This Row],[Response]]="No",1,"")</f>
        <v>1</v>
      </c>
      <c r="I81" s="5">
        <f>IF(SUM(Table416[[#This Row],[If Yes]:[If No]])=1,1,"")</f>
        <v>1</v>
      </c>
      <c r="J81" s="5" t="str">
        <f>IF(IF(Table416[[#This Row],[Old or New?]]="New",1,0)+IF(Table416[[#This Row],[If Yes]]=1,1,0)=2,1,"")</f>
        <v/>
      </c>
      <c r="K81" s="5">
        <f>IF(IF(Table416[[#This Row],[Old or New?]]="New",1,0)+IF(Table416[[#This Row],[If No]]=1,1,0)=2,1,"")</f>
        <v>1</v>
      </c>
      <c r="L81" s="5" t="str">
        <f>IF(IF(Table416[[#This Row],[Old or New?]]="Old",1,0)+IF(Table416[[#This Row],[If Yes]]=1,1,0)=2,1,"")</f>
        <v/>
      </c>
      <c r="M81" s="5" t="str">
        <f>IF(IF(Table416[[#This Row],[Old or New?]]="Old",1,0)+IF(Table416[[#This Row],[If No]]=1,1,0)=2,1,"")</f>
        <v/>
      </c>
    </row>
    <row r="82" spans="1:13">
      <c r="A82" s="2" t="s">
        <v>24</v>
      </c>
      <c r="B82" s="2" t="s">
        <v>26</v>
      </c>
      <c r="C82" s="1">
        <v>6</v>
      </c>
      <c r="D82" s="1" t="s">
        <v>16</v>
      </c>
      <c r="E82" s="1">
        <v>11</v>
      </c>
      <c r="F82" s="2" t="s">
        <v>9</v>
      </c>
      <c r="G82" s="5" t="str">
        <f>IF(Table416[[#This Row],[Response]]="Yes",1,"")</f>
        <v/>
      </c>
      <c r="H82" s="5">
        <f>IF(Table416[[#This Row],[Response]]="No",1,"")</f>
        <v>1</v>
      </c>
      <c r="I82" s="5">
        <f>IF(SUM(Table416[[#This Row],[If Yes]:[If No]])=1,1,"")</f>
        <v>1</v>
      </c>
      <c r="J82" s="5" t="str">
        <f>IF(IF(Table416[[#This Row],[Old or New?]]="New",1,0)+IF(Table416[[#This Row],[If Yes]]=1,1,0)=2,1,"")</f>
        <v/>
      </c>
      <c r="K82" s="5">
        <f>IF(IF(Table416[[#This Row],[Old or New?]]="New",1,0)+IF(Table416[[#This Row],[If No]]=1,1,0)=2,1,"")</f>
        <v>1</v>
      </c>
      <c r="L82" s="5" t="str">
        <f>IF(IF(Table416[[#This Row],[Old or New?]]="Old",1,0)+IF(Table416[[#This Row],[If Yes]]=1,1,0)=2,1,"")</f>
        <v/>
      </c>
      <c r="M82" s="5" t="str">
        <f>IF(IF(Table416[[#This Row],[Old or New?]]="Old",1,0)+IF(Table416[[#This Row],[If No]]=1,1,0)=2,1,"")</f>
        <v/>
      </c>
    </row>
    <row r="83" spans="1:13">
      <c r="A83" s="2" t="s">
        <v>24</v>
      </c>
      <c r="B83" s="2" t="s">
        <v>26</v>
      </c>
      <c r="C83" s="1">
        <v>7</v>
      </c>
      <c r="D83" s="1" t="s">
        <v>16</v>
      </c>
      <c r="E83" s="1">
        <v>11</v>
      </c>
      <c r="F83" s="1" t="s">
        <v>9</v>
      </c>
      <c r="G83" s="5" t="str">
        <f>IF(Table416[[#This Row],[Response]]="Yes",1,"")</f>
        <v/>
      </c>
      <c r="H83" s="5">
        <f>IF(Table416[[#This Row],[Response]]="No",1,"")</f>
        <v>1</v>
      </c>
      <c r="I83" s="5">
        <f>IF(SUM(Table416[[#This Row],[If Yes]:[If No]])=1,1,"")</f>
        <v>1</v>
      </c>
      <c r="J83" s="5" t="str">
        <f>IF(IF(Table416[[#This Row],[Old or New?]]="New",1,0)+IF(Table416[[#This Row],[If Yes]]=1,1,0)=2,1,"")</f>
        <v/>
      </c>
      <c r="K83" s="5">
        <f>IF(IF(Table416[[#This Row],[Old or New?]]="New",1,0)+IF(Table416[[#This Row],[If No]]=1,1,0)=2,1,"")</f>
        <v>1</v>
      </c>
      <c r="L83" s="5" t="str">
        <f>IF(IF(Table416[[#This Row],[Old or New?]]="Old",1,0)+IF(Table416[[#This Row],[If Yes]]=1,1,0)=2,1,"")</f>
        <v/>
      </c>
      <c r="M83" s="5" t="str">
        <f>IF(IF(Table416[[#This Row],[Old or New?]]="Old",1,0)+IF(Table416[[#This Row],[If No]]=1,1,0)=2,1,"")</f>
        <v/>
      </c>
    </row>
    <row r="84" spans="1:13">
      <c r="A84" s="2" t="s">
        <v>24</v>
      </c>
      <c r="B84" s="2" t="s">
        <v>26</v>
      </c>
      <c r="C84" s="1">
        <v>8</v>
      </c>
      <c r="D84" s="1" t="s">
        <v>16</v>
      </c>
      <c r="E84" s="2">
        <v>11</v>
      </c>
      <c r="F84" s="2" t="s">
        <v>9</v>
      </c>
      <c r="G84" s="5" t="str">
        <f>IF(Table416[[#This Row],[Response]]="Yes",1,"")</f>
        <v/>
      </c>
      <c r="H84" s="5">
        <f>IF(Table416[[#This Row],[Response]]="No",1,"")</f>
        <v>1</v>
      </c>
      <c r="I84" s="5">
        <f>IF(SUM(Table416[[#This Row],[If Yes]:[If No]])=1,1,"")</f>
        <v>1</v>
      </c>
      <c r="J84" s="5" t="str">
        <f>IF(IF(Table416[[#This Row],[Old or New?]]="New",1,0)+IF(Table416[[#This Row],[If Yes]]=1,1,0)=2,1,"")</f>
        <v/>
      </c>
      <c r="K84" s="5">
        <f>IF(IF(Table416[[#This Row],[Old or New?]]="New",1,0)+IF(Table416[[#This Row],[If No]]=1,1,0)=2,1,"")</f>
        <v>1</v>
      </c>
      <c r="L84" s="5" t="str">
        <f>IF(IF(Table416[[#This Row],[Old or New?]]="Old",1,0)+IF(Table416[[#This Row],[If Yes]]=1,1,0)=2,1,"")</f>
        <v/>
      </c>
      <c r="M84" s="5" t="str">
        <f>IF(IF(Table416[[#This Row],[Old or New?]]="Old",1,0)+IF(Table416[[#This Row],[If No]]=1,1,0)=2,1,"")</f>
        <v/>
      </c>
    </row>
    <row r="85" spans="1:13">
      <c r="A85" s="2" t="s">
        <v>24</v>
      </c>
      <c r="B85" s="2" t="s">
        <v>26</v>
      </c>
      <c r="C85" s="1">
        <v>9</v>
      </c>
      <c r="D85" s="1" t="s">
        <v>16</v>
      </c>
      <c r="E85" s="1">
        <v>11</v>
      </c>
      <c r="F85" s="1" t="s">
        <v>9</v>
      </c>
      <c r="G85" s="5" t="str">
        <f>IF(Table416[[#This Row],[Response]]="Yes",1,"")</f>
        <v/>
      </c>
      <c r="H85" s="5">
        <f>IF(Table416[[#This Row],[Response]]="No",1,"")</f>
        <v>1</v>
      </c>
      <c r="I85" s="5">
        <f>IF(SUM(Table416[[#This Row],[If Yes]:[If No]])=1,1,"")</f>
        <v>1</v>
      </c>
      <c r="J85" s="5" t="str">
        <f>IF(IF(Table416[[#This Row],[Old or New?]]="New",1,0)+IF(Table416[[#This Row],[If Yes]]=1,1,0)=2,1,"")</f>
        <v/>
      </c>
      <c r="K85" s="5">
        <f>IF(IF(Table416[[#This Row],[Old or New?]]="New",1,0)+IF(Table416[[#This Row],[If No]]=1,1,0)=2,1,"")</f>
        <v>1</v>
      </c>
      <c r="L85" s="5" t="str">
        <f>IF(IF(Table416[[#This Row],[Old or New?]]="Old",1,0)+IF(Table416[[#This Row],[If Yes]]=1,1,0)=2,1,"")</f>
        <v/>
      </c>
      <c r="M85" s="5" t="str">
        <f>IF(IF(Table416[[#This Row],[Old or New?]]="Old",1,0)+IF(Table416[[#This Row],[If No]]=1,1,0)=2,1,"")</f>
        <v/>
      </c>
    </row>
    <row r="86" spans="1:13">
      <c r="A86" s="2" t="s">
        <v>24</v>
      </c>
      <c r="B86" s="2" t="s">
        <v>26</v>
      </c>
      <c r="C86" s="1">
        <v>10</v>
      </c>
      <c r="D86" s="1" t="s">
        <v>16</v>
      </c>
      <c r="E86" s="1">
        <v>11</v>
      </c>
      <c r="F86" s="2"/>
      <c r="G86" s="5" t="str">
        <f>IF(Table416[[#This Row],[Response]]="Yes",1,"")</f>
        <v/>
      </c>
      <c r="H86" s="5" t="str">
        <f>IF(Table416[[#This Row],[Response]]="No",1,"")</f>
        <v/>
      </c>
      <c r="I86" s="5" t="str">
        <f>IF(SUM(Table416[[#This Row],[If Yes]:[If No]])=1,1,"")</f>
        <v/>
      </c>
      <c r="J86" s="5" t="str">
        <f>IF(IF(Table416[[#This Row],[Old or New?]]="New",1,0)+IF(Table416[[#This Row],[If Yes]]=1,1,0)=2,1,"")</f>
        <v/>
      </c>
      <c r="K86" s="5" t="str">
        <f>IF(IF(Table416[[#This Row],[Old or New?]]="New",1,0)+IF(Table416[[#This Row],[If No]]=1,1,0)=2,1,"")</f>
        <v/>
      </c>
      <c r="L86" s="5" t="str">
        <f>IF(IF(Table416[[#This Row],[Old or New?]]="Old",1,0)+IF(Table416[[#This Row],[If Yes]]=1,1,0)=2,1,"")</f>
        <v/>
      </c>
      <c r="M86" s="5" t="str">
        <f>IF(IF(Table416[[#This Row],[Old or New?]]="Old",1,0)+IF(Table416[[#This Row],[If No]]=1,1,0)=2,1,"")</f>
        <v/>
      </c>
    </row>
    <row r="87" spans="1:13">
      <c r="A87" s="2" t="s">
        <v>24</v>
      </c>
      <c r="B87" s="2" t="s">
        <v>26</v>
      </c>
      <c r="C87" s="1">
        <v>11</v>
      </c>
      <c r="D87" s="1" t="s">
        <v>16</v>
      </c>
      <c r="E87" s="1">
        <v>11</v>
      </c>
      <c r="F87" s="1" t="s">
        <v>9</v>
      </c>
      <c r="G87" s="5" t="str">
        <f>IF(Table416[[#This Row],[Response]]="Yes",1,"")</f>
        <v/>
      </c>
      <c r="H87" s="5">
        <f>IF(Table416[[#This Row],[Response]]="No",1,"")</f>
        <v>1</v>
      </c>
      <c r="I87" s="5">
        <f>IF(SUM(Table416[[#This Row],[If Yes]:[If No]])=1,1,"")</f>
        <v>1</v>
      </c>
      <c r="J87" s="5" t="str">
        <f>IF(IF(Table416[[#This Row],[Old or New?]]="New",1,0)+IF(Table416[[#This Row],[If Yes]]=1,1,0)=2,1,"")</f>
        <v/>
      </c>
      <c r="K87" s="5">
        <f>IF(IF(Table416[[#This Row],[Old or New?]]="New",1,0)+IF(Table416[[#This Row],[If No]]=1,1,0)=2,1,"")</f>
        <v>1</v>
      </c>
      <c r="L87" s="5" t="str">
        <f>IF(IF(Table416[[#This Row],[Old or New?]]="Old",1,0)+IF(Table416[[#This Row],[If Yes]]=1,1,0)=2,1,"")</f>
        <v/>
      </c>
      <c r="M87" s="5" t="str">
        <f>IF(IF(Table416[[#This Row],[Old or New?]]="Old",1,0)+IF(Table416[[#This Row],[If No]]=1,1,0)=2,1,"")</f>
        <v/>
      </c>
    </row>
    <row r="88" spans="1:13">
      <c r="A88" s="2" t="s">
        <v>24</v>
      </c>
      <c r="B88" s="2" t="s">
        <v>26</v>
      </c>
      <c r="C88" s="1">
        <v>12</v>
      </c>
      <c r="D88" s="1" t="s">
        <v>16</v>
      </c>
      <c r="E88" s="1">
        <v>11</v>
      </c>
      <c r="F88" s="2"/>
      <c r="G88" s="5" t="str">
        <f>IF(Table416[[#This Row],[Response]]="Yes",1,"")</f>
        <v/>
      </c>
      <c r="H88" s="5" t="str">
        <f>IF(Table416[[#This Row],[Response]]="No",1,"")</f>
        <v/>
      </c>
      <c r="I88" s="5" t="str">
        <f>IF(SUM(Table416[[#This Row],[If Yes]:[If No]])=1,1,"")</f>
        <v/>
      </c>
      <c r="J88" s="5" t="str">
        <f>IF(IF(Table416[[#This Row],[Old or New?]]="New",1,0)+IF(Table416[[#This Row],[If Yes]]=1,1,0)=2,1,"")</f>
        <v/>
      </c>
      <c r="K88" s="5" t="str">
        <f>IF(IF(Table416[[#This Row],[Old or New?]]="New",1,0)+IF(Table416[[#This Row],[If No]]=1,1,0)=2,1,"")</f>
        <v/>
      </c>
      <c r="L88" s="5" t="str">
        <f>IF(IF(Table416[[#This Row],[Old or New?]]="Old",1,0)+IF(Table416[[#This Row],[If Yes]]=1,1,0)=2,1,"")</f>
        <v/>
      </c>
      <c r="M88" s="5" t="str">
        <f>IF(IF(Table416[[#This Row],[Old or New?]]="Old",1,0)+IF(Table416[[#This Row],[If No]]=1,1,0)=2,1,"")</f>
        <v/>
      </c>
    </row>
    <row r="89" spans="1:13">
      <c r="A89" s="2" t="s">
        <v>24</v>
      </c>
      <c r="B89" s="2" t="s">
        <v>26</v>
      </c>
      <c r="C89" s="1">
        <v>13</v>
      </c>
      <c r="D89" s="1" t="s">
        <v>16</v>
      </c>
      <c r="E89" s="1">
        <v>11</v>
      </c>
      <c r="G89" s="5" t="str">
        <f>IF(Table416[[#This Row],[Response]]="Yes",1,"")</f>
        <v/>
      </c>
      <c r="H89" s="5" t="str">
        <f>IF(Table416[[#This Row],[Response]]="No",1,"")</f>
        <v/>
      </c>
      <c r="I89" s="5" t="str">
        <f>IF(SUM(Table416[[#This Row],[If Yes]:[If No]])=1,1,"")</f>
        <v/>
      </c>
      <c r="J89" s="5" t="str">
        <f>IF(IF(Table416[[#This Row],[Old or New?]]="New",1,0)+IF(Table416[[#This Row],[If Yes]]=1,1,0)=2,1,"")</f>
        <v/>
      </c>
      <c r="K89" s="5" t="str">
        <f>IF(IF(Table416[[#This Row],[Old or New?]]="New",1,0)+IF(Table416[[#This Row],[If No]]=1,1,0)=2,1,"")</f>
        <v/>
      </c>
      <c r="L89" s="5" t="str">
        <f>IF(IF(Table416[[#This Row],[Old or New?]]="Old",1,0)+IF(Table416[[#This Row],[If Yes]]=1,1,0)=2,1,"")</f>
        <v/>
      </c>
      <c r="M89" s="5" t="str">
        <f>IF(IF(Table416[[#This Row],[Old or New?]]="Old",1,0)+IF(Table416[[#This Row],[If No]]=1,1,0)=2,1,"")</f>
        <v/>
      </c>
    </row>
    <row r="90" spans="1:13">
      <c r="A90" s="2" t="s">
        <v>24</v>
      </c>
      <c r="B90" s="2" t="s">
        <v>26</v>
      </c>
      <c r="C90" s="1">
        <v>14</v>
      </c>
      <c r="D90" s="1" t="s">
        <v>16</v>
      </c>
      <c r="E90" s="1">
        <v>11</v>
      </c>
      <c r="F90" s="2"/>
      <c r="G90" s="5" t="str">
        <f>IF(Table416[[#This Row],[Response]]="Yes",1,"")</f>
        <v/>
      </c>
      <c r="H90" s="5" t="str">
        <f>IF(Table416[[#This Row],[Response]]="No",1,"")</f>
        <v/>
      </c>
      <c r="I90" s="5" t="str">
        <f>IF(SUM(Table416[[#This Row],[If Yes]:[If No]])=1,1,"")</f>
        <v/>
      </c>
      <c r="J90" s="5" t="str">
        <f>IF(IF(Table416[[#This Row],[Old or New?]]="New",1,0)+IF(Table416[[#This Row],[If Yes]]=1,1,0)=2,1,"")</f>
        <v/>
      </c>
      <c r="K90" s="5" t="str">
        <f>IF(IF(Table416[[#This Row],[Old or New?]]="New",1,0)+IF(Table416[[#This Row],[If No]]=1,1,0)=2,1,"")</f>
        <v/>
      </c>
      <c r="L90" s="5" t="str">
        <f>IF(IF(Table416[[#This Row],[Old or New?]]="Old",1,0)+IF(Table416[[#This Row],[If Yes]]=1,1,0)=2,1,"")</f>
        <v/>
      </c>
      <c r="M90" s="5" t="str">
        <f>IF(IF(Table416[[#This Row],[Old or New?]]="Old",1,0)+IF(Table416[[#This Row],[If No]]=1,1,0)=2,1,"")</f>
        <v/>
      </c>
    </row>
    <row r="91" spans="1:13">
      <c r="A91" s="2" t="s">
        <v>24</v>
      </c>
      <c r="B91" s="2" t="s">
        <v>26</v>
      </c>
      <c r="C91" s="1">
        <v>15</v>
      </c>
      <c r="D91" s="1" t="s">
        <v>16</v>
      </c>
      <c r="E91" s="1">
        <v>11</v>
      </c>
      <c r="F91" s="1" t="s">
        <v>9</v>
      </c>
      <c r="G91" s="5" t="str">
        <f>IF(Table416[[#This Row],[Response]]="Yes",1,"")</f>
        <v/>
      </c>
      <c r="H91" s="5">
        <f>IF(Table416[[#This Row],[Response]]="No",1,"")</f>
        <v>1</v>
      </c>
      <c r="I91" s="5">
        <f>IF(SUM(Table416[[#This Row],[If Yes]:[If No]])=1,1,"")</f>
        <v>1</v>
      </c>
      <c r="J91" s="5" t="str">
        <f>IF(IF(Table416[[#This Row],[Old or New?]]="New",1,0)+IF(Table416[[#This Row],[If Yes]]=1,1,0)=2,1,"")</f>
        <v/>
      </c>
      <c r="K91" s="5">
        <f>IF(IF(Table416[[#This Row],[Old or New?]]="New",1,0)+IF(Table416[[#This Row],[If No]]=1,1,0)=2,1,"")</f>
        <v>1</v>
      </c>
      <c r="L91" s="5" t="str">
        <f>IF(IF(Table416[[#This Row],[Old or New?]]="Old",1,0)+IF(Table416[[#This Row],[If Yes]]=1,1,0)=2,1,"")</f>
        <v/>
      </c>
      <c r="M91" s="5" t="str">
        <f>IF(IF(Table416[[#This Row],[Old or New?]]="Old",1,0)+IF(Table416[[#This Row],[If No]]=1,1,0)=2,1,"")</f>
        <v/>
      </c>
    </row>
    <row r="92" spans="1:13">
      <c r="A92" s="2" t="s">
        <v>24</v>
      </c>
      <c r="B92" s="2" t="s">
        <v>28</v>
      </c>
      <c r="C92" s="1">
        <v>1</v>
      </c>
      <c r="D92" s="1" t="s">
        <v>16</v>
      </c>
      <c r="E92" s="1">
        <v>11</v>
      </c>
      <c r="F92" s="2" t="s">
        <v>9</v>
      </c>
      <c r="G92" s="5" t="str">
        <f>IF(Table416[[#This Row],[Response]]="Yes",1,"")</f>
        <v/>
      </c>
      <c r="H92" s="5">
        <f>IF(Table416[[#This Row],[Response]]="No",1,"")</f>
        <v>1</v>
      </c>
      <c r="I92" s="5">
        <f>IF(SUM(Table416[[#This Row],[If Yes]:[If No]])=1,1,"")</f>
        <v>1</v>
      </c>
      <c r="J92" s="5" t="str">
        <f>IF(IF(Table416[[#This Row],[Old or New?]]="New",1,0)+IF(Table416[[#This Row],[If Yes]]=1,1,0)=2,1,"")</f>
        <v/>
      </c>
      <c r="K92" s="5">
        <f>IF(IF(Table416[[#This Row],[Old or New?]]="New",1,0)+IF(Table416[[#This Row],[If No]]=1,1,0)=2,1,"")</f>
        <v>1</v>
      </c>
      <c r="L92" s="5" t="str">
        <f>IF(IF(Table416[[#This Row],[Old or New?]]="Old",1,0)+IF(Table416[[#This Row],[If Yes]]=1,1,0)=2,1,"")</f>
        <v/>
      </c>
      <c r="M92" s="5" t="str">
        <f>IF(IF(Table416[[#This Row],[Old or New?]]="Old",1,0)+IF(Table416[[#This Row],[If No]]=1,1,0)=2,1,"")</f>
        <v/>
      </c>
    </row>
    <row r="93" spans="1:13">
      <c r="A93" s="2" t="s">
        <v>24</v>
      </c>
      <c r="B93" s="2" t="s">
        <v>28</v>
      </c>
      <c r="C93" s="1">
        <v>2</v>
      </c>
      <c r="D93" s="1" t="s">
        <v>16</v>
      </c>
      <c r="E93" s="1">
        <v>11</v>
      </c>
      <c r="F93" s="2" t="s">
        <v>8</v>
      </c>
      <c r="G93" s="5">
        <f>IF(Table416[[#This Row],[Response]]="Yes",1,"")</f>
        <v>1</v>
      </c>
      <c r="H93" s="5" t="str">
        <f>IF(Table416[[#This Row],[Response]]="No",1,"")</f>
        <v/>
      </c>
      <c r="I93" s="5">
        <f>IF(SUM(Table416[[#This Row],[If Yes]:[If No]])=1,1,"")</f>
        <v>1</v>
      </c>
      <c r="J93" s="5">
        <f>IF(IF(Table416[[#This Row],[Old or New?]]="New",1,0)+IF(Table416[[#This Row],[If Yes]]=1,1,0)=2,1,"")</f>
        <v>1</v>
      </c>
      <c r="K93" s="5" t="str">
        <f>IF(IF(Table416[[#This Row],[Old or New?]]="New",1,0)+IF(Table416[[#This Row],[If No]]=1,1,0)=2,1,"")</f>
        <v/>
      </c>
      <c r="L93" s="5" t="str">
        <f>IF(IF(Table416[[#This Row],[Old or New?]]="Old",1,0)+IF(Table416[[#This Row],[If Yes]]=1,1,0)=2,1,"")</f>
        <v/>
      </c>
      <c r="M93" s="5" t="str">
        <f>IF(IF(Table416[[#This Row],[Old or New?]]="Old",1,0)+IF(Table416[[#This Row],[If No]]=1,1,0)=2,1,"")</f>
        <v/>
      </c>
    </row>
    <row r="94" spans="1:13">
      <c r="A94" s="2" t="s">
        <v>24</v>
      </c>
      <c r="B94" s="2" t="s">
        <v>28</v>
      </c>
      <c r="C94" s="1">
        <v>3</v>
      </c>
      <c r="D94" s="1" t="s">
        <v>16</v>
      </c>
      <c r="E94" s="1">
        <v>11</v>
      </c>
      <c r="F94" s="2"/>
      <c r="G94" s="5" t="str">
        <f>IF(Table416[[#This Row],[Response]]="Yes",1,"")</f>
        <v/>
      </c>
      <c r="H94" s="5" t="str">
        <f>IF(Table416[[#This Row],[Response]]="No",1,"")</f>
        <v/>
      </c>
      <c r="I94" s="5" t="str">
        <f>IF(SUM(Table416[[#This Row],[If Yes]:[If No]])=1,1,"")</f>
        <v/>
      </c>
      <c r="J94" s="5" t="str">
        <f>IF(IF(Table416[[#This Row],[Old or New?]]="New",1,0)+IF(Table416[[#This Row],[If Yes]]=1,1,0)=2,1,"")</f>
        <v/>
      </c>
      <c r="K94" s="5" t="str">
        <f>IF(IF(Table416[[#This Row],[Old or New?]]="New",1,0)+IF(Table416[[#This Row],[If No]]=1,1,0)=2,1,"")</f>
        <v/>
      </c>
      <c r="L94" s="5" t="str">
        <f>IF(IF(Table416[[#This Row],[Old or New?]]="Old",1,0)+IF(Table416[[#This Row],[If Yes]]=1,1,0)=2,1,"")</f>
        <v/>
      </c>
      <c r="M94" s="5" t="str">
        <f>IF(IF(Table416[[#This Row],[Old or New?]]="Old",1,0)+IF(Table416[[#This Row],[If No]]=1,1,0)=2,1,"")</f>
        <v/>
      </c>
    </row>
    <row r="95" spans="1:13">
      <c r="A95" s="2" t="s">
        <v>24</v>
      </c>
      <c r="B95" s="2" t="s">
        <v>28</v>
      </c>
      <c r="C95" s="1">
        <v>4</v>
      </c>
      <c r="D95" s="1" t="s">
        <v>16</v>
      </c>
      <c r="E95" s="1">
        <v>11</v>
      </c>
      <c r="F95" s="2" t="s">
        <v>9</v>
      </c>
      <c r="G95" s="5" t="str">
        <f>IF(Table416[[#This Row],[Response]]="Yes",1,"")</f>
        <v/>
      </c>
      <c r="H95" s="5">
        <f>IF(Table416[[#This Row],[Response]]="No",1,"")</f>
        <v>1</v>
      </c>
      <c r="I95" s="5">
        <f>IF(SUM(Table416[[#This Row],[If Yes]:[If No]])=1,1,"")</f>
        <v>1</v>
      </c>
      <c r="J95" s="5" t="str">
        <f>IF(IF(Table416[[#This Row],[Old or New?]]="New",1,0)+IF(Table416[[#This Row],[If Yes]]=1,1,0)=2,1,"")</f>
        <v/>
      </c>
      <c r="K95" s="5">
        <f>IF(IF(Table416[[#This Row],[Old or New?]]="New",1,0)+IF(Table416[[#This Row],[If No]]=1,1,0)=2,1,"")</f>
        <v>1</v>
      </c>
      <c r="L95" s="5" t="str">
        <f>IF(IF(Table416[[#This Row],[Old or New?]]="Old",1,0)+IF(Table416[[#This Row],[If Yes]]=1,1,0)=2,1,"")</f>
        <v/>
      </c>
      <c r="M95" s="5" t="str">
        <f>IF(IF(Table416[[#This Row],[Old or New?]]="Old",1,0)+IF(Table416[[#This Row],[If No]]=1,1,0)=2,1,"")</f>
        <v/>
      </c>
    </row>
    <row r="96" spans="1:13">
      <c r="A96" s="2" t="s">
        <v>24</v>
      </c>
      <c r="B96" s="2" t="s">
        <v>28</v>
      </c>
      <c r="C96" s="1">
        <v>5</v>
      </c>
      <c r="D96" s="1" t="s">
        <v>16</v>
      </c>
      <c r="E96" s="1">
        <v>11</v>
      </c>
      <c r="F96" s="2" t="s">
        <v>8</v>
      </c>
      <c r="G96" s="5">
        <f>IF(Table416[[#This Row],[Response]]="Yes",1,"")</f>
        <v>1</v>
      </c>
      <c r="H96" s="5" t="str">
        <f>IF(Table416[[#This Row],[Response]]="No",1,"")</f>
        <v/>
      </c>
      <c r="I96" s="5">
        <f>IF(SUM(Table416[[#This Row],[If Yes]:[If No]])=1,1,"")</f>
        <v>1</v>
      </c>
      <c r="J96" s="5">
        <f>IF(IF(Table416[[#This Row],[Old or New?]]="New",1,0)+IF(Table416[[#This Row],[If Yes]]=1,1,0)=2,1,"")</f>
        <v>1</v>
      </c>
      <c r="K96" s="5" t="str">
        <f>IF(IF(Table416[[#This Row],[Old or New?]]="New",1,0)+IF(Table416[[#This Row],[If No]]=1,1,0)=2,1,"")</f>
        <v/>
      </c>
      <c r="L96" s="5" t="str">
        <f>IF(IF(Table416[[#This Row],[Old or New?]]="Old",1,0)+IF(Table416[[#This Row],[If Yes]]=1,1,0)=2,1,"")</f>
        <v/>
      </c>
      <c r="M96" s="5" t="str">
        <f>IF(IF(Table416[[#This Row],[Old or New?]]="Old",1,0)+IF(Table416[[#This Row],[If No]]=1,1,0)=2,1,"")</f>
        <v/>
      </c>
    </row>
    <row r="97" spans="1:13">
      <c r="A97" s="2" t="s">
        <v>24</v>
      </c>
      <c r="B97" s="2" t="s">
        <v>28</v>
      </c>
      <c r="C97" s="1">
        <v>6</v>
      </c>
      <c r="D97" s="1" t="s">
        <v>16</v>
      </c>
      <c r="E97" s="1">
        <v>11</v>
      </c>
      <c r="F97" s="2" t="s">
        <v>9</v>
      </c>
      <c r="G97" s="5" t="str">
        <f>IF(Table416[[#This Row],[Response]]="Yes",1,"")</f>
        <v/>
      </c>
      <c r="H97" s="5">
        <f>IF(Table416[[#This Row],[Response]]="No",1,"")</f>
        <v>1</v>
      </c>
      <c r="I97" s="5">
        <f>IF(SUM(Table416[[#This Row],[If Yes]:[If No]])=1,1,"")</f>
        <v>1</v>
      </c>
      <c r="J97" s="5" t="str">
        <f>IF(IF(Table416[[#This Row],[Old or New?]]="New",1,0)+IF(Table416[[#This Row],[If Yes]]=1,1,0)=2,1,"")</f>
        <v/>
      </c>
      <c r="K97" s="5">
        <f>IF(IF(Table416[[#This Row],[Old or New?]]="New",1,0)+IF(Table416[[#This Row],[If No]]=1,1,0)=2,1,"")</f>
        <v>1</v>
      </c>
      <c r="L97" s="5" t="str">
        <f>IF(IF(Table416[[#This Row],[Old or New?]]="Old",1,0)+IF(Table416[[#This Row],[If Yes]]=1,1,0)=2,1,"")</f>
        <v/>
      </c>
      <c r="M97" s="5" t="str">
        <f>IF(IF(Table416[[#This Row],[Old or New?]]="Old",1,0)+IF(Table416[[#This Row],[If No]]=1,1,0)=2,1,"")</f>
        <v/>
      </c>
    </row>
    <row r="98" spans="1:13">
      <c r="A98" s="2" t="s">
        <v>24</v>
      </c>
      <c r="B98" s="2" t="s">
        <v>28</v>
      </c>
      <c r="C98" s="1">
        <v>7</v>
      </c>
      <c r="D98" s="1" t="s">
        <v>16</v>
      </c>
      <c r="E98" s="1">
        <v>11</v>
      </c>
      <c r="F98" s="2" t="s">
        <v>9</v>
      </c>
      <c r="G98" s="5" t="str">
        <f>IF(Table416[[#This Row],[Response]]="Yes",1,"")</f>
        <v/>
      </c>
      <c r="H98" s="5">
        <f>IF(Table416[[#This Row],[Response]]="No",1,"")</f>
        <v>1</v>
      </c>
      <c r="I98" s="5">
        <f>IF(SUM(Table416[[#This Row],[If Yes]:[If No]])=1,1,"")</f>
        <v>1</v>
      </c>
      <c r="J98" s="5" t="str">
        <f>IF(IF(Table416[[#This Row],[Old or New?]]="New",1,0)+IF(Table416[[#This Row],[If Yes]]=1,1,0)=2,1,"")</f>
        <v/>
      </c>
      <c r="K98" s="5">
        <f>IF(IF(Table416[[#This Row],[Old or New?]]="New",1,0)+IF(Table416[[#This Row],[If No]]=1,1,0)=2,1,"")</f>
        <v>1</v>
      </c>
      <c r="L98" s="5" t="str">
        <f>IF(IF(Table416[[#This Row],[Old or New?]]="Old",1,0)+IF(Table416[[#This Row],[If Yes]]=1,1,0)=2,1,"")</f>
        <v/>
      </c>
      <c r="M98" s="5" t="str">
        <f>IF(IF(Table416[[#This Row],[Old or New?]]="Old",1,0)+IF(Table416[[#This Row],[If No]]=1,1,0)=2,1,"")</f>
        <v/>
      </c>
    </row>
    <row r="99" spans="1:13">
      <c r="A99" s="2" t="s">
        <v>24</v>
      </c>
      <c r="B99" s="2" t="s">
        <v>28</v>
      </c>
      <c r="C99" s="1">
        <v>8</v>
      </c>
      <c r="D99" s="1" t="s">
        <v>16</v>
      </c>
      <c r="E99" s="2">
        <v>11</v>
      </c>
      <c r="F99" s="1" t="s">
        <v>9</v>
      </c>
      <c r="G99" s="5" t="str">
        <f>IF(Table416[[#This Row],[Response]]="Yes",1,"")</f>
        <v/>
      </c>
      <c r="H99" s="5">
        <f>IF(Table416[[#This Row],[Response]]="No",1,"")</f>
        <v>1</v>
      </c>
      <c r="I99" s="5">
        <f>IF(SUM(Table416[[#This Row],[If Yes]:[If No]])=1,1,"")</f>
        <v>1</v>
      </c>
      <c r="J99" s="5" t="str">
        <f>IF(IF(Table416[[#This Row],[Old or New?]]="New",1,0)+IF(Table416[[#This Row],[If Yes]]=1,1,0)=2,1,"")</f>
        <v/>
      </c>
      <c r="K99" s="5">
        <f>IF(IF(Table416[[#This Row],[Old or New?]]="New",1,0)+IF(Table416[[#This Row],[If No]]=1,1,0)=2,1,"")</f>
        <v>1</v>
      </c>
      <c r="L99" s="5" t="str">
        <f>IF(IF(Table416[[#This Row],[Old or New?]]="Old",1,0)+IF(Table416[[#This Row],[If Yes]]=1,1,0)=2,1,"")</f>
        <v/>
      </c>
      <c r="M99" s="5" t="str">
        <f>IF(IF(Table416[[#This Row],[Old or New?]]="Old",1,0)+IF(Table416[[#This Row],[If No]]=1,1,0)=2,1,"")</f>
        <v/>
      </c>
    </row>
    <row r="100" spans="1:13">
      <c r="A100" s="2" t="s">
        <v>24</v>
      </c>
      <c r="B100" s="2" t="s">
        <v>28</v>
      </c>
      <c r="C100" s="1">
        <v>9</v>
      </c>
      <c r="D100" s="1" t="s">
        <v>16</v>
      </c>
      <c r="E100" s="1">
        <v>11</v>
      </c>
      <c r="G100" s="5" t="str">
        <f>IF(Table416[[#This Row],[Response]]="Yes",1,"")</f>
        <v/>
      </c>
      <c r="H100" s="5" t="str">
        <f>IF(Table416[[#This Row],[Response]]="No",1,"")</f>
        <v/>
      </c>
      <c r="I100" s="5" t="str">
        <f>IF(SUM(Table416[[#This Row],[If Yes]:[If No]])=1,1,"")</f>
        <v/>
      </c>
      <c r="J100" s="5" t="str">
        <f>IF(IF(Table416[[#This Row],[Old or New?]]="New",1,0)+IF(Table416[[#This Row],[If Yes]]=1,1,0)=2,1,"")</f>
        <v/>
      </c>
      <c r="K100" s="5" t="str">
        <f>IF(IF(Table416[[#This Row],[Old or New?]]="New",1,0)+IF(Table416[[#This Row],[If No]]=1,1,0)=2,1,"")</f>
        <v/>
      </c>
      <c r="L100" s="5" t="str">
        <f>IF(IF(Table416[[#This Row],[Old or New?]]="Old",1,0)+IF(Table416[[#This Row],[If Yes]]=1,1,0)=2,1,"")</f>
        <v/>
      </c>
      <c r="M100" s="5" t="str">
        <f>IF(IF(Table416[[#This Row],[Old or New?]]="Old",1,0)+IF(Table416[[#This Row],[If No]]=1,1,0)=2,1,"")</f>
        <v/>
      </c>
    </row>
    <row r="101" spans="1:13">
      <c r="A101" s="2" t="s">
        <v>24</v>
      </c>
      <c r="B101" s="2" t="s">
        <v>28</v>
      </c>
      <c r="C101" s="1">
        <v>10</v>
      </c>
      <c r="D101" s="1" t="s">
        <v>16</v>
      </c>
      <c r="E101" s="1">
        <v>11</v>
      </c>
      <c r="F101" s="1" t="s">
        <v>9</v>
      </c>
      <c r="G101" s="5" t="str">
        <f>IF(Table416[[#This Row],[Response]]="Yes",1,"")</f>
        <v/>
      </c>
      <c r="H101" s="5">
        <f>IF(Table416[[#This Row],[Response]]="No",1,"")</f>
        <v>1</v>
      </c>
      <c r="I101" s="5">
        <f>IF(SUM(Table416[[#This Row],[If Yes]:[If No]])=1,1,"")</f>
        <v>1</v>
      </c>
      <c r="J101" s="5" t="str">
        <f>IF(IF(Table416[[#This Row],[Old or New?]]="New",1,0)+IF(Table416[[#This Row],[If Yes]]=1,1,0)=2,1,"")</f>
        <v/>
      </c>
      <c r="K101" s="5">
        <f>IF(IF(Table416[[#This Row],[Old or New?]]="New",1,0)+IF(Table416[[#This Row],[If No]]=1,1,0)=2,1,"")</f>
        <v>1</v>
      </c>
      <c r="L101" s="5" t="str">
        <f>IF(IF(Table416[[#This Row],[Old or New?]]="Old",1,0)+IF(Table416[[#This Row],[If Yes]]=1,1,0)=2,1,"")</f>
        <v/>
      </c>
      <c r="M101" s="5" t="str">
        <f>IF(IF(Table416[[#This Row],[Old or New?]]="Old",1,0)+IF(Table416[[#This Row],[If No]]=1,1,0)=2,1,"")</f>
        <v/>
      </c>
    </row>
    <row r="102" spans="1:13">
      <c r="A102" s="2" t="s">
        <v>24</v>
      </c>
      <c r="B102" s="2" t="s">
        <v>28</v>
      </c>
      <c r="C102" s="1">
        <v>11</v>
      </c>
      <c r="D102" s="1" t="s">
        <v>16</v>
      </c>
      <c r="E102" s="1">
        <v>11</v>
      </c>
      <c r="F102" s="1" t="s">
        <v>9</v>
      </c>
      <c r="G102" s="5" t="str">
        <f>IF(Table416[[#This Row],[Response]]="Yes",1,"")</f>
        <v/>
      </c>
      <c r="H102" s="5">
        <f>IF(Table416[[#This Row],[Response]]="No",1,"")</f>
        <v>1</v>
      </c>
      <c r="I102" s="5">
        <f>IF(SUM(Table416[[#This Row],[If Yes]:[If No]])=1,1,"")</f>
        <v>1</v>
      </c>
      <c r="J102" s="5" t="str">
        <f>IF(IF(Table416[[#This Row],[Old or New?]]="New",1,0)+IF(Table416[[#This Row],[If Yes]]=1,1,0)=2,1,"")</f>
        <v/>
      </c>
      <c r="K102" s="5">
        <f>IF(IF(Table416[[#This Row],[Old or New?]]="New",1,0)+IF(Table416[[#This Row],[If No]]=1,1,0)=2,1,"")</f>
        <v>1</v>
      </c>
      <c r="L102" s="5" t="str">
        <f>IF(IF(Table416[[#This Row],[Old or New?]]="Old",1,0)+IF(Table416[[#This Row],[If Yes]]=1,1,0)=2,1,"")</f>
        <v/>
      </c>
      <c r="M102" s="5" t="str">
        <f>IF(IF(Table416[[#This Row],[Old or New?]]="Old",1,0)+IF(Table416[[#This Row],[If No]]=1,1,0)=2,1,"")</f>
        <v/>
      </c>
    </row>
    <row r="103" spans="1:13">
      <c r="A103" s="2" t="s">
        <v>24</v>
      </c>
      <c r="B103" s="2" t="s">
        <v>28</v>
      </c>
      <c r="C103" s="1">
        <v>12</v>
      </c>
      <c r="D103" s="1" t="s">
        <v>16</v>
      </c>
      <c r="E103" s="1">
        <v>11</v>
      </c>
      <c r="F103" s="1" t="s">
        <v>8</v>
      </c>
      <c r="G103" s="5">
        <f>IF(Table416[[#This Row],[Response]]="Yes",1,"")</f>
        <v>1</v>
      </c>
      <c r="H103" s="5" t="str">
        <f>IF(Table416[[#This Row],[Response]]="No",1,"")</f>
        <v/>
      </c>
      <c r="I103" s="5">
        <f>IF(SUM(Table416[[#This Row],[If Yes]:[If No]])=1,1,"")</f>
        <v>1</v>
      </c>
      <c r="J103" s="5">
        <f>IF(IF(Table416[[#This Row],[Old or New?]]="New",1,0)+IF(Table416[[#This Row],[If Yes]]=1,1,0)=2,1,"")</f>
        <v>1</v>
      </c>
      <c r="K103" s="5" t="str">
        <f>IF(IF(Table416[[#This Row],[Old or New?]]="New",1,0)+IF(Table416[[#This Row],[If No]]=1,1,0)=2,1,"")</f>
        <v/>
      </c>
      <c r="L103" s="5" t="str">
        <f>IF(IF(Table416[[#This Row],[Old or New?]]="Old",1,0)+IF(Table416[[#This Row],[If Yes]]=1,1,0)=2,1,"")</f>
        <v/>
      </c>
      <c r="M103" s="5" t="str">
        <f>IF(IF(Table416[[#This Row],[Old or New?]]="Old",1,0)+IF(Table416[[#This Row],[If No]]=1,1,0)=2,1,"")</f>
        <v/>
      </c>
    </row>
    <row r="104" spans="1:13">
      <c r="A104" s="2" t="s">
        <v>24</v>
      </c>
      <c r="B104" s="2" t="s">
        <v>28</v>
      </c>
      <c r="C104" s="1">
        <v>13</v>
      </c>
      <c r="D104" s="1" t="s">
        <v>16</v>
      </c>
      <c r="E104" s="1">
        <v>11</v>
      </c>
      <c r="G104" s="5" t="str">
        <f>IF(Table416[[#This Row],[Response]]="Yes",1,"")</f>
        <v/>
      </c>
      <c r="H104" s="5" t="str">
        <f>IF(Table416[[#This Row],[Response]]="No",1,"")</f>
        <v/>
      </c>
      <c r="I104" s="5" t="str">
        <f>IF(SUM(Table416[[#This Row],[If Yes]:[If No]])=1,1,"")</f>
        <v/>
      </c>
      <c r="J104" s="5" t="str">
        <f>IF(IF(Table416[[#This Row],[Old or New?]]="New",1,0)+IF(Table416[[#This Row],[If Yes]]=1,1,0)=2,1,"")</f>
        <v/>
      </c>
      <c r="K104" s="5" t="str">
        <f>IF(IF(Table416[[#This Row],[Old or New?]]="New",1,0)+IF(Table416[[#This Row],[If No]]=1,1,0)=2,1,"")</f>
        <v/>
      </c>
      <c r="L104" s="5" t="str">
        <f>IF(IF(Table416[[#This Row],[Old or New?]]="Old",1,0)+IF(Table416[[#This Row],[If Yes]]=1,1,0)=2,1,"")</f>
        <v/>
      </c>
      <c r="M104" s="5" t="str">
        <f>IF(IF(Table416[[#This Row],[Old or New?]]="Old",1,0)+IF(Table416[[#This Row],[If No]]=1,1,0)=2,1,"")</f>
        <v/>
      </c>
    </row>
    <row r="105" spans="1:13">
      <c r="A105" s="2"/>
      <c r="B105" s="2"/>
      <c r="C105" s="2"/>
      <c r="D105" s="2"/>
      <c r="E105" s="2"/>
      <c r="F105" s="2"/>
      <c r="G105" s="6">
        <f>SUM([If Yes])</f>
        <v>9</v>
      </c>
      <c r="H105" s="6">
        <f>SUM([If No])</f>
        <v>80</v>
      </c>
      <c r="I105" s="2">
        <f>SUM([Answered?])</f>
        <v>89</v>
      </c>
      <c r="J105" s="2">
        <f>SUM([New Yes])</f>
        <v>4</v>
      </c>
      <c r="K105" s="2">
        <f>SUM([New No])</f>
        <v>45</v>
      </c>
      <c r="L105" s="2">
        <f>SUM([Old Yes])</f>
        <v>5</v>
      </c>
      <c r="M105" s="2">
        <f>SUM([Old No])</f>
        <v>35</v>
      </c>
    </row>
    <row r="106" spans="1:13">
      <c r="A106" s="2"/>
      <c r="B106" s="2"/>
      <c r="C106" s="2"/>
      <c r="D106" s="2"/>
      <c r="E106" s="2"/>
      <c r="F106" s="2"/>
      <c r="G106" s="6"/>
      <c r="H106" s="6"/>
      <c r="I106" s="2"/>
      <c r="J106" s="2"/>
      <c r="K106" s="2"/>
      <c r="L106" s="2"/>
      <c r="M106" s="2"/>
    </row>
    <row r="107" spans="1:13">
      <c r="A107" s="1" t="s">
        <v>4</v>
      </c>
      <c r="B107" s="1" t="s">
        <v>36</v>
      </c>
      <c r="C107" s="1" t="s">
        <v>37</v>
      </c>
      <c r="D107" s="1" t="s">
        <v>8</v>
      </c>
      <c r="E107" s="1" t="s">
        <v>9</v>
      </c>
      <c r="F107" s="1" t="s">
        <v>42</v>
      </c>
      <c r="G107" s="1" t="s">
        <v>43</v>
      </c>
    </row>
    <row r="108" spans="1:13">
      <c r="A108" s="1" t="s">
        <v>24</v>
      </c>
      <c r="B108" s="1">
        <f>COUNTIF(Table416[Old or New?],"New")</f>
        <v>62</v>
      </c>
      <c r="C108" s="1">
        <f>SUM(Table416[[#Totals],[New Yes]:[New No]])</f>
        <v>49</v>
      </c>
      <c r="D108" s="1">
        <f>Table416[[#Totals],[New Yes]]</f>
        <v>4</v>
      </c>
      <c r="E108" s="1">
        <f>Table416[[#Totals],[New No]]</f>
        <v>45</v>
      </c>
      <c r="F108" s="1">
        <f>D108/C108*100</f>
        <v>8.1632653061224492</v>
      </c>
      <c r="G108" s="1">
        <f>E108/C108*100</f>
        <v>91.83673469387756</v>
      </c>
    </row>
    <row r="109" spans="1:13">
      <c r="A109" s="1" t="s">
        <v>12</v>
      </c>
      <c r="B109" s="1">
        <f>COUNTIF(Table416[Old or New?],"Old")</f>
        <v>41</v>
      </c>
      <c r="C109" s="1">
        <f>SUM(Table416[[#Totals],[Old Yes]:[Old No]])</f>
        <v>40</v>
      </c>
      <c r="D109" s="1">
        <f>Table416[[#Totals],[Old Yes]]</f>
        <v>5</v>
      </c>
      <c r="E109" s="1">
        <f>Table416[[#Totals],[Old No]]</f>
        <v>35</v>
      </c>
      <c r="F109" s="1">
        <f>D109/C109*100</f>
        <v>12.5</v>
      </c>
      <c r="G109" s="1">
        <f>E109/C109*100</f>
        <v>87.5</v>
      </c>
    </row>
    <row r="111" spans="1:13">
      <c r="A111" s="28" t="s">
        <v>60</v>
      </c>
      <c r="B111" s="28"/>
      <c r="C111" s="28"/>
      <c r="D111" s="28"/>
      <c r="E111" s="28"/>
      <c r="F111" s="28"/>
      <c r="G111" s="28"/>
      <c r="H111" s="12"/>
      <c r="I111" s="12"/>
      <c r="J111" s="12"/>
    </row>
    <row r="112" spans="1:13">
      <c r="A112" s="28" t="s">
        <v>61</v>
      </c>
      <c r="B112" s="28"/>
      <c r="C112" s="28"/>
      <c r="D112" s="28"/>
      <c r="E112" s="28"/>
      <c r="F112" s="28"/>
      <c r="G112" s="28"/>
      <c r="H112" s="12"/>
      <c r="I112" s="12"/>
      <c r="J112" s="12"/>
    </row>
    <row r="114" spans="1:7">
      <c r="A114" s="28" t="s">
        <v>62</v>
      </c>
      <c r="B114" s="28"/>
      <c r="C114" s="28"/>
      <c r="D114" s="28"/>
      <c r="E114" s="28"/>
      <c r="F114" s="28"/>
      <c r="G114" s="28"/>
    </row>
    <row r="115" spans="1:7">
      <c r="A115" s="28" t="s">
        <v>63</v>
      </c>
      <c r="B115" s="28"/>
      <c r="C115" s="28"/>
      <c r="D115" s="28"/>
      <c r="E115" s="28"/>
      <c r="F115" s="28"/>
      <c r="G115" s="28"/>
    </row>
  </sheetData>
  <mergeCells count="4">
    <mergeCell ref="A111:G111"/>
    <mergeCell ref="A112:G112"/>
    <mergeCell ref="A114:G114"/>
    <mergeCell ref="A115:G115"/>
  </mergeCells>
  <conditionalFormatting sqref="F2:F104">
    <cfRule type="cellIs" dxfId="1416" priority="3" operator="equal">
      <formula>"No"</formula>
    </cfRule>
    <cfRule type="cellIs" dxfId="1415" priority="4" operator="equal">
      <formula>"Yes"</formula>
    </cfRule>
  </conditionalFormatting>
  <pageMargins left="0.7" right="0.7" top="0.75" bottom="0.75" header="0.3" footer="0.3"/>
  <pageSetup scale="40" orientation="portrait" horizontalDpi="300" verticalDpi="300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O119"/>
  <sheetViews>
    <sheetView zoomScaleNormal="100" workbookViewId="0">
      <pane ySplit="1" topLeftCell="A2" activePane="bottomLeft" state="frozen"/>
      <selection activeCell="E37" sqref="E37"/>
      <selection pane="bottomLeft" activeCell="E37" sqref="E37"/>
    </sheetView>
  </sheetViews>
  <sheetFormatPr defaultColWidth="16.7109375" defaultRowHeight="15"/>
  <cols>
    <col min="1" max="16384" width="16.7109375" style="1"/>
  </cols>
  <sheetData>
    <row r="1" spans="1:15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20</v>
      </c>
      <c r="H1" s="1" t="s">
        <v>64</v>
      </c>
      <c r="I1" s="1" t="s">
        <v>65</v>
      </c>
      <c r="J1" s="1" t="s">
        <v>66</v>
      </c>
      <c r="K1" s="1" t="s">
        <v>67</v>
      </c>
      <c r="L1" s="1" t="s">
        <v>88</v>
      </c>
      <c r="M1" s="1" t="s">
        <v>89</v>
      </c>
      <c r="N1" s="1" t="s">
        <v>72</v>
      </c>
      <c r="O1" s="1" t="s">
        <v>83</v>
      </c>
    </row>
    <row r="2" spans="1:15">
      <c r="A2" s="2" t="s">
        <v>12</v>
      </c>
      <c r="B2" s="2" t="s">
        <v>5</v>
      </c>
      <c r="C2" s="1">
        <v>1</v>
      </c>
      <c r="D2" s="2" t="s">
        <v>16</v>
      </c>
      <c r="E2" s="1">
        <v>2</v>
      </c>
      <c r="F2" s="2">
        <v>3</v>
      </c>
      <c r="G2" s="2" t="s">
        <v>9</v>
      </c>
      <c r="H2" s="5" t="str">
        <f>IF(IF(Table44[[#This Row],[Pre or Post]]="Pre",1,0)+IF(ISNUMBER(Table44[[#This Row],[Response]])=TRUE,1,0)=2,1,"")</f>
        <v/>
      </c>
      <c r="I2" s="5">
        <f>IF(IF(Table44[[#This Row],[Pre or Post]]="Post",1,0)+IF(ISNUMBER(Table44[[#This Row],[Response]])=TRUE,1,0)=2,1,"")</f>
        <v>1</v>
      </c>
      <c r="J2" s="5" t="str">
        <f>IF(IF(Table44[[#This Row],[Pre or Post]]="Pre",1,0)+IF(ISNUMBER(Table44[[#This Row],[Response]])=TRUE,1,0)=2,Table44[[#This Row],[Response]],"")</f>
        <v/>
      </c>
      <c r="K2" s="5">
        <f>IF(IF(Table44[[#This Row],[Pre or Post]]="Post",1,0)+IF(ISNUMBER(Table44[[#This Row],[Response]])=TRUE,1,0)=2,Table44[[#This Row],[Response]],"")</f>
        <v>3</v>
      </c>
      <c r="L2" s="5" t="str">
        <f>IF(IF(ISNUMBER(J2),1,0)+IF(ISNUMBER(K3),1,0)=2,IF(IF(C3=C2,1,0)+IF(B3=B2,1,0)+IF(D3="Post",1,0)+IF(D2="Pre",1,0)=4,Table44[[#This Row],[Pre Total]],""),"")</f>
        <v/>
      </c>
      <c r="M2" s="5" t="str">
        <f>IF(IF(ISNUMBER(J1),1,0)+IF(ISNUMBER(Table44[[#This Row],[Post Total]]),1,0)=2,IF(IF(Table44[[#This Row],[Student Number]]=C1,1,0)+IF(Table44[[#This Row],[Session]]=B1,1,0)+IF(Table44[[#This Row],[Pre or Post]]="Post",1,0)+IF(D1="Pre",1,0)=4,Table44[[#This Row],[Post Total]],""),"")</f>
        <v/>
      </c>
      <c r="N2" s="6" t="str">
        <f>IF(IF(ISNUMBER(J1),1,0)+IF(ISNUMBER(Table44[[#This Row],[Post Total]]),1,0)=2,IF(IF(Table44[[#This Row],[Student Number]]=C1,1,0)+IF(Table44[[#This Row],[Session]]=B1,1,0)+IF(Table44[[#This Row],[Pre or Post]]="Post",1,0)+IF(D1="Pre",1,0)=4,Table44[[#This Row],[Post Total]]-J1,""),"")</f>
        <v/>
      </c>
      <c r="O2" s="6" t="b">
        <f>ISNUMBER(Table44[[#This Row],[Change]])</f>
        <v>0</v>
      </c>
    </row>
    <row r="3" spans="1:15">
      <c r="A3" s="2" t="s">
        <v>12</v>
      </c>
      <c r="B3" s="2" t="s">
        <v>5</v>
      </c>
      <c r="C3" s="1">
        <v>2</v>
      </c>
      <c r="D3" s="2" t="s">
        <v>16</v>
      </c>
      <c r="E3" s="1">
        <v>2</v>
      </c>
      <c r="F3" s="1">
        <v>3</v>
      </c>
      <c r="G3" s="2" t="s">
        <v>9</v>
      </c>
      <c r="H3" s="5" t="str">
        <f>IF(IF(Table44[[#This Row],[Pre or Post]]="Pre",1,0)+IF(ISNUMBER(Table44[[#This Row],[Response]])=TRUE,1,0)=2,1,"")</f>
        <v/>
      </c>
      <c r="I3" s="5">
        <f>IF(IF(Table44[[#This Row],[Pre or Post]]="Post",1,0)+IF(ISNUMBER(Table44[[#This Row],[Response]])=TRUE,1,0)=2,1,"")</f>
        <v>1</v>
      </c>
      <c r="J3" s="5" t="str">
        <f>IF(IF(Table44[[#This Row],[Pre or Post]]="Pre",1,0)+IF(ISNUMBER(Table44[[#This Row],[Response]])=TRUE,1,0)=2,Table44[[#This Row],[Response]],"")</f>
        <v/>
      </c>
      <c r="K3" s="5">
        <f>IF(IF(Table44[[#This Row],[Pre or Post]]="Post",1,0)+IF(ISNUMBER(Table44[[#This Row],[Response]])=TRUE,1,0)=2,Table44[[#This Row],[Response]],"")</f>
        <v>3</v>
      </c>
      <c r="L3" s="5" t="str">
        <f>IF(IF(ISNUMBER(J3),1,0)+IF(ISNUMBER(K4),1,0)=2,IF(IF(C4=C3,1,0)+IF(B4=B3,1,0)+IF(D4="Post",1,0)+IF(D3="Pre",1,0)=4,Table44[[#This Row],[Pre Total]],""),"")</f>
        <v/>
      </c>
      <c r="M3" s="5" t="str">
        <f>IF(IF(ISNUMBER(J2),1,0)+IF(ISNUMBER(Table44[[#This Row],[Post Total]]),1,0)=2,IF(IF(Table44[[#This Row],[Student Number]]=C2,1,0)+IF(Table44[[#This Row],[Session]]=B2,1,0)+IF(Table44[[#This Row],[Pre or Post]]="Post",1,0)+IF(D2="Pre",1,0)=4,Table44[[#This Row],[Post Total]],""),"")</f>
        <v/>
      </c>
      <c r="N3" s="5" t="str">
        <f>IF(IF(ISNUMBER(J2),1,0)+IF(ISNUMBER(Table44[[#This Row],[Post Total]]),1,0)=2,IF(IF(Table44[[#This Row],[Student Number]]=C2,1,0)+IF(Table44[[#This Row],[Session]]=B2,1,0)+IF(Table44[[#This Row],[Pre or Post]]="Post",1,0)+IF(D2="Pre",1,0)=4,Table44[[#This Row],[Post Total]]-J2,""),"")</f>
        <v/>
      </c>
      <c r="O3" s="5" t="b">
        <f>ISNUMBER(Table44[[#This Row],[Change]])</f>
        <v>0</v>
      </c>
    </row>
    <row r="4" spans="1:15">
      <c r="A4" s="2" t="s">
        <v>12</v>
      </c>
      <c r="B4" s="2" t="s">
        <v>5</v>
      </c>
      <c r="C4" s="1">
        <v>3</v>
      </c>
      <c r="D4" s="2" t="s">
        <v>16</v>
      </c>
      <c r="E4" s="1">
        <v>2</v>
      </c>
      <c r="F4" s="1">
        <v>3</v>
      </c>
      <c r="G4" s="2" t="s">
        <v>9</v>
      </c>
      <c r="H4" s="5" t="str">
        <f>IF(IF(Table44[[#This Row],[Pre or Post]]="Pre",1,0)+IF(ISNUMBER(Table44[[#This Row],[Response]])=TRUE,1,0)=2,1,"")</f>
        <v/>
      </c>
      <c r="I4" s="5">
        <f>IF(IF(Table44[[#This Row],[Pre or Post]]="Post",1,0)+IF(ISNUMBER(Table44[[#This Row],[Response]])=TRUE,1,0)=2,1,"")</f>
        <v>1</v>
      </c>
      <c r="J4" s="5" t="str">
        <f>IF(IF(Table44[[#This Row],[Pre or Post]]="Pre",1,0)+IF(ISNUMBER(Table44[[#This Row],[Response]])=TRUE,1,0)=2,Table44[[#This Row],[Response]],"")</f>
        <v/>
      </c>
      <c r="K4" s="5">
        <f>IF(IF(Table44[[#This Row],[Pre or Post]]="Post",1,0)+IF(ISNUMBER(Table44[[#This Row],[Response]])=TRUE,1,0)=2,Table44[[#This Row],[Response]],"")</f>
        <v>3</v>
      </c>
      <c r="L4" s="5" t="str">
        <f>IF(IF(ISNUMBER(J4),1,0)+IF(ISNUMBER(K5),1,0)=2,IF(IF(C5=C4,1,0)+IF(B5=B4,1,0)+IF(D5="Post",1,0)+IF(D4="Pre",1,0)=4,Table44[[#This Row],[Pre Total]],""),"")</f>
        <v/>
      </c>
      <c r="M4" s="5" t="str">
        <f>IF(IF(ISNUMBER(J3),1,0)+IF(ISNUMBER(Table44[[#This Row],[Post Total]]),1,0)=2,IF(IF(Table44[[#This Row],[Student Number]]=C3,1,0)+IF(Table44[[#This Row],[Session]]=B3,1,0)+IF(Table44[[#This Row],[Pre or Post]]="Post",1,0)+IF(D3="Pre",1,0)=4,Table44[[#This Row],[Post Total]],""),"")</f>
        <v/>
      </c>
      <c r="N4" s="5" t="str">
        <f>IF(IF(ISNUMBER(J3),1,0)+IF(ISNUMBER(Table44[[#This Row],[Post Total]]),1,0)=2,IF(IF(Table44[[#This Row],[Student Number]]=C3,1,0)+IF(Table44[[#This Row],[Session]]=B3,1,0)+IF(Table44[[#This Row],[Pre or Post]]="Post",1,0)+IF(D3="Pre",1,0)=4,Table44[[#This Row],[Post Total]]-J3,""),"")</f>
        <v/>
      </c>
      <c r="O4" s="5" t="b">
        <f>ISNUMBER(Table44[[#This Row],[Change]])</f>
        <v>0</v>
      </c>
    </row>
    <row r="5" spans="1:15">
      <c r="A5" s="2" t="s">
        <v>12</v>
      </c>
      <c r="B5" s="2" t="s">
        <v>5</v>
      </c>
      <c r="C5" s="1">
        <v>4</v>
      </c>
      <c r="D5" s="2" t="s">
        <v>16</v>
      </c>
      <c r="E5" s="1">
        <v>2</v>
      </c>
      <c r="F5" s="1">
        <v>3</v>
      </c>
      <c r="G5" s="2" t="s">
        <v>9</v>
      </c>
      <c r="H5" s="5" t="str">
        <f>IF(IF(Table44[[#This Row],[Pre or Post]]="Pre",1,0)+IF(ISNUMBER(Table44[[#This Row],[Response]])=TRUE,1,0)=2,1,"")</f>
        <v/>
      </c>
      <c r="I5" s="5">
        <f>IF(IF(Table44[[#This Row],[Pre or Post]]="Post",1,0)+IF(ISNUMBER(Table44[[#This Row],[Response]])=TRUE,1,0)=2,1,"")</f>
        <v>1</v>
      </c>
      <c r="J5" s="5" t="str">
        <f>IF(IF(Table44[[#This Row],[Pre or Post]]="Pre",1,0)+IF(ISNUMBER(Table44[[#This Row],[Response]])=TRUE,1,0)=2,Table44[[#This Row],[Response]],"")</f>
        <v/>
      </c>
      <c r="K5" s="5">
        <f>IF(IF(Table44[[#This Row],[Pre or Post]]="Post",1,0)+IF(ISNUMBER(Table44[[#This Row],[Response]])=TRUE,1,0)=2,Table44[[#This Row],[Response]],"")</f>
        <v>3</v>
      </c>
      <c r="L5" s="5" t="str">
        <f>IF(IF(ISNUMBER(J5),1,0)+IF(ISNUMBER(K6),1,0)=2,IF(IF(C6=C5,1,0)+IF(B6=B5,1,0)+IF(D6="Post",1,0)+IF(D5="Pre",1,0)=4,Table44[[#This Row],[Pre Total]],""),"")</f>
        <v/>
      </c>
      <c r="M5" s="5" t="str">
        <f>IF(IF(ISNUMBER(J4),1,0)+IF(ISNUMBER(Table44[[#This Row],[Post Total]]),1,0)=2,IF(IF(Table44[[#This Row],[Student Number]]=C4,1,0)+IF(Table44[[#This Row],[Session]]=B4,1,0)+IF(Table44[[#This Row],[Pre or Post]]="Post",1,0)+IF(D4="Pre",1,0)=4,Table44[[#This Row],[Post Total]],""),"")</f>
        <v/>
      </c>
      <c r="N5" s="5" t="str">
        <f>IF(IF(ISNUMBER(J4),1,0)+IF(ISNUMBER(Table44[[#This Row],[Post Total]]),1,0)=2,IF(IF(Table44[[#This Row],[Student Number]]=C4,1,0)+IF(Table44[[#This Row],[Session]]=B4,1,0)+IF(Table44[[#This Row],[Pre or Post]]="Post",1,0)+IF(D4="Pre",1,0)=4,Table44[[#This Row],[Post Total]]-J4,""),"")</f>
        <v/>
      </c>
      <c r="O5" s="5" t="b">
        <f>ISNUMBER(Table44[[#This Row],[Change]])</f>
        <v>0</v>
      </c>
    </row>
    <row r="6" spans="1:15">
      <c r="A6" s="2" t="s">
        <v>12</v>
      </c>
      <c r="B6" s="2" t="s">
        <v>5</v>
      </c>
      <c r="C6" s="1">
        <v>5</v>
      </c>
      <c r="D6" s="2" t="s">
        <v>16</v>
      </c>
      <c r="E6" s="1">
        <v>2</v>
      </c>
      <c r="F6" s="1">
        <v>3</v>
      </c>
      <c r="G6" s="2" t="s">
        <v>9</v>
      </c>
      <c r="H6" s="5" t="str">
        <f>IF(IF(Table44[[#This Row],[Pre or Post]]="Pre",1,0)+IF(ISNUMBER(Table44[[#This Row],[Response]])=TRUE,1,0)=2,1,"")</f>
        <v/>
      </c>
      <c r="I6" s="5">
        <f>IF(IF(Table44[[#This Row],[Pre or Post]]="Post",1,0)+IF(ISNUMBER(Table44[[#This Row],[Response]])=TRUE,1,0)=2,1,"")</f>
        <v>1</v>
      </c>
      <c r="J6" s="5" t="str">
        <f>IF(IF(Table44[[#This Row],[Pre or Post]]="Pre",1,0)+IF(ISNUMBER(Table44[[#This Row],[Response]])=TRUE,1,0)=2,Table44[[#This Row],[Response]],"")</f>
        <v/>
      </c>
      <c r="K6" s="5">
        <f>IF(IF(Table44[[#This Row],[Pre or Post]]="Post",1,0)+IF(ISNUMBER(Table44[[#This Row],[Response]])=TRUE,1,0)=2,Table44[[#This Row],[Response]],"")</f>
        <v>3</v>
      </c>
      <c r="L6" s="5" t="str">
        <f>IF(IF(ISNUMBER(J6),1,0)+IF(ISNUMBER(K7),1,0)=2,IF(IF(C7=C6,1,0)+IF(B7=B6,1,0)+IF(D7="Post",1,0)+IF(D6="Pre",1,0)=4,Table44[[#This Row],[Pre Total]],""),"")</f>
        <v/>
      </c>
      <c r="M6" s="5" t="str">
        <f>IF(IF(ISNUMBER(J5),1,0)+IF(ISNUMBER(Table44[[#This Row],[Post Total]]),1,0)=2,IF(IF(Table44[[#This Row],[Student Number]]=C5,1,0)+IF(Table44[[#This Row],[Session]]=B5,1,0)+IF(Table44[[#This Row],[Pre or Post]]="Post",1,0)+IF(D5="Pre",1,0)=4,Table44[[#This Row],[Post Total]],""),"")</f>
        <v/>
      </c>
      <c r="N6" s="5" t="str">
        <f>IF(IF(ISNUMBER(J5),1,0)+IF(ISNUMBER(Table44[[#This Row],[Post Total]]),1,0)=2,IF(IF(Table44[[#This Row],[Student Number]]=C5,1,0)+IF(Table44[[#This Row],[Session]]=B5,1,0)+IF(Table44[[#This Row],[Pre or Post]]="Post",1,0)+IF(D5="Pre",1,0)=4,Table44[[#This Row],[Post Total]]-J5,""),"")</f>
        <v/>
      </c>
      <c r="O6" s="5" t="b">
        <f>ISNUMBER(Table44[[#This Row],[Change]])</f>
        <v>0</v>
      </c>
    </row>
    <row r="7" spans="1:15">
      <c r="A7" s="2" t="s">
        <v>12</v>
      </c>
      <c r="B7" s="2" t="s">
        <v>5</v>
      </c>
      <c r="C7" s="1">
        <v>6</v>
      </c>
      <c r="D7" s="2" t="s">
        <v>16</v>
      </c>
      <c r="E7" s="1">
        <v>2</v>
      </c>
      <c r="F7" s="1">
        <v>3</v>
      </c>
      <c r="G7" s="2" t="s">
        <v>9</v>
      </c>
      <c r="H7" s="5" t="str">
        <f>IF(IF(Table44[[#This Row],[Pre or Post]]="Pre",1,0)+IF(ISNUMBER(Table44[[#This Row],[Response]])=TRUE,1,0)=2,1,"")</f>
        <v/>
      </c>
      <c r="I7" s="5">
        <f>IF(IF(Table44[[#This Row],[Pre or Post]]="Post",1,0)+IF(ISNUMBER(Table44[[#This Row],[Response]])=TRUE,1,0)=2,1,"")</f>
        <v>1</v>
      </c>
      <c r="J7" s="5"/>
      <c r="K7" s="5">
        <f>IF(IF(Table44[[#This Row],[Pre or Post]]="Post",1,0)+IF(ISNUMBER(Table44[[#This Row],[Response]])=TRUE,1,0)=2,Table44[[#This Row],[Response]],"")</f>
        <v>3</v>
      </c>
      <c r="L7" s="5" t="str">
        <f>IF(IF(ISNUMBER(J7),1,0)+IF(ISNUMBER(K8),1,0)=2,IF(IF(C8=C7,1,0)+IF(B8=B7,1,0)+IF(D8="Post",1,0)+IF(D7="Pre",1,0)=4,Table44[[#This Row],[Pre Total]],""),"")</f>
        <v/>
      </c>
      <c r="M7" s="5" t="str">
        <f>IF(IF(ISNUMBER(J6),1,0)+IF(ISNUMBER(Table44[[#This Row],[Post Total]]),1,0)=2,IF(IF(Table44[[#This Row],[Student Number]]=C6,1,0)+IF(Table44[[#This Row],[Session]]=B6,1,0)+IF(Table44[[#This Row],[Pre or Post]]="Post",1,0)+IF(D6="Pre",1,0)=4,Table44[[#This Row],[Post Total]],""),"")</f>
        <v/>
      </c>
      <c r="N7" s="5" t="str">
        <f>IF(IF(ISNUMBER(J6),1,0)+IF(ISNUMBER(Table44[[#This Row],[Post Total]]),1,0)=2,IF(IF(Table44[[#This Row],[Student Number]]=C6,1,0)+IF(Table44[[#This Row],[Session]]=B6,1,0)+IF(Table44[[#This Row],[Pre or Post]]="Post",1,0)+IF(D6="Pre",1,0)=4,Table44[[#This Row],[Post Total]]-J6,""),"")</f>
        <v/>
      </c>
      <c r="O7" s="5" t="b">
        <f>ISNUMBER(Table44[[#This Row],[Change]])</f>
        <v>0</v>
      </c>
    </row>
    <row r="8" spans="1:15">
      <c r="A8" s="2" t="s">
        <v>12</v>
      </c>
      <c r="B8" s="2" t="s">
        <v>5</v>
      </c>
      <c r="C8" s="1">
        <v>7</v>
      </c>
      <c r="D8" s="2" t="s">
        <v>16</v>
      </c>
      <c r="E8" s="1">
        <v>2</v>
      </c>
      <c r="F8" s="1">
        <v>3</v>
      </c>
      <c r="G8" s="2" t="s">
        <v>9</v>
      </c>
      <c r="H8" s="5" t="str">
        <f>IF(IF(Table44[[#This Row],[Pre or Post]]="Pre",1,0)+IF(ISNUMBER(Table44[[#This Row],[Response]])=TRUE,1,0)=2,1,"")</f>
        <v/>
      </c>
      <c r="I8" s="5">
        <f>IF(IF(Table44[[#This Row],[Pre or Post]]="Post",1,0)+IF(ISNUMBER(Table44[[#This Row],[Response]])=TRUE,1,0)=2,1,"")</f>
        <v>1</v>
      </c>
      <c r="J8" s="5"/>
      <c r="K8" s="5">
        <f>IF(IF(Table44[[#This Row],[Pre or Post]]="Post",1,0)+IF(ISNUMBER(Table44[[#This Row],[Response]])=TRUE,1,0)=2,Table44[[#This Row],[Response]],"")</f>
        <v>3</v>
      </c>
      <c r="L8" s="5" t="str">
        <f>IF(IF(ISNUMBER(J8),1,0)+IF(ISNUMBER(K9),1,0)=2,IF(IF(C9=C8,1,0)+IF(B9=B8,1,0)+IF(D9="Post",1,0)+IF(D8="Pre",1,0)=4,Table44[[#This Row],[Pre Total]],""),"")</f>
        <v/>
      </c>
      <c r="M8" s="5" t="str">
        <f>IF(IF(ISNUMBER(J7),1,0)+IF(ISNUMBER(Table44[[#This Row],[Post Total]]),1,0)=2,IF(IF(Table44[[#This Row],[Student Number]]=C7,1,0)+IF(Table44[[#This Row],[Session]]=B7,1,0)+IF(Table44[[#This Row],[Pre or Post]]="Post",1,0)+IF(D7="Pre",1,0)=4,Table44[[#This Row],[Post Total]],""),"")</f>
        <v/>
      </c>
      <c r="N8" s="5" t="str">
        <f>IF(IF(ISNUMBER(J7),1,0)+IF(ISNUMBER(Table44[[#This Row],[Post Total]]),1,0)=2,IF(IF(Table44[[#This Row],[Student Number]]=C7,1,0)+IF(Table44[[#This Row],[Session]]=B7,1,0)+IF(Table44[[#This Row],[Pre or Post]]="Post",1,0)+IF(D7="Pre",1,0)=4,Table44[[#This Row],[Post Total]]-J7,""),"")</f>
        <v/>
      </c>
      <c r="O8" s="5" t="b">
        <f>ISNUMBER(Table44[[#This Row],[Change]])</f>
        <v>0</v>
      </c>
    </row>
    <row r="9" spans="1:15">
      <c r="A9" s="2" t="s">
        <v>12</v>
      </c>
      <c r="B9" s="2" t="s">
        <v>5</v>
      </c>
      <c r="C9" s="1">
        <v>8</v>
      </c>
      <c r="D9" s="2" t="s">
        <v>16</v>
      </c>
      <c r="E9" s="1">
        <v>2</v>
      </c>
      <c r="F9" s="1">
        <v>3</v>
      </c>
      <c r="G9" s="2" t="s">
        <v>9</v>
      </c>
      <c r="H9" s="5" t="str">
        <f>IF(IF(Table44[[#This Row],[Pre or Post]]="Pre",1,0)+IF(ISNUMBER(Table44[[#This Row],[Response]])=TRUE,1,0)=2,1,"")</f>
        <v/>
      </c>
      <c r="I9" s="5">
        <f>IF(IF(Table44[[#This Row],[Pre or Post]]="Post",1,0)+IF(ISNUMBER(Table44[[#This Row],[Response]])=TRUE,1,0)=2,1,"")</f>
        <v>1</v>
      </c>
      <c r="J9" s="5"/>
      <c r="K9" s="5">
        <f>IF(IF(Table44[[#This Row],[Pre or Post]]="Post",1,0)+IF(ISNUMBER(Table44[[#This Row],[Response]])=TRUE,1,0)=2,Table44[[#This Row],[Response]],"")</f>
        <v>3</v>
      </c>
      <c r="L9" s="5" t="str">
        <f>IF(IF(ISNUMBER(J9),1,0)+IF(ISNUMBER(K10),1,0)=2,IF(IF(C10=C9,1,0)+IF(B10=B9,1,0)+IF(D10="Post",1,0)+IF(D9="Pre",1,0)=4,Table44[[#This Row],[Pre Total]],""),"")</f>
        <v/>
      </c>
      <c r="M9" s="5" t="str">
        <f>IF(IF(ISNUMBER(J8),1,0)+IF(ISNUMBER(Table44[[#This Row],[Post Total]]),1,0)=2,IF(IF(Table44[[#This Row],[Student Number]]=C8,1,0)+IF(Table44[[#This Row],[Session]]=B8,1,0)+IF(Table44[[#This Row],[Pre or Post]]="Post",1,0)+IF(D8="Pre",1,0)=4,Table44[[#This Row],[Post Total]],""),"")</f>
        <v/>
      </c>
      <c r="N9" s="5" t="str">
        <f>IF(IF(ISNUMBER(J8),1,0)+IF(ISNUMBER(Table44[[#This Row],[Post Total]]),1,0)=2,IF(IF(Table44[[#This Row],[Student Number]]=C8,1,0)+IF(Table44[[#This Row],[Session]]=B8,1,0)+IF(Table44[[#This Row],[Pre or Post]]="Post",1,0)+IF(D8="Pre",1,0)=4,Table44[[#This Row],[Post Total]]-J8,""),"")</f>
        <v/>
      </c>
      <c r="O9" s="5" t="b">
        <f>ISNUMBER(Table44[[#This Row],[Change]])</f>
        <v>0</v>
      </c>
    </row>
    <row r="10" spans="1:15">
      <c r="A10" s="2" t="s">
        <v>12</v>
      </c>
      <c r="B10" s="2" t="s">
        <v>5</v>
      </c>
      <c r="C10" s="1">
        <v>9</v>
      </c>
      <c r="D10" s="2" t="s">
        <v>16</v>
      </c>
      <c r="E10" s="1">
        <v>2</v>
      </c>
      <c r="F10" s="1">
        <v>4</v>
      </c>
      <c r="G10" s="2" t="s">
        <v>9</v>
      </c>
      <c r="H10" s="5" t="str">
        <f>IF(IF(Table44[[#This Row],[Pre or Post]]="Pre",1,0)+IF(ISNUMBER(Table44[[#This Row],[Response]])=TRUE,1,0)=2,1,"")</f>
        <v/>
      </c>
      <c r="I10" s="5">
        <f>IF(IF(Table44[[#This Row],[Pre or Post]]="Post",1,0)+IF(ISNUMBER(Table44[[#This Row],[Response]])=TRUE,1,0)=2,1,"")</f>
        <v>1</v>
      </c>
      <c r="J10" s="5"/>
      <c r="K10" s="5">
        <f>IF(IF(Table44[[#This Row],[Pre or Post]]="Post",1,0)+IF(ISNUMBER(Table44[[#This Row],[Response]])=TRUE,1,0)=2,Table44[[#This Row],[Response]],"")</f>
        <v>4</v>
      </c>
      <c r="L10" s="5" t="str">
        <f>IF(IF(ISNUMBER(J10),1,0)+IF(ISNUMBER(K11),1,0)=2,IF(IF(C11=C10,1,0)+IF(B11=B10,1,0)+IF(D11="Post",1,0)+IF(D10="Pre",1,0)=4,Table44[[#This Row],[Pre Total]],""),"")</f>
        <v/>
      </c>
      <c r="M10" s="5" t="str">
        <f>IF(IF(ISNUMBER(J9),1,0)+IF(ISNUMBER(Table44[[#This Row],[Post Total]]),1,0)=2,IF(IF(Table44[[#This Row],[Student Number]]=C9,1,0)+IF(Table44[[#This Row],[Session]]=B9,1,0)+IF(Table44[[#This Row],[Pre or Post]]="Post",1,0)+IF(D9="Pre",1,0)=4,Table44[[#This Row],[Post Total]],""),"")</f>
        <v/>
      </c>
      <c r="N10" s="5" t="str">
        <f>IF(IF(ISNUMBER(J9),1,0)+IF(ISNUMBER(Table44[[#This Row],[Post Total]]),1,0)=2,IF(IF(Table44[[#This Row],[Student Number]]=C9,1,0)+IF(Table44[[#This Row],[Session]]=B9,1,0)+IF(Table44[[#This Row],[Pre or Post]]="Post",1,0)+IF(D9="Pre",1,0)=4,Table44[[#This Row],[Post Total]]-J9,""),"")</f>
        <v/>
      </c>
      <c r="O10" s="5" t="b">
        <f>ISNUMBER(Table44[[#This Row],[Change]])</f>
        <v>0</v>
      </c>
    </row>
    <row r="11" spans="1:15">
      <c r="A11" s="2" t="s">
        <v>12</v>
      </c>
      <c r="B11" s="2" t="s">
        <v>5</v>
      </c>
      <c r="C11" s="1">
        <v>10</v>
      </c>
      <c r="D11" s="2" t="s">
        <v>16</v>
      </c>
      <c r="E11" s="1">
        <v>2</v>
      </c>
      <c r="F11" s="1">
        <v>4</v>
      </c>
      <c r="G11" s="2" t="s">
        <v>9</v>
      </c>
      <c r="H11" s="5" t="str">
        <f>IF(IF(Table44[[#This Row],[Pre or Post]]="Pre",1,0)+IF(ISNUMBER(Table44[[#This Row],[Response]])=TRUE,1,0)=2,1,"")</f>
        <v/>
      </c>
      <c r="I11" s="5">
        <f>IF(IF(Table44[[#This Row],[Pre or Post]]="Post",1,0)+IF(ISNUMBER(Table44[[#This Row],[Response]])=TRUE,1,0)=2,1,"")</f>
        <v>1</v>
      </c>
      <c r="J11" s="5"/>
      <c r="K11" s="5">
        <f>IF(IF(Table44[[#This Row],[Pre or Post]]="Post",1,0)+IF(ISNUMBER(Table44[[#This Row],[Response]])=TRUE,1,0)=2,Table44[[#This Row],[Response]],"")</f>
        <v>4</v>
      </c>
      <c r="L11" s="5" t="str">
        <f>IF(IF(ISNUMBER(J11),1,0)+IF(ISNUMBER(K12),1,0)=2,IF(IF(C12=C11,1,0)+IF(B12=B11,1,0)+IF(D12="Post",1,0)+IF(D11="Pre",1,0)=4,Table44[[#This Row],[Pre Total]],""),"")</f>
        <v/>
      </c>
      <c r="M11" s="5" t="str">
        <f>IF(IF(ISNUMBER(J10),1,0)+IF(ISNUMBER(Table44[[#This Row],[Post Total]]),1,0)=2,IF(IF(Table44[[#This Row],[Student Number]]=C10,1,0)+IF(Table44[[#This Row],[Session]]=B10,1,0)+IF(Table44[[#This Row],[Pre or Post]]="Post",1,0)+IF(D10="Pre",1,0)=4,Table44[[#This Row],[Post Total]],""),"")</f>
        <v/>
      </c>
      <c r="N11" s="5" t="str">
        <f>IF(IF(ISNUMBER(J10),1,0)+IF(ISNUMBER(Table44[[#This Row],[Post Total]]),1,0)=2,IF(IF(Table44[[#This Row],[Student Number]]=C10,1,0)+IF(Table44[[#This Row],[Session]]=B10,1,0)+IF(Table44[[#This Row],[Pre or Post]]="Post",1,0)+IF(D10="Pre",1,0)=4,Table44[[#This Row],[Post Total]]-J10,""),"")</f>
        <v/>
      </c>
      <c r="O11" s="5" t="b">
        <f>ISNUMBER(Table44[[#This Row],[Change]])</f>
        <v>0</v>
      </c>
    </row>
    <row r="12" spans="1:15">
      <c r="A12" s="2" t="s">
        <v>12</v>
      </c>
      <c r="B12" s="2" t="s">
        <v>5</v>
      </c>
      <c r="C12" s="1">
        <v>11</v>
      </c>
      <c r="D12" s="2" t="s">
        <v>16</v>
      </c>
      <c r="E12" s="1">
        <v>2</v>
      </c>
      <c r="F12" s="1">
        <v>4</v>
      </c>
      <c r="G12" s="2" t="s">
        <v>9</v>
      </c>
      <c r="H12" s="5" t="str">
        <f>IF(IF(Table44[[#This Row],[Pre or Post]]="Pre",1,0)+IF(ISNUMBER(Table44[[#This Row],[Response]])=TRUE,1,0)=2,1,"")</f>
        <v/>
      </c>
      <c r="I12" s="5">
        <f>IF(IF(Table44[[#This Row],[Pre or Post]]="Post",1,0)+IF(ISNUMBER(Table44[[#This Row],[Response]])=TRUE,1,0)=2,1,"")</f>
        <v>1</v>
      </c>
      <c r="J12" s="5"/>
      <c r="K12" s="5">
        <f>IF(IF(Table44[[#This Row],[Pre or Post]]="Post",1,0)+IF(ISNUMBER(Table44[[#This Row],[Response]])=TRUE,1,0)=2,Table44[[#This Row],[Response]],"")</f>
        <v>4</v>
      </c>
      <c r="L12" s="5" t="str">
        <f>IF(IF(ISNUMBER(J12),1,0)+IF(ISNUMBER(K13),1,0)=2,IF(IF(C13=C12,1,0)+IF(B13=B12,1,0)+IF(D13="Post",1,0)+IF(D12="Pre",1,0)=4,Table44[[#This Row],[Pre Total]],""),"")</f>
        <v/>
      </c>
      <c r="M12" s="5" t="str">
        <f>IF(IF(ISNUMBER(J11),1,0)+IF(ISNUMBER(Table44[[#This Row],[Post Total]]),1,0)=2,IF(IF(Table44[[#This Row],[Student Number]]=C11,1,0)+IF(Table44[[#This Row],[Session]]=B11,1,0)+IF(Table44[[#This Row],[Pre or Post]]="Post",1,0)+IF(D11="Pre",1,0)=4,Table44[[#This Row],[Post Total]],""),"")</f>
        <v/>
      </c>
      <c r="N12" s="5" t="str">
        <f>IF(IF(ISNUMBER(J11),1,0)+IF(ISNUMBER(Table44[[#This Row],[Post Total]]),1,0)=2,IF(IF(Table44[[#This Row],[Student Number]]=C11,1,0)+IF(Table44[[#This Row],[Session]]=B11,1,0)+IF(Table44[[#This Row],[Pre or Post]]="Post",1,0)+IF(D11="Pre",1,0)=4,Table44[[#This Row],[Post Total]]-J11,""),"")</f>
        <v/>
      </c>
      <c r="O12" s="5" t="b">
        <f>ISNUMBER(Table44[[#This Row],[Change]])</f>
        <v>0</v>
      </c>
    </row>
    <row r="13" spans="1:15">
      <c r="A13" s="2" t="s">
        <v>12</v>
      </c>
      <c r="B13" s="2" t="s">
        <v>5</v>
      </c>
      <c r="C13" s="1">
        <v>12</v>
      </c>
      <c r="D13" s="2" t="s">
        <v>16</v>
      </c>
      <c r="E13" s="1">
        <v>2</v>
      </c>
      <c r="F13" s="1">
        <v>3</v>
      </c>
      <c r="G13" s="2" t="s">
        <v>9</v>
      </c>
      <c r="H13" s="5" t="str">
        <f>IF(IF(Table44[[#This Row],[Pre or Post]]="Pre",1,0)+IF(ISNUMBER(Table44[[#This Row],[Response]])=TRUE,1,0)=2,1,"")</f>
        <v/>
      </c>
      <c r="I13" s="5">
        <f>IF(IF(Table44[[#This Row],[Pre or Post]]="Post",1,0)+IF(ISNUMBER(Table44[[#This Row],[Response]])=TRUE,1,0)=2,1,"")</f>
        <v>1</v>
      </c>
      <c r="J13" s="5"/>
      <c r="K13" s="5">
        <f>IF(IF(Table44[[#This Row],[Pre or Post]]="Post",1,0)+IF(ISNUMBER(Table44[[#This Row],[Response]])=TRUE,1,0)=2,Table44[[#This Row],[Response]],"")</f>
        <v>3</v>
      </c>
      <c r="L13" s="5" t="str">
        <f>IF(IF(ISNUMBER(J13),1,0)+IF(ISNUMBER(K14),1,0)=2,IF(IF(C14=C13,1,0)+IF(B14=B13,1,0)+IF(D14="Post",1,0)+IF(D13="Pre",1,0)=4,Table44[[#This Row],[Pre Total]],""),"")</f>
        <v/>
      </c>
      <c r="M13" s="5" t="str">
        <f>IF(IF(ISNUMBER(J12),1,0)+IF(ISNUMBER(Table44[[#This Row],[Post Total]]),1,0)=2,IF(IF(Table44[[#This Row],[Student Number]]=C12,1,0)+IF(Table44[[#This Row],[Session]]=B12,1,0)+IF(Table44[[#This Row],[Pre or Post]]="Post",1,0)+IF(D12="Pre",1,0)=4,Table44[[#This Row],[Post Total]],""),"")</f>
        <v/>
      </c>
      <c r="N13" s="5" t="str">
        <f>IF(IF(ISNUMBER(J12),1,0)+IF(ISNUMBER(Table44[[#This Row],[Post Total]]),1,0)=2,IF(IF(Table44[[#This Row],[Student Number]]=C12,1,0)+IF(Table44[[#This Row],[Session]]=B12,1,0)+IF(Table44[[#This Row],[Pre or Post]]="Post",1,0)+IF(D12="Pre",1,0)=4,Table44[[#This Row],[Post Total]]-J12,""),"")</f>
        <v/>
      </c>
      <c r="O13" s="5" t="b">
        <f>ISNUMBER(Table44[[#This Row],[Change]])</f>
        <v>0</v>
      </c>
    </row>
    <row r="14" spans="1:15">
      <c r="A14" s="2" t="s">
        <v>12</v>
      </c>
      <c r="B14" s="2" t="s">
        <v>5</v>
      </c>
      <c r="C14" s="1">
        <v>13</v>
      </c>
      <c r="D14" s="2" t="s">
        <v>16</v>
      </c>
      <c r="E14" s="1">
        <v>2</v>
      </c>
      <c r="F14" s="1">
        <v>3</v>
      </c>
      <c r="G14" s="2" t="s">
        <v>9</v>
      </c>
      <c r="H14" s="5" t="str">
        <f>IF(IF(Table44[[#This Row],[Pre or Post]]="Pre",1,0)+IF(ISNUMBER(Table44[[#This Row],[Response]])=TRUE,1,0)=2,1,"")</f>
        <v/>
      </c>
      <c r="I14" s="5">
        <f>IF(IF(Table44[[#This Row],[Pre or Post]]="Post",1,0)+IF(ISNUMBER(Table44[[#This Row],[Response]])=TRUE,1,0)=2,1,"")</f>
        <v>1</v>
      </c>
      <c r="J14" s="5"/>
      <c r="K14" s="5">
        <f>IF(IF(Table44[[#This Row],[Pre or Post]]="Post",1,0)+IF(ISNUMBER(Table44[[#This Row],[Response]])=TRUE,1,0)=2,Table44[[#This Row],[Response]],"")</f>
        <v>3</v>
      </c>
      <c r="L14" s="5" t="str">
        <f>IF(IF(ISNUMBER(J14),1,0)+IF(ISNUMBER(K15),1,0)=2,IF(IF(C15=C14,1,0)+IF(B15=B14,1,0)+IF(D15="Post",1,0)+IF(D14="Pre",1,0)=4,Table44[[#This Row],[Pre Total]],""),"")</f>
        <v/>
      </c>
      <c r="M14" s="5" t="str">
        <f>IF(IF(ISNUMBER(J13),1,0)+IF(ISNUMBER(Table44[[#This Row],[Post Total]]),1,0)=2,IF(IF(Table44[[#This Row],[Student Number]]=C13,1,0)+IF(Table44[[#This Row],[Session]]=B13,1,0)+IF(Table44[[#This Row],[Pre or Post]]="Post",1,0)+IF(D13="Pre",1,0)=4,Table44[[#This Row],[Post Total]],""),"")</f>
        <v/>
      </c>
      <c r="N14" s="5" t="str">
        <f>IF(IF(ISNUMBER(J13),1,0)+IF(ISNUMBER(Table44[[#This Row],[Post Total]]),1,0)=2,IF(IF(Table44[[#This Row],[Student Number]]=C13,1,0)+IF(Table44[[#This Row],[Session]]=B13,1,0)+IF(Table44[[#This Row],[Pre or Post]]="Post",1,0)+IF(D13="Pre",1,0)=4,Table44[[#This Row],[Post Total]]-J13,""),"")</f>
        <v/>
      </c>
      <c r="O14" s="5" t="b">
        <f>ISNUMBER(Table44[[#This Row],[Change]])</f>
        <v>0</v>
      </c>
    </row>
    <row r="15" spans="1:15">
      <c r="A15" s="2" t="s">
        <v>12</v>
      </c>
      <c r="B15" s="2" t="s">
        <v>5</v>
      </c>
      <c r="C15" s="1">
        <v>14</v>
      </c>
      <c r="D15" s="2" t="s">
        <v>16</v>
      </c>
      <c r="E15" s="1">
        <v>2</v>
      </c>
      <c r="F15" s="1">
        <v>2</v>
      </c>
      <c r="G15" s="2" t="s">
        <v>9</v>
      </c>
      <c r="H15" s="5" t="str">
        <f>IF(IF(Table44[[#This Row],[Pre or Post]]="Pre",1,0)+IF(ISNUMBER(Table44[[#This Row],[Response]])=TRUE,1,0)=2,1,"")</f>
        <v/>
      </c>
      <c r="I15" s="5">
        <f>IF(IF(Table44[[#This Row],[Pre or Post]]="Post",1,0)+IF(ISNUMBER(Table44[[#This Row],[Response]])=TRUE,1,0)=2,1,"")</f>
        <v>1</v>
      </c>
      <c r="J15" s="5"/>
      <c r="K15" s="5">
        <f>IF(IF(Table44[[#This Row],[Pre or Post]]="Post",1,0)+IF(ISNUMBER(Table44[[#This Row],[Response]])=TRUE,1,0)=2,Table44[[#This Row],[Response]],"")</f>
        <v>2</v>
      </c>
      <c r="L15" s="5" t="str">
        <f>IF(IF(ISNUMBER(J15),1,0)+IF(ISNUMBER(K16),1,0)=2,IF(IF(C16=C15,1,0)+IF(B16=B15,1,0)+IF(D16="Post",1,0)+IF(D15="Pre",1,0)=4,Table44[[#This Row],[Pre Total]],""),"")</f>
        <v/>
      </c>
      <c r="M15" s="5" t="str">
        <f>IF(IF(ISNUMBER(J14),1,0)+IF(ISNUMBER(Table44[[#This Row],[Post Total]]),1,0)=2,IF(IF(Table44[[#This Row],[Student Number]]=C14,1,0)+IF(Table44[[#This Row],[Session]]=B14,1,0)+IF(Table44[[#This Row],[Pre or Post]]="Post",1,0)+IF(D14="Pre",1,0)=4,Table44[[#This Row],[Post Total]],""),"")</f>
        <v/>
      </c>
      <c r="N15" s="5" t="str">
        <f>IF(IF(ISNUMBER(J14),1,0)+IF(ISNUMBER(Table44[[#This Row],[Post Total]]),1,0)=2,IF(IF(Table44[[#This Row],[Student Number]]=C14,1,0)+IF(Table44[[#This Row],[Session]]=B14,1,0)+IF(Table44[[#This Row],[Pre or Post]]="Post",1,0)+IF(D14="Pre",1,0)=4,Table44[[#This Row],[Post Total]]-J14,""),"")</f>
        <v/>
      </c>
      <c r="O15" s="5" t="b">
        <f>ISNUMBER(Table44[[#This Row],[Change]])</f>
        <v>0</v>
      </c>
    </row>
    <row r="16" spans="1:15">
      <c r="A16" s="2" t="s">
        <v>12</v>
      </c>
      <c r="B16" s="2" t="s">
        <v>5</v>
      </c>
      <c r="C16" s="1">
        <v>15</v>
      </c>
      <c r="D16" s="2" t="s">
        <v>16</v>
      </c>
      <c r="E16" s="1">
        <v>2</v>
      </c>
      <c r="F16" s="1">
        <v>4</v>
      </c>
      <c r="G16" s="2" t="s">
        <v>9</v>
      </c>
      <c r="H16" s="5" t="str">
        <f>IF(IF(Table44[[#This Row],[Pre or Post]]="Pre",1,0)+IF(ISNUMBER(Table44[[#This Row],[Response]])=TRUE,1,0)=2,1,"")</f>
        <v/>
      </c>
      <c r="I16" s="5">
        <f>IF(IF(Table44[[#This Row],[Pre or Post]]="Post",1,0)+IF(ISNUMBER(Table44[[#This Row],[Response]])=TRUE,1,0)=2,1,"")</f>
        <v>1</v>
      </c>
      <c r="J16" s="5" t="str">
        <f>IF(IF(Table44[[#This Row],[Pre or Post]]="Pre",1,0)+IF(ISNUMBER(Table44[[#This Row],[Response]])=TRUE,1,0)=2,Table44[[#This Row],[Response]],"")</f>
        <v/>
      </c>
      <c r="K16" s="5">
        <f>IF(IF(Table44[[#This Row],[Pre or Post]]="Post",1,0)+IF(ISNUMBER(Table44[[#This Row],[Response]])=TRUE,1,0)=2,Table44[[#This Row],[Response]],"")</f>
        <v>4</v>
      </c>
      <c r="L16" s="5" t="str">
        <f>IF(IF(ISNUMBER(J16),1,0)+IF(ISNUMBER(K17),1,0)=2,IF(IF(C17=C16,1,0)+IF(B17=B16,1,0)+IF(D17="Post",1,0)+IF(D16="Pre",1,0)=4,Table44[[#This Row],[Pre Total]],""),"")</f>
        <v/>
      </c>
      <c r="M16" s="5" t="str">
        <f>IF(IF(ISNUMBER(J15),1,0)+IF(ISNUMBER(Table44[[#This Row],[Post Total]]),1,0)=2,IF(IF(Table44[[#This Row],[Student Number]]=C15,1,0)+IF(Table44[[#This Row],[Session]]=B15,1,0)+IF(Table44[[#This Row],[Pre or Post]]="Post",1,0)+IF(D15="Pre",1,0)=4,Table44[[#This Row],[Post Total]],""),"")</f>
        <v/>
      </c>
      <c r="N16" s="5" t="str">
        <f>IF(IF(ISNUMBER(J15),1,0)+IF(ISNUMBER(Table44[[#This Row],[Post Total]]),1,0)=2,IF(IF(Table44[[#This Row],[Student Number]]=C15,1,0)+IF(Table44[[#This Row],[Session]]=B15,1,0)+IF(Table44[[#This Row],[Pre or Post]]="Post",1,0)+IF(D15="Pre",1,0)=4,Table44[[#This Row],[Post Total]]-J15,""),"")</f>
        <v/>
      </c>
      <c r="O16" s="5" t="b">
        <f>ISNUMBER(Table44[[#This Row],[Change]])</f>
        <v>0</v>
      </c>
    </row>
    <row r="17" spans="1:15">
      <c r="A17" s="2" t="s">
        <v>12</v>
      </c>
      <c r="B17" s="2" t="s">
        <v>5</v>
      </c>
      <c r="C17" s="1">
        <v>16</v>
      </c>
      <c r="D17" s="2" t="s">
        <v>16</v>
      </c>
      <c r="E17" s="1">
        <v>2</v>
      </c>
      <c r="F17" s="1">
        <v>4</v>
      </c>
      <c r="G17" s="2" t="s">
        <v>9</v>
      </c>
      <c r="H17" s="5" t="str">
        <f>IF(IF(Table44[[#This Row],[Pre or Post]]="Pre",1,0)+IF(ISNUMBER(Table44[[#This Row],[Response]])=TRUE,1,0)=2,1,"")</f>
        <v/>
      </c>
      <c r="I17" s="5">
        <f>IF(IF(Table44[[#This Row],[Pre or Post]]="Post",1,0)+IF(ISNUMBER(Table44[[#This Row],[Response]])=TRUE,1,0)=2,1,"")</f>
        <v>1</v>
      </c>
      <c r="J17" s="5" t="str">
        <f>IF(IF(Table44[[#This Row],[Pre or Post]]="Pre",1,0)+IF(ISNUMBER(Table44[[#This Row],[Response]])=TRUE,1,0)=2,Table44[[#This Row],[Response]],"")</f>
        <v/>
      </c>
      <c r="K17" s="5">
        <f>IF(IF(Table44[[#This Row],[Pre or Post]]="Post",1,0)+IF(ISNUMBER(Table44[[#This Row],[Response]])=TRUE,1,0)=2,Table44[[#This Row],[Response]],"")</f>
        <v>4</v>
      </c>
      <c r="L17" s="5" t="str">
        <f>IF(IF(ISNUMBER(J17),1,0)+IF(ISNUMBER(K18),1,0)=2,IF(IF(C18=C17,1,0)+IF(B18=B17,1,0)+IF(D18="Post",1,0)+IF(D17="Pre",1,0)=4,Table44[[#This Row],[Pre Total]],""),"")</f>
        <v/>
      </c>
      <c r="M17" s="5" t="str">
        <f>IF(IF(ISNUMBER(J16),1,0)+IF(ISNUMBER(Table44[[#This Row],[Post Total]]),1,0)=2,IF(IF(Table44[[#This Row],[Student Number]]=C16,1,0)+IF(Table44[[#This Row],[Session]]=B16,1,0)+IF(Table44[[#This Row],[Pre or Post]]="Post",1,0)+IF(D16="Pre",1,0)=4,Table44[[#This Row],[Post Total]],""),"")</f>
        <v/>
      </c>
      <c r="N17" s="5" t="str">
        <f>IF(IF(ISNUMBER(J16),1,0)+IF(ISNUMBER(Table44[[#This Row],[Post Total]]),1,0)=2,IF(IF(Table44[[#This Row],[Student Number]]=C16,1,0)+IF(Table44[[#This Row],[Session]]=B16,1,0)+IF(Table44[[#This Row],[Pre or Post]]="Post",1,0)+IF(D16="Pre",1,0)=4,Table44[[#This Row],[Post Total]]-J16,""),"")</f>
        <v/>
      </c>
      <c r="O17" s="5" t="b">
        <f>ISNUMBER(Table44[[#This Row],[Change]])</f>
        <v>0</v>
      </c>
    </row>
    <row r="18" spans="1:15">
      <c r="A18" s="2" t="s">
        <v>12</v>
      </c>
      <c r="B18" s="2" t="s">
        <v>5</v>
      </c>
      <c r="C18" s="1">
        <v>17</v>
      </c>
      <c r="D18" s="2" t="s">
        <v>16</v>
      </c>
      <c r="E18" s="1">
        <v>2</v>
      </c>
      <c r="F18" s="1">
        <v>3</v>
      </c>
      <c r="G18" s="2" t="s">
        <v>9</v>
      </c>
      <c r="H18" s="5" t="str">
        <f>IF(IF(Table44[[#This Row],[Pre or Post]]="Pre",1,0)+IF(ISNUMBER(Table44[[#This Row],[Response]])=TRUE,1,0)=2,1,"")</f>
        <v/>
      </c>
      <c r="I18" s="5">
        <f>IF(IF(Table44[[#This Row],[Pre or Post]]="Post",1,0)+IF(ISNUMBER(Table44[[#This Row],[Response]])=TRUE,1,0)=2,1,"")</f>
        <v>1</v>
      </c>
      <c r="J18" s="5" t="str">
        <f>IF(IF(Table44[[#This Row],[Pre or Post]]="Pre",1,0)+IF(ISNUMBER(Table44[[#This Row],[Response]])=TRUE,1,0)=2,Table44[[#This Row],[Response]],"")</f>
        <v/>
      </c>
      <c r="K18" s="5">
        <f>IF(IF(Table44[[#This Row],[Pre or Post]]="Post",1,0)+IF(ISNUMBER(Table44[[#This Row],[Response]])=TRUE,1,0)=2,Table44[[#This Row],[Response]],"")</f>
        <v>3</v>
      </c>
      <c r="L18" s="5" t="str">
        <f>IF(IF(ISNUMBER(J18),1,0)+IF(ISNUMBER(K19),1,0)=2,IF(IF(C19=C18,1,0)+IF(B19=B18,1,0)+IF(D19="Post",1,0)+IF(D18="Pre",1,0)=4,Table44[[#This Row],[Pre Total]],""),"")</f>
        <v/>
      </c>
      <c r="M18" s="5" t="str">
        <f>IF(IF(ISNUMBER(J17),1,0)+IF(ISNUMBER(Table44[[#This Row],[Post Total]]),1,0)=2,IF(IF(Table44[[#This Row],[Student Number]]=C17,1,0)+IF(Table44[[#This Row],[Session]]=B17,1,0)+IF(Table44[[#This Row],[Pre or Post]]="Post",1,0)+IF(D17="Pre",1,0)=4,Table44[[#This Row],[Post Total]],""),"")</f>
        <v/>
      </c>
      <c r="N18" s="5" t="str">
        <f>IF(IF(ISNUMBER(J17),1,0)+IF(ISNUMBER(Table44[[#This Row],[Post Total]]),1,0)=2,IF(IF(Table44[[#This Row],[Student Number]]=C17,1,0)+IF(Table44[[#This Row],[Session]]=B17,1,0)+IF(Table44[[#This Row],[Pre or Post]]="Post",1,0)+IF(D17="Pre",1,0)=4,Table44[[#This Row],[Post Total]]-J17,""),"")</f>
        <v/>
      </c>
      <c r="O18" s="5" t="b">
        <f>ISNUMBER(Table44[[#This Row],[Change]])</f>
        <v>0</v>
      </c>
    </row>
    <row r="19" spans="1:15">
      <c r="A19" s="2" t="s">
        <v>12</v>
      </c>
      <c r="B19" s="2" t="s">
        <v>5</v>
      </c>
      <c r="C19" s="1">
        <v>18</v>
      </c>
      <c r="D19" s="2" t="s">
        <v>16</v>
      </c>
      <c r="E19" s="1">
        <v>2</v>
      </c>
      <c r="F19" s="1">
        <v>4</v>
      </c>
      <c r="G19" s="2" t="s">
        <v>9</v>
      </c>
      <c r="H19" s="5" t="str">
        <f>IF(IF(Table44[[#This Row],[Pre or Post]]="Pre",1,0)+IF(ISNUMBER(Table44[[#This Row],[Response]])=TRUE,1,0)=2,1,"")</f>
        <v/>
      </c>
      <c r="I19" s="5">
        <f>IF(IF(Table44[[#This Row],[Pre or Post]]="Post",1,0)+IF(ISNUMBER(Table44[[#This Row],[Response]])=TRUE,1,0)=2,1,"")</f>
        <v>1</v>
      </c>
      <c r="J19" s="5" t="str">
        <f>IF(IF(Table44[[#This Row],[Pre or Post]]="Pre",1,0)+IF(ISNUMBER(Table44[[#This Row],[Response]])=TRUE,1,0)=2,Table44[[#This Row],[Response]],"")</f>
        <v/>
      </c>
      <c r="K19" s="5">
        <f>IF(IF(Table44[[#This Row],[Pre or Post]]="Post",1,0)+IF(ISNUMBER(Table44[[#This Row],[Response]])=TRUE,1,0)=2,Table44[[#This Row],[Response]],"")</f>
        <v>4</v>
      </c>
      <c r="L19" s="5" t="str">
        <f>IF(IF(ISNUMBER(J19),1,0)+IF(ISNUMBER(K20),1,0)=2,IF(IF(C20=C19,1,0)+IF(B20=B19,1,0)+IF(D20="Post",1,0)+IF(D19="Pre",1,0)=4,Table44[[#This Row],[Pre Total]],""),"")</f>
        <v/>
      </c>
      <c r="M19" s="5" t="str">
        <f>IF(IF(ISNUMBER(J18),1,0)+IF(ISNUMBER(Table44[[#This Row],[Post Total]]),1,0)=2,IF(IF(Table44[[#This Row],[Student Number]]=C18,1,0)+IF(Table44[[#This Row],[Session]]=B18,1,0)+IF(Table44[[#This Row],[Pre or Post]]="Post",1,0)+IF(D18="Pre",1,0)=4,Table44[[#This Row],[Post Total]],""),"")</f>
        <v/>
      </c>
      <c r="N19" s="5" t="str">
        <f>IF(IF(ISNUMBER(J18),1,0)+IF(ISNUMBER(Table44[[#This Row],[Post Total]]),1,0)=2,IF(IF(Table44[[#This Row],[Student Number]]=C18,1,0)+IF(Table44[[#This Row],[Session]]=B18,1,0)+IF(Table44[[#This Row],[Pre or Post]]="Post",1,0)+IF(D18="Pre",1,0)=4,Table44[[#This Row],[Post Total]]-J18,""),"")</f>
        <v/>
      </c>
      <c r="O19" s="5" t="b">
        <f>ISNUMBER(Table44[[#This Row],[Change]])</f>
        <v>0</v>
      </c>
    </row>
    <row r="20" spans="1:15">
      <c r="A20" s="2" t="s">
        <v>12</v>
      </c>
      <c r="B20" s="2" t="s">
        <v>5</v>
      </c>
      <c r="C20" s="2">
        <v>19</v>
      </c>
      <c r="D20" s="2" t="s">
        <v>16</v>
      </c>
      <c r="E20" s="1">
        <v>2</v>
      </c>
      <c r="F20" s="2">
        <v>4</v>
      </c>
      <c r="G20" s="2" t="s">
        <v>9</v>
      </c>
      <c r="H20" s="5" t="str">
        <f>IF(IF(Table44[[#This Row],[Pre or Post]]="Pre",1,0)+IF(ISNUMBER(Table44[[#This Row],[Response]])=TRUE,1,0)=2,1,"")</f>
        <v/>
      </c>
      <c r="I20" s="5">
        <f>IF(IF(Table44[[#This Row],[Pre or Post]]="Post",1,0)+IF(ISNUMBER(Table44[[#This Row],[Response]])=TRUE,1,0)=2,1,"")</f>
        <v>1</v>
      </c>
      <c r="J20" s="5" t="str">
        <f>IF(IF(Table44[[#This Row],[Pre or Post]]="Pre",1,0)+IF(ISNUMBER(Table44[[#This Row],[Response]])=TRUE,1,0)=2,Table44[[#This Row],[Response]],"")</f>
        <v/>
      </c>
      <c r="K20" s="5">
        <f>IF(IF(Table44[[#This Row],[Pre or Post]]="Post",1,0)+IF(ISNUMBER(Table44[[#This Row],[Response]])=TRUE,1,0)=2,Table44[[#This Row],[Response]],"")</f>
        <v>4</v>
      </c>
      <c r="L20" s="5" t="str">
        <f>IF(IF(ISNUMBER(J20),1,0)+IF(ISNUMBER(K21),1,0)=2,IF(IF(C21=C20,1,0)+IF(B21=B20,1,0)+IF(D21="Post",1,0)+IF(D20="Pre",1,0)=4,Table44[[#This Row],[Pre Total]],""),"")</f>
        <v/>
      </c>
      <c r="M20" s="5" t="str">
        <f>IF(IF(ISNUMBER(J19),1,0)+IF(ISNUMBER(Table44[[#This Row],[Post Total]]),1,0)=2,IF(IF(Table44[[#This Row],[Student Number]]=C19,1,0)+IF(Table44[[#This Row],[Session]]=B19,1,0)+IF(Table44[[#This Row],[Pre or Post]]="Post",1,0)+IF(D19="Pre",1,0)=4,Table44[[#This Row],[Post Total]],""),"")</f>
        <v/>
      </c>
      <c r="N20" s="5" t="str">
        <f>IF(IF(ISNUMBER(J19),1,0)+IF(ISNUMBER(Table44[[#This Row],[Post Total]]),1,0)=2,IF(IF(Table44[[#This Row],[Student Number]]=C19,1,0)+IF(Table44[[#This Row],[Session]]=B19,1,0)+IF(Table44[[#This Row],[Pre or Post]]="Post",1,0)+IF(D19="Pre",1,0)=4,Table44[[#This Row],[Post Total]]-J19,""),"")</f>
        <v/>
      </c>
      <c r="O20" s="5" t="b">
        <f>ISNUMBER(Table44[[#This Row],[Change]])</f>
        <v>0</v>
      </c>
    </row>
    <row r="21" spans="1:15">
      <c r="A21" s="2" t="s">
        <v>12</v>
      </c>
      <c r="B21" s="2" t="s">
        <v>5</v>
      </c>
      <c r="C21" s="2">
        <v>20</v>
      </c>
      <c r="D21" s="2" t="s">
        <v>16</v>
      </c>
      <c r="E21" s="1">
        <v>2</v>
      </c>
      <c r="F21" s="2">
        <v>4</v>
      </c>
      <c r="G21" s="2" t="s">
        <v>9</v>
      </c>
      <c r="H21" s="5" t="str">
        <f>IF(IF(Table44[[#This Row],[Pre or Post]]="Pre",1,0)+IF(ISNUMBER(Table44[[#This Row],[Response]])=TRUE,1,0)=2,1,"")</f>
        <v/>
      </c>
      <c r="I21" s="5">
        <f>IF(IF(Table44[[#This Row],[Pre or Post]]="Post",1,0)+IF(ISNUMBER(Table44[[#This Row],[Response]])=TRUE,1,0)=2,1,"")</f>
        <v>1</v>
      </c>
      <c r="J21" s="5" t="str">
        <f>IF(IF(Table44[[#This Row],[Pre or Post]]="Pre",1,0)+IF(ISNUMBER(Table44[[#This Row],[Response]])=TRUE,1,0)=2,Table44[[#This Row],[Response]],"")</f>
        <v/>
      </c>
      <c r="K21" s="5">
        <f>IF(IF(Table44[[#This Row],[Pre or Post]]="Post",1,0)+IF(ISNUMBER(Table44[[#This Row],[Response]])=TRUE,1,0)=2,Table44[[#This Row],[Response]],"")</f>
        <v>4</v>
      </c>
      <c r="L21" s="5" t="str">
        <f>IF(IF(ISNUMBER(J21),1,0)+IF(ISNUMBER(K22),1,0)=2,IF(IF(C22=C21,1,0)+IF(B22=B21,1,0)+IF(D22="Post",1,0)+IF(D21="Pre",1,0)=4,Table44[[#This Row],[Pre Total]],""),"")</f>
        <v/>
      </c>
      <c r="M21" s="5" t="str">
        <f>IF(IF(ISNUMBER(J20),1,0)+IF(ISNUMBER(Table44[[#This Row],[Post Total]]),1,0)=2,IF(IF(Table44[[#This Row],[Student Number]]=C20,1,0)+IF(Table44[[#This Row],[Session]]=B20,1,0)+IF(Table44[[#This Row],[Pre or Post]]="Post",1,0)+IF(D20="Pre",1,0)=4,Table44[[#This Row],[Post Total]],""),"")</f>
        <v/>
      </c>
      <c r="N21" s="5" t="str">
        <f>IF(IF(ISNUMBER(J20),1,0)+IF(ISNUMBER(Table44[[#This Row],[Post Total]]),1,0)=2,IF(IF(Table44[[#This Row],[Student Number]]=C20,1,0)+IF(Table44[[#This Row],[Session]]=B20,1,0)+IF(Table44[[#This Row],[Pre or Post]]="Post",1,0)+IF(D20="Pre",1,0)=4,Table44[[#This Row],[Post Total]]-J20,""),"")</f>
        <v/>
      </c>
      <c r="O21" s="5" t="b">
        <f>ISNUMBER(Table44[[#This Row],[Change]])</f>
        <v>0</v>
      </c>
    </row>
    <row r="22" spans="1:15">
      <c r="A22" s="2" t="s">
        <v>12</v>
      </c>
      <c r="B22" s="2" t="s">
        <v>5</v>
      </c>
      <c r="C22" s="2">
        <v>21</v>
      </c>
      <c r="D22" s="2" t="s">
        <v>16</v>
      </c>
      <c r="E22" s="1">
        <v>2</v>
      </c>
      <c r="F22" s="2">
        <v>4</v>
      </c>
      <c r="G22" s="2" t="s">
        <v>9</v>
      </c>
      <c r="H22" s="5" t="str">
        <f>IF(IF(Table44[[#This Row],[Pre or Post]]="Pre",1,0)+IF(ISNUMBER(Table44[[#This Row],[Response]])=TRUE,1,0)=2,1,"")</f>
        <v/>
      </c>
      <c r="I22" s="5">
        <f>IF(IF(Table44[[#This Row],[Pre or Post]]="Post",1,0)+IF(ISNUMBER(Table44[[#This Row],[Response]])=TRUE,1,0)=2,1,"")</f>
        <v>1</v>
      </c>
      <c r="J22" s="5" t="str">
        <f>IF(IF(Table44[[#This Row],[Pre or Post]]="Pre",1,0)+IF(ISNUMBER(Table44[[#This Row],[Response]])=TRUE,1,0)=2,Table44[[#This Row],[Response]],"")</f>
        <v/>
      </c>
      <c r="K22" s="5">
        <f>IF(IF(Table44[[#This Row],[Pre or Post]]="Post",1,0)+IF(ISNUMBER(Table44[[#This Row],[Response]])=TRUE,1,0)=2,Table44[[#This Row],[Response]],"")</f>
        <v>4</v>
      </c>
      <c r="L22" s="5" t="str">
        <f>IF(IF(ISNUMBER(J22),1,0)+IF(ISNUMBER(K23),1,0)=2,IF(IF(C23=C22,1,0)+IF(B23=B22,1,0)+IF(D23="Post",1,0)+IF(D22="Pre",1,0)=4,Table44[[#This Row],[Pre Total]],""),"")</f>
        <v/>
      </c>
      <c r="M22" s="5" t="str">
        <f>IF(IF(ISNUMBER(J21),1,0)+IF(ISNUMBER(Table44[[#This Row],[Post Total]]),1,0)=2,IF(IF(Table44[[#This Row],[Student Number]]=C21,1,0)+IF(Table44[[#This Row],[Session]]=B21,1,0)+IF(Table44[[#This Row],[Pre or Post]]="Post",1,0)+IF(D21="Pre",1,0)=4,Table44[[#This Row],[Post Total]],""),"")</f>
        <v/>
      </c>
      <c r="N22" s="5" t="str">
        <f>IF(IF(ISNUMBER(J21),1,0)+IF(ISNUMBER(Table44[[#This Row],[Post Total]]),1,0)=2,IF(IF(Table44[[#This Row],[Student Number]]=C21,1,0)+IF(Table44[[#This Row],[Session]]=B21,1,0)+IF(Table44[[#This Row],[Pre or Post]]="Post",1,0)+IF(D21="Pre",1,0)=4,Table44[[#This Row],[Post Total]]-J21,""),"")</f>
        <v/>
      </c>
      <c r="O22" s="5" t="b">
        <f>ISNUMBER(Table44[[#This Row],[Change]])</f>
        <v>0</v>
      </c>
    </row>
    <row r="23" spans="1:15">
      <c r="A23" s="2" t="s">
        <v>12</v>
      </c>
      <c r="B23" s="2" t="s">
        <v>5</v>
      </c>
      <c r="C23" s="2">
        <v>22</v>
      </c>
      <c r="D23" s="2" t="s">
        <v>16</v>
      </c>
      <c r="E23" s="1">
        <v>2</v>
      </c>
      <c r="F23" s="2">
        <v>4</v>
      </c>
      <c r="G23" s="2" t="s">
        <v>9</v>
      </c>
      <c r="H23" s="5" t="str">
        <f>IF(IF(Table44[[#This Row],[Pre or Post]]="Pre",1,0)+IF(ISNUMBER(Table44[[#This Row],[Response]])=TRUE,1,0)=2,1,"")</f>
        <v/>
      </c>
      <c r="I23" s="5">
        <f>IF(IF(Table44[[#This Row],[Pre or Post]]="Post",1,0)+IF(ISNUMBER(Table44[[#This Row],[Response]])=TRUE,1,0)=2,1,"")</f>
        <v>1</v>
      </c>
      <c r="J23" s="5" t="str">
        <f>IF(IF(Table44[[#This Row],[Pre or Post]]="Pre",1,0)+IF(ISNUMBER(Table44[[#This Row],[Response]])=TRUE,1,0)=2,Table44[[#This Row],[Response]],"")</f>
        <v/>
      </c>
      <c r="K23" s="5">
        <f>IF(IF(Table44[[#This Row],[Pre or Post]]="Post",1,0)+IF(ISNUMBER(Table44[[#This Row],[Response]])=TRUE,1,0)=2,Table44[[#This Row],[Response]],"")</f>
        <v>4</v>
      </c>
      <c r="L23" s="5" t="str">
        <f>IF(IF(ISNUMBER(J23),1,0)+IF(ISNUMBER(K24),1,0)=2,IF(IF(C24=C23,1,0)+IF(B24=B23,1,0)+IF(D24="Post",1,0)+IF(D23="Pre",1,0)=4,Table44[[#This Row],[Pre Total]],""),"")</f>
        <v/>
      </c>
      <c r="M23" s="5" t="str">
        <f>IF(IF(ISNUMBER(J22),1,0)+IF(ISNUMBER(Table44[[#This Row],[Post Total]]),1,0)=2,IF(IF(Table44[[#This Row],[Student Number]]=C22,1,0)+IF(Table44[[#This Row],[Session]]=B22,1,0)+IF(Table44[[#This Row],[Pre or Post]]="Post",1,0)+IF(D22="Pre",1,0)=4,Table44[[#This Row],[Post Total]],""),"")</f>
        <v/>
      </c>
      <c r="N23" s="5" t="str">
        <f>IF(IF(ISNUMBER(J22),1,0)+IF(ISNUMBER(Table44[[#This Row],[Post Total]]),1,0)=2,IF(IF(Table44[[#This Row],[Student Number]]=C22,1,0)+IF(Table44[[#This Row],[Session]]=B22,1,0)+IF(Table44[[#This Row],[Pre or Post]]="Post",1,0)+IF(D22="Pre",1,0)=4,Table44[[#This Row],[Post Total]]-J22,""),"")</f>
        <v/>
      </c>
      <c r="O23" s="5" t="b">
        <f>ISNUMBER(Table44[[#This Row],[Change]])</f>
        <v>0</v>
      </c>
    </row>
    <row r="24" spans="1:15">
      <c r="A24" s="2" t="s">
        <v>12</v>
      </c>
      <c r="B24" s="2" t="s">
        <v>5</v>
      </c>
      <c r="C24" s="2">
        <v>23</v>
      </c>
      <c r="D24" s="2" t="s">
        <v>16</v>
      </c>
      <c r="E24" s="1">
        <v>2</v>
      </c>
      <c r="F24" s="2">
        <v>4</v>
      </c>
      <c r="G24" s="2" t="s">
        <v>9</v>
      </c>
      <c r="H24" s="5" t="str">
        <f>IF(IF(Table44[[#This Row],[Pre or Post]]="Pre",1,0)+IF(ISNUMBER(Table44[[#This Row],[Response]])=TRUE,1,0)=2,1,"")</f>
        <v/>
      </c>
      <c r="I24" s="5">
        <f>IF(IF(Table44[[#This Row],[Pre or Post]]="Post",1,0)+IF(ISNUMBER(Table44[[#This Row],[Response]])=TRUE,1,0)=2,1,"")</f>
        <v>1</v>
      </c>
      <c r="J24" s="5" t="str">
        <f>IF(IF(Table44[[#This Row],[Pre or Post]]="Pre",1,0)+IF(ISNUMBER(Table44[[#This Row],[Response]])=TRUE,1,0)=2,Table44[[#This Row],[Response]],"")</f>
        <v/>
      </c>
      <c r="K24" s="5">
        <f>IF(IF(Table44[[#This Row],[Pre or Post]]="Post",1,0)+IF(ISNUMBER(Table44[[#This Row],[Response]])=TRUE,1,0)=2,Table44[[#This Row],[Response]],"")</f>
        <v>4</v>
      </c>
      <c r="L24" s="5" t="str">
        <f>IF(IF(ISNUMBER(J24),1,0)+IF(ISNUMBER(K25),1,0)=2,IF(IF(C25=C24,1,0)+IF(B25=B24,1,0)+IF(D25="Post",1,0)+IF(D24="Pre",1,0)=4,Table44[[#This Row],[Pre Total]],""),"")</f>
        <v/>
      </c>
      <c r="M24" s="5" t="str">
        <f>IF(IF(ISNUMBER(J23),1,0)+IF(ISNUMBER(Table44[[#This Row],[Post Total]]),1,0)=2,IF(IF(Table44[[#This Row],[Student Number]]=C23,1,0)+IF(Table44[[#This Row],[Session]]=B23,1,0)+IF(Table44[[#This Row],[Pre or Post]]="Post",1,0)+IF(D23="Pre",1,0)=4,Table44[[#This Row],[Post Total]],""),"")</f>
        <v/>
      </c>
      <c r="N24" s="5" t="str">
        <f>IF(IF(ISNUMBER(J23),1,0)+IF(ISNUMBER(Table44[[#This Row],[Post Total]]),1,0)=2,IF(IF(Table44[[#This Row],[Student Number]]=C23,1,0)+IF(Table44[[#This Row],[Session]]=B23,1,0)+IF(Table44[[#This Row],[Pre or Post]]="Post",1,0)+IF(D23="Pre",1,0)=4,Table44[[#This Row],[Post Total]]-J23,""),"")</f>
        <v/>
      </c>
      <c r="O24" s="5" t="b">
        <f>ISNUMBER(Table44[[#This Row],[Change]])</f>
        <v>0</v>
      </c>
    </row>
    <row r="25" spans="1:15">
      <c r="A25" s="2" t="s">
        <v>12</v>
      </c>
      <c r="B25" s="2" t="s">
        <v>5</v>
      </c>
      <c r="C25" s="2">
        <v>24</v>
      </c>
      <c r="D25" s="2" t="s">
        <v>16</v>
      </c>
      <c r="E25" s="1">
        <v>2</v>
      </c>
      <c r="F25" s="2">
        <v>3</v>
      </c>
      <c r="G25" s="2" t="s">
        <v>9</v>
      </c>
      <c r="H25" s="5" t="str">
        <f>IF(IF(Table44[[#This Row],[Pre or Post]]="Pre",1,0)+IF(ISNUMBER(Table44[[#This Row],[Response]])=TRUE,1,0)=2,1,"")</f>
        <v/>
      </c>
      <c r="I25" s="5">
        <f>IF(IF(Table44[[#This Row],[Pre or Post]]="Post",1,0)+IF(ISNUMBER(Table44[[#This Row],[Response]])=TRUE,1,0)=2,1,"")</f>
        <v>1</v>
      </c>
      <c r="J25" s="5" t="str">
        <f>IF(IF(Table44[[#This Row],[Pre or Post]]="Pre",1,0)+IF(ISNUMBER(Table44[[#This Row],[Response]])=TRUE,1,0)=2,Table44[[#This Row],[Response]],"")</f>
        <v/>
      </c>
      <c r="K25" s="5">
        <f>IF(IF(Table44[[#This Row],[Pre or Post]]="Post",1,0)+IF(ISNUMBER(Table44[[#This Row],[Response]])=TRUE,1,0)=2,Table44[[#This Row],[Response]],"")</f>
        <v>3</v>
      </c>
      <c r="L25" s="5" t="str">
        <f>IF(IF(ISNUMBER(J25),1,0)+IF(ISNUMBER(K26),1,0)=2,IF(IF(C26=C25,1,0)+IF(B26=B25,1,0)+IF(D26="Post",1,0)+IF(D25="Pre",1,0)=4,Table44[[#This Row],[Pre Total]],""),"")</f>
        <v/>
      </c>
      <c r="M25" s="5" t="str">
        <f>IF(IF(ISNUMBER(J24),1,0)+IF(ISNUMBER(Table44[[#This Row],[Post Total]]),1,0)=2,IF(IF(Table44[[#This Row],[Student Number]]=C24,1,0)+IF(Table44[[#This Row],[Session]]=B24,1,0)+IF(Table44[[#This Row],[Pre or Post]]="Post",1,0)+IF(D24="Pre",1,0)=4,Table44[[#This Row],[Post Total]],""),"")</f>
        <v/>
      </c>
      <c r="N25" s="5" t="str">
        <f>IF(IF(ISNUMBER(J24),1,0)+IF(ISNUMBER(Table44[[#This Row],[Post Total]]),1,0)=2,IF(IF(Table44[[#This Row],[Student Number]]=C24,1,0)+IF(Table44[[#This Row],[Session]]=B24,1,0)+IF(Table44[[#This Row],[Pre or Post]]="Post",1,0)+IF(D24="Pre",1,0)=4,Table44[[#This Row],[Post Total]]-J24,""),"")</f>
        <v/>
      </c>
      <c r="O25" s="5" t="b">
        <f>ISNUMBER(Table44[[#This Row],[Change]])</f>
        <v>0</v>
      </c>
    </row>
    <row r="26" spans="1:15">
      <c r="A26" s="2" t="s">
        <v>12</v>
      </c>
      <c r="B26" s="2" t="s">
        <v>21</v>
      </c>
      <c r="C26" s="1">
        <v>1</v>
      </c>
      <c r="D26" s="2" t="s">
        <v>6</v>
      </c>
      <c r="E26" s="1">
        <v>9</v>
      </c>
      <c r="F26" s="1">
        <v>3</v>
      </c>
      <c r="G26" s="2" t="s">
        <v>8</v>
      </c>
      <c r="H26" s="5">
        <f>IF(IF(Table44[[#This Row],[Pre or Post]]="Pre",1,0)+IF(ISNUMBER(Table44[[#This Row],[Response]])=TRUE,1,0)=2,1,"")</f>
        <v>1</v>
      </c>
      <c r="I26" s="5" t="str">
        <f>IF(IF(Table44[[#This Row],[Pre or Post]]="Post",1,0)+IF(ISNUMBER(Table44[[#This Row],[Response]])=TRUE,1,0)=2,1,"")</f>
        <v/>
      </c>
      <c r="J26" s="5">
        <f>IF(IF(Table44[[#This Row],[Pre or Post]]="Pre",1,0)+IF(ISNUMBER(Table44[[#This Row],[Response]])=TRUE,1,0)=2,Table44[[#This Row],[Response]],"")</f>
        <v>3</v>
      </c>
      <c r="K26" s="5" t="str">
        <f>IF(IF(Table44[[#This Row],[Pre or Post]]="Post",1,0)+IF(ISNUMBER(Table44[[#This Row],[Response]])=TRUE,1,0)=2,Table44[[#This Row],[Response]],"")</f>
        <v/>
      </c>
      <c r="L26" s="5">
        <f>IF(IF(ISNUMBER(J26),1,0)+IF(ISNUMBER(K27),1,0)=2,IF(IF(C27=C26,1,0)+IF(B27=B26,1,0)+IF(D27="Post",1,0)+IF(D26="Pre",1,0)=4,Table44[[#This Row],[Pre Total]],""),"")</f>
        <v>3</v>
      </c>
      <c r="M26" s="5" t="str">
        <f>IF(IF(ISNUMBER(J25),1,0)+IF(ISNUMBER(Table44[[#This Row],[Post Total]]),1,0)=2,IF(IF(Table44[[#This Row],[Student Number]]=C25,1,0)+IF(Table44[[#This Row],[Session]]=B25,1,0)+IF(Table44[[#This Row],[Pre or Post]]="Post",1,0)+IF(D25="Pre",1,0)=4,Table44[[#This Row],[Post Total]],""),"")</f>
        <v/>
      </c>
      <c r="N26" s="5" t="str">
        <f>IF(IF(ISNUMBER(J25),1,0)+IF(ISNUMBER(Table44[[#This Row],[Post Total]]),1,0)=2,IF(IF(Table44[[#This Row],[Student Number]]=C25,1,0)+IF(Table44[[#This Row],[Session]]=B25,1,0)+IF(Table44[[#This Row],[Pre or Post]]="Post",1,0)+IF(D25="Pre",1,0)=4,Table44[[#This Row],[Post Total]]-J25,""),"")</f>
        <v/>
      </c>
      <c r="O26" s="5" t="b">
        <f>ISNUMBER(Table44[[#This Row],[Change]])</f>
        <v>0</v>
      </c>
    </row>
    <row r="27" spans="1:15">
      <c r="A27" s="2" t="s">
        <v>12</v>
      </c>
      <c r="B27" s="2" t="s">
        <v>21</v>
      </c>
      <c r="C27" s="1">
        <v>1</v>
      </c>
      <c r="D27" s="2" t="s">
        <v>16</v>
      </c>
      <c r="E27" s="1">
        <v>2</v>
      </c>
      <c r="F27" s="2">
        <v>4</v>
      </c>
      <c r="G27" s="2" t="s">
        <v>8</v>
      </c>
      <c r="H27" s="5" t="str">
        <f>IF(IF(Table44[[#This Row],[Pre or Post]]="Pre",1,0)+IF(ISNUMBER(Table44[[#This Row],[Response]])=TRUE,1,0)=2,1,"")</f>
        <v/>
      </c>
      <c r="I27" s="5">
        <f>IF(IF(Table44[[#This Row],[Pre or Post]]="Post",1,0)+IF(ISNUMBER(Table44[[#This Row],[Response]])=TRUE,1,0)=2,1,"")</f>
        <v>1</v>
      </c>
      <c r="J27" s="5" t="str">
        <f>IF(IF(Table44[[#This Row],[Pre or Post]]="Pre",1,0)+IF(ISNUMBER(Table44[[#This Row],[Response]])=TRUE,1,0)=2,Table44[[#This Row],[Response]],"")</f>
        <v/>
      </c>
      <c r="K27" s="5">
        <f>IF(IF(Table44[[#This Row],[Pre or Post]]="Post",1,0)+IF(ISNUMBER(Table44[[#This Row],[Response]])=TRUE,1,0)=2,Table44[[#This Row],[Response]],"")</f>
        <v>4</v>
      </c>
      <c r="L27" s="5" t="str">
        <f>IF(IF(ISNUMBER(J27),1,0)+IF(ISNUMBER(K28),1,0)=2,IF(IF(C28=C27,1,0)+IF(B28=B27,1,0)+IF(D28="Post",1,0)+IF(D27="Pre",1,0)=4,Table44[[#This Row],[Pre Total]],""),"")</f>
        <v/>
      </c>
      <c r="M27" s="5">
        <f>IF(IF(ISNUMBER(J26),1,0)+IF(ISNUMBER(Table44[[#This Row],[Post Total]]),1,0)=2,IF(IF(Table44[[#This Row],[Student Number]]=C26,1,0)+IF(Table44[[#This Row],[Session]]=B26,1,0)+IF(Table44[[#This Row],[Pre or Post]]="Post",1,0)+IF(D26="Pre",1,0)=4,Table44[[#This Row],[Post Total]],""),"")</f>
        <v>4</v>
      </c>
      <c r="N27" s="5">
        <f>IF(IF(ISNUMBER(J26),1,0)+IF(ISNUMBER(Table44[[#This Row],[Post Total]]),1,0)=2,IF(IF(Table44[[#This Row],[Student Number]]=C26,1,0)+IF(Table44[[#This Row],[Session]]=B26,1,0)+IF(Table44[[#This Row],[Pre or Post]]="Post",1,0)+IF(D26="Pre",1,0)=4,Table44[[#This Row],[Post Total]]-J26,""),"")</f>
        <v>1</v>
      </c>
      <c r="O27" s="5" t="b">
        <f>ISNUMBER(Table44[[#This Row],[Change]])</f>
        <v>1</v>
      </c>
    </row>
    <row r="28" spans="1:15">
      <c r="A28" s="2" t="s">
        <v>12</v>
      </c>
      <c r="B28" s="2" t="s">
        <v>21</v>
      </c>
      <c r="C28" s="1">
        <v>2</v>
      </c>
      <c r="D28" s="2" t="s">
        <v>6</v>
      </c>
      <c r="E28" s="1">
        <v>9</v>
      </c>
      <c r="F28" s="1">
        <v>2</v>
      </c>
      <c r="G28" s="2" t="s">
        <v>8</v>
      </c>
      <c r="H28" s="5">
        <f>IF(IF(Table44[[#This Row],[Pre or Post]]="Pre",1,0)+IF(ISNUMBER(Table44[[#This Row],[Response]])=TRUE,1,0)=2,1,"")</f>
        <v>1</v>
      </c>
      <c r="I28" s="5" t="str">
        <f>IF(IF(Table44[[#This Row],[Pre or Post]]="Post",1,0)+IF(ISNUMBER(Table44[[#This Row],[Response]])=TRUE,1,0)=2,1,"")</f>
        <v/>
      </c>
      <c r="J28" s="5">
        <f>IF(IF(Table44[[#This Row],[Pre or Post]]="Pre",1,0)+IF(ISNUMBER(Table44[[#This Row],[Response]])=TRUE,1,0)=2,Table44[[#This Row],[Response]],"")</f>
        <v>2</v>
      </c>
      <c r="K28" s="5" t="str">
        <f>IF(IF(Table44[[#This Row],[Pre or Post]]="Post",1,0)+IF(ISNUMBER(Table44[[#This Row],[Response]])=TRUE,1,0)=2,Table44[[#This Row],[Response]],"")</f>
        <v/>
      </c>
      <c r="L28" s="5">
        <f>IF(IF(ISNUMBER(J28),1,0)+IF(ISNUMBER(K29),1,0)=2,IF(IF(C29=C28,1,0)+IF(B29=B28,1,0)+IF(D29="Post",1,0)+IF(D28="Pre",1,0)=4,Table44[[#This Row],[Pre Total]],""),"")</f>
        <v>2</v>
      </c>
      <c r="M28" s="5" t="str">
        <f>IF(IF(ISNUMBER(J27),1,0)+IF(ISNUMBER(Table44[[#This Row],[Post Total]]),1,0)=2,IF(IF(Table44[[#This Row],[Student Number]]=C27,1,0)+IF(Table44[[#This Row],[Session]]=B27,1,0)+IF(Table44[[#This Row],[Pre or Post]]="Post",1,0)+IF(D27="Pre",1,0)=4,Table44[[#This Row],[Post Total]],""),"")</f>
        <v/>
      </c>
      <c r="N28" s="5" t="str">
        <f>IF(IF(ISNUMBER(J27),1,0)+IF(ISNUMBER(Table44[[#This Row],[Post Total]]),1,0)=2,IF(IF(Table44[[#This Row],[Student Number]]=C27,1,0)+IF(Table44[[#This Row],[Session]]=B27,1,0)+IF(Table44[[#This Row],[Pre or Post]]="Post",1,0)+IF(D27="Pre",1,0)=4,Table44[[#This Row],[Post Total]]-J27,""),"")</f>
        <v/>
      </c>
      <c r="O28" s="5" t="b">
        <f>ISNUMBER(Table44[[#This Row],[Change]])</f>
        <v>0</v>
      </c>
    </row>
    <row r="29" spans="1:15">
      <c r="A29" s="2" t="s">
        <v>12</v>
      </c>
      <c r="B29" s="2" t="s">
        <v>21</v>
      </c>
      <c r="C29" s="1">
        <v>2</v>
      </c>
      <c r="D29" s="2" t="s">
        <v>16</v>
      </c>
      <c r="E29" s="1">
        <v>2</v>
      </c>
      <c r="F29" s="1">
        <v>3</v>
      </c>
      <c r="G29" s="2" t="s">
        <v>8</v>
      </c>
      <c r="H29" s="5" t="str">
        <f>IF(IF(Table44[[#This Row],[Pre or Post]]="Pre",1,0)+IF(ISNUMBER(Table44[[#This Row],[Response]])=TRUE,1,0)=2,1,"")</f>
        <v/>
      </c>
      <c r="I29" s="5">
        <f>IF(IF(Table44[[#This Row],[Pre or Post]]="Post",1,0)+IF(ISNUMBER(Table44[[#This Row],[Response]])=TRUE,1,0)=2,1,"")</f>
        <v>1</v>
      </c>
      <c r="J29" s="5" t="str">
        <f>IF(IF(Table44[[#This Row],[Pre or Post]]="Pre",1,0)+IF(ISNUMBER(Table44[[#This Row],[Response]])=TRUE,1,0)=2,Table44[[#This Row],[Response]],"")</f>
        <v/>
      </c>
      <c r="K29" s="5">
        <f>IF(IF(Table44[[#This Row],[Pre or Post]]="Post",1,0)+IF(ISNUMBER(Table44[[#This Row],[Response]])=TRUE,1,0)=2,Table44[[#This Row],[Response]],"")</f>
        <v>3</v>
      </c>
      <c r="L29" s="5" t="str">
        <f>IF(IF(ISNUMBER(J29),1,0)+IF(ISNUMBER(K30),1,0)=2,IF(IF(C30=C29,1,0)+IF(B30=B29,1,0)+IF(D30="Post",1,0)+IF(D29="Pre",1,0)=4,Table44[[#This Row],[Pre Total]],""),"")</f>
        <v/>
      </c>
      <c r="M29" s="5">
        <f>IF(IF(ISNUMBER(J28),1,0)+IF(ISNUMBER(Table44[[#This Row],[Post Total]]),1,0)=2,IF(IF(Table44[[#This Row],[Student Number]]=C28,1,0)+IF(Table44[[#This Row],[Session]]=B28,1,0)+IF(Table44[[#This Row],[Pre or Post]]="Post",1,0)+IF(D28="Pre",1,0)=4,Table44[[#This Row],[Post Total]],""),"")</f>
        <v>3</v>
      </c>
      <c r="N29" s="5">
        <f>IF(IF(ISNUMBER(J28),1,0)+IF(ISNUMBER(Table44[[#This Row],[Post Total]]),1,0)=2,IF(IF(Table44[[#This Row],[Student Number]]=C28,1,0)+IF(Table44[[#This Row],[Session]]=B28,1,0)+IF(Table44[[#This Row],[Pre or Post]]="Post",1,0)+IF(D28="Pre",1,0)=4,Table44[[#This Row],[Post Total]]-J28,""),"")</f>
        <v>1</v>
      </c>
      <c r="O29" s="5" t="b">
        <f>ISNUMBER(Table44[[#This Row],[Change]])</f>
        <v>1</v>
      </c>
    </row>
    <row r="30" spans="1:15">
      <c r="A30" s="2" t="s">
        <v>12</v>
      </c>
      <c r="B30" s="2" t="s">
        <v>21</v>
      </c>
      <c r="C30" s="1">
        <v>3</v>
      </c>
      <c r="D30" s="2" t="s">
        <v>6</v>
      </c>
      <c r="E30" s="1">
        <v>9</v>
      </c>
      <c r="F30" s="1">
        <v>3</v>
      </c>
      <c r="G30" s="2" t="s">
        <v>8</v>
      </c>
      <c r="H30" s="5">
        <f>IF(IF(Table44[[#This Row],[Pre or Post]]="Pre",1,0)+IF(ISNUMBER(Table44[[#This Row],[Response]])=TRUE,1,0)=2,1,"")</f>
        <v>1</v>
      </c>
      <c r="I30" s="5" t="str">
        <f>IF(IF(Table44[[#This Row],[Pre or Post]]="Post",1,0)+IF(ISNUMBER(Table44[[#This Row],[Response]])=TRUE,1,0)=2,1,"")</f>
        <v/>
      </c>
      <c r="J30" s="5">
        <f>IF(IF(Table44[[#This Row],[Pre or Post]]="Pre",1,0)+IF(ISNUMBER(Table44[[#This Row],[Response]])=TRUE,1,0)=2,Table44[[#This Row],[Response]],"")</f>
        <v>3</v>
      </c>
      <c r="K30" s="5" t="str">
        <f>IF(IF(Table44[[#This Row],[Pre or Post]]="Post",1,0)+IF(ISNUMBER(Table44[[#This Row],[Response]])=TRUE,1,0)=2,Table44[[#This Row],[Response]],"")</f>
        <v/>
      </c>
      <c r="L30" s="5">
        <f>IF(IF(ISNUMBER(J30),1,0)+IF(ISNUMBER(K31),1,0)=2,IF(IF(C31=C30,1,0)+IF(B31=B30,1,0)+IF(D31="Post",1,0)+IF(D30="Pre",1,0)=4,Table44[[#This Row],[Pre Total]],""),"")</f>
        <v>3</v>
      </c>
      <c r="M30" s="5" t="str">
        <f>IF(IF(ISNUMBER(J29),1,0)+IF(ISNUMBER(Table44[[#This Row],[Post Total]]),1,0)=2,IF(IF(Table44[[#This Row],[Student Number]]=C29,1,0)+IF(Table44[[#This Row],[Session]]=B29,1,0)+IF(Table44[[#This Row],[Pre or Post]]="Post",1,0)+IF(D29="Pre",1,0)=4,Table44[[#This Row],[Post Total]],""),"")</f>
        <v/>
      </c>
      <c r="N30" s="5" t="str">
        <f>IF(IF(ISNUMBER(J29),1,0)+IF(ISNUMBER(Table44[[#This Row],[Post Total]]),1,0)=2,IF(IF(Table44[[#This Row],[Student Number]]=C29,1,0)+IF(Table44[[#This Row],[Session]]=B29,1,0)+IF(Table44[[#This Row],[Pre or Post]]="Post",1,0)+IF(D29="Pre",1,0)=4,Table44[[#This Row],[Post Total]]-J29,""),"")</f>
        <v/>
      </c>
      <c r="O30" s="5" t="b">
        <f>ISNUMBER(Table44[[#This Row],[Change]])</f>
        <v>0</v>
      </c>
    </row>
    <row r="31" spans="1:15">
      <c r="A31" s="2" t="s">
        <v>12</v>
      </c>
      <c r="B31" s="2" t="s">
        <v>21</v>
      </c>
      <c r="C31" s="1">
        <v>3</v>
      </c>
      <c r="D31" s="2" t="s">
        <v>16</v>
      </c>
      <c r="E31" s="1">
        <v>2</v>
      </c>
      <c r="F31" s="1">
        <v>3</v>
      </c>
      <c r="G31" s="2" t="s">
        <v>8</v>
      </c>
      <c r="H31" s="5" t="str">
        <f>IF(IF(Table44[[#This Row],[Pre or Post]]="Pre",1,0)+IF(ISNUMBER(Table44[[#This Row],[Response]])=TRUE,1,0)=2,1,"")</f>
        <v/>
      </c>
      <c r="I31" s="5">
        <f>IF(IF(Table44[[#This Row],[Pre or Post]]="Post",1,0)+IF(ISNUMBER(Table44[[#This Row],[Response]])=TRUE,1,0)=2,1,"")</f>
        <v>1</v>
      </c>
      <c r="J31" s="5" t="str">
        <f>IF(IF(Table44[[#This Row],[Pre or Post]]="Pre",1,0)+IF(ISNUMBER(Table44[[#This Row],[Response]])=TRUE,1,0)=2,Table44[[#This Row],[Response]],"")</f>
        <v/>
      </c>
      <c r="K31" s="5">
        <f>IF(IF(Table44[[#This Row],[Pre or Post]]="Post",1,0)+IF(ISNUMBER(Table44[[#This Row],[Response]])=TRUE,1,0)=2,Table44[[#This Row],[Response]],"")</f>
        <v>3</v>
      </c>
      <c r="L31" s="5" t="str">
        <f>IF(IF(ISNUMBER(J31),1,0)+IF(ISNUMBER(K32),1,0)=2,IF(IF(C32=C31,1,0)+IF(B32=B31,1,0)+IF(D32="Post",1,0)+IF(D31="Pre",1,0)=4,Table44[[#This Row],[Pre Total]],""),"")</f>
        <v/>
      </c>
      <c r="M31" s="5">
        <f>IF(IF(ISNUMBER(J30),1,0)+IF(ISNUMBER(Table44[[#This Row],[Post Total]]),1,0)=2,IF(IF(Table44[[#This Row],[Student Number]]=C30,1,0)+IF(Table44[[#This Row],[Session]]=B30,1,0)+IF(Table44[[#This Row],[Pre or Post]]="Post",1,0)+IF(D30="Pre",1,0)=4,Table44[[#This Row],[Post Total]],""),"")</f>
        <v>3</v>
      </c>
      <c r="N31" s="5">
        <f>IF(IF(ISNUMBER(J30),1,0)+IF(ISNUMBER(Table44[[#This Row],[Post Total]]),1,0)=2,IF(IF(Table44[[#This Row],[Student Number]]=C30,1,0)+IF(Table44[[#This Row],[Session]]=B30,1,0)+IF(Table44[[#This Row],[Pre or Post]]="Post",1,0)+IF(D30="Pre",1,0)=4,Table44[[#This Row],[Post Total]]-J30,""),"")</f>
        <v>0</v>
      </c>
      <c r="O31" s="5" t="b">
        <f>ISNUMBER(Table44[[#This Row],[Change]])</f>
        <v>1</v>
      </c>
    </row>
    <row r="32" spans="1:15">
      <c r="A32" s="2" t="s">
        <v>12</v>
      </c>
      <c r="B32" s="2" t="s">
        <v>21</v>
      </c>
      <c r="C32" s="1">
        <v>4</v>
      </c>
      <c r="D32" s="2" t="s">
        <v>6</v>
      </c>
      <c r="E32" s="1">
        <v>9</v>
      </c>
      <c r="F32" s="1">
        <v>4</v>
      </c>
      <c r="G32" s="2" t="s">
        <v>8</v>
      </c>
      <c r="H32" s="5">
        <f>IF(IF(Table44[[#This Row],[Pre or Post]]="Pre",1,0)+IF(ISNUMBER(Table44[[#This Row],[Response]])=TRUE,1,0)=2,1,"")</f>
        <v>1</v>
      </c>
      <c r="I32" s="5" t="str">
        <f>IF(IF(Table44[[#This Row],[Pre or Post]]="Post",1,0)+IF(ISNUMBER(Table44[[#This Row],[Response]])=TRUE,1,0)=2,1,"")</f>
        <v/>
      </c>
      <c r="J32" s="5">
        <f>IF(IF(Table44[[#This Row],[Pre or Post]]="Pre",1,0)+IF(ISNUMBER(Table44[[#This Row],[Response]])=TRUE,1,0)=2,Table44[[#This Row],[Response]],"")</f>
        <v>4</v>
      </c>
      <c r="K32" s="5" t="str">
        <f>IF(IF(Table44[[#This Row],[Pre or Post]]="Post",1,0)+IF(ISNUMBER(Table44[[#This Row],[Response]])=TRUE,1,0)=2,Table44[[#This Row],[Response]],"")</f>
        <v/>
      </c>
      <c r="L32" s="5">
        <f>IF(IF(ISNUMBER(J32),1,0)+IF(ISNUMBER(K33),1,0)=2,IF(IF(C33=C32,1,0)+IF(B33=B32,1,0)+IF(D33="Post",1,0)+IF(D32="Pre",1,0)=4,Table44[[#This Row],[Pre Total]],""),"")</f>
        <v>4</v>
      </c>
      <c r="M32" s="5" t="str">
        <f>IF(IF(ISNUMBER(J31),1,0)+IF(ISNUMBER(Table44[[#This Row],[Post Total]]),1,0)=2,IF(IF(Table44[[#This Row],[Student Number]]=C31,1,0)+IF(Table44[[#This Row],[Session]]=B31,1,0)+IF(Table44[[#This Row],[Pre or Post]]="Post",1,0)+IF(D31="Pre",1,0)=4,Table44[[#This Row],[Post Total]],""),"")</f>
        <v/>
      </c>
      <c r="N32" s="5" t="str">
        <f>IF(IF(ISNUMBER(J31),1,0)+IF(ISNUMBER(Table44[[#This Row],[Post Total]]),1,0)=2,IF(IF(Table44[[#This Row],[Student Number]]=C31,1,0)+IF(Table44[[#This Row],[Session]]=B31,1,0)+IF(Table44[[#This Row],[Pre or Post]]="Post",1,0)+IF(D31="Pre",1,0)=4,Table44[[#This Row],[Post Total]]-J31,""),"")</f>
        <v/>
      </c>
      <c r="O32" s="5" t="b">
        <f>ISNUMBER(Table44[[#This Row],[Change]])</f>
        <v>0</v>
      </c>
    </row>
    <row r="33" spans="1:15">
      <c r="A33" s="2" t="s">
        <v>12</v>
      </c>
      <c r="B33" s="2" t="s">
        <v>21</v>
      </c>
      <c r="C33" s="1">
        <v>4</v>
      </c>
      <c r="D33" s="2" t="s">
        <v>16</v>
      </c>
      <c r="E33" s="1">
        <v>2</v>
      </c>
      <c r="F33" s="1">
        <v>3</v>
      </c>
      <c r="G33" s="2" t="s">
        <v>8</v>
      </c>
      <c r="H33" s="5" t="str">
        <f>IF(IF(Table44[[#This Row],[Pre or Post]]="Pre",1,0)+IF(ISNUMBER(Table44[[#This Row],[Response]])=TRUE,1,0)=2,1,"")</f>
        <v/>
      </c>
      <c r="I33" s="5">
        <f>IF(IF(Table44[[#This Row],[Pre or Post]]="Post",1,0)+IF(ISNUMBER(Table44[[#This Row],[Response]])=TRUE,1,0)=2,1,"")</f>
        <v>1</v>
      </c>
      <c r="J33" s="5" t="str">
        <f>IF(IF(Table44[[#This Row],[Pre or Post]]="Pre",1,0)+IF(ISNUMBER(Table44[[#This Row],[Response]])=TRUE,1,0)=2,Table44[[#This Row],[Response]],"")</f>
        <v/>
      </c>
      <c r="K33" s="5">
        <f>IF(IF(Table44[[#This Row],[Pre or Post]]="Post",1,0)+IF(ISNUMBER(Table44[[#This Row],[Response]])=TRUE,1,0)=2,Table44[[#This Row],[Response]],"")</f>
        <v>3</v>
      </c>
      <c r="L33" s="5" t="str">
        <f>IF(IF(ISNUMBER(J33),1,0)+IF(ISNUMBER(K34),1,0)=2,IF(IF(C34=C33,1,0)+IF(B34=B33,1,0)+IF(D34="Post",1,0)+IF(D33="Pre",1,0)=4,Table44[[#This Row],[Pre Total]],""),"")</f>
        <v/>
      </c>
      <c r="M33" s="5">
        <f>IF(IF(ISNUMBER(J32),1,0)+IF(ISNUMBER(Table44[[#This Row],[Post Total]]),1,0)=2,IF(IF(Table44[[#This Row],[Student Number]]=C32,1,0)+IF(Table44[[#This Row],[Session]]=B32,1,0)+IF(Table44[[#This Row],[Pre or Post]]="Post",1,0)+IF(D32="Pre",1,0)=4,Table44[[#This Row],[Post Total]],""),"")</f>
        <v>3</v>
      </c>
      <c r="N33" s="5">
        <f>IF(IF(ISNUMBER(J32),1,0)+IF(ISNUMBER(Table44[[#This Row],[Post Total]]),1,0)=2,IF(IF(Table44[[#This Row],[Student Number]]=C32,1,0)+IF(Table44[[#This Row],[Session]]=B32,1,0)+IF(Table44[[#This Row],[Pre or Post]]="Post",1,0)+IF(D32="Pre",1,0)=4,Table44[[#This Row],[Post Total]]-J32,""),"")</f>
        <v>-1</v>
      </c>
      <c r="O33" s="5" t="b">
        <f>ISNUMBER(Table44[[#This Row],[Change]])</f>
        <v>1</v>
      </c>
    </row>
    <row r="34" spans="1:15">
      <c r="A34" s="2" t="s">
        <v>12</v>
      </c>
      <c r="B34" s="2" t="s">
        <v>21</v>
      </c>
      <c r="C34" s="1">
        <v>5</v>
      </c>
      <c r="D34" s="2" t="s">
        <v>6</v>
      </c>
      <c r="E34" s="1">
        <v>9</v>
      </c>
      <c r="F34" s="1">
        <v>3</v>
      </c>
      <c r="G34" s="2" t="s">
        <v>8</v>
      </c>
      <c r="H34" s="5">
        <f>IF(IF(Table44[[#This Row],[Pre or Post]]="Pre",1,0)+IF(ISNUMBER(Table44[[#This Row],[Response]])=TRUE,1,0)=2,1,"")</f>
        <v>1</v>
      </c>
      <c r="I34" s="5" t="str">
        <f>IF(IF(Table44[[#This Row],[Pre or Post]]="Post",1,0)+IF(ISNUMBER(Table44[[#This Row],[Response]])=TRUE,1,0)=2,1,"")</f>
        <v/>
      </c>
      <c r="J34" s="5">
        <f>IF(IF(Table44[[#This Row],[Pre or Post]]="Pre",1,0)+IF(ISNUMBER(Table44[[#This Row],[Response]])=TRUE,1,0)=2,Table44[[#This Row],[Response]],"")</f>
        <v>3</v>
      </c>
      <c r="K34" s="5" t="str">
        <f>IF(IF(Table44[[#This Row],[Pre or Post]]="Post",1,0)+IF(ISNUMBER(Table44[[#This Row],[Response]])=TRUE,1,0)=2,Table44[[#This Row],[Response]],"")</f>
        <v/>
      </c>
      <c r="L34" s="5">
        <f>IF(IF(ISNUMBER(J34),1,0)+IF(ISNUMBER(K35),1,0)=2,IF(IF(C35=C34,1,0)+IF(B35=B34,1,0)+IF(D35="Post",1,0)+IF(D34="Pre",1,0)=4,Table44[[#This Row],[Pre Total]],""),"")</f>
        <v>3</v>
      </c>
      <c r="M34" s="5" t="str">
        <f>IF(IF(ISNUMBER(J33),1,0)+IF(ISNUMBER(Table44[[#This Row],[Post Total]]),1,0)=2,IF(IF(Table44[[#This Row],[Student Number]]=C33,1,0)+IF(Table44[[#This Row],[Session]]=B33,1,0)+IF(Table44[[#This Row],[Pre or Post]]="Post",1,0)+IF(D33="Pre",1,0)=4,Table44[[#This Row],[Post Total]],""),"")</f>
        <v/>
      </c>
      <c r="N34" s="5" t="str">
        <f>IF(IF(ISNUMBER(J33),1,0)+IF(ISNUMBER(Table44[[#This Row],[Post Total]]),1,0)=2,IF(IF(Table44[[#This Row],[Student Number]]=C33,1,0)+IF(Table44[[#This Row],[Session]]=B33,1,0)+IF(Table44[[#This Row],[Pre or Post]]="Post",1,0)+IF(D33="Pre",1,0)=4,Table44[[#This Row],[Post Total]]-J33,""),"")</f>
        <v/>
      </c>
      <c r="O34" s="5" t="b">
        <f>ISNUMBER(Table44[[#This Row],[Change]])</f>
        <v>0</v>
      </c>
    </row>
    <row r="35" spans="1:15">
      <c r="A35" s="2" t="s">
        <v>12</v>
      </c>
      <c r="B35" s="2" t="s">
        <v>21</v>
      </c>
      <c r="C35" s="1">
        <v>5</v>
      </c>
      <c r="D35" s="2" t="s">
        <v>16</v>
      </c>
      <c r="E35" s="1">
        <v>2</v>
      </c>
      <c r="F35" s="1">
        <v>3</v>
      </c>
      <c r="G35" s="2" t="s">
        <v>8</v>
      </c>
      <c r="H35" s="5" t="str">
        <f>IF(IF(Table44[[#This Row],[Pre or Post]]="Pre",1,0)+IF(ISNUMBER(Table44[[#This Row],[Response]])=TRUE,1,0)=2,1,"")</f>
        <v/>
      </c>
      <c r="I35" s="5">
        <f>IF(IF(Table44[[#This Row],[Pre or Post]]="Post",1,0)+IF(ISNUMBER(Table44[[#This Row],[Response]])=TRUE,1,0)=2,1,"")</f>
        <v>1</v>
      </c>
      <c r="J35" s="5" t="str">
        <f>IF(IF(Table44[[#This Row],[Pre or Post]]="Pre",1,0)+IF(ISNUMBER(Table44[[#This Row],[Response]])=TRUE,1,0)=2,Table44[[#This Row],[Response]],"")</f>
        <v/>
      </c>
      <c r="K35" s="5">
        <f>IF(IF(Table44[[#This Row],[Pre or Post]]="Post",1,0)+IF(ISNUMBER(Table44[[#This Row],[Response]])=TRUE,1,0)=2,Table44[[#This Row],[Response]],"")</f>
        <v>3</v>
      </c>
      <c r="L35" s="5" t="str">
        <f>IF(IF(ISNUMBER(J35),1,0)+IF(ISNUMBER(K36),1,0)=2,IF(IF(C36=C35,1,0)+IF(B36=B35,1,0)+IF(D36="Post",1,0)+IF(D35="Pre",1,0)=4,Table44[[#This Row],[Pre Total]],""),"")</f>
        <v/>
      </c>
      <c r="M35" s="5">
        <f>IF(IF(ISNUMBER(J34),1,0)+IF(ISNUMBER(Table44[[#This Row],[Post Total]]),1,0)=2,IF(IF(Table44[[#This Row],[Student Number]]=C34,1,0)+IF(Table44[[#This Row],[Session]]=B34,1,0)+IF(Table44[[#This Row],[Pre or Post]]="Post",1,0)+IF(D34="Pre",1,0)=4,Table44[[#This Row],[Post Total]],""),"")</f>
        <v>3</v>
      </c>
      <c r="N35" s="5">
        <f>IF(IF(ISNUMBER(J34),1,0)+IF(ISNUMBER(Table44[[#This Row],[Post Total]]),1,0)=2,IF(IF(Table44[[#This Row],[Student Number]]=C34,1,0)+IF(Table44[[#This Row],[Session]]=B34,1,0)+IF(Table44[[#This Row],[Pre or Post]]="Post",1,0)+IF(D34="Pre",1,0)=4,Table44[[#This Row],[Post Total]]-J34,""),"")</f>
        <v>0</v>
      </c>
      <c r="O35" s="5" t="b">
        <f>ISNUMBER(Table44[[#This Row],[Change]])</f>
        <v>1</v>
      </c>
    </row>
    <row r="36" spans="1:15">
      <c r="A36" s="2" t="s">
        <v>12</v>
      </c>
      <c r="B36" s="2" t="s">
        <v>21</v>
      </c>
      <c r="C36" s="1">
        <v>6</v>
      </c>
      <c r="D36" s="2" t="s">
        <v>6</v>
      </c>
      <c r="E36" s="1">
        <v>9</v>
      </c>
      <c r="F36" s="1">
        <v>3</v>
      </c>
      <c r="G36" s="2" t="s">
        <v>8</v>
      </c>
      <c r="H36" s="5">
        <f>IF(IF(Table44[[#This Row],[Pre or Post]]="Pre",1,0)+IF(ISNUMBER(Table44[[#This Row],[Response]])=TRUE,1,0)=2,1,"")</f>
        <v>1</v>
      </c>
      <c r="I36" s="5" t="str">
        <f>IF(IF(Table44[[#This Row],[Pre or Post]]="Post",1,0)+IF(ISNUMBER(Table44[[#This Row],[Response]])=TRUE,1,0)=2,1,"")</f>
        <v/>
      </c>
      <c r="J36" s="5">
        <f>IF(IF(Table44[[#This Row],[Pre or Post]]="Pre",1,0)+IF(ISNUMBER(Table44[[#This Row],[Response]])=TRUE,1,0)=2,Table44[[#This Row],[Response]],"")</f>
        <v>3</v>
      </c>
      <c r="K36" s="5" t="str">
        <f>IF(IF(Table44[[#This Row],[Pre or Post]]="Post",1,0)+IF(ISNUMBER(Table44[[#This Row],[Response]])=TRUE,1,0)=2,Table44[[#This Row],[Response]],"")</f>
        <v/>
      </c>
      <c r="L36" s="5">
        <f>IF(IF(ISNUMBER(J36),1,0)+IF(ISNUMBER(K37),1,0)=2,IF(IF(C37=C36,1,0)+IF(B37=B36,1,0)+IF(D37="Post",1,0)+IF(D36="Pre",1,0)=4,Table44[[#This Row],[Pre Total]],""),"")</f>
        <v>3</v>
      </c>
      <c r="M36" s="5" t="str">
        <f>IF(IF(ISNUMBER(J35),1,0)+IF(ISNUMBER(Table44[[#This Row],[Post Total]]),1,0)=2,IF(IF(Table44[[#This Row],[Student Number]]=C35,1,0)+IF(Table44[[#This Row],[Session]]=B35,1,0)+IF(Table44[[#This Row],[Pre or Post]]="Post",1,0)+IF(D35="Pre",1,0)=4,Table44[[#This Row],[Post Total]],""),"")</f>
        <v/>
      </c>
      <c r="N36" s="5" t="str">
        <f>IF(IF(ISNUMBER(J35),1,0)+IF(ISNUMBER(Table44[[#This Row],[Post Total]]),1,0)=2,IF(IF(Table44[[#This Row],[Student Number]]=C35,1,0)+IF(Table44[[#This Row],[Session]]=B35,1,0)+IF(Table44[[#This Row],[Pre or Post]]="Post",1,0)+IF(D35="Pre",1,0)=4,Table44[[#This Row],[Post Total]]-J35,""),"")</f>
        <v/>
      </c>
      <c r="O36" s="5" t="b">
        <f>ISNUMBER(Table44[[#This Row],[Change]])</f>
        <v>0</v>
      </c>
    </row>
    <row r="37" spans="1:15">
      <c r="A37" s="2" t="s">
        <v>12</v>
      </c>
      <c r="B37" s="2" t="s">
        <v>21</v>
      </c>
      <c r="C37" s="1">
        <v>6</v>
      </c>
      <c r="D37" s="2" t="s">
        <v>16</v>
      </c>
      <c r="E37" s="1">
        <v>2</v>
      </c>
      <c r="F37" s="1">
        <v>4</v>
      </c>
      <c r="G37" s="2" t="s">
        <v>8</v>
      </c>
      <c r="H37" s="5" t="str">
        <f>IF(IF(Table44[[#This Row],[Pre or Post]]="Pre",1,0)+IF(ISNUMBER(Table44[[#This Row],[Response]])=TRUE,1,0)=2,1,"")</f>
        <v/>
      </c>
      <c r="I37" s="5">
        <f>IF(IF(Table44[[#This Row],[Pre or Post]]="Post",1,0)+IF(ISNUMBER(Table44[[#This Row],[Response]])=TRUE,1,0)=2,1,"")</f>
        <v>1</v>
      </c>
      <c r="J37" s="5" t="str">
        <f>IF(IF(Table44[[#This Row],[Pre or Post]]="Pre",1,0)+IF(ISNUMBER(Table44[[#This Row],[Response]])=TRUE,1,0)=2,Table44[[#This Row],[Response]],"")</f>
        <v/>
      </c>
      <c r="K37" s="5">
        <f>IF(IF(Table44[[#This Row],[Pre or Post]]="Post",1,0)+IF(ISNUMBER(Table44[[#This Row],[Response]])=TRUE,1,0)=2,Table44[[#This Row],[Response]],"")</f>
        <v>4</v>
      </c>
      <c r="L37" s="5" t="str">
        <f>IF(IF(ISNUMBER(J37),1,0)+IF(ISNUMBER(K38),1,0)=2,IF(IF(C38=C37,1,0)+IF(B38=B37,1,0)+IF(D38="Post",1,0)+IF(D37="Pre",1,0)=4,Table44[[#This Row],[Pre Total]],""),"")</f>
        <v/>
      </c>
      <c r="M37" s="5">
        <f>IF(IF(ISNUMBER(J36),1,0)+IF(ISNUMBER(Table44[[#This Row],[Post Total]]),1,0)=2,IF(IF(Table44[[#This Row],[Student Number]]=C36,1,0)+IF(Table44[[#This Row],[Session]]=B36,1,0)+IF(Table44[[#This Row],[Pre or Post]]="Post",1,0)+IF(D36="Pre",1,0)=4,Table44[[#This Row],[Post Total]],""),"")</f>
        <v>4</v>
      </c>
      <c r="N37" s="5">
        <f>IF(IF(ISNUMBER(J36),1,0)+IF(ISNUMBER(Table44[[#This Row],[Post Total]]),1,0)=2,IF(IF(Table44[[#This Row],[Student Number]]=C36,1,0)+IF(Table44[[#This Row],[Session]]=B36,1,0)+IF(Table44[[#This Row],[Pre or Post]]="Post",1,0)+IF(D36="Pre",1,0)=4,Table44[[#This Row],[Post Total]]-J36,""),"")</f>
        <v>1</v>
      </c>
      <c r="O37" s="5" t="b">
        <f>ISNUMBER(Table44[[#This Row],[Change]])</f>
        <v>1</v>
      </c>
    </row>
    <row r="38" spans="1:15">
      <c r="A38" s="2" t="s">
        <v>12</v>
      </c>
      <c r="B38" s="2" t="s">
        <v>21</v>
      </c>
      <c r="C38" s="1">
        <v>7</v>
      </c>
      <c r="D38" s="2" t="s">
        <v>6</v>
      </c>
      <c r="E38" s="1">
        <v>9</v>
      </c>
      <c r="F38" s="1">
        <v>4</v>
      </c>
      <c r="G38" s="2" t="s">
        <v>8</v>
      </c>
      <c r="H38" s="5">
        <f>IF(IF(Table44[[#This Row],[Pre or Post]]="Pre",1,0)+IF(ISNUMBER(Table44[[#This Row],[Response]])=TRUE,1,0)=2,1,"")</f>
        <v>1</v>
      </c>
      <c r="I38" s="5" t="str">
        <f>IF(IF(Table44[[#This Row],[Pre or Post]]="Post",1,0)+IF(ISNUMBER(Table44[[#This Row],[Response]])=TRUE,1,0)=2,1,"")</f>
        <v/>
      </c>
      <c r="J38" s="5">
        <f>IF(IF(Table44[[#This Row],[Pre or Post]]="Pre",1,0)+IF(ISNUMBER(Table44[[#This Row],[Response]])=TRUE,1,0)=2,Table44[[#This Row],[Response]],"")</f>
        <v>4</v>
      </c>
      <c r="K38" s="5" t="str">
        <f>IF(IF(Table44[[#This Row],[Pre or Post]]="Post",1,0)+IF(ISNUMBER(Table44[[#This Row],[Response]])=TRUE,1,0)=2,Table44[[#This Row],[Response]],"")</f>
        <v/>
      </c>
      <c r="L38" s="5">
        <f>IF(IF(ISNUMBER(J38),1,0)+IF(ISNUMBER(K39),1,0)=2,IF(IF(C39=C38,1,0)+IF(B39=B38,1,0)+IF(D39="Post",1,0)+IF(D38="Pre",1,0)=4,Table44[[#This Row],[Pre Total]],""),"")</f>
        <v>4</v>
      </c>
      <c r="M38" s="5" t="str">
        <f>IF(IF(ISNUMBER(J37),1,0)+IF(ISNUMBER(Table44[[#This Row],[Post Total]]),1,0)=2,IF(IF(Table44[[#This Row],[Student Number]]=C37,1,0)+IF(Table44[[#This Row],[Session]]=B37,1,0)+IF(Table44[[#This Row],[Pre or Post]]="Post",1,0)+IF(D37="Pre",1,0)=4,Table44[[#This Row],[Post Total]],""),"")</f>
        <v/>
      </c>
      <c r="N38" s="5" t="str">
        <f>IF(IF(ISNUMBER(J37),1,0)+IF(ISNUMBER(Table44[[#This Row],[Post Total]]),1,0)=2,IF(IF(Table44[[#This Row],[Student Number]]=C37,1,0)+IF(Table44[[#This Row],[Session]]=B37,1,0)+IF(Table44[[#This Row],[Pre or Post]]="Post",1,0)+IF(D37="Pre",1,0)=4,Table44[[#This Row],[Post Total]]-J37,""),"")</f>
        <v/>
      </c>
      <c r="O38" s="5" t="b">
        <f>ISNUMBER(Table44[[#This Row],[Change]])</f>
        <v>0</v>
      </c>
    </row>
    <row r="39" spans="1:15">
      <c r="A39" s="2" t="s">
        <v>12</v>
      </c>
      <c r="B39" s="2" t="s">
        <v>21</v>
      </c>
      <c r="C39" s="1">
        <v>7</v>
      </c>
      <c r="D39" s="2" t="s">
        <v>16</v>
      </c>
      <c r="E39" s="1">
        <v>2</v>
      </c>
      <c r="F39" s="1">
        <v>4</v>
      </c>
      <c r="G39" s="2" t="s">
        <v>8</v>
      </c>
      <c r="H39" s="5" t="str">
        <f>IF(IF(Table44[[#This Row],[Pre or Post]]="Pre",1,0)+IF(ISNUMBER(Table44[[#This Row],[Response]])=TRUE,1,0)=2,1,"")</f>
        <v/>
      </c>
      <c r="I39" s="5">
        <f>IF(IF(Table44[[#This Row],[Pre or Post]]="Post",1,0)+IF(ISNUMBER(Table44[[#This Row],[Response]])=TRUE,1,0)=2,1,"")</f>
        <v>1</v>
      </c>
      <c r="J39" s="5" t="str">
        <f>IF(IF(Table44[[#This Row],[Pre or Post]]="Pre",1,0)+IF(ISNUMBER(Table44[[#This Row],[Response]])=TRUE,1,0)=2,Table44[[#This Row],[Response]],"")</f>
        <v/>
      </c>
      <c r="K39" s="5">
        <f>IF(IF(Table44[[#This Row],[Pre or Post]]="Post",1,0)+IF(ISNUMBER(Table44[[#This Row],[Response]])=TRUE,1,0)=2,Table44[[#This Row],[Response]],"")</f>
        <v>4</v>
      </c>
      <c r="L39" s="5" t="str">
        <f>IF(IF(ISNUMBER(J39),1,0)+IF(ISNUMBER(K40),1,0)=2,IF(IF(C40=C39,1,0)+IF(B40=B39,1,0)+IF(D40="Post",1,0)+IF(D39="Pre",1,0)=4,Table44[[#This Row],[Pre Total]],""),"")</f>
        <v/>
      </c>
      <c r="M39" s="5">
        <f>IF(IF(ISNUMBER(J38),1,0)+IF(ISNUMBER(Table44[[#This Row],[Post Total]]),1,0)=2,IF(IF(Table44[[#This Row],[Student Number]]=C38,1,0)+IF(Table44[[#This Row],[Session]]=B38,1,0)+IF(Table44[[#This Row],[Pre or Post]]="Post",1,0)+IF(D38="Pre",1,0)=4,Table44[[#This Row],[Post Total]],""),"")</f>
        <v>4</v>
      </c>
      <c r="N39" s="5">
        <f>IF(IF(ISNUMBER(J38),1,0)+IF(ISNUMBER(Table44[[#This Row],[Post Total]]),1,0)=2,IF(IF(Table44[[#This Row],[Student Number]]=C38,1,0)+IF(Table44[[#This Row],[Session]]=B38,1,0)+IF(Table44[[#This Row],[Pre or Post]]="Post",1,0)+IF(D38="Pre",1,0)=4,Table44[[#This Row],[Post Total]]-J38,""),"")</f>
        <v>0</v>
      </c>
      <c r="O39" s="5" t="b">
        <f>ISNUMBER(Table44[[#This Row],[Change]])</f>
        <v>1</v>
      </c>
    </row>
    <row r="40" spans="1:15">
      <c r="A40" s="2" t="s">
        <v>12</v>
      </c>
      <c r="B40" s="2" t="s">
        <v>21</v>
      </c>
      <c r="C40" s="1">
        <v>8</v>
      </c>
      <c r="D40" s="2" t="s">
        <v>6</v>
      </c>
      <c r="E40" s="1">
        <v>9</v>
      </c>
      <c r="F40" s="1">
        <v>4</v>
      </c>
      <c r="G40" s="2" t="s">
        <v>8</v>
      </c>
      <c r="H40" s="5">
        <f>IF(IF(Table44[[#This Row],[Pre or Post]]="Pre",1,0)+IF(ISNUMBER(Table44[[#This Row],[Response]])=TRUE,1,0)=2,1,"")</f>
        <v>1</v>
      </c>
      <c r="I40" s="5" t="str">
        <f>IF(IF(Table44[[#This Row],[Pre or Post]]="Post",1,0)+IF(ISNUMBER(Table44[[#This Row],[Response]])=TRUE,1,0)=2,1,"")</f>
        <v/>
      </c>
      <c r="J40" s="5">
        <f>IF(IF(Table44[[#This Row],[Pre or Post]]="Pre",1,0)+IF(ISNUMBER(Table44[[#This Row],[Response]])=TRUE,1,0)=2,Table44[[#This Row],[Response]],"")</f>
        <v>4</v>
      </c>
      <c r="K40" s="5" t="str">
        <f>IF(IF(Table44[[#This Row],[Pre or Post]]="Post",1,0)+IF(ISNUMBER(Table44[[#This Row],[Response]])=TRUE,1,0)=2,Table44[[#This Row],[Response]],"")</f>
        <v/>
      </c>
      <c r="L40" s="5">
        <f>IF(IF(ISNUMBER(J40),1,0)+IF(ISNUMBER(K41),1,0)=2,IF(IF(C41=C40,1,0)+IF(B41=B40,1,0)+IF(D41="Post",1,0)+IF(D40="Pre",1,0)=4,Table44[[#This Row],[Pre Total]],""),"")</f>
        <v>4</v>
      </c>
      <c r="M40" s="5" t="str">
        <f>IF(IF(ISNUMBER(J39),1,0)+IF(ISNUMBER(Table44[[#This Row],[Post Total]]),1,0)=2,IF(IF(Table44[[#This Row],[Student Number]]=C39,1,0)+IF(Table44[[#This Row],[Session]]=B39,1,0)+IF(Table44[[#This Row],[Pre or Post]]="Post",1,0)+IF(D39="Pre",1,0)=4,Table44[[#This Row],[Post Total]],""),"")</f>
        <v/>
      </c>
      <c r="N40" s="5" t="str">
        <f>IF(IF(ISNUMBER(J39),1,0)+IF(ISNUMBER(Table44[[#This Row],[Post Total]]),1,0)=2,IF(IF(Table44[[#This Row],[Student Number]]=C39,1,0)+IF(Table44[[#This Row],[Session]]=B39,1,0)+IF(Table44[[#This Row],[Pre or Post]]="Post",1,0)+IF(D39="Pre",1,0)=4,Table44[[#This Row],[Post Total]]-J39,""),"")</f>
        <v/>
      </c>
      <c r="O40" s="5" t="b">
        <f>ISNUMBER(Table44[[#This Row],[Change]])</f>
        <v>0</v>
      </c>
    </row>
    <row r="41" spans="1:15">
      <c r="A41" s="2" t="s">
        <v>12</v>
      </c>
      <c r="B41" s="2" t="s">
        <v>21</v>
      </c>
      <c r="C41" s="1">
        <v>8</v>
      </c>
      <c r="D41" s="2" t="s">
        <v>16</v>
      </c>
      <c r="E41" s="1">
        <v>2</v>
      </c>
      <c r="F41" s="1">
        <v>4</v>
      </c>
      <c r="G41" s="2" t="s">
        <v>8</v>
      </c>
      <c r="H41" s="5" t="str">
        <f>IF(IF(Table44[[#This Row],[Pre or Post]]="Pre",1,0)+IF(ISNUMBER(Table44[[#This Row],[Response]])=TRUE,1,0)=2,1,"")</f>
        <v/>
      </c>
      <c r="I41" s="5">
        <f>IF(IF(Table44[[#This Row],[Pre or Post]]="Post",1,0)+IF(ISNUMBER(Table44[[#This Row],[Response]])=TRUE,1,0)=2,1,"")</f>
        <v>1</v>
      </c>
      <c r="J41" s="5" t="str">
        <f>IF(IF(Table44[[#This Row],[Pre or Post]]="Pre",1,0)+IF(ISNUMBER(Table44[[#This Row],[Response]])=TRUE,1,0)=2,Table44[[#This Row],[Response]],"")</f>
        <v/>
      </c>
      <c r="K41" s="5">
        <f>IF(IF(Table44[[#This Row],[Pre or Post]]="Post",1,0)+IF(ISNUMBER(Table44[[#This Row],[Response]])=TRUE,1,0)=2,Table44[[#This Row],[Response]],"")</f>
        <v>4</v>
      </c>
      <c r="L41" s="5" t="str">
        <f>IF(IF(ISNUMBER(J41),1,0)+IF(ISNUMBER(K42),1,0)=2,IF(IF(C42=C41,1,0)+IF(B42=B41,1,0)+IF(D42="Post",1,0)+IF(D41="Pre",1,0)=4,Table44[[#This Row],[Pre Total]],""),"")</f>
        <v/>
      </c>
      <c r="M41" s="5">
        <f>IF(IF(ISNUMBER(J40),1,0)+IF(ISNUMBER(Table44[[#This Row],[Post Total]]),1,0)=2,IF(IF(Table44[[#This Row],[Student Number]]=C40,1,0)+IF(Table44[[#This Row],[Session]]=B40,1,0)+IF(Table44[[#This Row],[Pre or Post]]="Post",1,0)+IF(D40="Pre",1,0)=4,Table44[[#This Row],[Post Total]],""),"")</f>
        <v>4</v>
      </c>
      <c r="N41" s="5">
        <f>IF(IF(ISNUMBER(J40),1,0)+IF(ISNUMBER(Table44[[#This Row],[Post Total]]),1,0)=2,IF(IF(Table44[[#This Row],[Student Number]]=C40,1,0)+IF(Table44[[#This Row],[Session]]=B40,1,0)+IF(Table44[[#This Row],[Pre or Post]]="Post",1,0)+IF(D40="Pre",1,0)=4,Table44[[#This Row],[Post Total]]-J40,""),"")</f>
        <v>0</v>
      </c>
      <c r="O41" s="5" t="b">
        <f>ISNUMBER(Table44[[#This Row],[Change]])</f>
        <v>1</v>
      </c>
    </row>
    <row r="42" spans="1:15">
      <c r="A42" s="2" t="s">
        <v>12</v>
      </c>
      <c r="B42" s="2" t="s">
        <v>21</v>
      </c>
      <c r="C42" s="1">
        <v>9</v>
      </c>
      <c r="D42" s="2" t="s">
        <v>6</v>
      </c>
      <c r="E42" s="1">
        <v>9</v>
      </c>
      <c r="F42" s="1">
        <v>5</v>
      </c>
      <c r="G42" s="2" t="s">
        <v>8</v>
      </c>
      <c r="H42" s="5">
        <f>IF(IF(Table44[[#This Row],[Pre or Post]]="Pre",1,0)+IF(ISNUMBER(Table44[[#This Row],[Response]])=TRUE,1,0)=2,1,"")</f>
        <v>1</v>
      </c>
      <c r="I42" s="5" t="str">
        <f>IF(IF(Table44[[#This Row],[Pre or Post]]="Post",1,0)+IF(ISNUMBER(Table44[[#This Row],[Response]])=TRUE,1,0)=2,1,"")</f>
        <v/>
      </c>
      <c r="J42" s="5">
        <f>IF(IF(Table44[[#This Row],[Pre or Post]]="Pre",1,0)+IF(ISNUMBER(Table44[[#This Row],[Response]])=TRUE,1,0)=2,Table44[[#This Row],[Response]],"")</f>
        <v>5</v>
      </c>
      <c r="K42" s="5" t="str">
        <f>IF(IF(Table44[[#This Row],[Pre or Post]]="Post",1,0)+IF(ISNUMBER(Table44[[#This Row],[Response]])=TRUE,1,0)=2,Table44[[#This Row],[Response]],"")</f>
        <v/>
      </c>
      <c r="L42" s="5">
        <f>IF(IF(ISNUMBER(J42),1,0)+IF(ISNUMBER(K43),1,0)=2,IF(IF(C43=C42,1,0)+IF(B43=B42,1,0)+IF(D43="Post",1,0)+IF(D42="Pre",1,0)=4,Table44[[#This Row],[Pre Total]],""),"")</f>
        <v>5</v>
      </c>
      <c r="M42" s="5" t="str">
        <f>IF(IF(ISNUMBER(J41),1,0)+IF(ISNUMBER(Table44[[#This Row],[Post Total]]),1,0)=2,IF(IF(Table44[[#This Row],[Student Number]]=C41,1,0)+IF(Table44[[#This Row],[Session]]=B41,1,0)+IF(Table44[[#This Row],[Pre or Post]]="Post",1,0)+IF(D41="Pre",1,0)=4,Table44[[#This Row],[Post Total]],""),"")</f>
        <v/>
      </c>
      <c r="N42" s="5" t="str">
        <f>IF(IF(ISNUMBER(J41),1,0)+IF(ISNUMBER(Table44[[#This Row],[Post Total]]),1,0)=2,IF(IF(Table44[[#This Row],[Student Number]]=C41,1,0)+IF(Table44[[#This Row],[Session]]=B41,1,0)+IF(Table44[[#This Row],[Pre or Post]]="Post",1,0)+IF(D41="Pre",1,0)=4,Table44[[#This Row],[Post Total]]-J41,""),"")</f>
        <v/>
      </c>
      <c r="O42" s="5" t="b">
        <f>ISNUMBER(Table44[[#This Row],[Change]])</f>
        <v>0</v>
      </c>
    </row>
    <row r="43" spans="1:15">
      <c r="A43" s="2" t="s">
        <v>12</v>
      </c>
      <c r="B43" s="2" t="s">
        <v>21</v>
      </c>
      <c r="C43" s="1">
        <v>9</v>
      </c>
      <c r="D43" s="2" t="s">
        <v>16</v>
      </c>
      <c r="E43" s="1">
        <v>2</v>
      </c>
      <c r="F43" s="1">
        <v>4</v>
      </c>
      <c r="G43" s="2" t="s">
        <v>8</v>
      </c>
      <c r="H43" s="5" t="str">
        <f>IF(IF(Table44[[#This Row],[Pre or Post]]="Pre",1,0)+IF(ISNUMBER(Table44[[#This Row],[Response]])=TRUE,1,0)=2,1,"")</f>
        <v/>
      </c>
      <c r="I43" s="5">
        <f>IF(IF(Table44[[#This Row],[Pre or Post]]="Post",1,0)+IF(ISNUMBER(Table44[[#This Row],[Response]])=TRUE,1,0)=2,1,"")</f>
        <v>1</v>
      </c>
      <c r="J43" s="5" t="str">
        <f>IF(IF(Table44[[#This Row],[Pre or Post]]="Pre",1,0)+IF(ISNUMBER(Table44[[#This Row],[Response]])=TRUE,1,0)=2,Table44[[#This Row],[Response]],"")</f>
        <v/>
      </c>
      <c r="K43" s="5">
        <f>IF(IF(Table44[[#This Row],[Pre or Post]]="Post",1,0)+IF(ISNUMBER(Table44[[#This Row],[Response]])=TRUE,1,0)=2,Table44[[#This Row],[Response]],"")</f>
        <v>4</v>
      </c>
      <c r="L43" s="5" t="str">
        <f>IF(IF(ISNUMBER(J43),1,0)+IF(ISNUMBER(K44),1,0)=2,IF(IF(C44=C43,1,0)+IF(B44=B43,1,0)+IF(D44="Post",1,0)+IF(D43="Pre",1,0)=4,Table44[[#This Row],[Pre Total]],""),"")</f>
        <v/>
      </c>
      <c r="M43" s="5">
        <f>IF(IF(ISNUMBER(J42),1,0)+IF(ISNUMBER(Table44[[#This Row],[Post Total]]),1,0)=2,IF(IF(Table44[[#This Row],[Student Number]]=C42,1,0)+IF(Table44[[#This Row],[Session]]=B42,1,0)+IF(Table44[[#This Row],[Pre or Post]]="Post",1,0)+IF(D42="Pre",1,0)=4,Table44[[#This Row],[Post Total]],""),"")</f>
        <v>4</v>
      </c>
      <c r="N43" s="5">
        <f>IF(IF(ISNUMBER(J42),1,0)+IF(ISNUMBER(Table44[[#This Row],[Post Total]]),1,0)=2,IF(IF(Table44[[#This Row],[Student Number]]=C42,1,0)+IF(Table44[[#This Row],[Session]]=B42,1,0)+IF(Table44[[#This Row],[Pre or Post]]="Post",1,0)+IF(D42="Pre",1,0)=4,Table44[[#This Row],[Post Total]]-J42,""),"")</f>
        <v>-1</v>
      </c>
      <c r="O43" s="5" t="b">
        <f>ISNUMBER(Table44[[#This Row],[Change]])</f>
        <v>1</v>
      </c>
    </row>
    <row r="44" spans="1:15">
      <c r="A44" s="2" t="s">
        <v>12</v>
      </c>
      <c r="B44" s="2" t="s">
        <v>21</v>
      </c>
      <c r="C44" s="1">
        <v>10</v>
      </c>
      <c r="D44" s="2" t="s">
        <v>6</v>
      </c>
      <c r="E44" s="1">
        <v>9</v>
      </c>
      <c r="F44" s="1">
        <v>3</v>
      </c>
      <c r="G44" s="2" t="s">
        <v>8</v>
      </c>
      <c r="H44" s="5">
        <f>IF(IF(Table44[[#This Row],[Pre or Post]]="Pre",1,0)+IF(ISNUMBER(Table44[[#This Row],[Response]])=TRUE,1,0)=2,1,"")</f>
        <v>1</v>
      </c>
      <c r="I44" s="5" t="str">
        <f>IF(IF(Table44[[#This Row],[Pre or Post]]="Post",1,0)+IF(ISNUMBER(Table44[[#This Row],[Response]])=TRUE,1,0)=2,1,"")</f>
        <v/>
      </c>
      <c r="J44" s="5">
        <f>IF(IF(Table44[[#This Row],[Pre or Post]]="Pre",1,0)+IF(ISNUMBER(Table44[[#This Row],[Response]])=TRUE,1,0)=2,Table44[[#This Row],[Response]],"")</f>
        <v>3</v>
      </c>
      <c r="K44" s="5" t="str">
        <f>IF(IF(Table44[[#This Row],[Pre or Post]]="Post",1,0)+IF(ISNUMBER(Table44[[#This Row],[Response]])=TRUE,1,0)=2,Table44[[#This Row],[Response]],"")</f>
        <v/>
      </c>
      <c r="L44" s="5">
        <f>IF(IF(ISNUMBER(J44),1,0)+IF(ISNUMBER(K45),1,0)=2,IF(IF(C45=C44,1,0)+IF(B45=B44,1,0)+IF(D45="Post",1,0)+IF(D44="Pre",1,0)=4,Table44[[#This Row],[Pre Total]],""),"")</f>
        <v>3</v>
      </c>
      <c r="M44" s="5" t="str">
        <f>IF(IF(ISNUMBER(J43),1,0)+IF(ISNUMBER(Table44[[#This Row],[Post Total]]),1,0)=2,IF(IF(Table44[[#This Row],[Student Number]]=C43,1,0)+IF(Table44[[#This Row],[Session]]=B43,1,0)+IF(Table44[[#This Row],[Pre or Post]]="Post",1,0)+IF(D43="Pre",1,0)=4,Table44[[#This Row],[Post Total]],""),"")</f>
        <v/>
      </c>
      <c r="N44" s="5" t="str">
        <f>IF(IF(ISNUMBER(J43),1,0)+IF(ISNUMBER(Table44[[#This Row],[Post Total]]),1,0)=2,IF(IF(Table44[[#This Row],[Student Number]]=C43,1,0)+IF(Table44[[#This Row],[Session]]=B43,1,0)+IF(Table44[[#This Row],[Pre or Post]]="Post",1,0)+IF(D43="Pre",1,0)=4,Table44[[#This Row],[Post Total]]-J43,""),"")</f>
        <v/>
      </c>
      <c r="O44" s="5" t="b">
        <f>ISNUMBER(Table44[[#This Row],[Change]])</f>
        <v>0</v>
      </c>
    </row>
    <row r="45" spans="1:15">
      <c r="A45" s="2" t="s">
        <v>12</v>
      </c>
      <c r="B45" s="2" t="s">
        <v>21</v>
      </c>
      <c r="C45" s="1">
        <v>10</v>
      </c>
      <c r="D45" s="2" t="s">
        <v>16</v>
      </c>
      <c r="E45" s="1">
        <v>2</v>
      </c>
      <c r="F45" s="1">
        <v>2</v>
      </c>
      <c r="G45" s="2" t="s">
        <v>8</v>
      </c>
      <c r="H45" s="5" t="str">
        <f>IF(IF(Table44[[#This Row],[Pre or Post]]="Pre",1,0)+IF(ISNUMBER(Table44[[#This Row],[Response]])=TRUE,1,0)=2,1,"")</f>
        <v/>
      </c>
      <c r="I45" s="5">
        <f>IF(IF(Table44[[#This Row],[Pre or Post]]="Post",1,0)+IF(ISNUMBER(Table44[[#This Row],[Response]])=TRUE,1,0)=2,1,"")</f>
        <v>1</v>
      </c>
      <c r="J45" s="5" t="str">
        <f>IF(IF(Table44[[#This Row],[Pre or Post]]="Pre",1,0)+IF(ISNUMBER(Table44[[#This Row],[Response]])=TRUE,1,0)=2,Table44[[#This Row],[Response]],"")</f>
        <v/>
      </c>
      <c r="K45" s="5">
        <f>IF(IF(Table44[[#This Row],[Pre or Post]]="Post",1,0)+IF(ISNUMBER(Table44[[#This Row],[Response]])=TRUE,1,0)=2,Table44[[#This Row],[Response]],"")</f>
        <v>2</v>
      </c>
      <c r="L45" s="5" t="str">
        <f>IF(IF(ISNUMBER(J45),1,0)+IF(ISNUMBER(K46),1,0)=2,IF(IF(C46=C45,1,0)+IF(B46=B45,1,0)+IF(D46="Post",1,0)+IF(D45="Pre",1,0)=4,Table44[[#This Row],[Pre Total]],""),"")</f>
        <v/>
      </c>
      <c r="M45" s="5">
        <f>IF(IF(ISNUMBER(J44),1,0)+IF(ISNUMBER(Table44[[#This Row],[Post Total]]),1,0)=2,IF(IF(Table44[[#This Row],[Student Number]]=C44,1,0)+IF(Table44[[#This Row],[Session]]=B44,1,0)+IF(Table44[[#This Row],[Pre or Post]]="Post",1,0)+IF(D44="Pre",1,0)=4,Table44[[#This Row],[Post Total]],""),"")</f>
        <v>2</v>
      </c>
      <c r="N45" s="5">
        <f>IF(IF(ISNUMBER(J44),1,0)+IF(ISNUMBER(Table44[[#This Row],[Post Total]]),1,0)=2,IF(IF(Table44[[#This Row],[Student Number]]=C44,1,0)+IF(Table44[[#This Row],[Session]]=B44,1,0)+IF(Table44[[#This Row],[Pre or Post]]="Post",1,0)+IF(D44="Pre",1,0)=4,Table44[[#This Row],[Post Total]]-J44,""),"")</f>
        <v>-1</v>
      </c>
      <c r="O45" s="5" t="b">
        <f>ISNUMBER(Table44[[#This Row],[Change]])</f>
        <v>1</v>
      </c>
    </row>
    <row r="46" spans="1:15">
      <c r="A46" s="2" t="s">
        <v>12</v>
      </c>
      <c r="B46" s="2" t="s">
        <v>21</v>
      </c>
      <c r="C46" s="1">
        <v>11</v>
      </c>
      <c r="D46" s="2" t="s">
        <v>6</v>
      </c>
      <c r="E46" s="1">
        <v>9</v>
      </c>
      <c r="F46" s="1">
        <v>4</v>
      </c>
      <c r="G46" s="2" t="s">
        <v>8</v>
      </c>
      <c r="H46" s="5">
        <f>IF(IF(Table44[[#This Row],[Pre or Post]]="Pre",1,0)+IF(ISNUMBER(Table44[[#This Row],[Response]])=TRUE,1,0)=2,1,"")</f>
        <v>1</v>
      </c>
      <c r="I46" s="5" t="str">
        <f>IF(IF(Table44[[#This Row],[Pre or Post]]="Post",1,0)+IF(ISNUMBER(Table44[[#This Row],[Response]])=TRUE,1,0)=2,1,"")</f>
        <v/>
      </c>
      <c r="J46" s="5">
        <f>IF(IF(Table44[[#This Row],[Pre or Post]]="Pre",1,0)+IF(ISNUMBER(Table44[[#This Row],[Response]])=TRUE,1,0)=2,Table44[[#This Row],[Response]],"")</f>
        <v>4</v>
      </c>
      <c r="K46" s="5" t="str">
        <f>IF(IF(Table44[[#This Row],[Pre or Post]]="Post",1,0)+IF(ISNUMBER(Table44[[#This Row],[Response]])=TRUE,1,0)=2,Table44[[#This Row],[Response]],"")</f>
        <v/>
      </c>
      <c r="L46" s="5">
        <f>IF(IF(ISNUMBER(J46),1,0)+IF(ISNUMBER(K47),1,0)=2,IF(IF(C47=C46,1,0)+IF(B47=B46,1,0)+IF(D47="Post",1,0)+IF(D46="Pre",1,0)=4,Table44[[#This Row],[Pre Total]],""),"")</f>
        <v>4</v>
      </c>
      <c r="M46" s="5" t="str">
        <f>IF(IF(ISNUMBER(J45),1,0)+IF(ISNUMBER(Table44[[#This Row],[Post Total]]),1,0)=2,IF(IF(Table44[[#This Row],[Student Number]]=C45,1,0)+IF(Table44[[#This Row],[Session]]=B45,1,0)+IF(Table44[[#This Row],[Pre or Post]]="Post",1,0)+IF(D45="Pre",1,0)=4,Table44[[#This Row],[Post Total]],""),"")</f>
        <v/>
      </c>
      <c r="N46" s="5" t="str">
        <f>IF(IF(ISNUMBER(J45),1,0)+IF(ISNUMBER(Table44[[#This Row],[Post Total]]),1,0)=2,IF(IF(Table44[[#This Row],[Student Number]]=C45,1,0)+IF(Table44[[#This Row],[Session]]=B45,1,0)+IF(Table44[[#This Row],[Pre or Post]]="Post",1,0)+IF(D45="Pre",1,0)=4,Table44[[#This Row],[Post Total]]-J45,""),"")</f>
        <v/>
      </c>
      <c r="O46" s="5" t="b">
        <f>ISNUMBER(Table44[[#This Row],[Change]])</f>
        <v>0</v>
      </c>
    </row>
    <row r="47" spans="1:15">
      <c r="A47" s="2" t="s">
        <v>12</v>
      </c>
      <c r="B47" s="2" t="s">
        <v>21</v>
      </c>
      <c r="C47" s="1">
        <v>11</v>
      </c>
      <c r="D47" s="2" t="s">
        <v>16</v>
      </c>
      <c r="E47" s="1">
        <v>2</v>
      </c>
      <c r="F47" s="1">
        <v>4</v>
      </c>
      <c r="G47" s="2" t="s">
        <v>8</v>
      </c>
      <c r="H47" s="5" t="str">
        <f>IF(IF(Table44[[#This Row],[Pre or Post]]="Pre",1,0)+IF(ISNUMBER(Table44[[#This Row],[Response]])=TRUE,1,0)=2,1,"")</f>
        <v/>
      </c>
      <c r="I47" s="5">
        <f>IF(IF(Table44[[#This Row],[Pre or Post]]="Post",1,0)+IF(ISNUMBER(Table44[[#This Row],[Response]])=TRUE,1,0)=2,1,"")</f>
        <v>1</v>
      </c>
      <c r="J47" s="5" t="str">
        <f>IF(IF(Table44[[#This Row],[Pre or Post]]="Pre",1,0)+IF(ISNUMBER(Table44[[#This Row],[Response]])=TRUE,1,0)=2,Table44[[#This Row],[Response]],"")</f>
        <v/>
      </c>
      <c r="K47" s="5">
        <f>IF(IF(Table44[[#This Row],[Pre or Post]]="Post",1,0)+IF(ISNUMBER(Table44[[#This Row],[Response]])=TRUE,1,0)=2,Table44[[#This Row],[Response]],"")</f>
        <v>4</v>
      </c>
      <c r="L47" s="5" t="str">
        <f>IF(IF(ISNUMBER(J47),1,0)+IF(ISNUMBER(K48),1,0)=2,IF(IF(C48=C47,1,0)+IF(B48=B47,1,0)+IF(D48="Post",1,0)+IF(D47="Pre",1,0)=4,Table44[[#This Row],[Pre Total]],""),"")</f>
        <v/>
      </c>
      <c r="M47" s="5">
        <f>IF(IF(ISNUMBER(J46),1,0)+IF(ISNUMBER(Table44[[#This Row],[Post Total]]),1,0)=2,IF(IF(Table44[[#This Row],[Student Number]]=C46,1,0)+IF(Table44[[#This Row],[Session]]=B46,1,0)+IF(Table44[[#This Row],[Pre or Post]]="Post",1,0)+IF(D46="Pre",1,0)=4,Table44[[#This Row],[Post Total]],""),"")</f>
        <v>4</v>
      </c>
      <c r="N47" s="5">
        <f>IF(IF(ISNUMBER(J46),1,0)+IF(ISNUMBER(Table44[[#This Row],[Post Total]]),1,0)=2,IF(IF(Table44[[#This Row],[Student Number]]=C46,1,0)+IF(Table44[[#This Row],[Session]]=B46,1,0)+IF(Table44[[#This Row],[Pre or Post]]="Post",1,0)+IF(D46="Pre",1,0)=4,Table44[[#This Row],[Post Total]]-J46,""),"")</f>
        <v>0</v>
      </c>
      <c r="O47" s="5" t="b">
        <f>ISNUMBER(Table44[[#This Row],[Change]])</f>
        <v>1</v>
      </c>
    </row>
    <row r="48" spans="1:15">
      <c r="A48" s="2" t="s">
        <v>12</v>
      </c>
      <c r="B48" s="2" t="s">
        <v>21</v>
      </c>
      <c r="C48" s="1">
        <v>12</v>
      </c>
      <c r="D48" s="2" t="s">
        <v>6</v>
      </c>
      <c r="E48" s="1">
        <v>9</v>
      </c>
      <c r="F48" s="1">
        <v>1</v>
      </c>
      <c r="G48" s="2" t="s">
        <v>8</v>
      </c>
      <c r="H48" s="5">
        <f>IF(IF(Table44[[#This Row],[Pre or Post]]="Pre",1,0)+IF(ISNUMBER(Table44[[#This Row],[Response]])=TRUE,1,0)=2,1,"")</f>
        <v>1</v>
      </c>
      <c r="I48" s="5" t="str">
        <f>IF(IF(Table44[[#This Row],[Pre or Post]]="Post",1,0)+IF(ISNUMBER(Table44[[#This Row],[Response]])=TRUE,1,0)=2,1,"")</f>
        <v/>
      </c>
      <c r="J48" s="5">
        <f>IF(IF(Table44[[#This Row],[Pre or Post]]="Pre",1,0)+IF(ISNUMBER(Table44[[#This Row],[Response]])=TRUE,1,0)=2,Table44[[#This Row],[Response]],"")</f>
        <v>1</v>
      </c>
      <c r="K48" s="5" t="str">
        <f>IF(IF(Table44[[#This Row],[Pre or Post]]="Post",1,0)+IF(ISNUMBER(Table44[[#This Row],[Response]])=TRUE,1,0)=2,Table44[[#This Row],[Response]],"")</f>
        <v/>
      </c>
      <c r="L48" s="5">
        <f>IF(IF(ISNUMBER(J48),1,0)+IF(ISNUMBER(K49),1,0)=2,IF(IF(C49=C48,1,0)+IF(B49=B48,1,0)+IF(D49="Post",1,0)+IF(D48="Pre",1,0)=4,Table44[[#This Row],[Pre Total]],""),"")</f>
        <v>1</v>
      </c>
      <c r="M48" s="5" t="str">
        <f>IF(IF(ISNUMBER(J47),1,0)+IF(ISNUMBER(Table44[[#This Row],[Post Total]]),1,0)=2,IF(IF(Table44[[#This Row],[Student Number]]=C47,1,0)+IF(Table44[[#This Row],[Session]]=B47,1,0)+IF(Table44[[#This Row],[Pre or Post]]="Post",1,0)+IF(D47="Pre",1,0)=4,Table44[[#This Row],[Post Total]],""),"")</f>
        <v/>
      </c>
      <c r="N48" s="5" t="str">
        <f>IF(IF(ISNUMBER(J47),1,0)+IF(ISNUMBER(Table44[[#This Row],[Post Total]]),1,0)=2,IF(IF(Table44[[#This Row],[Student Number]]=C47,1,0)+IF(Table44[[#This Row],[Session]]=B47,1,0)+IF(Table44[[#This Row],[Pre or Post]]="Post",1,0)+IF(D47="Pre",1,0)=4,Table44[[#This Row],[Post Total]]-J47,""),"")</f>
        <v/>
      </c>
      <c r="O48" s="5" t="b">
        <f>ISNUMBER(Table44[[#This Row],[Change]])</f>
        <v>0</v>
      </c>
    </row>
    <row r="49" spans="1:15">
      <c r="A49" s="2" t="s">
        <v>12</v>
      </c>
      <c r="B49" s="2" t="s">
        <v>21</v>
      </c>
      <c r="C49" s="1">
        <v>12</v>
      </c>
      <c r="D49" s="2" t="s">
        <v>16</v>
      </c>
      <c r="E49" s="1">
        <v>2</v>
      </c>
      <c r="F49" s="1">
        <v>1</v>
      </c>
      <c r="G49" s="2" t="s">
        <v>8</v>
      </c>
      <c r="H49" s="5" t="str">
        <f>IF(IF(Table44[[#This Row],[Pre or Post]]="Pre",1,0)+IF(ISNUMBER(Table44[[#This Row],[Response]])=TRUE,1,0)=2,1,"")</f>
        <v/>
      </c>
      <c r="I49" s="5">
        <f>IF(IF(Table44[[#This Row],[Pre or Post]]="Post",1,0)+IF(ISNUMBER(Table44[[#This Row],[Response]])=TRUE,1,0)=2,1,"")</f>
        <v>1</v>
      </c>
      <c r="J49" s="5" t="str">
        <f>IF(IF(Table44[[#This Row],[Pre or Post]]="Pre",1,0)+IF(ISNUMBER(Table44[[#This Row],[Response]])=TRUE,1,0)=2,Table44[[#This Row],[Response]],"")</f>
        <v/>
      </c>
      <c r="K49" s="5">
        <f>IF(IF(Table44[[#This Row],[Pre or Post]]="Post",1,0)+IF(ISNUMBER(Table44[[#This Row],[Response]])=TRUE,1,0)=2,Table44[[#This Row],[Response]],"")</f>
        <v>1</v>
      </c>
      <c r="L49" s="5" t="str">
        <f>IF(IF(ISNUMBER(J49),1,0)+IF(ISNUMBER(K50),1,0)=2,IF(IF(C50=C49,1,0)+IF(B50=B49,1,0)+IF(D50="Post",1,0)+IF(D49="Pre",1,0)=4,Table44[[#This Row],[Pre Total]],""),"")</f>
        <v/>
      </c>
      <c r="M49" s="5">
        <f>IF(IF(ISNUMBER(J48),1,0)+IF(ISNUMBER(Table44[[#This Row],[Post Total]]),1,0)=2,IF(IF(Table44[[#This Row],[Student Number]]=C48,1,0)+IF(Table44[[#This Row],[Session]]=B48,1,0)+IF(Table44[[#This Row],[Pre or Post]]="Post",1,0)+IF(D48="Pre",1,0)=4,Table44[[#This Row],[Post Total]],""),"")</f>
        <v>1</v>
      </c>
      <c r="N49" s="5">
        <f>IF(IF(ISNUMBER(J48),1,0)+IF(ISNUMBER(Table44[[#This Row],[Post Total]]),1,0)=2,IF(IF(Table44[[#This Row],[Student Number]]=C48,1,0)+IF(Table44[[#This Row],[Session]]=B48,1,0)+IF(Table44[[#This Row],[Pre or Post]]="Post",1,0)+IF(D48="Pre",1,0)=4,Table44[[#This Row],[Post Total]]-J48,""),"")</f>
        <v>0</v>
      </c>
      <c r="O49" s="5" t="b">
        <f>ISNUMBER(Table44[[#This Row],[Change]])</f>
        <v>1</v>
      </c>
    </row>
    <row r="50" spans="1:15">
      <c r="A50" s="2" t="s">
        <v>12</v>
      </c>
      <c r="B50" s="2" t="s">
        <v>21</v>
      </c>
      <c r="C50" s="1">
        <v>13</v>
      </c>
      <c r="D50" s="2" t="s">
        <v>6</v>
      </c>
      <c r="E50" s="1">
        <v>9</v>
      </c>
      <c r="F50" s="1">
        <v>4</v>
      </c>
      <c r="G50" s="2" t="s">
        <v>8</v>
      </c>
      <c r="H50" s="5">
        <f>IF(IF(Table44[[#This Row],[Pre or Post]]="Pre",1,0)+IF(ISNUMBER(Table44[[#This Row],[Response]])=TRUE,1,0)=2,1,"")</f>
        <v>1</v>
      </c>
      <c r="I50" s="5" t="str">
        <f>IF(IF(Table44[[#This Row],[Pre or Post]]="Post",1,0)+IF(ISNUMBER(Table44[[#This Row],[Response]])=TRUE,1,0)=2,1,"")</f>
        <v/>
      </c>
      <c r="J50" s="5">
        <f>IF(IF(Table44[[#This Row],[Pre or Post]]="Pre",1,0)+IF(ISNUMBER(Table44[[#This Row],[Response]])=TRUE,1,0)=2,Table44[[#This Row],[Response]],"")</f>
        <v>4</v>
      </c>
      <c r="K50" s="5" t="str">
        <f>IF(IF(Table44[[#This Row],[Pre or Post]]="Post",1,0)+IF(ISNUMBER(Table44[[#This Row],[Response]])=TRUE,1,0)=2,Table44[[#This Row],[Response]],"")</f>
        <v/>
      </c>
      <c r="L50" s="5">
        <f>IF(IF(ISNUMBER(J50),1,0)+IF(ISNUMBER(K51),1,0)=2,IF(IF(C51=C50,1,0)+IF(B51=B50,1,0)+IF(D51="Post",1,0)+IF(D50="Pre",1,0)=4,Table44[[#This Row],[Pre Total]],""),"")</f>
        <v>4</v>
      </c>
      <c r="M50" s="5" t="str">
        <f>IF(IF(ISNUMBER(J49),1,0)+IF(ISNUMBER(Table44[[#This Row],[Post Total]]),1,0)=2,IF(IF(Table44[[#This Row],[Student Number]]=C49,1,0)+IF(Table44[[#This Row],[Session]]=B49,1,0)+IF(Table44[[#This Row],[Pre or Post]]="Post",1,0)+IF(D49="Pre",1,0)=4,Table44[[#This Row],[Post Total]],""),"")</f>
        <v/>
      </c>
      <c r="N50" s="5" t="str">
        <f>IF(IF(ISNUMBER(J49),1,0)+IF(ISNUMBER(Table44[[#This Row],[Post Total]]),1,0)=2,IF(IF(Table44[[#This Row],[Student Number]]=C49,1,0)+IF(Table44[[#This Row],[Session]]=B49,1,0)+IF(Table44[[#This Row],[Pre or Post]]="Post",1,0)+IF(D49="Pre",1,0)=4,Table44[[#This Row],[Post Total]]-J49,""),"")</f>
        <v/>
      </c>
      <c r="O50" s="5" t="b">
        <f>ISNUMBER(Table44[[#This Row],[Change]])</f>
        <v>0</v>
      </c>
    </row>
    <row r="51" spans="1:15">
      <c r="A51" s="2" t="s">
        <v>12</v>
      </c>
      <c r="B51" s="2" t="s">
        <v>21</v>
      </c>
      <c r="C51" s="1">
        <v>13</v>
      </c>
      <c r="D51" s="2" t="s">
        <v>16</v>
      </c>
      <c r="E51" s="1">
        <v>2</v>
      </c>
      <c r="F51" s="1">
        <v>4</v>
      </c>
      <c r="G51" s="2" t="s">
        <v>8</v>
      </c>
      <c r="H51" s="5" t="str">
        <f>IF(IF(Table44[[#This Row],[Pre or Post]]="Pre",1,0)+IF(ISNUMBER(Table44[[#This Row],[Response]])=TRUE,1,0)=2,1,"")</f>
        <v/>
      </c>
      <c r="I51" s="5">
        <f>IF(IF(Table44[[#This Row],[Pre or Post]]="Post",1,0)+IF(ISNUMBER(Table44[[#This Row],[Response]])=TRUE,1,0)=2,1,"")</f>
        <v>1</v>
      </c>
      <c r="J51" s="5" t="str">
        <f>IF(IF(Table44[[#This Row],[Pre or Post]]="Pre",1,0)+IF(ISNUMBER(Table44[[#This Row],[Response]])=TRUE,1,0)=2,Table44[[#This Row],[Response]],"")</f>
        <v/>
      </c>
      <c r="K51" s="5">
        <f>IF(IF(Table44[[#This Row],[Pre or Post]]="Post",1,0)+IF(ISNUMBER(Table44[[#This Row],[Response]])=TRUE,1,0)=2,Table44[[#This Row],[Response]],"")</f>
        <v>4</v>
      </c>
      <c r="L51" s="5" t="str">
        <f>IF(IF(ISNUMBER(J51),1,0)+IF(ISNUMBER(K52),1,0)=2,IF(IF(C52=C51,1,0)+IF(B52=B51,1,0)+IF(D52="Post",1,0)+IF(D51="Pre",1,0)=4,Table44[[#This Row],[Pre Total]],""),"")</f>
        <v/>
      </c>
      <c r="M51" s="5">
        <f>IF(IF(ISNUMBER(J50),1,0)+IF(ISNUMBER(Table44[[#This Row],[Post Total]]),1,0)=2,IF(IF(Table44[[#This Row],[Student Number]]=C50,1,0)+IF(Table44[[#This Row],[Session]]=B50,1,0)+IF(Table44[[#This Row],[Pre or Post]]="Post",1,0)+IF(D50="Pre",1,0)=4,Table44[[#This Row],[Post Total]],""),"")</f>
        <v>4</v>
      </c>
      <c r="N51" s="5">
        <f>IF(IF(ISNUMBER(J50),1,0)+IF(ISNUMBER(Table44[[#This Row],[Post Total]]),1,0)=2,IF(IF(Table44[[#This Row],[Student Number]]=C50,1,0)+IF(Table44[[#This Row],[Session]]=B50,1,0)+IF(Table44[[#This Row],[Pre or Post]]="Post",1,0)+IF(D50="Pre",1,0)=4,Table44[[#This Row],[Post Total]]-J50,""),"")</f>
        <v>0</v>
      </c>
      <c r="O51" s="5" t="b">
        <f>ISNUMBER(Table44[[#This Row],[Change]])</f>
        <v>1</v>
      </c>
    </row>
    <row r="52" spans="1:15">
      <c r="A52" s="2" t="s">
        <v>12</v>
      </c>
      <c r="B52" s="2" t="s">
        <v>21</v>
      </c>
      <c r="C52" s="1">
        <v>14</v>
      </c>
      <c r="D52" s="2" t="s">
        <v>6</v>
      </c>
      <c r="E52" s="1">
        <v>9</v>
      </c>
      <c r="F52" s="1">
        <v>3</v>
      </c>
      <c r="G52" s="2" t="s">
        <v>8</v>
      </c>
      <c r="H52" s="5">
        <f>IF(IF(Table44[[#This Row],[Pre or Post]]="Pre",1,0)+IF(ISNUMBER(Table44[[#This Row],[Response]])=TRUE,1,0)=2,1,"")</f>
        <v>1</v>
      </c>
      <c r="I52" s="5" t="str">
        <f>IF(IF(Table44[[#This Row],[Pre or Post]]="Post",1,0)+IF(ISNUMBER(Table44[[#This Row],[Response]])=TRUE,1,0)=2,1,"")</f>
        <v/>
      </c>
      <c r="J52" s="5">
        <f>IF(IF(Table44[[#This Row],[Pre or Post]]="Pre",1,0)+IF(ISNUMBER(Table44[[#This Row],[Response]])=TRUE,1,0)=2,Table44[[#This Row],[Response]],"")</f>
        <v>3</v>
      </c>
      <c r="K52" s="5" t="str">
        <f>IF(IF(Table44[[#This Row],[Pre or Post]]="Post",1,0)+IF(ISNUMBER(Table44[[#This Row],[Response]])=TRUE,1,0)=2,Table44[[#This Row],[Response]],"")</f>
        <v/>
      </c>
      <c r="L52" s="5">
        <f>IF(IF(ISNUMBER(J52),1,0)+IF(ISNUMBER(K53),1,0)=2,IF(IF(C53=C52,1,0)+IF(B53=B52,1,0)+IF(D53="Post",1,0)+IF(D52="Pre",1,0)=4,Table44[[#This Row],[Pre Total]],""),"")</f>
        <v>3</v>
      </c>
      <c r="M52" s="5" t="str">
        <f>IF(IF(ISNUMBER(J51),1,0)+IF(ISNUMBER(Table44[[#This Row],[Post Total]]),1,0)=2,IF(IF(Table44[[#This Row],[Student Number]]=C51,1,0)+IF(Table44[[#This Row],[Session]]=B51,1,0)+IF(Table44[[#This Row],[Pre or Post]]="Post",1,0)+IF(D51="Pre",1,0)=4,Table44[[#This Row],[Post Total]],""),"")</f>
        <v/>
      </c>
      <c r="N52" s="5" t="str">
        <f>IF(IF(ISNUMBER(J51),1,0)+IF(ISNUMBER(Table44[[#This Row],[Post Total]]),1,0)=2,IF(IF(Table44[[#This Row],[Student Number]]=C51,1,0)+IF(Table44[[#This Row],[Session]]=B51,1,0)+IF(Table44[[#This Row],[Pre or Post]]="Post",1,0)+IF(D51="Pre",1,0)=4,Table44[[#This Row],[Post Total]]-J51,""),"")</f>
        <v/>
      </c>
      <c r="O52" s="5" t="b">
        <f>ISNUMBER(Table44[[#This Row],[Change]])</f>
        <v>0</v>
      </c>
    </row>
    <row r="53" spans="1:15">
      <c r="A53" s="2" t="s">
        <v>12</v>
      </c>
      <c r="B53" s="2" t="s">
        <v>21</v>
      </c>
      <c r="C53" s="1">
        <v>14</v>
      </c>
      <c r="D53" s="2" t="s">
        <v>16</v>
      </c>
      <c r="E53" s="1">
        <v>2</v>
      </c>
      <c r="F53" s="1">
        <v>3</v>
      </c>
      <c r="G53" s="2" t="s">
        <v>8</v>
      </c>
      <c r="H53" s="5" t="str">
        <f>IF(IF(Table44[[#This Row],[Pre or Post]]="Pre",1,0)+IF(ISNUMBER(Table44[[#This Row],[Response]])=TRUE,1,0)=2,1,"")</f>
        <v/>
      </c>
      <c r="I53" s="5">
        <f>IF(IF(Table44[[#This Row],[Pre or Post]]="Post",1,0)+IF(ISNUMBER(Table44[[#This Row],[Response]])=TRUE,1,0)=2,1,"")</f>
        <v>1</v>
      </c>
      <c r="J53" s="5" t="str">
        <f>IF(IF(Table44[[#This Row],[Pre or Post]]="Pre",1,0)+IF(ISNUMBER(Table44[[#This Row],[Response]])=TRUE,1,0)=2,Table44[[#This Row],[Response]],"")</f>
        <v/>
      </c>
      <c r="K53" s="5">
        <f>IF(IF(Table44[[#This Row],[Pre or Post]]="Post",1,0)+IF(ISNUMBER(Table44[[#This Row],[Response]])=TRUE,1,0)=2,Table44[[#This Row],[Response]],"")</f>
        <v>3</v>
      </c>
      <c r="L53" s="5" t="str">
        <f>IF(IF(ISNUMBER(J53),1,0)+IF(ISNUMBER(K54),1,0)=2,IF(IF(C54=C53,1,0)+IF(B54=B53,1,0)+IF(D54="Post",1,0)+IF(D53="Pre",1,0)=4,Table44[[#This Row],[Pre Total]],""),"")</f>
        <v/>
      </c>
      <c r="M53" s="5">
        <f>IF(IF(ISNUMBER(J52),1,0)+IF(ISNUMBER(Table44[[#This Row],[Post Total]]),1,0)=2,IF(IF(Table44[[#This Row],[Student Number]]=C52,1,0)+IF(Table44[[#This Row],[Session]]=B52,1,0)+IF(Table44[[#This Row],[Pre or Post]]="Post",1,0)+IF(D52="Pre",1,0)=4,Table44[[#This Row],[Post Total]],""),"")</f>
        <v>3</v>
      </c>
      <c r="N53" s="5">
        <f>IF(IF(ISNUMBER(J52),1,0)+IF(ISNUMBER(Table44[[#This Row],[Post Total]]),1,0)=2,IF(IF(Table44[[#This Row],[Student Number]]=C52,1,0)+IF(Table44[[#This Row],[Session]]=B52,1,0)+IF(Table44[[#This Row],[Pre or Post]]="Post",1,0)+IF(D52="Pre",1,0)=4,Table44[[#This Row],[Post Total]]-J52,""),"")</f>
        <v>0</v>
      </c>
      <c r="O53" s="5" t="b">
        <f>ISNUMBER(Table44[[#This Row],[Change]])</f>
        <v>1</v>
      </c>
    </row>
    <row r="54" spans="1:15">
      <c r="A54" s="2" t="s">
        <v>12</v>
      </c>
      <c r="B54" s="2" t="s">
        <v>21</v>
      </c>
      <c r="C54" s="1">
        <v>15</v>
      </c>
      <c r="D54" s="2" t="s">
        <v>6</v>
      </c>
      <c r="E54" s="1">
        <v>9</v>
      </c>
      <c r="F54" s="1">
        <v>3</v>
      </c>
      <c r="G54" s="2" t="s">
        <v>8</v>
      </c>
      <c r="H54" s="5">
        <f>IF(IF(Table44[[#This Row],[Pre or Post]]="Pre",1,0)+IF(ISNUMBER(Table44[[#This Row],[Response]])=TRUE,1,0)=2,1,"")</f>
        <v>1</v>
      </c>
      <c r="I54" s="5" t="str">
        <f>IF(IF(Table44[[#This Row],[Pre or Post]]="Post",1,0)+IF(ISNUMBER(Table44[[#This Row],[Response]])=TRUE,1,0)=2,1,"")</f>
        <v/>
      </c>
      <c r="J54" s="5">
        <f>IF(IF(Table44[[#This Row],[Pre or Post]]="Pre",1,0)+IF(ISNUMBER(Table44[[#This Row],[Response]])=TRUE,1,0)=2,Table44[[#This Row],[Response]],"")</f>
        <v>3</v>
      </c>
      <c r="K54" s="5" t="str">
        <f>IF(IF(Table44[[#This Row],[Pre or Post]]="Post",1,0)+IF(ISNUMBER(Table44[[#This Row],[Response]])=TRUE,1,0)=2,Table44[[#This Row],[Response]],"")</f>
        <v/>
      </c>
      <c r="L54" s="5">
        <f>IF(IF(ISNUMBER(J54),1,0)+IF(ISNUMBER(K55),1,0)=2,IF(IF(C55=C54,1,0)+IF(B55=B54,1,0)+IF(D55="Post",1,0)+IF(D54="Pre",1,0)=4,Table44[[#This Row],[Pre Total]],""),"")</f>
        <v>3</v>
      </c>
      <c r="M54" s="5" t="str">
        <f>IF(IF(ISNUMBER(J53),1,0)+IF(ISNUMBER(Table44[[#This Row],[Post Total]]),1,0)=2,IF(IF(Table44[[#This Row],[Student Number]]=C53,1,0)+IF(Table44[[#This Row],[Session]]=B53,1,0)+IF(Table44[[#This Row],[Pre or Post]]="Post",1,0)+IF(D53="Pre",1,0)=4,Table44[[#This Row],[Post Total]],""),"")</f>
        <v/>
      </c>
      <c r="N54" s="5" t="str">
        <f>IF(IF(ISNUMBER(J53),1,0)+IF(ISNUMBER(Table44[[#This Row],[Post Total]]),1,0)=2,IF(IF(Table44[[#This Row],[Student Number]]=C53,1,0)+IF(Table44[[#This Row],[Session]]=B53,1,0)+IF(Table44[[#This Row],[Pre or Post]]="Post",1,0)+IF(D53="Pre",1,0)=4,Table44[[#This Row],[Post Total]]-J53,""),"")</f>
        <v/>
      </c>
      <c r="O54" s="5" t="b">
        <f>ISNUMBER(Table44[[#This Row],[Change]])</f>
        <v>0</v>
      </c>
    </row>
    <row r="55" spans="1:15">
      <c r="A55" s="2" t="s">
        <v>12</v>
      </c>
      <c r="B55" s="2" t="s">
        <v>21</v>
      </c>
      <c r="C55" s="1">
        <v>15</v>
      </c>
      <c r="D55" s="2" t="s">
        <v>16</v>
      </c>
      <c r="E55" s="1">
        <v>2</v>
      </c>
      <c r="F55" s="1">
        <v>3</v>
      </c>
      <c r="G55" s="2" t="s">
        <v>8</v>
      </c>
      <c r="H55" s="5" t="str">
        <f>IF(IF(Table44[[#This Row],[Pre or Post]]="Pre",1,0)+IF(ISNUMBER(Table44[[#This Row],[Response]])=TRUE,1,0)=2,1,"")</f>
        <v/>
      </c>
      <c r="I55" s="5">
        <f>IF(IF(Table44[[#This Row],[Pre or Post]]="Post",1,0)+IF(ISNUMBER(Table44[[#This Row],[Response]])=TRUE,1,0)=2,1,"")</f>
        <v>1</v>
      </c>
      <c r="J55" s="5" t="str">
        <f>IF(IF(Table44[[#This Row],[Pre or Post]]="Pre",1,0)+IF(ISNUMBER(Table44[[#This Row],[Response]])=TRUE,1,0)=2,Table44[[#This Row],[Response]],"")</f>
        <v/>
      </c>
      <c r="K55" s="5">
        <f>IF(IF(Table44[[#This Row],[Pre or Post]]="Post",1,0)+IF(ISNUMBER(Table44[[#This Row],[Response]])=TRUE,1,0)=2,Table44[[#This Row],[Response]],"")</f>
        <v>3</v>
      </c>
      <c r="L55" s="5" t="str">
        <f>IF(IF(ISNUMBER(J55),1,0)+IF(ISNUMBER(K56),1,0)=2,IF(IF(C56=C55,1,0)+IF(B56=B55,1,0)+IF(D56="Post",1,0)+IF(D55="Pre",1,0)=4,Table44[[#This Row],[Pre Total]],""),"")</f>
        <v/>
      </c>
      <c r="M55" s="5">
        <f>IF(IF(ISNUMBER(J54),1,0)+IF(ISNUMBER(Table44[[#This Row],[Post Total]]),1,0)=2,IF(IF(Table44[[#This Row],[Student Number]]=C54,1,0)+IF(Table44[[#This Row],[Session]]=B54,1,0)+IF(Table44[[#This Row],[Pre or Post]]="Post",1,0)+IF(D54="Pre",1,0)=4,Table44[[#This Row],[Post Total]],""),"")</f>
        <v>3</v>
      </c>
      <c r="N55" s="5">
        <f>IF(IF(ISNUMBER(J54),1,0)+IF(ISNUMBER(Table44[[#This Row],[Post Total]]),1,0)=2,IF(IF(Table44[[#This Row],[Student Number]]=C54,1,0)+IF(Table44[[#This Row],[Session]]=B54,1,0)+IF(Table44[[#This Row],[Pre or Post]]="Post",1,0)+IF(D54="Pre",1,0)=4,Table44[[#This Row],[Post Total]]-J54,""),"")</f>
        <v>0</v>
      </c>
      <c r="O55" s="5" t="b">
        <f>ISNUMBER(Table44[[#This Row],[Change]])</f>
        <v>1</v>
      </c>
    </row>
    <row r="56" spans="1:15">
      <c r="A56" s="2" t="s">
        <v>12</v>
      </c>
      <c r="B56" s="2" t="s">
        <v>21</v>
      </c>
      <c r="C56" s="1">
        <v>16</v>
      </c>
      <c r="D56" s="2" t="s">
        <v>6</v>
      </c>
      <c r="E56" s="1">
        <v>9</v>
      </c>
      <c r="F56" s="1">
        <v>3</v>
      </c>
      <c r="G56" s="2" t="s">
        <v>8</v>
      </c>
      <c r="H56" s="5">
        <f>IF(IF(Table44[[#This Row],[Pre or Post]]="Pre",1,0)+IF(ISNUMBER(Table44[[#This Row],[Response]])=TRUE,1,0)=2,1,"")</f>
        <v>1</v>
      </c>
      <c r="I56" s="5" t="str">
        <f>IF(IF(Table44[[#This Row],[Pre or Post]]="Post",1,0)+IF(ISNUMBER(Table44[[#This Row],[Response]])=TRUE,1,0)=2,1,"")</f>
        <v/>
      </c>
      <c r="J56" s="5">
        <f>IF(IF(Table44[[#This Row],[Pre or Post]]="Pre",1,0)+IF(ISNUMBER(Table44[[#This Row],[Response]])=TRUE,1,0)=2,Table44[[#This Row],[Response]],"")</f>
        <v>3</v>
      </c>
      <c r="K56" s="5" t="str">
        <f>IF(IF(Table44[[#This Row],[Pre or Post]]="Post",1,0)+IF(ISNUMBER(Table44[[#This Row],[Response]])=TRUE,1,0)=2,Table44[[#This Row],[Response]],"")</f>
        <v/>
      </c>
      <c r="L56" s="5">
        <f>IF(IF(ISNUMBER(J56),1,0)+IF(ISNUMBER(K57),1,0)=2,IF(IF(C57=C56,1,0)+IF(B57=B56,1,0)+IF(D57="Post",1,0)+IF(D56="Pre",1,0)=4,Table44[[#This Row],[Pre Total]],""),"")</f>
        <v>3</v>
      </c>
      <c r="M56" s="5" t="str">
        <f>IF(IF(ISNUMBER(J55),1,0)+IF(ISNUMBER(Table44[[#This Row],[Post Total]]),1,0)=2,IF(IF(Table44[[#This Row],[Student Number]]=C55,1,0)+IF(Table44[[#This Row],[Session]]=B55,1,0)+IF(Table44[[#This Row],[Pre or Post]]="Post",1,0)+IF(D55="Pre",1,0)=4,Table44[[#This Row],[Post Total]],""),"")</f>
        <v/>
      </c>
      <c r="N56" s="5" t="str">
        <f>IF(IF(ISNUMBER(J55),1,0)+IF(ISNUMBER(Table44[[#This Row],[Post Total]]),1,0)=2,IF(IF(Table44[[#This Row],[Student Number]]=C55,1,0)+IF(Table44[[#This Row],[Session]]=B55,1,0)+IF(Table44[[#This Row],[Pre or Post]]="Post",1,0)+IF(D55="Pre",1,0)=4,Table44[[#This Row],[Post Total]]-J55,""),"")</f>
        <v/>
      </c>
      <c r="O56" s="5" t="b">
        <f>ISNUMBER(Table44[[#This Row],[Change]])</f>
        <v>0</v>
      </c>
    </row>
    <row r="57" spans="1:15">
      <c r="A57" s="2" t="s">
        <v>12</v>
      </c>
      <c r="B57" s="2" t="s">
        <v>21</v>
      </c>
      <c r="C57" s="1">
        <v>16</v>
      </c>
      <c r="D57" s="2" t="s">
        <v>16</v>
      </c>
      <c r="E57" s="1">
        <v>2</v>
      </c>
      <c r="F57" s="1">
        <v>3</v>
      </c>
      <c r="G57" s="2" t="s">
        <v>8</v>
      </c>
      <c r="H57" s="5" t="str">
        <f>IF(IF(Table44[[#This Row],[Pre or Post]]="Pre",1,0)+IF(ISNUMBER(Table44[[#This Row],[Response]])=TRUE,1,0)=2,1,"")</f>
        <v/>
      </c>
      <c r="I57" s="5">
        <f>IF(IF(Table44[[#This Row],[Pre or Post]]="Post",1,0)+IF(ISNUMBER(Table44[[#This Row],[Response]])=TRUE,1,0)=2,1,"")</f>
        <v>1</v>
      </c>
      <c r="J57" s="5" t="str">
        <f>IF(IF(Table44[[#This Row],[Pre or Post]]="Pre",1,0)+IF(ISNUMBER(Table44[[#This Row],[Response]])=TRUE,1,0)=2,Table44[[#This Row],[Response]],"")</f>
        <v/>
      </c>
      <c r="K57" s="5">
        <f>IF(IF(Table44[[#This Row],[Pre or Post]]="Post",1,0)+IF(ISNUMBER(Table44[[#This Row],[Response]])=TRUE,1,0)=2,Table44[[#This Row],[Response]],"")</f>
        <v>3</v>
      </c>
      <c r="L57" s="5" t="str">
        <f>IF(IF(ISNUMBER(J57),1,0)+IF(ISNUMBER(K58),1,0)=2,IF(IF(C58=C57,1,0)+IF(B58=B57,1,0)+IF(D58="Post",1,0)+IF(D57="Pre",1,0)=4,Table44[[#This Row],[Pre Total]],""),"")</f>
        <v/>
      </c>
      <c r="M57" s="5">
        <f>IF(IF(ISNUMBER(J56),1,0)+IF(ISNUMBER(Table44[[#This Row],[Post Total]]),1,0)=2,IF(IF(Table44[[#This Row],[Student Number]]=C56,1,0)+IF(Table44[[#This Row],[Session]]=B56,1,0)+IF(Table44[[#This Row],[Pre or Post]]="Post",1,0)+IF(D56="Pre",1,0)=4,Table44[[#This Row],[Post Total]],""),"")</f>
        <v>3</v>
      </c>
      <c r="N57" s="5">
        <f>IF(IF(ISNUMBER(J56),1,0)+IF(ISNUMBER(Table44[[#This Row],[Post Total]]),1,0)=2,IF(IF(Table44[[#This Row],[Student Number]]=C56,1,0)+IF(Table44[[#This Row],[Session]]=B56,1,0)+IF(Table44[[#This Row],[Pre or Post]]="Post",1,0)+IF(D56="Pre",1,0)=4,Table44[[#This Row],[Post Total]]-J56,""),"")</f>
        <v>0</v>
      </c>
      <c r="O57" s="5" t="b">
        <f>ISNUMBER(Table44[[#This Row],[Change]])</f>
        <v>1</v>
      </c>
    </row>
    <row r="58" spans="1:15">
      <c r="A58" s="2" t="s">
        <v>12</v>
      </c>
      <c r="B58" s="2" t="s">
        <v>21</v>
      </c>
      <c r="C58" s="1">
        <v>17</v>
      </c>
      <c r="D58" s="2" t="s">
        <v>6</v>
      </c>
      <c r="E58" s="1">
        <v>9</v>
      </c>
      <c r="F58" s="1">
        <v>1</v>
      </c>
      <c r="G58" s="2" t="s">
        <v>8</v>
      </c>
      <c r="H58" s="5">
        <f>IF(IF(Table44[[#This Row],[Pre or Post]]="Pre",1,0)+IF(ISNUMBER(Table44[[#This Row],[Response]])=TRUE,1,0)=2,1,"")</f>
        <v>1</v>
      </c>
      <c r="I58" s="5" t="str">
        <f>IF(IF(Table44[[#This Row],[Pre or Post]]="Post",1,0)+IF(ISNUMBER(Table44[[#This Row],[Response]])=TRUE,1,0)=2,1,"")</f>
        <v/>
      </c>
      <c r="J58" s="5">
        <f>IF(IF(Table44[[#This Row],[Pre or Post]]="Pre",1,0)+IF(ISNUMBER(Table44[[#This Row],[Response]])=TRUE,1,0)=2,Table44[[#This Row],[Response]],"")</f>
        <v>1</v>
      </c>
      <c r="K58" s="5" t="str">
        <f>IF(IF(Table44[[#This Row],[Pre or Post]]="Post",1,0)+IF(ISNUMBER(Table44[[#This Row],[Response]])=TRUE,1,0)=2,Table44[[#This Row],[Response]],"")</f>
        <v/>
      </c>
      <c r="L58" s="5">
        <f>IF(IF(ISNUMBER(J58),1,0)+IF(ISNUMBER(K59),1,0)=2,IF(IF(C59=C58,1,0)+IF(B59=B58,1,0)+IF(D59="Post",1,0)+IF(D58="Pre",1,0)=4,Table44[[#This Row],[Pre Total]],""),"")</f>
        <v>1</v>
      </c>
      <c r="M58" s="5" t="str">
        <f>IF(IF(ISNUMBER(J57),1,0)+IF(ISNUMBER(Table44[[#This Row],[Post Total]]),1,0)=2,IF(IF(Table44[[#This Row],[Student Number]]=C57,1,0)+IF(Table44[[#This Row],[Session]]=B57,1,0)+IF(Table44[[#This Row],[Pre or Post]]="Post",1,0)+IF(D57="Pre",1,0)=4,Table44[[#This Row],[Post Total]],""),"")</f>
        <v/>
      </c>
      <c r="N58" s="5" t="str">
        <f>IF(IF(ISNUMBER(J57),1,0)+IF(ISNUMBER(Table44[[#This Row],[Post Total]]),1,0)=2,IF(IF(Table44[[#This Row],[Student Number]]=C57,1,0)+IF(Table44[[#This Row],[Session]]=B57,1,0)+IF(Table44[[#This Row],[Pre or Post]]="Post",1,0)+IF(D57="Pre",1,0)=4,Table44[[#This Row],[Post Total]]-J57,""),"")</f>
        <v/>
      </c>
      <c r="O58" s="5" t="b">
        <f>ISNUMBER(Table44[[#This Row],[Change]])</f>
        <v>0</v>
      </c>
    </row>
    <row r="59" spans="1:15">
      <c r="A59" s="2" t="s">
        <v>12</v>
      </c>
      <c r="B59" s="2" t="s">
        <v>21</v>
      </c>
      <c r="C59" s="1">
        <v>17</v>
      </c>
      <c r="D59" s="2" t="s">
        <v>16</v>
      </c>
      <c r="E59" s="1">
        <v>2</v>
      </c>
      <c r="F59" s="1">
        <v>1</v>
      </c>
      <c r="G59" s="2" t="s">
        <v>8</v>
      </c>
      <c r="H59" s="5" t="str">
        <f>IF(IF(Table44[[#This Row],[Pre or Post]]="Pre",1,0)+IF(ISNUMBER(Table44[[#This Row],[Response]])=TRUE,1,0)=2,1,"")</f>
        <v/>
      </c>
      <c r="I59" s="5">
        <f>IF(IF(Table44[[#This Row],[Pre or Post]]="Post",1,0)+IF(ISNUMBER(Table44[[#This Row],[Response]])=TRUE,1,0)=2,1,"")</f>
        <v>1</v>
      </c>
      <c r="J59" s="5" t="str">
        <f>IF(IF(Table44[[#This Row],[Pre or Post]]="Pre",1,0)+IF(ISNUMBER(Table44[[#This Row],[Response]])=TRUE,1,0)=2,Table44[[#This Row],[Response]],"")</f>
        <v/>
      </c>
      <c r="K59" s="5">
        <f>IF(IF(Table44[[#This Row],[Pre or Post]]="Post",1,0)+IF(ISNUMBER(Table44[[#This Row],[Response]])=TRUE,1,0)=2,Table44[[#This Row],[Response]],"")</f>
        <v>1</v>
      </c>
      <c r="L59" s="5" t="str">
        <f>IF(IF(ISNUMBER(J59),1,0)+IF(ISNUMBER(K60),1,0)=2,IF(IF(C60=C59,1,0)+IF(B60=B59,1,0)+IF(D60="Post",1,0)+IF(D59="Pre",1,0)=4,Table44[[#This Row],[Pre Total]],""),"")</f>
        <v/>
      </c>
      <c r="M59" s="5">
        <f>IF(IF(ISNUMBER(J58),1,0)+IF(ISNUMBER(Table44[[#This Row],[Post Total]]),1,0)=2,IF(IF(Table44[[#This Row],[Student Number]]=C58,1,0)+IF(Table44[[#This Row],[Session]]=B58,1,0)+IF(Table44[[#This Row],[Pre or Post]]="Post",1,0)+IF(D58="Pre",1,0)=4,Table44[[#This Row],[Post Total]],""),"")</f>
        <v>1</v>
      </c>
      <c r="N59" s="5">
        <f>IF(IF(ISNUMBER(J58),1,0)+IF(ISNUMBER(Table44[[#This Row],[Post Total]]),1,0)=2,IF(IF(Table44[[#This Row],[Student Number]]=C58,1,0)+IF(Table44[[#This Row],[Session]]=B58,1,0)+IF(Table44[[#This Row],[Pre or Post]]="Post",1,0)+IF(D58="Pre",1,0)=4,Table44[[#This Row],[Post Total]]-J58,""),"")</f>
        <v>0</v>
      </c>
      <c r="O59" s="5" t="b">
        <f>ISNUMBER(Table44[[#This Row],[Change]])</f>
        <v>1</v>
      </c>
    </row>
    <row r="60" spans="1:15">
      <c r="A60" s="2" t="s">
        <v>12</v>
      </c>
      <c r="B60" s="2" t="s">
        <v>21</v>
      </c>
      <c r="C60" s="1">
        <v>18</v>
      </c>
      <c r="D60" s="2" t="s">
        <v>6</v>
      </c>
      <c r="E60" s="1">
        <v>9</v>
      </c>
      <c r="F60" s="1">
        <v>4</v>
      </c>
      <c r="G60" s="2" t="s">
        <v>8</v>
      </c>
      <c r="H60" s="5">
        <f>IF(IF(Table44[[#This Row],[Pre or Post]]="Pre",1,0)+IF(ISNUMBER(Table44[[#This Row],[Response]])=TRUE,1,0)=2,1,"")</f>
        <v>1</v>
      </c>
      <c r="I60" s="5" t="str">
        <f>IF(IF(Table44[[#This Row],[Pre or Post]]="Post",1,0)+IF(ISNUMBER(Table44[[#This Row],[Response]])=TRUE,1,0)=2,1,"")</f>
        <v/>
      </c>
      <c r="J60" s="5">
        <f>IF(IF(Table44[[#This Row],[Pre or Post]]="Pre",1,0)+IF(ISNUMBER(Table44[[#This Row],[Response]])=TRUE,1,0)=2,Table44[[#This Row],[Response]],"")</f>
        <v>4</v>
      </c>
      <c r="K60" s="5" t="str">
        <f>IF(IF(Table44[[#This Row],[Pre or Post]]="Post",1,0)+IF(ISNUMBER(Table44[[#This Row],[Response]])=TRUE,1,0)=2,Table44[[#This Row],[Response]],"")</f>
        <v/>
      </c>
      <c r="L60" s="5">
        <f>IF(IF(ISNUMBER(J60),1,0)+IF(ISNUMBER(K61),1,0)=2,IF(IF(C61=C60,1,0)+IF(B61=B60,1,0)+IF(D61="Post",1,0)+IF(D60="Pre",1,0)=4,Table44[[#This Row],[Pre Total]],""),"")</f>
        <v>4</v>
      </c>
      <c r="M60" s="5" t="str">
        <f>IF(IF(ISNUMBER(J59),1,0)+IF(ISNUMBER(Table44[[#This Row],[Post Total]]),1,0)=2,IF(IF(Table44[[#This Row],[Student Number]]=C59,1,0)+IF(Table44[[#This Row],[Session]]=B59,1,0)+IF(Table44[[#This Row],[Pre or Post]]="Post",1,0)+IF(D59="Pre",1,0)=4,Table44[[#This Row],[Post Total]],""),"")</f>
        <v/>
      </c>
      <c r="N60" s="5" t="str">
        <f>IF(IF(ISNUMBER(J59),1,0)+IF(ISNUMBER(Table44[[#This Row],[Post Total]]),1,0)=2,IF(IF(Table44[[#This Row],[Student Number]]=C59,1,0)+IF(Table44[[#This Row],[Session]]=B59,1,0)+IF(Table44[[#This Row],[Pre or Post]]="Post",1,0)+IF(D59="Pre",1,0)=4,Table44[[#This Row],[Post Total]]-J59,""),"")</f>
        <v/>
      </c>
      <c r="O60" s="5" t="b">
        <f>ISNUMBER(Table44[[#This Row],[Change]])</f>
        <v>0</v>
      </c>
    </row>
    <row r="61" spans="1:15">
      <c r="A61" s="2" t="s">
        <v>12</v>
      </c>
      <c r="B61" s="2" t="s">
        <v>21</v>
      </c>
      <c r="C61" s="1">
        <v>18</v>
      </c>
      <c r="D61" s="2" t="s">
        <v>16</v>
      </c>
      <c r="E61" s="1">
        <v>2</v>
      </c>
      <c r="F61" s="1">
        <v>4</v>
      </c>
      <c r="G61" s="2" t="s">
        <v>8</v>
      </c>
      <c r="H61" s="5" t="str">
        <f>IF(IF(Table44[[#This Row],[Pre or Post]]="Pre",1,0)+IF(ISNUMBER(Table44[[#This Row],[Response]])=TRUE,1,0)=2,1,"")</f>
        <v/>
      </c>
      <c r="I61" s="5">
        <f>IF(IF(Table44[[#This Row],[Pre or Post]]="Post",1,0)+IF(ISNUMBER(Table44[[#This Row],[Response]])=TRUE,1,0)=2,1,"")</f>
        <v>1</v>
      </c>
      <c r="J61" s="5" t="str">
        <f>IF(IF(Table44[[#This Row],[Pre or Post]]="Pre",1,0)+IF(ISNUMBER(Table44[[#This Row],[Response]])=TRUE,1,0)=2,Table44[[#This Row],[Response]],"")</f>
        <v/>
      </c>
      <c r="K61" s="5">
        <f>IF(IF(Table44[[#This Row],[Pre or Post]]="Post",1,0)+IF(ISNUMBER(Table44[[#This Row],[Response]])=TRUE,1,0)=2,Table44[[#This Row],[Response]],"")</f>
        <v>4</v>
      </c>
      <c r="L61" s="5" t="str">
        <f>IF(IF(ISNUMBER(J61),1,0)+IF(ISNUMBER(K62),1,0)=2,IF(IF(C62=C61,1,0)+IF(B62=B61,1,0)+IF(D62="Post",1,0)+IF(D61="Pre",1,0)=4,Table44[[#This Row],[Pre Total]],""),"")</f>
        <v/>
      </c>
      <c r="M61" s="5">
        <f>IF(IF(ISNUMBER(J60),1,0)+IF(ISNUMBER(Table44[[#This Row],[Post Total]]),1,0)=2,IF(IF(Table44[[#This Row],[Student Number]]=C60,1,0)+IF(Table44[[#This Row],[Session]]=B60,1,0)+IF(Table44[[#This Row],[Pre or Post]]="Post",1,0)+IF(D60="Pre",1,0)=4,Table44[[#This Row],[Post Total]],""),"")</f>
        <v>4</v>
      </c>
      <c r="N61" s="5">
        <f>IF(IF(ISNUMBER(J60),1,0)+IF(ISNUMBER(Table44[[#This Row],[Post Total]]),1,0)=2,IF(IF(Table44[[#This Row],[Student Number]]=C60,1,0)+IF(Table44[[#This Row],[Session]]=B60,1,0)+IF(Table44[[#This Row],[Pre or Post]]="Post",1,0)+IF(D60="Pre",1,0)=4,Table44[[#This Row],[Post Total]]-J60,""),"")</f>
        <v>0</v>
      </c>
      <c r="O61" s="5" t="b">
        <f>ISNUMBER(Table44[[#This Row],[Change]])</f>
        <v>1</v>
      </c>
    </row>
    <row r="62" spans="1:15">
      <c r="A62" s="2" t="s">
        <v>12</v>
      </c>
      <c r="B62" s="2" t="s">
        <v>21</v>
      </c>
      <c r="C62" s="1">
        <v>19</v>
      </c>
      <c r="D62" s="2" t="s">
        <v>6</v>
      </c>
      <c r="E62" s="1">
        <v>9</v>
      </c>
      <c r="F62" s="1">
        <v>2</v>
      </c>
      <c r="G62" s="2" t="s">
        <v>8</v>
      </c>
      <c r="H62" s="5">
        <f>IF(IF(Table44[[#This Row],[Pre or Post]]="Pre",1,0)+IF(ISNUMBER(Table44[[#This Row],[Response]])=TRUE,1,0)=2,1,"")</f>
        <v>1</v>
      </c>
      <c r="I62" s="5" t="str">
        <f>IF(IF(Table44[[#This Row],[Pre or Post]]="Post",1,0)+IF(ISNUMBER(Table44[[#This Row],[Response]])=TRUE,1,0)=2,1,"")</f>
        <v/>
      </c>
      <c r="J62" s="5">
        <f>IF(IF(Table44[[#This Row],[Pre or Post]]="Pre",1,0)+IF(ISNUMBER(Table44[[#This Row],[Response]])=TRUE,1,0)=2,Table44[[#This Row],[Response]],"")</f>
        <v>2</v>
      </c>
      <c r="K62" s="5" t="str">
        <f>IF(IF(Table44[[#This Row],[Pre or Post]]="Post",1,0)+IF(ISNUMBER(Table44[[#This Row],[Response]])=TRUE,1,0)=2,Table44[[#This Row],[Response]],"")</f>
        <v/>
      </c>
      <c r="L62" s="5">
        <f>IF(IF(ISNUMBER(J62),1,0)+IF(ISNUMBER(K63),1,0)=2,IF(IF(C63=C62,1,0)+IF(B63=B62,1,0)+IF(D63="Post",1,0)+IF(D62="Pre",1,0)=4,Table44[[#This Row],[Pre Total]],""),"")</f>
        <v>2</v>
      </c>
      <c r="M62" s="5" t="str">
        <f>IF(IF(ISNUMBER(J61),1,0)+IF(ISNUMBER(Table44[[#This Row],[Post Total]]),1,0)=2,IF(IF(Table44[[#This Row],[Student Number]]=C61,1,0)+IF(Table44[[#This Row],[Session]]=B61,1,0)+IF(Table44[[#This Row],[Pre or Post]]="Post",1,0)+IF(D61="Pre",1,0)=4,Table44[[#This Row],[Post Total]],""),"")</f>
        <v/>
      </c>
      <c r="N62" s="5" t="str">
        <f>IF(IF(ISNUMBER(J61),1,0)+IF(ISNUMBER(Table44[[#This Row],[Post Total]]),1,0)=2,IF(IF(Table44[[#This Row],[Student Number]]=C61,1,0)+IF(Table44[[#This Row],[Session]]=B61,1,0)+IF(Table44[[#This Row],[Pre or Post]]="Post",1,0)+IF(D61="Pre",1,0)=4,Table44[[#This Row],[Post Total]]-J61,""),"")</f>
        <v/>
      </c>
      <c r="O62" s="5" t="b">
        <f>ISNUMBER(Table44[[#This Row],[Change]])</f>
        <v>0</v>
      </c>
    </row>
    <row r="63" spans="1:15">
      <c r="A63" s="2" t="s">
        <v>12</v>
      </c>
      <c r="B63" s="2" t="s">
        <v>21</v>
      </c>
      <c r="C63" s="1">
        <v>19</v>
      </c>
      <c r="D63" s="2" t="s">
        <v>16</v>
      </c>
      <c r="E63" s="1">
        <v>2</v>
      </c>
      <c r="F63" s="1">
        <v>2</v>
      </c>
      <c r="G63" s="2" t="s">
        <v>8</v>
      </c>
      <c r="H63" s="5" t="str">
        <f>IF(IF(Table44[[#This Row],[Pre or Post]]="Pre",1,0)+IF(ISNUMBER(Table44[[#This Row],[Response]])=TRUE,1,0)=2,1,"")</f>
        <v/>
      </c>
      <c r="I63" s="5">
        <f>IF(IF(Table44[[#This Row],[Pre or Post]]="Post",1,0)+IF(ISNUMBER(Table44[[#This Row],[Response]])=TRUE,1,0)=2,1,"")</f>
        <v>1</v>
      </c>
      <c r="J63" s="5" t="str">
        <f>IF(IF(Table44[[#This Row],[Pre or Post]]="Pre",1,0)+IF(ISNUMBER(Table44[[#This Row],[Response]])=TRUE,1,0)=2,Table44[[#This Row],[Response]],"")</f>
        <v/>
      </c>
      <c r="K63" s="5">
        <f>IF(IF(Table44[[#This Row],[Pre or Post]]="Post",1,0)+IF(ISNUMBER(Table44[[#This Row],[Response]])=TRUE,1,0)=2,Table44[[#This Row],[Response]],"")</f>
        <v>2</v>
      </c>
      <c r="L63" s="5" t="str">
        <f>IF(IF(ISNUMBER(J63),1,0)+IF(ISNUMBER(K64),1,0)=2,IF(IF(C64=C63,1,0)+IF(B64=B63,1,0)+IF(D64="Post",1,0)+IF(D63="Pre",1,0)=4,Table44[[#This Row],[Pre Total]],""),"")</f>
        <v/>
      </c>
      <c r="M63" s="5">
        <f>IF(IF(ISNUMBER(J62),1,0)+IF(ISNUMBER(Table44[[#This Row],[Post Total]]),1,0)=2,IF(IF(Table44[[#This Row],[Student Number]]=C62,1,0)+IF(Table44[[#This Row],[Session]]=B62,1,0)+IF(Table44[[#This Row],[Pre or Post]]="Post",1,0)+IF(D62="Pre",1,0)=4,Table44[[#This Row],[Post Total]],""),"")</f>
        <v>2</v>
      </c>
      <c r="N63" s="5">
        <f>IF(IF(ISNUMBER(J62),1,0)+IF(ISNUMBER(Table44[[#This Row],[Post Total]]),1,0)=2,IF(IF(Table44[[#This Row],[Student Number]]=C62,1,0)+IF(Table44[[#This Row],[Session]]=B62,1,0)+IF(Table44[[#This Row],[Pre or Post]]="Post",1,0)+IF(D62="Pre",1,0)=4,Table44[[#This Row],[Post Total]]-J62,""),"")</f>
        <v>0</v>
      </c>
      <c r="O63" s="5" t="b">
        <f>ISNUMBER(Table44[[#This Row],[Change]])</f>
        <v>1</v>
      </c>
    </row>
    <row r="64" spans="1:15">
      <c r="A64" s="2" t="s">
        <v>12</v>
      </c>
      <c r="B64" s="2" t="s">
        <v>21</v>
      </c>
      <c r="C64" s="1">
        <v>20</v>
      </c>
      <c r="D64" s="2" t="s">
        <v>6</v>
      </c>
      <c r="E64" s="1">
        <v>9</v>
      </c>
      <c r="F64" s="1">
        <v>4</v>
      </c>
      <c r="G64" s="2" t="s">
        <v>8</v>
      </c>
      <c r="H64" s="5">
        <f>IF(IF(Table44[[#This Row],[Pre or Post]]="Pre",1,0)+IF(ISNUMBER(Table44[[#This Row],[Response]])=TRUE,1,0)=2,1,"")</f>
        <v>1</v>
      </c>
      <c r="I64" s="5" t="str">
        <f>IF(IF(Table44[[#This Row],[Pre or Post]]="Post",1,0)+IF(ISNUMBER(Table44[[#This Row],[Response]])=TRUE,1,0)=2,1,"")</f>
        <v/>
      </c>
      <c r="J64" s="5">
        <f>IF(IF(Table44[[#This Row],[Pre or Post]]="Pre",1,0)+IF(ISNUMBER(Table44[[#This Row],[Response]])=TRUE,1,0)=2,Table44[[#This Row],[Response]],"")</f>
        <v>4</v>
      </c>
      <c r="K64" s="5" t="str">
        <f>IF(IF(Table44[[#This Row],[Pre or Post]]="Post",1,0)+IF(ISNUMBER(Table44[[#This Row],[Response]])=TRUE,1,0)=2,Table44[[#This Row],[Response]],"")</f>
        <v/>
      </c>
      <c r="L64" s="5">
        <f>IF(IF(ISNUMBER(J64),1,0)+IF(ISNUMBER(K65),1,0)=2,IF(IF(C65=C64,1,0)+IF(B65=B64,1,0)+IF(D65="Post",1,0)+IF(D64="Pre",1,0)=4,Table44[[#This Row],[Pre Total]],""),"")</f>
        <v>4</v>
      </c>
      <c r="M64" s="5" t="str">
        <f>IF(IF(ISNUMBER(J63),1,0)+IF(ISNUMBER(Table44[[#This Row],[Post Total]]),1,0)=2,IF(IF(Table44[[#This Row],[Student Number]]=C63,1,0)+IF(Table44[[#This Row],[Session]]=B63,1,0)+IF(Table44[[#This Row],[Pre or Post]]="Post",1,0)+IF(D63="Pre",1,0)=4,Table44[[#This Row],[Post Total]],""),"")</f>
        <v/>
      </c>
      <c r="N64" s="5" t="str">
        <f>IF(IF(ISNUMBER(J63),1,0)+IF(ISNUMBER(Table44[[#This Row],[Post Total]]),1,0)=2,IF(IF(Table44[[#This Row],[Student Number]]=C63,1,0)+IF(Table44[[#This Row],[Session]]=B63,1,0)+IF(Table44[[#This Row],[Pre or Post]]="Post",1,0)+IF(D63="Pre",1,0)=4,Table44[[#This Row],[Post Total]]-J63,""),"")</f>
        <v/>
      </c>
      <c r="O64" s="5" t="b">
        <f>ISNUMBER(Table44[[#This Row],[Change]])</f>
        <v>0</v>
      </c>
    </row>
    <row r="65" spans="1:15">
      <c r="A65" s="2" t="s">
        <v>12</v>
      </c>
      <c r="B65" s="2" t="s">
        <v>21</v>
      </c>
      <c r="C65" s="1">
        <v>20</v>
      </c>
      <c r="D65" s="2" t="s">
        <v>16</v>
      </c>
      <c r="E65" s="1">
        <v>2</v>
      </c>
      <c r="F65" s="1">
        <v>3</v>
      </c>
      <c r="G65" s="2" t="s">
        <v>8</v>
      </c>
      <c r="H65" s="5" t="str">
        <f>IF(IF(Table44[[#This Row],[Pre or Post]]="Pre",1,0)+IF(ISNUMBER(Table44[[#This Row],[Response]])=TRUE,1,0)=2,1,"")</f>
        <v/>
      </c>
      <c r="I65" s="5">
        <f>IF(IF(Table44[[#This Row],[Pre or Post]]="Post",1,0)+IF(ISNUMBER(Table44[[#This Row],[Response]])=TRUE,1,0)=2,1,"")</f>
        <v>1</v>
      </c>
      <c r="J65" s="5" t="str">
        <f>IF(IF(Table44[[#This Row],[Pre or Post]]="Pre",1,0)+IF(ISNUMBER(Table44[[#This Row],[Response]])=TRUE,1,0)=2,Table44[[#This Row],[Response]],"")</f>
        <v/>
      </c>
      <c r="K65" s="5">
        <f>IF(IF(Table44[[#This Row],[Pre or Post]]="Post",1,0)+IF(ISNUMBER(Table44[[#This Row],[Response]])=TRUE,1,0)=2,Table44[[#This Row],[Response]],"")</f>
        <v>3</v>
      </c>
      <c r="L65" s="5" t="str">
        <f>IF(IF(ISNUMBER(J65),1,0)+IF(ISNUMBER(K66),1,0)=2,IF(IF(C66=C65,1,0)+IF(B66=B65,1,0)+IF(D66="Post",1,0)+IF(D65="Pre",1,0)=4,Table44[[#This Row],[Pre Total]],""),"")</f>
        <v/>
      </c>
      <c r="M65" s="5">
        <f>IF(IF(ISNUMBER(J64),1,0)+IF(ISNUMBER(Table44[[#This Row],[Post Total]]),1,0)=2,IF(IF(Table44[[#This Row],[Student Number]]=C64,1,0)+IF(Table44[[#This Row],[Session]]=B64,1,0)+IF(Table44[[#This Row],[Pre or Post]]="Post",1,0)+IF(D64="Pre",1,0)=4,Table44[[#This Row],[Post Total]],""),"")</f>
        <v>3</v>
      </c>
      <c r="N65" s="5">
        <f>IF(IF(ISNUMBER(J64),1,0)+IF(ISNUMBER(Table44[[#This Row],[Post Total]]),1,0)=2,IF(IF(Table44[[#This Row],[Student Number]]=C64,1,0)+IF(Table44[[#This Row],[Session]]=B64,1,0)+IF(Table44[[#This Row],[Pre or Post]]="Post",1,0)+IF(D64="Pre",1,0)=4,Table44[[#This Row],[Post Total]]-J64,""),"")</f>
        <v>-1</v>
      </c>
      <c r="O65" s="5" t="b">
        <f>ISNUMBER(Table44[[#This Row],[Change]])</f>
        <v>1</v>
      </c>
    </row>
    <row r="66" spans="1:15">
      <c r="A66" s="2" t="s">
        <v>12</v>
      </c>
      <c r="B66" s="2" t="s">
        <v>21</v>
      </c>
      <c r="C66" s="1">
        <v>21</v>
      </c>
      <c r="D66" s="2" t="s">
        <v>6</v>
      </c>
      <c r="E66" s="1">
        <v>9</v>
      </c>
      <c r="F66" s="1">
        <v>1</v>
      </c>
      <c r="G66" s="2" t="s">
        <v>8</v>
      </c>
      <c r="H66" s="5">
        <f>IF(IF(Table44[[#This Row],[Pre or Post]]="Pre",1,0)+IF(ISNUMBER(Table44[[#This Row],[Response]])=TRUE,1,0)=2,1,"")</f>
        <v>1</v>
      </c>
      <c r="I66" s="5" t="str">
        <f>IF(IF(Table44[[#This Row],[Pre or Post]]="Post",1,0)+IF(ISNUMBER(Table44[[#This Row],[Response]])=TRUE,1,0)=2,1,"")</f>
        <v/>
      </c>
      <c r="J66" s="5">
        <f>IF(IF(Table44[[#This Row],[Pre or Post]]="Pre",1,0)+IF(ISNUMBER(Table44[[#This Row],[Response]])=TRUE,1,0)=2,Table44[[#This Row],[Response]],"")</f>
        <v>1</v>
      </c>
      <c r="K66" s="5" t="str">
        <f>IF(IF(Table44[[#This Row],[Pre or Post]]="Post",1,0)+IF(ISNUMBER(Table44[[#This Row],[Response]])=TRUE,1,0)=2,Table44[[#This Row],[Response]],"")</f>
        <v/>
      </c>
      <c r="L66" s="5">
        <f>IF(IF(ISNUMBER(J66),1,0)+IF(ISNUMBER(K67),1,0)=2,IF(IF(C67=C66,1,0)+IF(B67=B66,1,0)+IF(D67="Post",1,0)+IF(D66="Pre",1,0)=4,Table44[[#This Row],[Pre Total]],""),"")</f>
        <v>1</v>
      </c>
      <c r="M66" s="5" t="str">
        <f>IF(IF(ISNUMBER(J65),1,0)+IF(ISNUMBER(Table44[[#This Row],[Post Total]]),1,0)=2,IF(IF(Table44[[#This Row],[Student Number]]=C65,1,0)+IF(Table44[[#This Row],[Session]]=B65,1,0)+IF(Table44[[#This Row],[Pre or Post]]="Post",1,0)+IF(D65="Pre",1,0)=4,Table44[[#This Row],[Post Total]],""),"")</f>
        <v/>
      </c>
      <c r="N66" s="5" t="str">
        <f>IF(IF(ISNUMBER(J65),1,0)+IF(ISNUMBER(Table44[[#This Row],[Post Total]]),1,0)=2,IF(IF(Table44[[#This Row],[Student Number]]=C65,1,0)+IF(Table44[[#This Row],[Session]]=B65,1,0)+IF(Table44[[#This Row],[Pre or Post]]="Post",1,0)+IF(D65="Pre",1,0)=4,Table44[[#This Row],[Post Total]]-J65,""),"")</f>
        <v/>
      </c>
      <c r="O66" s="5" t="b">
        <f>ISNUMBER(Table44[[#This Row],[Change]])</f>
        <v>0</v>
      </c>
    </row>
    <row r="67" spans="1:15">
      <c r="A67" s="2" t="s">
        <v>12</v>
      </c>
      <c r="B67" s="2" t="s">
        <v>21</v>
      </c>
      <c r="C67" s="1">
        <v>21</v>
      </c>
      <c r="D67" s="2" t="s">
        <v>16</v>
      </c>
      <c r="E67" s="1">
        <v>2</v>
      </c>
      <c r="F67" s="1">
        <v>2</v>
      </c>
      <c r="G67" s="2" t="s">
        <v>8</v>
      </c>
      <c r="H67" s="5" t="str">
        <f>IF(IF(Table44[[#This Row],[Pre or Post]]="Pre",1,0)+IF(ISNUMBER(Table44[[#This Row],[Response]])=TRUE,1,0)=2,1,"")</f>
        <v/>
      </c>
      <c r="I67" s="5">
        <f>IF(IF(Table44[[#This Row],[Pre or Post]]="Post",1,0)+IF(ISNUMBER(Table44[[#This Row],[Response]])=TRUE,1,0)=2,1,"")</f>
        <v>1</v>
      </c>
      <c r="J67" s="5" t="str">
        <f>IF(IF(Table44[[#This Row],[Pre or Post]]="Pre",1,0)+IF(ISNUMBER(Table44[[#This Row],[Response]])=TRUE,1,0)=2,Table44[[#This Row],[Response]],"")</f>
        <v/>
      </c>
      <c r="K67" s="5">
        <f>IF(IF(Table44[[#This Row],[Pre or Post]]="Post",1,0)+IF(ISNUMBER(Table44[[#This Row],[Response]])=TRUE,1,0)=2,Table44[[#This Row],[Response]],"")</f>
        <v>2</v>
      </c>
      <c r="L67" s="5" t="str">
        <f>IF(IF(ISNUMBER(J67),1,0)+IF(ISNUMBER(K68),1,0)=2,IF(IF(C68=C67,1,0)+IF(B68=B67,1,0)+IF(D68="Post",1,0)+IF(D67="Pre",1,0)=4,Table44[[#This Row],[Pre Total]],""),"")</f>
        <v/>
      </c>
      <c r="M67" s="5">
        <f>IF(IF(ISNUMBER(J66),1,0)+IF(ISNUMBER(Table44[[#This Row],[Post Total]]),1,0)=2,IF(IF(Table44[[#This Row],[Student Number]]=C66,1,0)+IF(Table44[[#This Row],[Session]]=B66,1,0)+IF(Table44[[#This Row],[Pre or Post]]="Post",1,0)+IF(D66="Pre",1,0)=4,Table44[[#This Row],[Post Total]],""),"")</f>
        <v>2</v>
      </c>
      <c r="N67" s="5">
        <f>IF(IF(ISNUMBER(J66),1,0)+IF(ISNUMBER(Table44[[#This Row],[Post Total]]),1,0)=2,IF(IF(Table44[[#This Row],[Student Number]]=C66,1,0)+IF(Table44[[#This Row],[Session]]=B66,1,0)+IF(Table44[[#This Row],[Pre or Post]]="Post",1,0)+IF(D66="Pre",1,0)=4,Table44[[#This Row],[Post Total]]-J66,""),"")</f>
        <v>1</v>
      </c>
      <c r="O67" s="5" t="b">
        <f>ISNUMBER(Table44[[#This Row],[Change]])</f>
        <v>1</v>
      </c>
    </row>
    <row r="68" spans="1:15">
      <c r="A68" s="2" t="s">
        <v>12</v>
      </c>
      <c r="B68" s="2" t="s">
        <v>21</v>
      </c>
      <c r="C68" s="1">
        <v>22</v>
      </c>
      <c r="D68" s="2" t="s">
        <v>6</v>
      </c>
      <c r="E68" s="1">
        <v>9</v>
      </c>
      <c r="F68" s="1">
        <v>2</v>
      </c>
      <c r="G68" s="2" t="s">
        <v>8</v>
      </c>
      <c r="H68" s="5">
        <f>IF(IF(Table44[[#This Row],[Pre or Post]]="Pre",1,0)+IF(ISNUMBER(Table44[[#This Row],[Response]])=TRUE,1,0)=2,1,"")</f>
        <v>1</v>
      </c>
      <c r="I68" s="5" t="str">
        <f>IF(IF(Table44[[#This Row],[Pre or Post]]="Post",1,0)+IF(ISNUMBER(Table44[[#This Row],[Response]])=TRUE,1,0)=2,1,"")</f>
        <v/>
      </c>
      <c r="J68" s="5">
        <f>IF(IF(Table44[[#This Row],[Pre or Post]]="Pre",1,0)+IF(ISNUMBER(Table44[[#This Row],[Response]])=TRUE,1,0)=2,Table44[[#This Row],[Response]],"")</f>
        <v>2</v>
      </c>
      <c r="K68" s="5" t="str">
        <f>IF(IF(Table44[[#This Row],[Pre or Post]]="Post",1,0)+IF(ISNUMBER(Table44[[#This Row],[Response]])=TRUE,1,0)=2,Table44[[#This Row],[Response]],"")</f>
        <v/>
      </c>
      <c r="L68" s="5">
        <f>IF(IF(ISNUMBER(J68),1,0)+IF(ISNUMBER(K69),1,0)=2,IF(IF(C69=C68,1,0)+IF(B69=B68,1,0)+IF(D69="Post",1,0)+IF(D68="Pre",1,0)=4,Table44[[#This Row],[Pre Total]],""),"")</f>
        <v>2</v>
      </c>
      <c r="M68" s="5" t="str">
        <f>IF(IF(ISNUMBER(J67),1,0)+IF(ISNUMBER(Table44[[#This Row],[Post Total]]),1,0)=2,IF(IF(Table44[[#This Row],[Student Number]]=C67,1,0)+IF(Table44[[#This Row],[Session]]=B67,1,0)+IF(Table44[[#This Row],[Pre or Post]]="Post",1,0)+IF(D67="Pre",1,0)=4,Table44[[#This Row],[Post Total]],""),"")</f>
        <v/>
      </c>
      <c r="N68" s="5" t="str">
        <f>IF(IF(ISNUMBER(J67),1,0)+IF(ISNUMBER(Table44[[#This Row],[Post Total]]),1,0)=2,IF(IF(Table44[[#This Row],[Student Number]]=C67,1,0)+IF(Table44[[#This Row],[Session]]=B67,1,0)+IF(Table44[[#This Row],[Pre or Post]]="Post",1,0)+IF(D67="Pre",1,0)=4,Table44[[#This Row],[Post Total]]-J67,""),"")</f>
        <v/>
      </c>
      <c r="O68" s="5" t="b">
        <f>ISNUMBER(Table44[[#This Row],[Change]])</f>
        <v>0</v>
      </c>
    </row>
    <row r="69" spans="1:15">
      <c r="A69" s="2" t="s">
        <v>12</v>
      </c>
      <c r="B69" s="2" t="s">
        <v>21</v>
      </c>
      <c r="C69" s="1">
        <v>22</v>
      </c>
      <c r="D69" s="2" t="s">
        <v>16</v>
      </c>
      <c r="E69" s="1">
        <v>2</v>
      </c>
      <c r="F69" s="1">
        <v>3</v>
      </c>
      <c r="G69" s="2" t="s">
        <v>8</v>
      </c>
      <c r="H69" s="5" t="str">
        <f>IF(IF(Table44[[#This Row],[Pre or Post]]="Pre",1,0)+IF(ISNUMBER(Table44[[#This Row],[Response]])=TRUE,1,0)=2,1,"")</f>
        <v/>
      </c>
      <c r="I69" s="5">
        <f>IF(IF(Table44[[#This Row],[Pre or Post]]="Post",1,0)+IF(ISNUMBER(Table44[[#This Row],[Response]])=TRUE,1,0)=2,1,"")</f>
        <v>1</v>
      </c>
      <c r="J69" s="5" t="str">
        <f>IF(IF(Table44[[#This Row],[Pre or Post]]="Pre",1,0)+IF(ISNUMBER(Table44[[#This Row],[Response]])=TRUE,1,0)=2,Table44[[#This Row],[Response]],"")</f>
        <v/>
      </c>
      <c r="K69" s="5">
        <f>IF(IF(Table44[[#This Row],[Pre or Post]]="Post",1,0)+IF(ISNUMBER(Table44[[#This Row],[Response]])=TRUE,1,0)=2,Table44[[#This Row],[Response]],"")</f>
        <v>3</v>
      </c>
      <c r="L69" s="5" t="str">
        <f>IF(IF(ISNUMBER(J69),1,0)+IF(ISNUMBER(K70),1,0)=2,IF(IF(C70=C69,1,0)+IF(B70=B69,1,0)+IF(D70="Post",1,0)+IF(D69="Pre",1,0)=4,Table44[[#This Row],[Pre Total]],""),"")</f>
        <v/>
      </c>
      <c r="M69" s="5">
        <f>IF(IF(ISNUMBER(J68),1,0)+IF(ISNUMBER(Table44[[#This Row],[Post Total]]),1,0)=2,IF(IF(Table44[[#This Row],[Student Number]]=C68,1,0)+IF(Table44[[#This Row],[Session]]=B68,1,0)+IF(Table44[[#This Row],[Pre or Post]]="Post",1,0)+IF(D68="Pre",1,0)=4,Table44[[#This Row],[Post Total]],""),"")</f>
        <v>3</v>
      </c>
      <c r="N69" s="5">
        <f>IF(IF(ISNUMBER(J68),1,0)+IF(ISNUMBER(Table44[[#This Row],[Post Total]]),1,0)=2,IF(IF(Table44[[#This Row],[Student Number]]=C68,1,0)+IF(Table44[[#This Row],[Session]]=B68,1,0)+IF(Table44[[#This Row],[Pre or Post]]="Post",1,0)+IF(D68="Pre",1,0)=4,Table44[[#This Row],[Post Total]]-J68,""),"")</f>
        <v>1</v>
      </c>
      <c r="O69" s="5" t="b">
        <f>ISNUMBER(Table44[[#This Row],[Change]])</f>
        <v>1</v>
      </c>
    </row>
    <row r="70" spans="1:15">
      <c r="A70" s="2" t="s">
        <v>12</v>
      </c>
      <c r="B70" s="2" t="s">
        <v>21</v>
      </c>
      <c r="C70" s="1">
        <v>23</v>
      </c>
      <c r="D70" s="2" t="s">
        <v>6</v>
      </c>
      <c r="E70" s="1">
        <v>9</v>
      </c>
      <c r="F70" s="1">
        <v>3</v>
      </c>
      <c r="G70" s="2" t="s">
        <v>8</v>
      </c>
      <c r="H70" s="5">
        <f>IF(IF(Table44[[#This Row],[Pre or Post]]="Pre",1,0)+IF(ISNUMBER(Table44[[#This Row],[Response]])=TRUE,1,0)=2,1,"")</f>
        <v>1</v>
      </c>
      <c r="I70" s="5" t="str">
        <f>IF(IF(Table44[[#This Row],[Pre or Post]]="Post",1,0)+IF(ISNUMBER(Table44[[#This Row],[Response]])=TRUE,1,0)=2,1,"")</f>
        <v/>
      </c>
      <c r="J70" s="5">
        <f>IF(IF(Table44[[#This Row],[Pre or Post]]="Pre",1,0)+IF(ISNUMBER(Table44[[#This Row],[Response]])=TRUE,1,0)=2,Table44[[#This Row],[Response]],"")</f>
        <v>3</v>
      </c>
      <c r="K70" s="5" t="str">
        <f>IF(IF(Table44[[#This Row],[Pre or Post]]="Post",1,0)+IF(ISNUMBER(Table44[[#This Row],[Response]])=TRUE,1,0)=2,Table44[[#This Row],[Response]],"")</f>
        <v/>
      </c>
      <c r="L70" s="5">
        <f>IF(IF(ISNUMBER(J70),1,0)+IF(ISNUMBER(K71),1,0)=2,IF(IF(C71=C70,1,0)+IF(B71=B70,1,0)+IF(D71="Post",1,0)+IF(D70="Pre",1,0)=4,Table44[[#This Row],[Pre Total]],""),"")</f>
        <v>3</v>
      </c>
      <c r="M70" s="5" t="str">
        <f>IF(IF(ISNUMBER(J69),1,0)+IF(ISNUMBER(Table44[[#This Row],[Post Total]]),1,0)=2,IF(IF(Table44[[#This Row],[Student Number]]=C69,1,0)+IF(Table44[[#This Row],[Session]]=B69,1,0)+IF(Table44[[#This Row],[Pre or Post]]="Post",1,0)+IF(D69="Pre",1,0)=4,Table44[[#This Row],[Post Total]],""),"")</f>
        <v/>
      </c>
      <c r="N70" s="5" t="str">
        <f>IF(IF(ISNUMBER(J69),1,0)+IF(ISNUMBER(Table44[[#This Row],[Post Total]]),1,0)=2,IF(IF(Table44[[#This Row],[Student Number]]=C69,1,0)+IF(Table44[[#This Row],[Session]]=B69,1,0)+IF(Table44[[#This Row],[Pre or Post]]="Post",1,0)+IF(D69="Pre",1,0)=4,Table44[[#This Row],[Post Total]]-J69,""),"")</f>
        <v/>
      </c>
      <c r="O70" s="5" t="b">
        <f>ISNUMBER(Table44[[#This Row],[Change]])</f>
        <v>0</v>
      </c>
    </row>
    <row r="71" spans="1:15">
      <c r="A71" s="2" t="s">
        <v>12</v>
      </c>
      <c r="B71" s="2" t="s">
        <v>21</v>
      </c>
      <c r="C71" s="1">
        <v>23</v>
      </c>
      <c r="D71" s="2" t="s">
        <v>16</v>
      </c>
      <c r="E71" s="1">
        <v>2</v>
      </c>
      <c r="F71" s="1">
        <v>1</v>
      </c>
      <c r="G71" s="2" t="s">
        <v>8</v>
      </c>
      <c r="H71" s="5" t="str">
        <f>IF(IF(Table44[[#This Row],[Pre or Post]]="Pre",1,0)+IF(ISNUMBER(Table44[[#This Row],[Response]])=TRUE,1,0)=2,1,"")</f>
        <v/>
      </c>
      <c r="I71" s="5">
        <f>IF(IF(Table44[[#This Row],[Pre or Post]]="Post",1,0)+IF(ISNUMBER(Table44[[#This Row],[Response]])=TRUE,1,0)=2,1,"")</f>
        <v>1</v>
      </c>
      <c r="J71" s="5" t="str">
        <f>IF(IF(Table44[[#This Row],[Pre or Post]]="Pre",1,0)+IF(ISNUMBER(Table44[[#This Row],[Response]])=TRUE,1,0)=2,Table44[[#This Row],[Response]],"")</f>
        <v/>
      </c>
      <c r="K71" s="5">
        <f>IF(IF(Table44[[#This Row],[Pre or Post]]="Post",1,0)+IF(ISNUMBER(Table44[[#This Row],[Response]])=TRUE,1,0)=2,Table44[[#This Row],[Response]],"")</f>
        <v>1</v>
      </c>
      <c r="L71" s="5" t="str">
        <f>IF(IF(ISNUMBER(J71),1,0)+IF(ISNUMBER(K72),1,0)=2,IF(IF(C72=C71,1,0)+IF(B72=B71,1,0)+IF(D72="Post",1,0)+IF(D71="Pre",1,0)=4,Table44[[#This Row],[Pre Total]],""),"")</f>
        <v/>
      </c>
      <c r="M71" s="5">
        <f>IF(IF(ISNUMBER(J70),1,0)+IF(ISNUMBER(Table44[[#This Row],[Post Total]]),1,0)=2,IF(IF(Table44[[#This Row],[Student Number]]=C70,1,0)+IF(Table44[[#This Row],[Session]]=B70,1,0)+IF(Table44[[#This Row],[Pre or Post]]="Post",1,0)+IF(D70="Pre",1,0)=4,Table44[[#This Row],[Post Total]],""),"")</f>
        <v>1</v>
      </c>
      <c r="N71" s="5">
        <f>IF(IF(ISNUMBER(J70),1,0)+IF(ISNUMBER(Table44[[#This Row],[Post Total]]),1,0)=2,IF(IF(Table44[[#This Row],[Student Number]]=C70,1,0)+IF(Table44[[#This Row],[Session]]=B70,1,0)+IF(Table44[[#This Row],[Pre or Post]]="Post",1,0)+IF(D70="Pre",1,0)=4,Table44[[#This Row],[Post Total]]-J70,""),"")</f>
        <v>-2</v>
      </c>
      <c r="O71" s="5" t="b">
        <f>ISNUMBER(Table44[[#This Row],[Change]])</f>
        <v>1</v>
      </c>
    </row>
    <row r="72" spans="1:15">
      <c r="A72" s="1" t="s">
        <v>12</v>
      </c>
      <c r="B72" s="1" t="s">
        <v>10</v>
      </c>
      <c r="C72" s="1">
        <v>1</v>
      </c>
      <c r="D72" s="1" t="s">
        <v>6</v>
      </c>
      <c r="E72" s="1">
        <v>9</v>
      </c>
      <c r="F72" s="1">
        <v>3</v>
      </c>
      <c r="G72" s="1" t="s">
        <v>8</v>
      </c>
      <c r="H72" s="5">
        <f>IF(IF(Table44[[#This Row],[Pre or Post]]="Pre",1,0)+IF(ISNUMBER(Table44[[#This Row],[Response]])=TRUE,1,0)=2,1,"")</f>
        <v>1</v>
      </c>
      <c r="I72" s="5" t="str">
        <f>IF(IF(Table44[[#This Row],[Pre or Post]]="Post",1,0)+IF(ISNUMBER(Table44[[#This Row],[Response]])=TRUE,1,0)=2,1,"")</f>
        <v/>
      </c>
      <c r="J72" s="5">
        <f>IF(IF(Table44[[#This Row],[Pre or Post]]="Pre",1,0)+IF(ISNUMBER(Table44[[#This Row],[Response]])=TRUE,1,0)=2,Table44[[#This Row],[Response]],"")</f>
        <v>3</v>
      </c>
      <c r="K72" s="5" t="str">
        <f>IF(IF(Table44[[#This Row],[Pre or Post]]="Post",1,0)+IF(ISNUMBER(Table44[[#This Row],[Response]])=TRUE,1,0)=2,Table44[[#This Row],[Response]],"")</f>
        <v/>
      </c>
      <c r="L72" s="5">
        <f>IF(IF(ISNUMBER(J72),1,0)+IF(ISNUMBER(K73),1,0)=2,IF(IF(C73=C72,1,0)+IF(B73=B72,1,0)+IF(D73="Post",1,0)+IF(D72="Pre",1,0)=4,Table44[[#This Row],[Pre Total]],""),"")</f>
        <v>3</v>
      </c>
      <c r="M72" s="5" t="str">
        <f>IF(IF(ISNUMBER(J71),1,0)+IF(ISNUMBER(Table44[[#This Row],[Post Total]]),1,0)=2,IF(IF(Table44[[#This Row],[Student Number]]=C71,1,0)+IF(Table44[[#This Row],[Session]]=B71,1,0)+IF(Table44[[#This Row],[Pre or Post]]="Post",1,0)+IF(D71="Pre",1,0)=4,Table44[[#This Row],[Post Total]],""),"")</f>
        <v/>
      </c>
      <c r="N72" s="5" t="str">
        <f>IF(IF(ISNUMBER(J71),1,0)+IF(ISNUMBER(Table44[[#This Row],[Post Total]]),1,0)=2,IF(IF(Table44[[#This Row],[Student Number]]=C71,1,0)+IF(Table44[[#This Row],[Session]]=B71,1,0)+IF(Table44[[#This Row],[Pre or Post]]="Post",1,0)+IF(D71="Pre",1,0)=4,Table44[[#This Row],[Post Total]]-J71,""),"")</f>
        <v/>
      </c>
      <c r="O72" s="5" t="b">
        <f>ISNUMBER(Table44[[#This Row],[Change]])</f>
        <v>0</v>
      </c>
    </row>
    <row r="73" spans="1:15">
      <c r="A73" s="1" t="s">
        <v>12</v>
      </c>
      <c r="B73" s="1" t="s">
        <v>10</v>
      </c>
      <c r="C73" s="1">
        <v>1</v>
      </c>
      <c r="D73" s="1" t="s">
        <v>16</v>
      </c>
      <c r="E73" s="1">
        <v>2</v>
      </c>
      <c r="F73" s="1">
        <v>3</v>
      </c>
      <c r="G73" s="1" t="s">
        <v>8</v>
      </c>
      <c r="H73" s="5" t="str">
        <f>IF(IF(Table44[[#This Row],[Pre or Post]]="Pre",1,0)+IF(ISNUMBER(Table44[[#This Row],[Response]])=TRUE,1,0)=2,1,"")</f>
        <v/>
      </c>
      <c r="I73" s="5">
        <f>IF(IF(Table44[[#This Row],[Pre or Post]]="Post",1,0)+IF(ISNUMBER(Table44[[#This Row],[Response]])=TRUE,1,0)=2,1,"")</f>
        <v>1</v>
      </c>
      <c r="J73" s="5" t="str">
        <f>IF(IF(Table44[[#This Row],[Pre or Post]]="Pre",1,0)+IF(ISNUMBER(Table44[[#This Row],[Response]])=TRUE,1,0)=2,Table44[[#This Row],[Response]],"")</f>
        <v/>
      </c>
      <c r="K73" s="5">
        <f>IF(IF(Table44[[#This Row],[Pre or Post]]="Post",1,0)+IF(ISNUMBER(Table44[[#This Row],[Response]])=TRUE,1,0)=2,Table44[[#This Row],[Response]],"")</f>
        <v>3</v>
      </c>
      <c r="L73" s="5" t="str">
        <f>IF(IF(ISNUMBER(J73),1,0)+IF(ISNUMBER(K74),1,0)=2,IF(IF(C74=C73,1,0)+IF(B74=B73,1,0)+IF(D74="Post",1,0)+IF(D73="Pre",1,0)=4,Table44[[#This Row],[Pre Total]],""),"")</f>
        <v/>
      </c>
      <c r="M73" s="5">
        <f>IF(IF(ISNUMBER(J72),1,0)+IF(ISNUMBER(Table44[[#This Row],[Post Total]]),1,0)=2,IF(IF(Table44[[#This Row],[Student Number]]=C72,1,0)+IF(Table44[[#This Row],[Session]]=B72,1,0)+IF(Table44[[#This Row],[Pre or Post]]="Post",1,0)+IF(D72="Pre",1,0)=4,Table44[[#This Row],[Post Total]],""),"")</f>
        <v>3</v>
      </c>
      <c r="N73" s="5">
        <f>IF(IF(ISNUMBER(J72),1,0)+IF(ISNUMBER(Table44[[#This Row],[Post Total]]),1,0)=2,IF(IF(Table44[[#This Row],[Student Number]]=C72,1,0)+IF(Table44[[#This Row],[Session]]=B72,1,0)+IF(Table44[[#This Row],[Pre or Post]]="Post",1,0)+IF(D72="Pre",1,0)=4,Table44[[#This Row],[Post Total]]-J72,""),"")</f>
        <v>0</v>
      </c>
      <c r="O73" s="5" t="b">
        <f>ISNUMBER(Table44[[#This Row],[Change]])</f>
        <v>1</v>
      </c>
    </row>
    <row r="74" spans="1:15">
      <c r="A74" s="1" t="s">
        <v>12</v>
      </c>
      <c r="B74" s="1" t="s">
        <v>10</v>
      </c>
      <c r="C74" s="1">
        <v>2</v>
      </c>
      <c r="D74" s="1" t="s">
        <v>6</v>
      </c>
      <c r="E74" s="1">
        <v>9</v>
      </c>
      <c r="F74" s="1">
        <v>2</v>
      </c>
      <c r="G74" s="1" t="s">
        <v>8</v>
      </c>
      <c r="H74" s="5">
        <f>IF(IF(Table44[[#This Row],[Pre or Post]]="Pre",1,0)+IF(ISNUMBER(Table44[[#This Row],[Response]])=TRUE,1,0)=2,1,"")</f>
        <v>1</v>
      </c>
      <c r="I74" s="5" t="str">
        <f>IF(IF(Table44[[#This Row],[Pre or Post]]="Post",1,0)+IF(ISNUMBER(Table44[[#This Row],[Response]])=TRUE,1,0)=2,1,"")</f>
        <v/>
      </c>
      <c r="J74" s="5">
        <f>IF(IF(Table44[[#This Row],[Pre or Post]]="Pre",1,0)+IF(ISNUMBER(Table44[[#This Row],[Response]])=TRUE,1,0)=2,Table44[[#This Row],[Response]],"")</f>
        <v>2</v>
      </c>
      <c r="K74" s="5" t="str">
        <f>IF(IF(Table44[[#This Row],[Pre or Post]]="Post",1,0)+IF(ISNUMBER(Table44[[#This Row],[Response]])=TRUE,1,0)=2,Table44[[#This Row],[Response]],"")</f>
        <v/>
      </c>
      <c r="L74" s="5">
        <f>IF(IF(ISNUMBER(J74),1,0)+IF(ISNUMBER(K75),1,0)=2,IF(IF(C75=C74,1,0)+IF(B75=B74,1,0)+IF(D75="Post",1,0)+IF(D74="Pre",1,0)=4,Table44[[#This Row],[Pre Total]],""),"")</f>
        <v>2</v>
      </c>
      <c r="M74" s="5" t="str">
        <f>IF(IF(ISNUMBER(J73),1,0)+IF(ISNUMBER(Table44[[#This Row],[Post Total]]),1,0)=2,IF(IF(Table44[[#This Row],[Student Number]]=C73,1,0)+IF(Table44[[#This Row],[Session]]=B73,1,0)+IF(Table44[[#This Row],[Pre or Post]]="Post",1,0)+IF(D73="Pre",1,0)=4,Table44[[#This Row],[Post Total]],""),"")</f>
        <v/>
      </c>
      <c r="N74" s="5" t="str">
        <f>IF(IF(ISNUMBER(J73),1,0)+IF(ISNUMBER(Table44[[#This Row],[Post Total]]),1,0)=2,IF(IF(Table44[[#This Row],[Student Number]]=C73,1,0)+IF(Table44[[#This Row],[Session]]=B73,1,0)+IF(Table44[[#This Row],[Pre or Post]]="Post",1,0)+IF(D73="Pre",1,0)=4,Table44[[#This Row],[Post Total]]-J73,""),"")</f>
        <v/>
      </c>
      <c r="O74" s="5" t="b">
        <f>ISNUMBER(Table44[[#This Row],[Change]])</f>
        <v>0</v>
      </c>
    </row>
    <row r="75" spans="1:15">
      <c r="A75" s="1" t="s">
        <v>12</v>
      </c>
      <c r="B75" s="1" t="s">
        <v>10</v>
      </c>
      <c r="C75" s="1">
        <v>2</v>
      </c>
      <c r="D75" s="1" t="s">
        <v>16</v>
      </c>
      <c r="E75" s="1">
        <v>2</v>
      </c>
      <c r="F75" s="1">
        <v>2</v>
      </c>
      <c r="G75" s="1" t="s">
        <v>8</v>
      </c>
      <c r="H75" s="5" t="str">
        <f>IF(IF(Table44[[#This Row],[Pre or Post]]="Pre",1,0)+IF(ISNUMBER(Table44[[#This Row],[Response]])=TRUE,1,0)=2,1,"")</f>
        <v/>
      </c>
      <c r="I75" s="5">
        <f>IF(IF(Table44[[#This Row],[Pre or Post]]="Post",1,0)+IF(ISNUMBER(Table44[[#This Row],[Response]])=TRUE,1,0)=2,1,"")</f>
        <v>1</v>
      </c>
      <c r="J75" s="5" t="str">
        <f>IF(IF(Table44[[#This Row],[Pre or Post]]="Pre",1,0)+IF(ISNUMBER(Table44[[#This Row],[Response]])=TRUE,1,0)=2,Table44[[#This Row],[Response]],"")</f>
        <v/>
      </c>
      <c r="K75" s="5">
        <f>IF(IF(Table44[[#This Row],[Pre or Post]]="Post",1,0)+IF(ISNUMBER(Table44[[#This Row],[Response]])=TRUE,1,0)=2,Table44[[#This Row],[Response]],"")</f>
        <v>2</v>
      </c>
      <c r="L75" s="5" t="str">
        <f>IF(IF(ISNUMBER(J75),1,0)+IF(ISNUMBER(K76),1,0)=2,IF(IF(C76=C75,1,0)+IF(B76=B75,1,0)+IF(D76="Post",1,0)+IF(D75="Pre",1,0)=4,Table44[[#This Row],[Pre Total]],""),"")</f>
        <v/>
      </c>
      <c r="M75" s="5">
        <f>IF(IF(ISNUMBER(J74),1,0)+IF(ISNUMBER(Table44[[#This Row],[Post Total]]),1,0)=2,IF(IF(Table44[[#This Row],[Student Number]]=C74,1,0)+IF(Table44[[#This Row],[Session]]=B74,1,0)+IF(Table44[[#This Row],[Pre or Post]]="Post",1,0)+IF(D74="Pre",1,0)=4,Table44[[#This Row],[Post Total]],""),"")</f>
        <v>2</v>
      </c>
      <c r="N75" s="5">
        <f>IF(IF(ISNUMBER(J74),1,0)+IF(ISNUMBER(Table44[[#This Row],[Post Total]]),1,0)=2,IF(IF(Table44[[#This Row],[Student Number]]=C74,1,0)+IF(Table44[[#This Row],[Session]]=B74,1,0)+IF(Table44[[#This Row],[Pre or Post]]="Post",1,0)+IF(D74="Pre",1,0)=4,Table44[[#This Row],[Post Total]]-J74,""),"")</f>
        <v>0</v>
      </c>
      <c r="O75" s="5" t="b">
        <f>ISNUMBER(Table44[[#This Row],[Change]])</f>
        <v>1</v>
      </c>
    </row>
    <row r="76" spans="1:15">
      <c r="A76" s="1" t="s">
        <v>12</v>
      </c>
      <c r="B76" s="1" t="s">
        <v>10</v>
      </c>
      <c r="C76" s="1">
        <v>3</v>
      </c>
      <c r="D76" s="1" t="s">
        <v>6</v>
      </c>
      <c r="E76" s="1">
        <v>9</v>
      </c>
      <c r="F76" s="1">
        <v>5</v>
      </c>
      <c r="G76" s="1" t="s">
        <v>8</v>
      </c>
      <c r="H76" s="5">
        <f>IF(IF(Table44[[#This Row],[Pre or Post]]="Pre",1,0)+IF(ISNUMBER(Table44[[#This Row],[Response]])=TRUE,1,0)=2,1,"")</f>
        <v>1</v>
      </c>
      <c r="I76" s="5" t="str">
        <f>IF(IF(Table44[[#This Row],[Pre or Post]]="Post",1,0)+IF(ISNUMBER(Table44[[#This Row],[Response]])=TRUE,1,0)=2,1,"")</f>
        <v/>
      </c>
      <c r="J76" s="5">
        <f>IF(IF(Table44[[#This Row],[Pre or Post]]="Pre",1,0)+IF(ISNUMBER(Table44[[#This Row],[Response]])=TRUE,1,0)=2,Table44[[#This Row],[Response]],"")</f>
        <v>5</v>
      </c>
      <c r="K76" s="5" t="str">
        <f>IF(IF(Table44[[#This Row],[Pre or Post]]="Post",1,0)+IF(ISNUMBER(Table44[[#This Row],[Response]])=TRUE,1,0)=2,Table44[[#This Row],[Response]],"")</f>
        <v/>
      </c>
      <c r="L76" s="5">
        <f>IF(IF(ISNUMBER(J76),1,0)+IF(ISNUMBER(K77),1,0)=2,IF(IF(C77=C76,1,0)+IF(B77=B76,1,0)+IF(D77="Post",1,0)+IF(D76="Pre",1,0)=4,Table44[[#This Row],[Pre Total]],""),"")</f>
        <v>5</v>
      </c>
      <c r="M76" s="5" t="str">
        <f>IF(IF(ISNUMBER(J75),1,0)+IF(ISNUMBER(Table44[[#This Row],[Post Total]]),1,0)=2,IF(IF(Table44[[#This Row],[Student Number]]=C75,1,0)+IF(Table44[[#This Row],[Session]]=B75,1,0)+IF(Table44[[#This Row],[Pre or Post]]="Post",1,0)+IF(D75="Pre",1,0)=4,Table44[[#This Row],[Post Total]],""),"")</f>
        <v/>
      </c>
      <c r="N76" s="5" t="str">
        <f>IF(IF(ISNUMBER(J75),1,0)+IF(ISNUMBER(Table44[[#This Row],[Post Total]]),1,0)=2,IF(IF(Table44[[#This Row],[Student Number]]=C75,1,0)+IF(Table44[[#This Row],[Session]]=B75,1,0)+IF(Table44[[#This Row],[Pre or Post]]="Post",1,0)+IF(D75="Pre",1,0)=4,Table44[[#This Row],[Post Total]]-J75,""),"")</f>
        <v/>
      </c>
      <c r="O76" s="5" t="b">
        <f>ISNUMBER(Table44[[#This Row],[Change]])</f>
        <v>0</v>
      </c>
    </row>
    <row r="77" spans="1:15">
      <c r="A77" s="1" t="s">
        <v>12</v>
      </c>
      <c r="B77" s="1" t="s">
        <v>10</v>
      </c>
      <c r="C77" s="1">
        <v>3</v>
      </c>
      <c r="D77" s="1" t="s">
        <v>16</v>
      </c>
      <c r="E77" s="1">
        <v>2</v>
      </c>
      <c r="F77" s="1">
        <v>5</v>
      </c>
      <c r="G77" s="1" t="s">
        <v>8</v>
      </c>
      <c r="H77" s="5" t="str">
        <f>IF(IF(Table44[[#This Row],[Pre or Post]]="Pre",1,0)+IF(ISNUMBER(Table44[[#This Row],[Response]])=TRUE,1,0)=2,1,"")</f>
        <v/>
      </c>
      <c r="I77" s="5">
        <f>IF(IF(Table44[[#This Row],[Pre or Post]]="Post",1,0)+IF(ISNUMBER(Table44[[#This Row],[Response]])=TRUE,1,0)=2,1,"")</f>
        <v>1</v>
      </c>
      <c r="J77" s="5" t="str">
        <f>IF(IF(Table44[[#This Row],[Pre or Post]]="Pre",1,0)+IF(ISNUMBER(Table44[[#This Row],[Response]])=TRUE,1,0)=2,Table44[[#This Row],[Response]],"")</f>
        <v/>
      </c>
      <c r="K77" s="5">
        <f>IF(IF(Table44[[#This Row],[Pre or Post]]="Post",1,0)+IF(ISNUMBER(Table44[[#This Row],[Response]])=TRUE,1,0)=2,Table44[[#This Row],[Response]],"")</f>
        <v>5</v>
      </c>
      <c r="L77" s="5" t="str">
        <f>IF(IF(ISNUMBER(J77),1,0)+IF(ISNUMBER(K78),1,0)=2,IF(IF(C78=C77,1,0)+IF(B78=B77,1,0)+IF(D78="Post",1,0)+IF(D77="Pre",1,0)=4,Table44[[#This Row],[Pre Total]],""),"")</f>
        <v/>
      </c>
      <c r="M77" s="5">
        <f>IF(IF(ISNUMBER(J76),1,0)+IF(ISNUMBER(Table44[[#This Row],[Post Total]]),1,0)=2,IF(IF(Table44[[#This Row],[Student Number]]=C76,1,0)+IF(Table44[[#This Row],[Session]]=B76,1,0)+IF(Table44[[#This Row],[Pre or Post]]="Post",1,0)+IF(D76="Pre",1,0)=4,Table44[[#This Row],[Post Total]],""),"")</f>
        <v>5</v>
      </c>
      <c r="N77" s="5">
        <f>IF(IF(ISNUMBER(J76),1,0)+IF(ISNUMBER(Table44[[#This Row],[Post Total]]),1,0)=2,IF(IF(Table44[[#This Row],[Student Number]]=C76,1,0)+IF(Table44[[#This Row],[Session]]=B76,1,0)+IF(Table44[[#This Row],[Pre or Post]]="Post",1,0)+IF(D76="Pre",1,0)=4,Table44[[#This Row],[Post Total]]-J76,""),"")</f>
        <v>0</v>
      </c>
      <c r="O77" s="5" t="b">
        <f>ISNUMBER(Table44[[#This Row],[Change]])</f>
        <v>1</v>
      </c>
    </row>
    <row r="78" spans="1:15">
      <c r="A78" s="1" t="s">
        <v>12</v>
      </c>
      <c r="B78" s="1" t="s">
        <v>10</v>
      </c>
      <c r="C78" s="1">
        <v>4</v>
      </c>
      <c r="D78" s="1" t="s">
        <v>6</v>
      </c>
      <c r="E78" s="1">
        <v>9</v>
      </c>
      <c r="F78" s="1">
        <v>4</v>
      </c>
      <c r="G78" s="1" t="s">
        <v>8</v>
      </c>
      <c r="H78" s="5">
        <f>IF(IF(Table44[[#This Row],[Pre or Post]]="Pre",1,0)+IF(ISNUMBER(Table44[[#This Row],[Response]])=TRUE,1,0)=2,1,"")</f>
        <v>1</v>
      </c>
      <c r="I78" s="5" t="str">
        <f>IF(IF(Table44[[#This Row],[Pre or Post]]="Post",1,0)+IF(ISNUMBER(Table44[[#This Row],[Response]])=TRUE,1,0)=2,1,"")</f>
        <v/>
      </c>
      <c r="J78" s="5">
        <f>IF(IF(Table44[[#This Row],[Pre or Post]]="Pre",1,0)+IF(ISNUMBER(Table44[[#This Row],[Response]])=TRUE,1,0)=2,Table44[[#This Row],[Response]],"")</f>
        <v>4</v>
      </c>
      <c r="K78" s="5" t="str">
        <f>IF(IF(Table44[[#This Row],[Pre or Post]]="Post",1,0)+IF(ISNUMBER(Table44[[#This Row],[Response]])=TRUE,1,0)=2,Table44[[#This Row],[Response]],"")</f>
        <v/>
      </c>
      <c r="L78" s="5">
        <f>IF(IF(ISNUMBER(J78),1,0)+IF(ISNUMBER(K79),1,0)=2,IF(IF(C79=C78,1,0)+IF(B79=B78,1,0)+IF(D79="Post",1,0)+IF(D78="Pre",1,0)=4,Table44[[#This Row],[Pre Total]],""),"")</f>
        <v>4</v>
      </c>
      <c r="M78" s="5" t="str">
        <f>IF(IF(ISNUMBER(J77),1,0)+IF(ISNUMBER(Table44[[#This Row],[Post Total]]),1,0)=2,IF(IF(Table44[[#This Row],[Student Number]]=C77,1,0)+IF(Table44[[#This Row],[Session]]=B77,1,0)+IF(Table44[[#This Row],[Pre or Post]]="Post",1,0)+IF(D77="Pre",1,0)=4,Table44[[#This Row],[Post Total]],""),"")</f>
        <v/>
      </c>
      <c r="N78" s="5" t="str">
        <f>IF(IF(ISNUMBER(J77),1,0)+IF(ISNUMBER(Table44[[#This Row],[Post Total]]),1,0)=2,IF(IF(Table44[[#This Row],[Student Number]]=C77,1,0)+IF(Table44[[#This Row],[Session]]=B77,1,0)+IF(Table44[[#This Row],[Pre or Post]]="Post",1,0)+IF(D77="Pre",1,0)=4,Table44[[#This Row],[Post Total]]-J77,""),"")</f>
        <v/>
      </c>
      <c r="O78" s="5" t="b">
        <f>ISNUMBER(Table44[[#This Row],[Change]])</f>
        <v>0</v>
      </c>
    </row>
    <row r="79" spans="1:15">
      <c r="A79" s="1" t="s">
        <v>12</v>
      </c>
      <c r="B79" s="1" t="s">
        <v>10</v>
      </c>
      <c r="C79" s="1">
        <v>4</v>
      </c>
      <c r="D79" s="1" t="s">
        <v>16</v>
      </c>
      <c r="E79" s="1">
        <v>2</v>
      </c>
      <c r="F79" s="1">
        <v>4</v>
      </c>
      <c r="G79" s="1" t="s">
        <v>8</v>
      </c>
      <c r="H79" s="5" t="str">
        <f>IF(IF(Table44[[#This Row],[Pre or Post]]="Pre",1,0)+IF(ISNUMBER(Table44[[#This Row],[Response]])=TRUE,1,0)=2,1,"")</f>
        <v/>
      </c>
      <c r="I79" s="5">
        <f>IF(IF(Table44[[#This Row],[Pre or Post]]="Post",1,0)+IF(ISNUMBER(Table44[[#This Row],[Response]])=TRUE,1,0)=2,1,"")</f>
        <v>1</v>
      </c>
      <c r="J79" s="5" t="str">
        <f>IF(IF(Table44[[#This Row],[Pre or Post]]="Pre",1,0)+IF(ISNUMBER(Table44[[#This Row],[Response]])=TRUE,1,0)=2,Table44[[#This Row],[Response]],"")</f>
        <v/>
      </c>
      <c r="K79" s="5">
        <f>IF(IF(Table44[[#This Row],[Pre or Post]]="Post",1,0)+IF(ISNUMBER(Table44[[#This Row],[Response]])=TRUE,1,0)=2,Table44[[#This Row],[Response]],"")</f>
        <v>4</v>
      </c>
      <c r="L79" s="5" t="str">
        <f>IF(IF(ISNUMBER(J79),1,0)+IF(ISNUMBER(K80),1,0)=2,IF(IF(C80=C79,1,0)+IF(B80=B79,1,0)+IF(D80="Post",1,0)+IF(D79="Pre",1,0)=4,Table44[[#This Row],[Pre Total]],""),"")</f>
        <v/>
      </c>
      <c r="M79" s="5">
        <f>IF(IF(ISNUMBER(J78),1,0)+IF(ISNUMBER(Table44[[#This Row],[Post Total]]),1,0)=2,IF(IF(Table44[[#This Row],[Student Number]]=C78,1,0)+IF(Table44[[#This Row],[Session]]=B78,1,0)+IF(Table44[[#This Row],[Pre or Post]]="Post",1,0)+IF(D78="Pre",1,0)=4,Table44[[#This Row],[Post Total]],""),"")</f>
        <v>4</v>
      </c>
      <c r="N79" s="5">
        <f>IF(IF(ISNUMBER(J78),1,0)+IF(ISNUMBER(Table44[[#This Row],[Post Total]]),1,0)=2,IF(IF(Table44[[#This Row],[Student Number]]=C78,1,0)+IF(Table44[[#This Row],[Session]]=B78,1,0)+IF(Table44[[#This Row],[Pre or Post]]="Post",1,0)+IF(D78="Pre",1,0)=4,Table44[[#This Row],[Post Total]]-J78,""),"")</f>
        <v>0</v>
      </c>
      <c r="O79" s="5" t="b">
        <f>ISNUMBER(Table44[[#This Row],[Change]])</f>
        <v>1</v>
      </c>
    </row>
    <row r="80" spans="1:15">
      <c r="A80" s="1" t="s">
        <v>12</v>
      </c>
      <c r="B80" s="1" t="s">
        <v>10</v>
      </c>
      <c r="C80" s="1">
        <v>5</v>
      </c>
      <c r="D80" s="1" t="s">
        <v>6</v>
      </c>
      <c r="E80" s="1">
        <v>9</v>
      </c>
      <c r="F80" s="1">
        <v>3</v>
      </c>
      <c r="G80" s="1" t="s">
        <v>8</v>
      </c>
      <c r="H80" s="5">
        <f>IF(IF(Table44[[#This Row],[Pre or Post]]="Pre",1,0)+IF(ISNUMBER(Table44[[#This Row],[Response]])=TRUE,1,0)=2,1,"")</f>
        <v>1</v>
      </c>
      <c r="I80" s="5" t="str">
        <f>IF(IF(Table44[[#This Row],[Pre or Post]]="Post",1,0)+IF(ISNUMBER(Table44[[#This Row],[Response]])=TRUE,1,0)=2,1,"")</f>
        <v/>
      </c>
      <c r="J80" s="5">
        <f>IF(IF(Table44[[#This Row],[Pre or Post]]="Pre",1,0)+IF(ISNUMBER(Table44[[#This Row],[Response]])=TRUE,1,0)=2,Table44[[#This Row],[Response]],"")</f>
        <v>3</v>
      </c>
      <c r="K80" s="5" t="str">
        <f>IF(IF(Table44[[#This Row],[Pre or Post]]="Post",1,0)+IF(ISNUMBER(Table44[[#This Row],[Response]])=TRUE,1,0)=2,Table44[[#This Row],[Response]],"")</f>
        <v/>
      </c>
      <c r="L80" s="5">
        <f>IF(IF(ISNUMBER(J80),1,0)+IF(ISNUMBER(K81),1,0)=2,IF(IF(C81=C80,1,0)+IF(B81=B80,1,0)+IF(D81="Post",1,0)+IF(D80="Pre",1,0)=4,Table44[[#This Row],[Pre Total]],""),"")</f>
        <v>3</v>
      </c>
      <c r="M80" s="5" t="str">
        <f>IF(IF(ISNUMBER(J79),1,0)+IF(ISNUMBER(Table44[[#This Row],[Post Total]]),1,0)=2,IF(IF(Table44[[#This Row],[Student Number]]=C79,1,0)+IF(Table44[[#This Row],[Session]]=B79,1,0)+IF(Table44[[#This Row],[Pre or Post]]="Post",1,0)+IF(D79="Pre",1,0)=4,Table44[[#This Row],[Post Total]],""),"")</f>
        <v/>
      </c>
      <c r="N80" s="5" t="str">
        <f>IF(IF(ISNUMBER(J79),1,0)+IF(ISNUMBER(Table44[[#This Row],[Post Total]]),1,0)=2,IF(IF(Table44[[#This Row],[Student Number]]=C79,1,0)+IF(Table44[[#This Row],[Session]]=B79,1,0)+IF(Table44[[#This Row],[Pre or Post]]="Post",1,0)+IF(D79="Pre",1,0)=4,Table44[[#This Row],[Post Total]]-J79,""),"")</f>
        <v/>
      </c>
      <c r="O80" s="5" t="b">
        <f>ISNUMBER(Table44[[#This Row],[Change]])</f>
        <v>0</v>
      </c>
    </row>
    <row r="81" spans="1:15">
      <c r="A81" s="1" t="s">
        <v>12</v>
      </c>
      <c r="B81" s="1" t="s">
        <v>10</v>
      </c>
      <c r="C81" s="1">
        <v>5</v>
      </c>
      <c r="D81" s="1" t="s">
        <v>16</v>
      </c>
      <c r="E81" s="1">
        <v>2</v>
      </c>
      <c r="F81" s="1">
        <v>3</v>
      </c>
      <c r="G81" s="1" t="s">
        <v>8</v>
      </c>
      <c r="H81" s="5" t="str">
        <f>IF(IF(Table44[[#This Row],[Pre or Post]]="Pre",1,0)+IF(ISNUMBER(Table44[[#This Row],[Response]])=TRUE,1,0)=2,1,"")</f>
        <v/>
      </c>
      <c r="I81" s="5">
        <f>IF(IF(Table44[[#This Row],[Pre or Post]]="Post",1,0)+IF(ISNUMBER(Table44[[#This Row],[Response]])=TRUE,1,0)=2,1,"")</f>
        <v>1</v>
      </c>
      <c r="J81" s="5" t="str">
        <f>IF(IF(Table44[[#This Row],[Pre or Post]]="Pre",1,0)+IF(ISNUMBER(Table44[[#This Row],[Response]])=TRUE,1,0)=2,Table44[[#This Row],[Response]],"")</f>
        <v/>
      </c>
      <c r="K81" s="5">
        <f>IF(IF(Table44[[#This Row],[Pre or Post]]="Post",1,0)+IF(ISNUMBER(Table44[[#This Row],[Response]])=TRUE,1,0)=2,Table44[[#This Row],[Response]],"")</f>
        <v>3</v>
      </c>
      <c r="L81" s="5" t="str">
        <f>IF(IF(ISNUMBER(J81),1,0)+IF(ISNUMBER(K82),1,0)=2,IF(IF(C82=C81,1,0)+IF(B82=B81,1,0)+IF(D82="Post",1,0)+IF(D81="Pre",1,0)=4,Table44[[#This Row],[Pre Total]],""),"")</f>
        <v/>
      </c>
      <c r="M81" s="5">
        <f>IF(IF(ISNUMBER(J80),1,0)+IF(ISNUMBER(Table44[[#This Row],[Post Total]]),1,0)=2,IF(IF(Table44[[#This Row],[Student Number]]=C80,1,0)+IF(Table44[[#This Row],[Session]]=B80,1,0)+IF(Table44[[#This Row],[Pre or Post]]="Post",1,0)+IF(D80="Pre",1,0)=4,Table44[[#This Row],[Post Total]],""),"")</f>
        <v>3</v>
      </c>
      <c r="N81" s="5">
        <f>IF(IF(ISNUMBER(J80),1,0)+IF(ISNUMBER(Table44[[#This Row],[Post Total]]),1,0)=2,IF(IF(Table44[[#This Row],[Student Number]]=C80,1,0)+IF(Table44[[#This Row],[Session]]=B80,1,0)+IF(Table44[[#This Row],[Pre or Post]]="Post",1,0)+IF(D80="Pre",1,0)=4,Table44[[#This Row],[Post Total]]-J80,""),"")</f>
        <v>0</v>
      </c>
      <c r="O81" s="5" t="b">
        <f>ISNUMBER(Table44[[#This Row],[Change]])</f>
        <v>1</v>
      </c>
    </row>
    <row r="82" spans="1:15">
      <c r="A82" s="1" t="s">
        <v>12</v>
      </c>
      <c r="B82" s="1" t="s">
        <v>10</v>
      </c>
      <c r="C82" s="1">
        <v>6</v>
      </c>
      <c r="D82" s="1" t="s">
        <v>6</v>
      </c>
      <c r="E82" s="1">
        <v>9</v>
      </c>
      <c r="F82" s="1">
        <v>4</v>
      </c>
      <c r="G82" s="1" t="s">
        <v>8</v>
      </c>
      <c r="H82" s="5">
        <f>IF(IF(Table44[[#This Row],[Pre or Post]]="Pre",1,0)+IF(ISNUMBER(Table44[[#This Row],[Response]])=TRUE,1,0)=2,1,"")</f>
        <v>1</v>
      </c>
      <c r="I82" s="5" t="str">
        <f>IF(IF(Table44[[#This Row],[Pre or Post]]="Post",1,0)+IF(ISNUMBER(Table44[[#This Row],[Response]])=TRUE,1,0)=2,1,"")</f>
        <v/>
      </c>
      <c r="J82" s="5">
        <f>IF(IF(Table44[[#This Row],[Pre or Post]]="Pre",1,0)+IF(ISNUMBER(Table44[[#This Row],[Response]])=TRUE,1,0)=2,Table44[[#This Row],[Response]],"")</f>
        <v>4</v>
      </c>
      <c r="K82" s="5" t="str">
        <f>IF(IF(Table44[[#This Row],[Pre or Post]]="Post",1,0)+IF(ISNUMBER(Table44[[#This Row],[Response]])=TRUE,1,0)=2,Table44[[#This Row],[Response]],"")</f>
        <v/>
      </c>
      <c r="L82" s="5">
        <f>IF(IF(ISNUMBER(J82),1,0)+IF(ISNUMBER(K83),1,0)=2,IF(IF(C83=C82,1,0)+IF(B83=B82,1,0)+IF(D83="Post",1,0)+IF(D82="Pre",1,0)=4,Table44[[#This Row],[Pre Total]],""),"")</f>
        <v>4</v>
      </c>
      <c r="M82" s="5" t="str">
        <f>IF(IF(ISNUMBER(J81),1,0)+IF(ISNUMBER(Table44[[#This Row],[Post Total]]),1,0)=2,IF(IF(Table44[[#This Row],[Student Number]]=C81,1,0)+IF(Table44[[#This Row],[Session]]=B81,1,0)+IF(Table44[[#This Row],[Pre or Post]]="Post",1,0)+IF(D81="Pre",1,0)=4,Table44[[#This Row],[Post Total]],""),"")</f>
        <v/>
      </c>
      <c r="N82" s="5" t="str">
        <f>IF(IF(ISNUMBER(J81),1,0)+IF(ISNUMBER(Table44[[#This Row],[Post Total]]),1,0)=2,IF(IF(Table44[[#This Row],[Student Number]]=C81,1,0)+IF(Table44[[#This Row],[Session]]=B81,1,0)+IF(Table44[[#This Row],[Pre or Post]]="Post",1,0)+IF(D81="Pre",1,0)=4,Table44[[#This Row],[Post Total]]-J81,""),"")</f>
        <v/>
      </c>
      <c r="O82" s="5" t="b">
        <f>ISNUMBER(Table44[[#This Row],[Change]])</f>
        <v>0</v>
      </c>
    </row>
    <row r="83" spans="1:15">
      <c r="A83" s="1" t="s">
        <v>12</v>
      </c>
      <c r="B83" s="1" t="s">
        <v>10</v>
      </c>
      <c r="C83" s="1">
        <v>6</v>
      </c>
      <c r="D83" s="1" t="s">
        <v>16</v>
      </c>
      <c r="E83" s="1">
        <v>2</v>
      </c>
      <c r="F83" s="1">
        <v>4</v>
      </c>
      <c r="G83" s="1" t="s">
        <v>8</v>
      </c>
      <c r="H83" s="5" t="str">
        <f>IF(IF(Table44[[#This Row],[Pre or Post]]="Pre",1,0)+IF(ISNUMBER(Table44[[#This Row],[Response]])=TRUE,1,0)=2,1,"")</f>
        <v/>
      </c>
      <c r="I83" s="5">
        <f>IF(IF(Table44[[#This Row],[Pre or Post]]="Post",1,0)+IF(ISNUMBER(Table44[[#This Row],[Response]])=TRUE,1,0)=2,1,"")</f>
        <v>1</v>
      </c>
      <c r="J83" s="5" t="str">
        <f>IF(IF(Table44[[#This Row],[Pre or Post]]="Pre",1,0)+IF(ISNUMBER(Table44[[#This Row],[Response]])=TRUE,1,0)=2,Table44[[#This Row],[Response]],"")</f>
        <v/>
      </c>
      <c r="K83" s="5">
        <f>IF(IF(Table44[[#This Row],[Pre or Post]]="Post",1,0)+IF(ISNUMBER(Table44[[#This Row],[Response]])=TRUE,1,0)=2,Table44[[#This Row],[Response]],"")</f>
        <v>4</v>
      </c>
      <c r="L83" s="5" t="str">
        <f>IF(IF(ISNUMBER(J83),1,0)+IF(ISNUMBER(K84),1,0)=2,IF(IF(C84=C83,1,0)+IF(B84=B83,1,0)+IF(D84="Post",1,0)+IF(D83="Pre",1,0)=4,Table44[[#This Row],[Pre Total]],""),"")</f>
        <v/>
      </c>
      <c r="M83" s="5">
        <f>IF(IF(ISNUMBER(J82),1,0)+IF(ISNUMBER(Table44[[#This Row],[Post Total]]),1,0)=2,IF(IF(Table44[[#This Row],[Student Number]]=C82,1,0)+IF(Table44[[#This Row],[Session]]=B82,1,0)+IF(Table44[[#This Row],[Pre or Post]]="Post",1,0)+IF(D82="Pre",1,0)=4,Table44[[#This Row],[Post Total]],""),"")</f>
        <v>4</v>
      </c>
      <c r="N83" s="5">
        <f>IF(IF(ISNUMBER(J82),1,0)+IF(ISNUMBER(Table44[[#This Row],[Post Total]]),1,0)=2,IF(IF(Table44[[#This Row],[Student Number]]=C82,1,0)+IF(Table44[[#This Row],[Session]]=B82,1,0)+IF(Table44[[#This Row],[Pre or Post]]="Post",1,0)+IF(D82="Pre",1,0)=4,Table44[[#This Row],[Post Total]]-J82,""),"")</f>
        <v>0</v>
      </c>
      <c r="O83" s="5" t="b">
        <f>ISNUMBER(Table44[[#This Row],[Change]])</f>
        <v>1</v>
      </c>
    </row>
    <row r="84" spans="1:15">
      <c r="A84" s="1" t="s">
        <v>12</v>
      </c>
      <c r="B84" s="1" t="s">
        <v>10</v>
      </c>
      <c r="C84" s="1">
        <v>7</v>
      </c>
      <c r="D84" s="1" t="s">
        <v>6</v>
      </c>
      <c r="E84" s="1">
        <v>9</v>
      </c>
      <c r="F84" s="1">
        <v>3</v>
      </c>
      <c r="G84" s="1" t="s">
        <v>8</v>
      </c>
      <c r="H84" s="5">
        <f>IF(IF(Table44[[#This Row],[Pre or Post]]="Pre",1,0)+IF(ISNUMBER(Table44[[#This Row],[Response]])=TRUE,1,0)=2,1,"")</f>
        <v>1</v>
      </c>
      <c r="I84" s="5" t="str">
        <f>IF(IF(Table44[[#This Row],[Pre or Post]]="Post",1,0)+IF(ISNUMBER(Table44[[#This Row],[Response]])=TRUE,1,0)=2,1,"")</f>
        <v/>
      </c>
      <c r="J84" s="5">
        <f>IF(IF(Table44[[#This Row],[Pre or Post]]="Pre",1,0)+IF(ISNUMBER(Table44[[#This Row],[Response]])=TRUE,1,0)=2,Table44[[#This Row],[Response]],"")</f>
        <v>3</v>
      </c>
      <c r="K84" s="5" t="str">
        <f>IF(IF(Table44[[#This Row],[Pre or Post]]="Post",1,0)+IF(ISNUMBER(Table44[[#This Row],[Response]])=TRUE,1,0)=2,Table44[[#This Row],[Response]],"")</f>
        <v/>
      </c>
      <c r="L84" s="5">
        <f>IF(IF(ISNUMBER(J84),1,0)+IF(ISNUMBER(K85),1,0)=2,IF(IF(C85=C84,1,0)+IF(B85=B84,1,0)+IF(D85="Post",1,0)+IF(D84="Pre",1,0)=4,Table44[[#This Row],[Pre Total]],""),"")</f>
        <v>3</v>
      </c>
      <c r="M84" s="5" t="str">
        <f>IF(IF(ISNUMBER(J83),1,0)+IF(ISNUMBER(Table44[[#This Row],[Post Total]]),1,0)=2,IF(IF(Table44[[#This Row],[Student Number]]=C83,1,0)+IF(Table44[[#This Row],[Session]]=B83,1,0)+IF(Table44[[#This Row],[Pre or Post]]="Post",1,0)+IF(D83="Pre",1,0)=4,Table44[[#This Row],[Post Total]],""),"")</f>
        <v/>
      </c>
      <c r="N84" s="5" t="str">
        <f>IF(IF(ISNUMBER(J83),1,0)+IF(ISNUMBER(Table44[[#This Row],[Post Total]]),1,0)=2,IF(IF(Table44[[#This Row],[Student Number]]=C83,1,0)+IF(Table44[[#This Row],[Session]]=B83,1,0)+IF(Table44[[#This Row],[Pre or Post]]="Post",1,0)+IF(D83="Pre",1,0)=4,Table44[[#This Row],[Post Total]]-J83,""),"")</f>
        <v/>
      </c>
      <c r="O84" s="5" t="b">
        <f>ISNUMBER(Table44[[#This Row],[Change]])</f>
        <v>0</v>
      </c>
    </row>
    <row r="85" spans="1:15">
      <c r="A85" s="1" t="s">
        <v>12</v>
      </c>
      <c r="B85" s="1" t="s">
        <v>10</v>
      </c>
      <c r="C85" s="1">
        <v>7</v>
      </c>
      <c r="D85" s="1" t="s">
        <v>16</v>
      </c>
      <c r="E85" s="1">
        <v>2</v>
      </c>
      <c r="F85" s="1">
        <v>3</v>
      </c>
      <c r="G85" s="1" t="s">
        <v>8</v>
      </c>
      <c r="H85" s="5" t="str">
        <f>IF(IF(Table44[[#This Row],[Pre or Post]]="Pre",1,0)+IF(ISNUMBER(Table44[[#This Row],[Response]])=TRUE,1,0)=2,1,"")</f>
        <v/>
      </c>
      <c r="I85" s="5">
        <f>IF(IF(Table44[[#This Row],[Pre or Post]]="Post",1,0)+IF(ISNUMBER(Table44[[#This Row],[Response]])=TRUE,1,0)=2,1,"")</f>
        <v>1</v>
      </c>
      <c r="J85" s="5" t="str">
        <f>IF(IF(Table44[[#This Row],[Pre or Post]]="Pre",1,0)+IF(ISNUMBER(Table44[[#This Row],[Response]])=TRUE,1,0)=2,Table44[[#This Row],[Response]],"")</f>
        <v/>
      </c>
      <c r="K85" s="5">
        <f>IF(IF(Table44[[#This Row],[Pre or Post]]="Post",1,0)+IF(ISNUMBER(Table44[[#This Row],[Response]])=TRUE,1,0)=2,Table44[[#This Row],[Response]],"")</f>
        <v>3</v>
      </c>
      <c r="L85" s="5" t="str">
        <f>IF(IF(ISNUMBER(J85),1,0)+IF(ISNUMBER(K86),1,0)=2,IF(IF(C86=C85,1,0)+IF(B86=B85,1,0)+IF(D86="Post",1,0)+IF(D85="Pre",1,0)=4,Table44[[#This Row],[Pre Total]],""),"")</f>
        <v/>
      </c>
      <c r="M85" s="5">
        <f>IF(IF(ISNUMBER(J84),1,0)+IF(ISNUMBER(Table44[[#This Row],[Post Total]]),1,0)=2,IF(IF(Table44[[#This Row],[Student Number]]=C84,1,0)+IF(Table44[[#This Row],[Session]]=B84,1,0)+IF(Table44[[#This Row],[Pre or Post]]="Post",1,0)+IF(D84="Pre",1,0)=4,Table44[[#This Row],[Post Total]],""),"")</f>
        <v>3</v>
      </c>
      <c r="N85" s="5">
        <f>IF(IF(ISNUMBER(J84),1,0)+IF(ISNUMBER(Table44[[#This Row],[Post Total]]),1,0)=2,IF(IF(Table44[[#This Row],[Student Number]]=C84,1,0)+IF(Table44[[#This Row],[Session]]=B84,1,0)+IF(Table44[[#This Row],[Pre or Post]]="Post",1,0)+IF(D84="Pre",1,0)=4,Table44[[#This Row],[Post Total]]-J84,""),"")</f>
        <v>0</v>
      </c>
      <c r="O85" s="5" t="b">
        <f>ISNUMBER(Table44[[#This Row],[Change]])</f>
        <v>1</v>
      </c>
    </row>
    <row r="86" spans="1:15">
      <c r="A86" s="1" t="s">
        <v>12</v>
      </c>
      <c r="B86" s="1" t="s">
        <v>10</v>
      </c>
      <c r="C86" s="1">
        <v>8</v>
      </c>
      <c r="D86" s="1" t="s">
        <v>6</v>
      </c>
      <c r="E86" s="1">
        <v>9</v>
      </c>
      <c r="F86" s="1">
        <v>4</v>
      </c>
      <c r="G86" s="1" t="s">
        <v>8</v>
      </c>
      <c r="H86" s="5">
        <f>IF(IF(Table44[[#This Row],[Pre or Post]]="Pre",1,0)+IF(ISNUMBER(Table44[[#This Row],[Response]])=TRUE,1,0)=2,1,"")</f>
        <v>1</v>
      </c>
      <c r="I86" s="5" t="str">
        <f>IF(IF(Table44[[#This Row],[Pre or Post]]="Post",1,0)+IF(ISNUMBER(Table44[[#This Row],[Response]])=TRUE,1,0)=2,1,"")</f>
        <v/>
      </c>
      <c r="J86" s="5">
        <f>IF(IF(Table44[[#This Row],[Pre or Post]]="Pre",1,0)+IF(ISNUMBER(Table44[[#This Row],[Response]])=TRUE,1,0)=2,Table44[[#This Row],[Response]],"")</f>
        <v>4</v>
      </c>
      <c r="K86" s="5" t="str">
        <f>IF(IF(Table44[[#This Row],[Pre or Post]]="Post",1,0)+IF(ISNUMBER(Table44[[#This Row],[Response]])=TRUE,1,0)=2,Table44[[#This Row],[Response]],"")</f>
        <v/>
      </c>
      <c r="L86" s="5">
        <f>IF(IF(ISNUMBER(J86),1,0)+IF(ISNUMBER(K87),1,0)=2,IF(IF(C87=C86,1,0)+IF(B87=B86,1,0)+IF(D87="Post",1,0)+IF(D86="Pre",1,0)=4,Table44[[#This Row],[Pre Total]],""),"")</f>
        <v>4</v>
      </c>
      <c r="M86" s="5" t="str">
        <f>IF(IF(ISNUMBER(J85),1,0)+IF(ISNUMBER(Table44[[#This Row],[Post Total]]),1,0)=2,IF(IF(Table44[[#This Row],[Student Number]]=C85,1,0)+IF(Table44[[#This Row],[Session]]=B85,1,0)+IF(Table44[[#This Row],[Pre or Post]]="Post",1,0)+IF(D85="Pre",1,0)=4,Table44[[#This Row],[Post Total]],""),"")</f>
        <v/>
      </c>
      <c r="N86" s="5" t="str">
        <f>IF(IF(ISNUMBER(J85),1,0)+IF(ISNUMBER(Table44[[#This Row],[Post Total]]),1,0)=2,IF(IF(Table44[[#This Row],[Student Number]]=C85,1,0)+IF(Table44[[#This Row],[Session]]=B85,1,0)+IF(Table44[[#This Row],[Pre or Post]]="Post",1,0)+IF(D85="Pre",1,0)=4,Table44[[#This Row],[Post Total]]-J85,""),"")</f>
        <v/>
      </c>
      <c r="O86" s="5" t="b">
        <f>ISNUMBER(Table44[[#This Row],[Change]])</f>
        <v>0</v>
      </c>
    </row>
    <row r="87" spans="1:15">
      <c r="A87" s="1" t="s">
        <v>12</v>
      </c>
      <c r="B87" s="1" t="s">
        <v>10</v>
      </c>
      <c r="C87" s="1">
        <v>8</v>
      </c>
      <c r="D87" s="1" t="s">
        <v>16</v>
      </c>
      <c r="E87" s="1">
        <v>2</v>
      </c>
      <c r="F87" s="1">
        <v>4</v>
      </c>
      <c r="G87" s="1" t="s">
        <v>8</v>
      </c>
      <c r="H87" s="5" t="str">
        <f>IF(IF(Table44[[#This Row],[Pre or Post]]="Pre",1,0)+IF(ISNUMBER(Table44[[#This Row],[Response]])=TRUE,1,0)=2,1,"")</f>
        <v/>
      </c>
      <c r="I87" s="5">
        <f>IF(IF(Table44[[#This Row],[Pre or Post]]="Post",1,0)+IF(ISNUMBER(Table44[[#This Row],[Response]])=TRUE,1,0)=2,1,"")</f>
        <v>1</v>
      </c>
      <c r="J87" s="5" t="str">
        <f>IF(IF(Table44[[#This Row],[Pre or Post]]="Pre",1,0)+IF(ISNUMBER(Table44[[#This Row],[Response]])=TRUE,1,0)=2,Table44[[#This Row],[Response]],"")</f>
        <v/>
      </c>
      <c r="K87" s="5">
        <f>IF(IF(Table44[[#This Row],[Pre or Post]]="Post",1,0)+IF(ISNUMBER(Table44[[#This Row],[Response]])=TRUE,1,0)=2,Table44[[#This Row],[Response]],"")</f>
        <v>4</v>
      </c>
      <c r="L87" s="5" t="str">
        <f>IF(IF(ISNUMBER(J87),1,0)+IF(ISNUMBER(K88),1,0)=2,IF(IF(C88=C87,1,0)+IF(B88=B87,1,0)+IF(D88="Post",1,0)+IF(D87="Pre",1,0)=4,Table44[[#This Row],[Pre Total]],""),"")</f>
        <v/>
      </c>
      <c r="M87" s="5">
        <f>IF(IF(ISNUMBER(J86),1,0)+IF(ISNUMBER(Table44[[#This Row],[Post Total]]),1,0)=2,IF(IF(Table44[[#This Row],[Student Number]]=C86,1,0)+IF(Table44[[#This Row],[Session]]=B86,1,0)+IF(Table44[[#This Row],[Pre or Post]]="Post",1,0)+IF(D86="Pre",1,0)=4,Table44[[#This Row],[Post Total]],""),"")</f>
        <v>4</v>
      </c>
      <c r="N87" s="5">
        <f>IF(IF(ISNUMBER(J86),1,0)+IF(ISNUMBER(Table44[[#This Row],[Post Total]]),1,0)=2,IF(IF(Table44[[#This Row],[Student Number]]=C86,1,0)+IF(Table44[[#This Row],[Session]]=B86,1,0)+IF(Table44[[#This Row],[Pre or Post]]="Post",1,0)+IF(D86="Pre",1,0)=4,Table44[[#This Row],[Post Total]]-J86,""),"")</f>
        <v>0</v>
      </c>
      <c r="O87" s="5" t="b">
        <f>ISNUMBER(Table44[[#This Row],[Change]])</f>
        <v>1</v>
      </c>
    </row>
    <row r="88" spans="1:15">
      <c r="A88" s="1" t="s">
        <v>12</v>
      </c>
      <c r="B88" s="1" t="s">
        <v>10</v>
      </c>
      <c r="C88" s="1">
        <v>9</v>
      </c>
      <c r="D88" s="1" t="s">
        <v>6</v>
      </c>
      <c r="E88" s="1">
        <v>9</v>
      </c>
      <c r="F88" s="1">
        <v>4</v>
      </c>
      <c r="G88" s="1" t="s">
        <v>8</v>
      </c>
      <c r="H88" s="5">
        <f>IF(IF(Table44[[#This Row],[Pre or Post]]="Pre",1,0)+IF(ISNUMBER(Table44[[#This Row],[Response]])=TRUE,1,0)=2,1,"")</f>
        <v>1</v>
      </c>
      <c r="I88" s="5" t="str">
        <f>IF(IF(Table44[[#This Row],[Pre or Post]]="Post",1,0)+IF(ISNUMBER(Table44[[#This Row],[Response]])=TRUE,1,0)=2,1,"")</f>
        <v/>
      </c>
      <c r="J88" s="5">
        <f>IF(IF(Table44[[#This Row],[Pre or Post]]="Pre",1,0)+IF(ISNUMBER(Table44[[#This Row],[Response]])=TRUE,1,0)=2,Table44[[#This Row],[Response]],"")</f>
        <v>4</v>
      </c>
      <c r="K88" s="5" t="str">
        <f>IF(IF(Table44[[#This Row],[Pre or Post]]="Post",1,0)+IF(ISNUMBER(Table44[[#This Row],[Response]])=TRUE,1,0)=2,Table44[[#This Row],[Response]],"")</f>
        <v/>
      </c>
      <c r="L88" s="5">
        <f>IF(IF(ISNUMBER(J88),1,0)+IF(ISNUMBER(K89),1,0)=2,IF(IF(C89=C88,1,0)+IF(B89=B88,1,0)+IF(D89="Post",1,0)+IF(D88="Pre",1,0)=4,Table44[[#This Row],[Pre Total]],""),"")</f>
        <v>4</v>
      </c>
      <c r="M88" s="5" t="str">
        <f>IF(IF(ISNUMBER(J87),1,0)+IF(ISNUMBER(Table44[[#This Row],[Post Total]]),1,0)=2,IF(IF(Table44[[#This Row],[Student Number]]=C87,1,0)+IF(Table44[[#This Row],[Session]]=B87,1,0)+IF(Table44[[#This Row],[Pre or Post]]="Post",1,0)+IF(D87="Pre",1,0)=4,Table44[[#This Row],[Post Total]],""),"")</f>
        <v/>
      </c>
      <c r="N88" s="5" t="str">
        <f>IF(IF(ISNUMBER(J87),1,0)+IF(ISNUMBER(Table44[[#This Row],[Post Total]]),1,0)=2,IF(IF(Table44[[#This Row],[Student Number]]=C87,1,0)+IF(Table44[[#This Row],[Session]]=B87,1,0)+IF(Table44[[#This Row],[Pre or Post]]="Post",1,0)+IF(D87="Pre",1,0)=4,Table44[[#This Row],[Post Total]]-J87,""),"")</f>
        <v/>
      </c>
      <c r="O88" s="5" t="b">
        <f>ISNUMBER(Table44[[#This Row],[Change]])</f>
        <v>0</v>
      </c>
    </row>
    <row r="89" spans="1:15">
      <c r="A89" s="1" t="s">
        <v>12</v>
      </c>
      <c r="B89" s="1" t="s">
        <v>10</v>
      </c>
      <c r="C89" s="1">
        <v>9</v>
      </c>
      <c r="D89" s="1" t="s">
        <v>16</v>
      </c>
      <c r="E89" s="1">
        <v>2</v>
      </c>
      <c r="F89" s="1">
        <v>4</v>
      </c>
      <c r="G89" s="1" t="s">
        <v>8</v>
      </c>
      <c r="H89" s="5" t="str">
        <f>IF(IF(Table44[[#This Row],[Pre or Post]]="Pre",1,0)+IF(ISNUMBER(Table44[[#This Row],[Response]])=TRUE,1,0)=2,1,"")</f>
        <v/>
      </c>
      <c r="I89" s="5">
        <f>IF(IF(Table44[[#This Row],[Pre or Post]]="Post",1,0)+IF(ISNUMBER(Table44[[#This Row],[Response]])=TRUE,1,0)=2,1,"")</f>
        <v>1</v>
      </c>
      <c r="J89" s="5" t="str">
        <f>IF(IF(Table44[[#This Row],[Pre or Post]]="Pre",1,0)+IF(ISNUMBER(Table44[[#This Row],[Response]])=TRUE,1,0)=2,Table44[[#This Row],[Response]],"")</f>
        <v/>
      </c>
      <c r="K89" s="5">
        <f>IF(IF(Table44[[#This Row],[Pre or Post]]="Post",1,0)+IF(ISNUMBER(Table44[[#This Row],[Response]])=TRUE,1,0)=2,Table44[[#This Row],[Response]],"")</f>
        <v>4</v>
      </c>
      <c r="L89" s="5" t="str">
        <f>IF(IF(ISNUMBER(J89),1,0)+IF(ISNUMBER(K90),1,0)=2,IF(IF(C90=C89,1,0)+IF(B90=B89,1,0)+IF(D90="Post",1,0)+IF(D89="Pre",1,0)=4,Table44[[#This Row],[Pre Total]],""),"")</f>
        <v/>
      </c>
      <c r="M89" s="5">
        <f>IF(IF(ISNUMBER(J88),1,0)+IF(ISNUMBER(Table44[[#This Row],[Post Total]]),1,0)=2,IF(IF(Table44[[#This Row],[Student Number]]=C88,1,0)+IF(Table44[[#This Row],[Session]]=B88,1,0)+IF(Table44[[#This Row],[Pre or Post]]="Post",1,0)+IF(D88="Pre",1,0)=4,Table44[[#This Row],[Post Total]],""),"")</f>
        <v>4</v>
      </c>
      <c r="N89" s="5">
        <f>IF(IF(ISNUMBER(J88),1,0)+IF(ISNUMBER(Table44[[#This Row],[Post Total]]),1,0)=2,IF(IF(Table44[[#This Row],[Student Number]]=C88,1,0)+IF(Table44[[#This Row],[Session]]=B88,1,0)+IF(Table44[[#This Row],[Pre or Post]]="Post",1,0)+IF(D88="Pre",1,0)=4,Table44[[#This Row],[Post Total]]-J88,""),"")</f>
        <v>0</v>
      </c>
      <c r="O89" s="5" t="b">
        <f>ISNUMBER(Table44[[#This Row],[Change]])</f>
        <v>1</v>
      </c>
    </row>
    <row r="90" spans="1:15">
      <c r="A90" s="1" t="s">
        <v>12</v>
      </c>
      <c r="B90" s="1" t="s">
        <v>10</v>
      </c>
      <c r="C90" s="1">
        <v>10</v>
      </c>
      <c r="D90" s="1" t="s">
        <v>6</v>
      </c>
      <c r="E90" s="1">
        <v>9</v>
      </c>
      <c r="F90" s="1">
        <v>4</v>
      </c>
      <c r="G90" s="1" t="s">
        <v>8</v>
      </c>
      <c r="H90" s="5">
        <f>IF(IF(Table44[[#This Row],[Pre or Post]]="Pre",1,0)+IF(ISNUMBER(Table44[[#This Row],[Response]])=TRUE,1,0)=2,1,"")</f>
        <v>1</v>
      </c>
      <c r="I90" s="5" t="str">
        <f>IF(IF(Table44[[#This Row],[Pre or Post]]="Post",1,0)+IF(ISNUMBER(Table44[[#This Row],[Response]])=TRUE,1,0)=2,1,"")</f>
        <v/>
      </c>
      <c r="J90" s="5">
        <f>IF(IF(Table44[[#This Row],[Pre or Post]]="Pre",1,0)+IF(ISNUMBER(Table44[[#This Row],[Response]])=TRUE,1,0)=2,Table44[[#This Row],[Response]],"")</f>
        <v>4</v>
      </c>
      <c r="K90" s="5" t="str">
        <f>IF(IF(Table44[[#This Row],[Pre or Post]]="Post",1,0)+IF(ISNUMBER(Table44[[#This Row],[Response]])=TRUE,1,0)=2,Table44[[#This Row],[Response]],"")</f>
        <v/>
      </c>
      <c r="L90" s="5">
        <f>IF(IF(ISNUMBER(J90),1,0)+IF(ISNUMBER(K91),1,0)=2,IF(IF(C91=C90,1,0)+IF(B91=B90,1,0)+IF(D91="Post",1,0)+IF(D90="Pre",1,0)=4,Table44[[#This Row],[Pre Total]],""),"")</f>
        <v>4</v>
      </c>
      <c r="M90" s="5" t="str">
        <f>IF(IF(ISNUMBER(J89),1,0)+IF(ISNUMBER(Table44[[#This Row],[Post Total]]),1,0)=2,IF(IF(Table44[[#This Row],[Student Number]]=C89,1,0)+IF(Table44[[#This Row],[Session]]=B89,1,0)+IF(Table44[[#This Row],[Pre or Post]]="Post",1,0)+IF(D89="Pre",1,0)=4,Table44[[#This Row],[Post Total]],""),"")</f>
        <v/>
      </c>
      <c r="N90" s="5" t="str">
        <f>IF(IF(ISNUMBER(J89),1,0)+IF(ISNUMBER(Table44[[#This Row],[Post Total]]),1,0)=2,IF(IF(Table44[[#This Row],[Student Number]]=C89,1,0)+IF(Table44[[#This Row],[Session]]=B89,1,0)+IF(Table44[[#This Row],[Pre or Post]]="Post",1,0)+IF(D89="Pre",1,0)=4,Table44[[#This Row],[Post Total]]-J89,""),"")</f>
        <v/>
      </c>
      <c r="O90" s="5" t="b">
        <f>ISNUMBER(Table44[[#This Row],[Change]])</f>
        <v>0</v>
      </c>
    </row>
    <row r="91" spans="1:15">
      <c r="A91" s="1" t="s">
        <v>12</v>
      </c>
      <c r="B91" s="1" t="s">
        <v>10</v>
      </c>
      <c r="C91" s="1">
        <v>10</v>
      </c>
      <c r="D91" s="1" t="s">
        <v>16</v>
      </c>
      <c r="E91" s="1">
        <v>2</v>
      </c>
      <c r="F91" s="1">
        <v>4</v>
      </c>
      <c r="G91" s="1" t="s">
        <v>8</v>
      </c>
      <c r="H91" s="5" t="str">
        <f>IF(IF(Table44[[#This Row],[Pre or Post]]="Pre",1,0)+IF(ISNUMBER(Table44[[#This Row],[Response]])=TRUE,1,0)=2,1,"")</f>
        <v/>
      </c>
      <c r="I91" s="5">
        <f>IF(IF(Table44[[#This Row],[Pre or Post]]="Post",1,0)+IF(ISNUMBER(Table44[[#This Row],[Response]])=TRUE,1,0)=2,1,"")</f>
        <v>1</v>
      </c>
      <c r="J91" s="5" t="str">
        <f>IF(IF(Table44[[#This Row],[Pre or Post]]="Pre",1,0)+IF(ISNUMBER(Table44[[#This Row],[Response]])=TRUE,1,0)=2,Table44[[#This Row],[Response]],"")</f>
        <v/>
      </c>
      <c r="K91" s="5">
        <f>IF(IF(Table44[[#This Row],[Pre or Post]]="Post",1,0)+IF(ISNUMBER(Table44[[#This Row],[Response]])=TRUE,1,0)=2,Table44[[#This Row],[Response]],"")</f>
        <v>4</v>
      </c>
      <c r="L91" s="5" t="str">
        <f>IF(IF(ISNUMBER(J91),1,0)+IF(ISNUMBER(K92),1,0)=2,IF(IF(C92=C91,1,0)+IF(B92=B91,1,0)+IF(D92="Post",1,0)+IF(D91="Pre",1,0)=4,Table44[[#This Row],[Pre Total]],""),"")</f>
        <v/>
      </c>
      <c r="M91" s="5">
        <f>IF(IF(ISNUMBER(J90),1,0)+IF(ISNUMBER(Table44[[#This Row],[Post Total]]),1,0)=2,IF(IF(Table44[[#This Row],[Student Number]]=C90,1,0)+IF(Table44[[#This Row],[Session]]=B90,1,0)+IF(Table44[[#This Row],[Pre or Post]]="Post",1,0)+IF(D90="Pre",1,0)=4,Table44[[#This Row],[Post Total]],""),"")</f>
        <v>4</v>
      </c>
      <c r="N91" s="5">
        <f>IF(IF(ISNUMBER(J90),1,0)+IF(ISNUMBER(Table44[[#This Row],[Post Total]]),1,0)=2,IF(IF(Table44[[#This Row],[Student Number]]=C90,1,0)+IF(Table44[[#This Row],[Session]]=B90,1,0)+IF(Table44[[#This Row],[Pre or Post]]="Post",1,0)+IF(D90="Pre",1,0)=4,Table44[[#This Row],[Post Total]]-J90,""),"")</f>
        <v>0</v>
      </c>
      <c r="O91" s="5" t="b">
        <f>ISNUMBER(Table44[[#This Row],[Change]])</f>
        <v>1</v>
      </c>
    </row>
    <row r="92" spans="1:15">
      <c r="A92" s="1" t="s">
        <v>12</v>
      </c>
      <c r="B92" s="1" t="s">
        <v>10</v>
      </c>
      <c r="C92" s="1">
        <v>11</v>
      </c>
      <c r="D92" s="1" t="s">
        <v>6</v>
      </c>
      <c r="E92" s="1">
        <v>9</v>
      </c>
      <c r="F92" s="1">
        <v>2</v>
      </c>
      <c r="G92" s="1" t="s">
        <v>8</v>
      </c>
      <c r="H92" s="5">
        <f>IF(IF(Table44[[#This Row],[Pre or Post]]="Pre",1,0)+IF(ISNUMBER(Table44[[#This Row],[Response]])=TRUE,1,0)=2,1,"")</f>
        <v>1</v>
      </c>
      <c r="I92" s="5" t="str">
        <f>IF(IF(Table44[[#This Row],[Pre or Post]]="Post",1,0)+IF(ISNUMBER(Table44[[#This Row],[Response]])=TRUE,1,0)=2,1,"")</f>
        <v/>
      </c>
      <c r="J92" s="5">
        <f>IF(IF(Table44[[#This Row],[Pre or Post]]="Pre",1,0)+IF(ISNUMBER(Table44[[#This Row],[Response]])=TRUE,1,0)=2,Table44[[#This Row],[Response]],"")</f>
        <v>2</v>
      </c>
      <c r="K92" s="5" t="str">
        <f>IF(IF(Table44[[#This Row],[Pre or Post]]="Post",1,0)+IF(ISNUMBER(Table44[[#This Row],[Response]])=TRUE,1,0)=2,Table44[[#This Row],[Response]],"")</f>
        <v/>
      </c>
      <c r="L92" s="5">
        <f>IF(IF(ISNUMBER(J92),1,0)+IF(ISNUMBER(K93),1,0)=2,IF(IF(C93=C92,1,0)+IF(B93=B92,1,0)+IF(D93="Post",1,0)+IF(D92="Pre",1,0)=4,Table44[[#This Row],[Pre Total]],""),"")</f>
        <v>2</v>
      </c>
      <c r="M92" s="5" t="str">
        <f>IF(IF(ISNUMBER(J91),1,0)+IF(ISNUMBER(Table44[[#This Row],[Post Total]]),1,0)=2,IF(IF(Table44[[#This Row],[Student Number]]=C91,1,0)+IF(Table44[[#This Row],[Session]]=B91,1,0)+IF(Table44[[#This Row],[Pre or Post]]="Post",1,0)+IF(D91="Pre",1,0)=4,Table44[[#This Row],[Post Total]],""),"")</f>
        <v/>
      </c>
      <c r="N92" s="5" t="str">
        <f>IF(IF(ISNUMBER(J91),1,0)+IF(ISNUMBER(Table44[[#This Row],[Post Total]]),1,0)=2,IF(IF(Table44[[#This Row],[Student Number]]=C91,1,0)+IF(Table44[[#This Row],[Session]]=B91,1,0)+IF(Table44[[#This Row],[Pre or Post]]="Post",1,0)+IF(D91="Pre",1,0)=4,Table44[[#This Row],[Post Total]]-J91,""),"")</f>
        <v/>
      </c>
      <c r="O92" s="5" t="b">
        <f>ISNUMBER(Table44[[#This Row],[Change]])</f>
        <v>0</v>
      </c>
    </row>
    <row r="93" spans="1:15">
      <c r="A93" s="1" t="s">
        <v>12</v>
      </c>
      <c r="B93" s="1" t="s">
        <v>10</v>
      </c>
      <c r="C93" s="1">
        <v>11</v>
      </c>
      <c r="D93" s="1" t="s">
        <v>16</v>
      </c>
      <c r="E93" s="1">
        <v>2</v>
      </c>
      <c r="F93" s="1">
        <v>2</v>
      </c>
      <c r="G93" s="1" t="s">
        <v>8</v>
      </c>
      <c r="H93" s="5" t="str">
        <f>IF(IF(Table44[[#This Row],[Pre or Post]]="Pre",1,0)+IF(ISNUMBER(Table44[[#This Row],[Response]])=TRUE,1,0)=2,1,"")</f>
        <v/>
      </c>
      <c r="I93" s="5">
        <f>IF(IF(Table44[[#This Row],[Pre or Post]]="Post",1,0)+IF(ISNUMBER(Table44[[#This Row],[Response]])=TRUE,1,0)=2,1,"")</f>
        <v>1</v>
      </c>
      <c r="J93" s="5" t="str">
        <f>IF(IF(Table44[[#This Row],[Pre or Post]]="Pre",1,0)+IF(ISNUMBER(Table44[[#This Row],[Response]])=TRUE,1,0)=2,Table44[[#This Row],[Response]],"")</f>
        <v/>
      </c>
      <c r="K93" s="5">
        <f>IF(IF(Table44[[#This Row],[Pre or Post]]="Post",1,0)+IF(ISNUMBER(Table44[[#This Row],[Response]])=TRUE,1,0)=2,Table44[[#This Row],[Response]],"")</f>
        <v>2</v>
      </c>
      <c r="L93" s="5" t="str">
        <f>IF(IF(ISNUMBER(J93),1,0)+IF(ISNUMBER(K94),1,0)=2,IF(IF(C94=C93,1,0)+IF(B94=B93,1,0)+IF(D94="Post",1,0)+IF(D93="Pre",1,0)=4,Table44[[#This Row],[Pre Total]],""),"")</f>
        <v/>
      </c>
      <c r="M93" s="5">
        <f>IF(IF(ISNUMBER(J92),1,0)+IF(ISNUMBER(Table44[[#This Row],[Post Total]]),1,0)=2,IF(IF(Table44[[#This Row],[Student Number]]=C92,1,0)+IF(Table44[[#This Row],[Session]]=B92,1,0)+IF(Table44[[#This Row],[Pre or Post]]="Post",1,0)+IF(D92="Pre",1,0)=4,Table44[[#This Row],[Post Total]],""),"")</f>
        <v>2</v>
      </c>
      <c r="N93" s="5">
        <f>IF(IF(ISNUMBER(J92),1,0)+IF(ISNUMBER(Table44[[#This Row],[Post Total]]),1,0)=2,IF(IF(Table44[[#This Row],[Student Number]]=C92,1,0)+IF(Table44[[#This Row],[Session]]=B92,1,0)+IF(Table44[[#This Row],[Pre or Post]]="Post",1,0)+IF(D92="Pre",1,0)=4,Table44[[#This Row],[Post Total]]-J92,""),"")</f>
        <v>0</v>
      </c>
      <c r="O93" s="5" t="b">
        <f>ISNUMBER(Table44[[#This Row],[Change]])</f>
        <v>1</v>
      </c>
    </row>
    <row r="94" spans="1:15">
      <c r="A94" s="1" t="s">
        <v>12</v>
      </c>
      <c r="B94" s="1" t="s">
        <v>10</v>
      </c>
      <c r="C94" s="1">
        <v>12</v>
      </c>
      <c r="D94" s="1" t="s">
        <v>6</v>
      </c>
      <c r="E94" s="1">
        <v>9</v>
      </c>
      <c r="F94" s="1">
        <v>4</v>
      </c>
      <c r="G94" s="1" t="s">
        <v>8</v>
      </c>
      <c r="H94" s="5">
        <f>IF(IF(Table44[[#This Row],[Pre or Post]]="Pre",1,0)+IF(ISNUMBER(Table44[[#This Row],[Response]])=TRUE,1,0)=2,1,"")</f>
        <v>1</v>
      </c>
      <c r="I94" s="5" t="str">
        <f>IF(IF(Table44[[#This Row],[Pre or Post]]="Post",1,0)+IF(ISNUMBER(Table44[[#This Row],[Response]])=TRUE,1,0)=2,1,"")</f>
        <v/>
      </c>
      <c r="J94" s="5">
        <f>IF(IF(Table44[[#This Row],[Pre or Post]]="Pre",1,0)+IF(ISNUMBER(Table44[[#This Row],[Response]])=TRUE,1,0)=2,Table44[[#This Row],[Response]],"")</f>
        <v>4</v>
      </c>
      <c r="K94" s="5" t="str">
        <f>IF(IF(Table44[[#This Row],[Pre or Post]]="Post",1,0)+IF(ISNUMBER(Table44[[#This Row],[Response]])=TRUE,1,0)=2,Table44[[#This Row],[Response]],"")</f>
        <v/>
      </c>
      <c r="L94" s="5">
        <f>IF(IF(ISNUMBER(J94),1,0)+IF(ISNUMBER(K95),1,0)=2,IF(IF(C95=C94,1,0)+IF(B95=B94,1,0)+IF(D95="Post",1,0)+IF(D94="Pre",1,0)=4,Table44[[#This Row],[Pre Total]],""),"")</f>
        <v>4</v>
      </c>
      <c r="M94" s="5" t="str">
        <f>IF(IF(ISNUMBER(J93),1,0)+IF(ISNUMBER(Table44[[#This Row],[Post Total]]),1,0)=2,IF(IF(Table44[[#This Row],[Student Number]]=C93,1,0)+IF(Table44[[#This Row],[Session]]=B93,1,0)+IF(Table44[[#This Row],[Pre or Post]]="Post",1,0)+IF(D93="Pre",1,0)=4,Table44[[#This Row],[Post Total]],""),"")</f>
        <v/>
      </c>
      <c r="N94" s="5" t="str">
        <f>IF(IF(ISNUMBER(J93),1,0)+IF(ISNUMBER(Table44[[#This Row],[Post Total]]),1,0)=2,IF(IF(Table44[[#This Row],[Student Number]]=C93,1,0)+IF(Table44[[#This Row],[Session]]=B93,1,0)+IF(Table44[[#This Row],[Pre or Post]]="Post",1,0)+IF(D93="Pre",1,0)=4,Table44[[#This Row],[Post Total]]-J93,""),"")</f>
        <v/>
      </c>
      <c r="O94" s="5" t="b">
        <f>ISNUMBER(Table44[[#This Row],[Change]])</f>
        <v>0</v>
      </c>
    </row>
    <row r="95" spans="1:15">
      <c r="A95" s="1" t="s">
        <v>12</v>
      </c>
      <c r="B95" s="1" t="s">
        <v>10</v>
      </c>
      <c r="C95" s="1">
        <v>12</v>
      </c>
      <c r="D95" s="1" t="s">
        <v>16</v>
      </c>
      <c r="E95" s="1">
        <v>2</v>
      </c>
      <c r="F95" s="1">
        <v>5</v>
      </c>
      <c r="G95" s="1" t="s">
        <v>8</v>
      </c>
      <c r="H95" s="5" t="str">
        <f>IF(IF(Table44[[#This Row],[Pre or Post]]="Pre",1,0)+IF(ISNUMBER(Table44[[#This Row],[Response]])=TRUE,1,0)=2,1,"")</f>
        <v/>
      </c>
      <c r="I95" s="5">
        <f>IF(IF(Table44[[#This Row],[Pre or Post]]="Post",1,0)+IF(ISNUMBER(Table44[[#This Row],[Response]])=TRUE,1,0)=2,1,"")</f>
        <v>1</v>
      </c>
      <c r="J95" s="5" t="str">
        <f>IF(IF(Table44[[#This Row],[Pre or Post]]="Pre",1,0)+IF(ISNUMBER(Table44[[#This Row],[Response]])=TRUE,1,0)=2,Table44[[#This Row],[Response]],"")</f>
        <v/>
      </c>
      <c r="K95" s="5">
        <f>IF(IF(Table44[[#This Row],[Pre or Post]]="Post",1,0)+IF(ISNUMBER(Table44[[#This Row],[Response]])=TRUE,1,0)=2,Table44[[#This Row],[Response]],"")</f>
        <v>5</v>
      </c>
      <c r="L95" s="5" t="str">
        <f>IF(IF(ISNUMBER(J95),1,0)+IF(ISNUMBER(K96),1,0)=2,IF(IF(C96=C95,1,0)+IF(B96=B95,1,0)+IF(D96="Post",1,0)+IF(D95="Pre",1,0)=4,Table44[[#This Row],[Pre Total]],""),"")</f>
        <v/>
      </c>
      <c r="M95" s="5">
        <f>IF(IF(ISNUMBER(J94),1,0)+IF(ISNUMBER(Table44[[#This Row],[Post Total]]),1,0)=2,IF(IF(Table44[[#This Row],[Student Number]]=C94,1,0)+IF(Table44[[#This Row],[Session]]=B94,1,0)+IF(Table44[[#This Row],[Pre or Post]]="Post",1,0)+IF(D94="Pre",1,0)=4,Table44[[#This Row],[Post Total]],""),"")</f>
        <v>5</v>
      </c>
      <c r="N95" s="5">
        <f>IF(IF(ISNUMBER(J94),1,0)+IF(ISNUMBER(Table44[[#This Row],[Post Total]]),1,0)=2,IF(IF(Table44[[#This Row],[Student Number]]=C94,1,0)+IF(Table44[[#This Row],[Session]]=B94,1,0)+IF(Table44[[#This Row],[Pre or Post]]="Post",1,0)+IF(D94="Pre",1,0)=4,Table44[[#This Row],[Post Total]]-J94,""),"")</f>
        <v>1</v>
      </c>
      <c r="O95" s="5" t="b">
        <f>ISNUMBER(Table44[[#This Row],[Change]])</f>
        <v>1</v>
      </c>
    </row>
    <row r="96" spans="1:15">
      <c r="A96" s="1" t="s">
        <v>12</v>
      </c>
      <c r="B96" s="1" t="s">
        <v>10</v>
      </c>
      <c r="C96" s="1">
        <v>13</v>
      </c>
      <c r="D96" s="1" t="s">
        <v>6</v>
      </c>
      <c r="E96" s="1">
        <v>9</v>
      </c>
      <c r="F96" s="1">
        <v>3</v>
      </c>
      <c r="G96" s="1" t="s">
        <v>8</v>
      </c>
      <c r="H96" s="5">
        <f>IF(IF(Table44[[#This Row],[Pre or Post]]="Pre",1,0)+IF(ISNUMBER(Table44[[#This Row],[Response]])=TRUE,1,0)=2,1,"")</f>
        <v>1</v>
      </c>
      <c r="I96" s="5" t="str">
        <f>IF(IF(Table44[[#This Row],[Pre or Post]]="Post",1,0)+IF(ISNUMBER(Table44[[#This Row],[Response]])=TRUE,1,0)=2,1,"")</f>
        <v/>
      </c>
      <c r="J96" s="5">
        <f>IF(IF(Table44[[#This Row],[Pre or Post]]="Pre",1,0)+IF(ISNUMBER(Table44[[#This Row],[Response]])=TRUE,1,0)=2,Table44[[#This Row],[Response]],"")</f>
        <v>3</v>
      </c>
      <c r="K96" s="5" t="str">
        <f>IF(IF(Table44[[#This Row],[Pre or Post]]="Post",1,0)+IF(ISNUMBER(Table44[[#This Row],[Response]])=TRUE,1,0)=2,Table44[[#This Row],[Response]],"")</f>
        <v/>
      </c>
      <c r="L96" s="5">
        <f>IF(IF(ISNUMBER(J96),1,0)+IF(ISNUMBER(K97),1,0)=2,IF(IF(C97=C96,1,0)+IF(B97=B96,1,0)+IF(D97="Post",1,0)+IF(D96="Pre",1,0)=4,Table44[[#This Row],[Pre Total]],""),"")</f>
        <v>3</v>
      </c>
      <c r="M96" s="5" t="str">
        <f>IF(IF(ISNUMBER(J95),1,0)+IF(ISNUMBER(Table44[[#This Row],[Post Total]]),1,0)=2,IF(IF(Table44[[#This Row],[Student Number]]=C95,1,0)+IF(Table44[[#This Row],[Session]]=B95,1,0)+IF(Table44[[#This Row],[Pre or Post]]="Post",1,0)+IF(D95="Pre",1,0)=4,Table44[[#This Row],[Post Total]],""),"")</f>
        <v/>
      </c>
      <c r="N96" s="5" t="str">
        <f>IF(IF(ISNUMBER(J95),1,0)+IF(ISNUMBER(Table44[[#This Row],[Post Total]]),1,0)=2,IF(IF(Table44[[#This Row],[Student Number]]=C95,1,0)+IF(Table44[[#This Row],[Session]]=B95,1,0)+IF(Table44[[#This Row],[Pre or Post]]="Post",1,0)+IF(D95="Pre",1,0)=4,Table44[[#This Row],[Post Total]]-J95,""),"")</f>
        <v/>
      </c>
      <c r="O96" s="5" t="b">
        <f>ISNUMBER(Table44[[#This Row],[Change]])</f>
        <v>0</v>
      </c>
    </row>
    <row r="97" spans="1:15">
      <c r="A97" s="1" t="s">
        <v>12</v>
      </c>
      <c r="B97" s="1" t="s">
        <v>10</v>
      </c>
      <c r="C97" s="1">
        <v>13</v>
      </c>
      <c r="D97" s="1" t="s">
        <v>16</v>
      </c>
      <c r="E97" s="1">
        <v>2</v>
      </c>
      <c r="F97" s="1">
        <v>4</v>
      </c>
      <c r="G97" s="1" t="s">
        <v>8</v>
      </c>
      <c r="H97" s="5" t="str">
        <f>IF(IF(Table44[[#This Row],[Pre or Post]]="Pre",1,0)+IF(ISNUMBER(Table44[[#This Row],[Response]])=TRUE,1,0)=2,1,"")</f>
        <v/>
      </c>
      <c r="I97" s="5">
        <f>IF(IF(Table44[[#This Row],[Pre or Post]]="Post",1,0)+IF(ISNUMBER(Table44[[#This Row],[Response]])=TRUE,1,0)=2,1,"")</f>
        <v>1</v>
      </c>
      <c r="J97" s="5" t="str">
        <f>IF(IF(Table44[[#This Row],[Pre or Post]]="Pre",1,0)+IF(ISNUMBER(Table44[[#This Row],[Response]])=TRUE,1,0)=2,Table44[[#This Row],[Response]],"")</f>
        <v/>
      </c>
      <c r="K97" s="5">
        <f>IF(IF(Table44[[#This Row],[Pre or Post]]="Post",1,0)+IF(ISNUMBER(Table44[[#This Row],[Response]])=TRUE,1,0)=2,Table44[[#This Row],[Response]],"")</f>
        <v>4</v>
      </c>
      <c r="L97" s="5" t="str">
        <f>IF(IF(ISNUMBER(J97),1,0)+IF(ISNUMBER(K98),1,0)=2,IF(IF(C98=C97,1,0)+IF(B98=B97,1,0)+IF(D98="Post",1,0)+IF(D97="Pre",1,0)=4,Table44[[#This Row],[Pre Total]],""),"")</f>
        <v/>
      </c>
      <c r="M97" s="5">
        <f>IF(IF(ISNUMBER(J96),1,0)+IF(ISNUMBER(Table44[[#This Row],[Post Total]]),1,0)=2,IF(IF(Table44[[#This Row],[Student Number]]=C96,1,0)+IF(Table44[[#This Row],[Session]]=B96,1,0)+IF(Table44[[#This Row],[Pre or Post]]="Post",1,0)+IF(D96="Pre",1,0)=4,Table44[[#This Row],[Post Total]],""),"")</f>
        <v>4</v>
      </c>
      <c r="N97" s="5">
        <f>IF(IF(ISNUMBER(J96),1,0)+IF(ISNUMBER(Table44[[#This Row],[Post Total]]),1,0)=2,IF(IF(Table44[[#This Row],[Student Number]]=C96,1,0)+IF(Table44[[#This Row],[Session]]=B96,1,0)+IF(Table44[[#This Row],[Pre or Post]]="Post",1,0)+IF(D96="Pre",1,0)=4,Table44[[#This Row],[Post Total]]-J96,""),"")</f>
        <v>1</v>
      </c>
      <c r="O97" s="5" t="b">
        <f>ISNUMBER(Table44[[#This Row],[Change]])</f>
        <v>1</v>
      </c>
    </row>
    <row r="98" spans="1:15">
      <c r="A98" s="1" t="s">
        <v>12</v>
      </c>
      <c r="B98" s="1" t="s">
        <v>10</v>
      </c>
      <c r="C98" s="1">
        <v>14</v>
      </c>
      <c r="D98" s="1" t="s">
        <v>6</v>
      </c>
      <c r="E98" s="1">
        <v>9</v>
      </c>
      <c r="F98" s="1">
        <v>4</v>
      </c>
      <c r="G98" s="1" t="s">
        <v>8</v>
      </c>
      <c r="H98" s="5">
        <f>IF(IF(Table44[[#This Row],[Pre or Post]]="Pre",1,0)+IF(ISNUMBER(Table44[[#This Row],[Response]])=TRUE,1,0)=2,1,"")</f>
        <v>1</v>
      </c>
      <c r="I98" s="5" t="str">
        <f>IF(IF(Table44[[#This Row],[Pre or Post]]="Post",1,0)+IF(ISNUMBER(Table44[[#This Row],[Response]])=TRUE,1,0)=2,1,"")</f>
        <v/>
      </c>
      <c r="J98" s="5">
        <f>IF(IF(Table44[[#This Row],[Pre or Post]]="Pre",1,0)+IF(ISNUMBER(Table44[[#This Row],[Response]])=TRUE,1,0)=2,Table44[[#This Row],[Response]],"")</f>
        <v>4</v>
      </c>
      <c r="K98" s="5" t="str">
        <f>IF(IF(Table44[[#This Row],[Pre or Post]]="Post",1,0)+IF(ISNUMBER(Table44[[#This Row],[Response]])=TRUE,1,0)=2,Table44[[#This Row],[Response]],"")</f>
        <v/>
      </c>
      <c r="L98" s="5">
        <f>IF(IF(ISNUMBER(J98),1,0)+IF(ISNUMBER(K99),1,0)=2,IF(IF(C99=C98,1,0)+IF(B99=B98,1,0)+IF(D99="Post",1,0)+IF(D98="Pre",1,0)=4,Table44[[#This Row],[Pre Total]],""),"")</f>
        <v>4</v>
      </c>
      <c r="M98" s="5" t="str">
        <f>IF(IF(ISNUMBER(J97),1,0)+IF(ISNUMBER(Table44[[#This Row],[Post Total]]),1,0)=2,IF(IF(Table44[[#This Row],[Student Number]]=C97,1,0)+IF(Table44[[#This Row],[Session]]=B97,1,0)+IF(Table44[[#This Row],[Pre or Post]]="Post",1,0)+IF(D97="Pre",1,0)=4,Table44[[#This Row],[Post Total]],""),"")</f>
        <v/>
      </c>
      <c r="N98" s="5" t="str">
        <f>IF(IF(ISNUMBER(J97),1,0)+IF(ISNUMBER(Table44[[#This Row],[Post Total]]),1,0)=2,IF(IF(Table44[[#This Row],[Student Number]]=C97,1,0)+IF(Table44[[#This Row],[Session]]=B97,1,0)+IF(Table44[[#This Row],[Pre or Post]]="Post",1,0)+IF(D97="Pre",1,0)=4,Table44[[#This Row],[Post Total]]-J97,""),"")</f>
        <v/>
      </c>
      <c r="O98" s="5" t="b">
        <f>ISNUMBER(Table44[[#This Row],[Change]])</f>
        <v>0</v>
      </c>
    </row>
    <row r="99" spans="1:15">
      <c r="A99" s="1" t="s">
        <v>12</v>
      </c>
      <c r="B99" s="1" t="s">
        <v>10</v>
      </c>
      <c r="C99" s="1">
        <v>14</v>
      </c>
      <c r="D99" s="1" t="s">
        <v>16</v>
      </c>
      <c r="E99" s="1">
        <v>2</v>
      </c>
      <c r="F99" s="1">
        <v>4</v>
      </c>
      <c r="G99" s="1" t="s">
        <v>8</v>
      </c>
      <c r="H99" s="5" t="str">
        <f>IF(IF(Table44[[#This Row],[Pre or Post]]="Pre",1,0)+IF(ISNUMBER(Table44[[#This Row],[Response]])=TRUE,1,0)=2,1,"")</f>
        <v/>
      </c>
      <c r="I99" s="5">
        <f>IF(IF(Table44[[#This Row],[Pre or Post]]="Post",1,0)+IF(ISNUMBER(Table44[[#This Row],[Response]])=TRUE,1,0)=2,1,"")</f>
        <v>1</v>
      </c>
      <c r="J99" s="5" t="str">
        <f>IF(IF(Table44[[#This Row],[Pre or Post]]="Pre",1,0)+IF(ISNUMBER(Table44[[#This Row],[Response]])=TRUE,1,0)=2,Table44[[#This Row],[Response]],"")</f>
        <v/>
      </c>
      <c r="K99" s="5">
        <f>IF(IF(Table44[[#This Row],[Pre or Post]]="Post",1,0)+IF(ISNUMBER(Table44[[#This Row],[Response]])=TRUE,1,0)=2,Table44[[#This Row],[Response]],"")</f>
        <v>4</v>
      </c>
      <c r="L99" s="5" t="str">
        <f>IF(IF(ISNUMBER(J99),1,0)+IF(ISNUMBER(K100),1,0)=2,IF(IF(C100=C99,1,0)+IF(B100=B99,1,0)+IF(D100="Post",1,0)+IF(D99="Pre",1,0)=4,Table44[[#This Row],[Pre Total]],""),"")</f>
        <v/>
      </c>
      <c r="M99" s="5">
        <f>IF(IF(ISNUMBER(J98),1,0)+IF(ISNUMBER(Table44[[#This Row],[Post Total]]),1,0)=2,IF(IF(Table44[[#This Row],[Student Number]]=C98,1,0)+IF(Table44[[#This Row],[Session]]=B98,1,0)+IF(Table44[[#This Row],[Pre or Post]]="Post",1,0)+IF(D98="Pre",1,0)=4,Table44[[#This Row],[Post Total]],""),"")</f>
        <v>4</v>
      </c>
      <c r="N99" s="5">
        <f>IF(IF(ISNUMBER(J98),1,0)+IF(ISNUMBER(Table44[[#This Row],[Post Total]]),1,0)=2,IF(IF(Table44[[#This Row],[Student Number]]=C98,1,0)+IF(Table44[[#This Row],[Session]]=B98,1,0)+IF(Table44[[#This Row],[Pre or Post]]="Post",1,0)+IF(D98="Pre",1,0)=4,Table44[[#This Row],[Post Total]]-J98,""),"")</f>
        <v>0</v>
      </c>
      <c r="O99" s="5" t="b">
        <f>ISNUMBER(Table44[[#This Row],[Change]])</f>
        <v>1</v>
      </c>
    </row>
    <row r="100" spans="1:15">
      <c r="A100" s="1" t="s">
        <v>12</v>
      </c>
      <c r="B100" s="1" t="s">
        <v>10</v>
      </c>
      <c r="C100" s="1">
        <v>15</v>
      </c>
      <c r="D100" s="1" t="s">
        <v>6</v>
      </c>
      <c r="E100" s="1">
        <v>9</v>
      </c>
      <c r="F100" s="1">
        <v>3</v>
      </c>
      <c r="G100" s="1" t="s">
        <v>8</v>
      </c>
      <c r="H100" s="5">
        <f>IF(IF(Table44[[#This Row],[Pre or Post]]="Pre",1,0)+IF(ISNUMBER(Table44[[#This Row],[Response]])=TRUE,1,0)=2,1,"")</f>
        <v>1</v>
      </c>
      <c r="I100" s="5" t="str">
        <f>IF(IF(Table44[[#This Row],[Pre or Post]]="Post",1,0)+IF(ISNUMBER(Table44[[#This Row],[Response]])=TRUE,1,0)=2,1,"")</f>
        <v/>
      </c>
      <c r="J100" s="5">
        <f>IF(IF(Table44[[#This Row],[Pre or Post]]="Pre",1,0)+IF(ISNUMBER(Table44[[#This Row],[Response]])=TRUE,1,0)=2,Table44[[#This Row],[Response]],"")</f>
        <v>3</v>
      </c>
      <c r="K100" s="5" t="str">
        <f>IF(IF(Table44[[#This Row],[Pre or Post]]="Post",1,0)+IF(ISNUMBER(Table44[[#This Row],[Response]])=TRUE,1,0)=2,Table44[[#This Row],[Response]],"")</f>
        <v/>
      </c>
      <c r="L100" s="5">
        <f>IF(IF(ISNUMBER(J100),1,0)+IF(ISNUMBER(K101),1,0)=2,IF(IF(C101=C100,1,0)+IF(B101=B100,1,0)+IF(D101="Post",1,0)+IF(D100="Pre",1,0)=4,Table44[[#This Row],[Pre Total]],""),"")</f>
        <v>3</v>
      </c>
      <c r="M100" s="5" t="str">
        <f>IF(IF(ISNUMBER(J99),1,0)+IF(ISNUMBER(Table44[[#This Row],[Post Total]]),1,0)=2,IF(IF(Table44[[#This Row],[Student Number]]=C99,1,0)+IF(Table44[[#This Row],[Session]]=B99,1,0)+IF(Table44[[#This Row],[Pre or Post]]="Post",1,0)+IF(D99="Pre",1,0)=4,Table44[[#This Row],[Post Total]],""),"")</f>
        <v/>
      </c>
      <c r="N100" s="5" t="str">
        <f>IF(IF(ISNUMBER(J99),1,0)+IF(ISNUMBER(Table44[[#This Row],[Post Total]]),1,0)=2,IF(IF(Table44[[#This Row],[Student Number]]=C99,1,0)+IF(Table44[[#This Row],[Session]]=B99,1,0)+IF(Table44[[#This Row],[Pre or Post]]="Post",1,0)+IF(D99="Pre",1,0)=4,Table44[[#This Row],[Post Total]]-J99,""),"")</f>
        <v/>
      </c>
      <c r="O100" s="5" t="b">
        <f>ISNUMBER(Table44[[#This Row],[Change]])</f>
        <v>0</v>
      </c>
    </row>
    <row r="101" spans="1:15">
      <c r="A101" s="1" t="s">
        <v>12</v>
      </c>
      <c r="B101" s="1" t="s">
        <v>10</v>
      </c>
      <c r="C101" s="1">
        <v>15</v>
      </c>
      <c r="D101" s="1" t="s">
        <v>16</v>
      </c>
      <c r="E101" s="1">
        <v>2</v>
      </c>
      <c r="F101" s="1">
        <v>2</v>
      </c>
      <c r="G101" s="1" t="s">
        <v>8</v>
      </c>
      <c r="H101" s="5" t="str">
        <f>IF(IF(Table44[[#This Row],[Pre or Post]]="Pre",1,0)+IF(ISNUMBER(Table44[[#This Row],[Response]])=TRUE,1,0)=2,1,"")</f>
        <v/>
      </c>
      <c r="I101" s="5">
        <f>IF(IF(Table44[[#This Row],[Pre or Post]]="Post",1,0)+IF(ISNUMBER(Table44[[#This Row],[Response]])=TRUE,1,0)=2,1,"")</f>
        <v>1</v>
      </c>
      <c r="J101" s="5" t="str">
        <f>IF(IF(Table44[[#This Row],[Pre or Post]]="Pre",1,0)+IF(ISNUMBER(Table44[[#This Row],[Response]])=TRUE,1,0)=2,Table44[[#This Row],[Response]],"")</f>
        <v/>
      </c>
      <c r="K101" s="5">
        <f>IF(IF(Table44[[#This Row],[Pre or Post]]="Post",1,0)+IF(ISNUMBER(Table44[[#This Row],[Response]])=TRUE,1,0)=2,Table44[[#This Row],[Response]],"")</f>
        <v>2</v>
      </c>
      <c r="L101" s="5" t="str">
        <f>IF(IF(ISNUMBER(J101),1,0)+IF(ISNUMBER(K102),1,0)=2,IF(IF(C102=C101,1,0)+IF(B102=B101,1,0)+IF(D102="Post",1,0)+IF(D101="Pre",1,0)=4,Table44[[#This Row],[Pre Total]],""),"")</f>
        <v/>
      </c>
      <c r="M101" s="5">
        <f>IF(IF(ISNUMBER(J100),1,0)+IF(ISNUMBER(Table44[[#This Row],[Post Total]]),1,0)=2,IF(IF(Table44[[#This Row],[Student Number]]=C100,1,0)+IF(Table44[[#This Row],[Session]]=B100,1,0)+IF(Table44[[#This Row],[Pre or Post]]="Post",1,0)+IF(D100="Pre",1,0)=4,Table44[[#This Row],[Post Total]],""),"")</f>
        <v>2</v>
      </c>
      <c r="N101" s="5">
        <f>IF(IF(ISNUMBER(J100),1,0)+IF(ISNUMBER(Table44[[#This Row],[Post Total]]),1,0)=2,IF(IF(Table44[[#This Row],[Student Number]]=C100,1,0)+IF(Table44[[#This Row],[Session]]=B100,1,0)+IF(Table44[[#This Row],[Pre or Post]]="Post",1,0)+IF(D100="Pre",1,0)=4,Table44[[#This Row],[Post Total]]-J100,""),"")</f>
        <v>-1</v>
      </c>
      <c r="O101" s="5" t="b">
        <f>ISNUMBER(Table44[[#This Row],[Change]])</f>
        <v>1</v>
      </c>
    </row>
    <row r="102" spans="1:15">
      <c r="A102" s="1" t="s">
        <v>12</v>
      </c>
      <c r="B102" s="1" t="s">
        <v>10</v>
      </c>
      <c r="C102" s="1">
        <v>16</v>
      </c>
      <c r="D102" s="1" t="s">
        <v>6</v>
      </c>
      <c r="E102" s="1">
        <v>9</v>
      </c>
      <c r="F102" s="1">
        <v>3</v>
      </c>
      <c r="G102" s="1" t="s">
        <v>8</v>
      </c>
      <c r="H102" s="5">
        <f>IF(IF(Table44[[#This Row],[Pre or Post]]="Pre",1,0)+IF(ISNUMBER(Table44[[#This Row],[Response]])=TRUE,1,0)=2,1,"")</f>
        <v>1</v>
      </c>
      <c r="I102" s="5" t="str">
        <f>IF(IF(Table44[[#This Row],[Pre or Post]]="Post",1,0)+IF(ISNUMBER(Table44[[#This Row],[Response]])=TRUE,1,0)=2,1,"")</f>
        <v/>
      </c>
      <c r="J102" s="5">
        <f>IF(IF(Table44[[#This Row],[Pre or Post]]="Pre",1,0)+IF(ISNUMBER(Table44[[#This Row],[Response]])=TRUE,1,0)=2,Table44[[#This Row],[Response]],"")</f>
        <v>3</v>
      </c>
      <c r="K102" s="5" t="str">
        <f>IF(IF(Table44[[#This Row],[Pre or Post]]="Post",1,0)+IF(ISNUMBER(Table44[[#This Row],[Response]])=TRUE,1,0)=2,Table44[[#This Row],[Response]],"")</f>
        <v/>
      </c>
      <c r="L102" s="5">
        <f>IF(IF(ISNUMBER(J102),1,0)+IF(ISNUMBER(K103),1,0)=2,IF(IF(C103=C102,1,0)+IF(B103=B102,1,0)+IF(D103="Post",1,0)+IF(D102="Pre",1,0)=4,Table44[[#This Row],[Pre Total]],""),"")</f>
        <v>3</v>
      </c>
      <c r="M102" s="5" t="str">
        <f>IF(IF(ISNUMBER(J101),1,0)+IF(ISNUMBER(Table44[[#This Row],[Post Total]]),1,0)=2,IF(IF(Table44[[#This Row],[Student Number]]=C101,1,0)+IF(Table44[[#This Row],[Session]]=B101,1,0)+IF(Table44[[#This Row],[Pre or Post]]="Post",1,0)+IF(D101="Pre",1,0)=4,Table44[[#This Row],[Post Total]],""),"")</f>
        <v/>
      </c>
      <c r="N102" s="5" t="str">
        <f>IF(IF(ISNUMBER(J101),1,0)+IF(ISNUMBER(Table44[[#This Row],[Post Total]]),1,0)=2,IF(IF(Table44[[#This Row],[Student Number]]=C101,1,0)+IF(Table44[[#This Row],[Session]]=B101,1,0)+IF(Table44[[#This Row],[Pre or Post]]="Post",1,0)+IF(D101="Pre",1,0)=4,Table44[[#This Row],[Post Total]]-J101,""),"")</f>
        <v/>
      </c>
      <c r="O102" s="5" t="b">
        <f>ISNUMBER(Table44[[#This Row],[Change]])</f>
        <v>0</v>
      </c>
    </row>
    <row r="103" spans="1:15">
      <c r="A103" s="1" t="s">
        <v>12</v>
      </c>
      <c r="B103" s="1" t="s">
        <v>10</v>
      </c>
      <c r="C103" s="1">
        <v>16</v>
      </c>
      <c r="D103" s="1" t="s">
        <v>16</v>
      </c>
      <c r="E103" s="1">
        <v>2</v>
      </c>
      <c r="F103" s="1">
        <v>3</v>
      </c>
      <c r="G103" s="1" t="s">
        <v>8</v>
      </c>
      <c r="H103" s="5" t="str">
        <f>IF(IF(Table44[[#This Row],[Pre or Post]]="Pre",1,0)+IF(ISNUMBER(Table44[[#This Row],[Response]])=TRUE,1,0)=2,1,"")</f>
        <v/>
      </c>
      <c r="I103" s="5">
        <f>IF(IF(Table44[[#This Row],[Pre or Post]]="Post",1,0)+IF(ISNUMBER(Table44[[#This Row],[Response]])=TRUE,1,0)=2,1,"")</f>
        <v>1</v>
      </c>
      <c r="J103" s="5" t="str">
        <f>IF(IF(Table44[[#This Row],[Pre or Post]]="Pre",1,0)+IF(ISNUMBER(Table44[[#This Row],[Response]])=TRUE,1,0)=2,Table44[[#This Row],[Response]],"")</f>
        <v/>
      </c>
      <c r="K103" s="5">
        <f>IF(IF(Table44[[#This Row],[Pre or Post]]="Post",1,0)+IF(ISNUMBER(Table44[[#This Row],[Response]])=TRUE,1,0)=2,Table44[[#This Row],[Response]],"")</f>
        <v>3</v>
      </c>
      <c r="L103" s="5" t="str">
        <f>IF(IF(ISNUMBER(J103),1,0)+IF(ISNUMBER(K104),1,0)=2,IF(IF(C104=C103,1,0)+IF(B104=B103,1,0)+IF(D104="Post",1,0)+IF(D103="Pre",1,0)=4,Table44[[#This Row],[Pre Total]],""),"")</f>
        <v/>
      </c>
      <c r="M103" s="5">
        <f>IF(IF(ISNUMBER(J102),1,0)+IF(ISNUMBER(Table44[[#This Row],[Post Total]]),1,0)=2,IF(IF(Table44[[#This Row],[Student Number]]=C102,1,0)+IF(Table44[[#This Row],[Session]]=B102,1,0)+IF(Table44[[#This Row],[Pre or Post]]="Post",1,0)+IF(D102="Pre",1,0)=4,Table44[[#This Row],[Post Total]],""),"")</f>
        <v>3</v>
      </c>
      <c r="N103" s="5">
        <f>IF(IF(ISNUMBER(J102),1,0)+IF(ISNUMBER(Table44[[#This Row],[Post Total]]),1,0)=2,IF(IF(Table44[[#This Row],[Student Number]]=C102,1,0)+IF(Table44[[#This Row],[Session]]=B102,1,0)+IF(Table44[[#This Row],[Pre or Post]]="Post",1,0)+IF(D102="Pre",1,0)=4,Table44[[#This Row],[Post Total]]-J102,""),"")</f>
        <v>0</v>
      </c>
      <c r="O103" s="5" t="b">
        <f>ISNUMBER(Table44[[#This Row],[Change]])</f>
        <v>1</v>
      </c>
    </row>
    <row r="104" spans="1:15">
      <c r="A104" s="1" t="s">
        <v>12</v>
      </c>
      <c r="B104" s="1" t="s">
        <v>10</v>
      </c>
      <c r="C104" s="1">
        <v>17</v>
      </c>
      <c r="D104" s="1" t="s">
        <v>6</v>
      </c>
      <c r="E104" s="1">
        <v>9</v>
      </c>
      <c r="F104" s="1">
        <v>3</v>
      </c>
      <c r="G104" s="1" t="s">
        <v>8</v>
      </c>
      <c r="H104" s="5">
        <f>IF(IF(Table44[[#This Row],[Pre or Post]]="Pre",1,0)+IF(ISNUMBER(Table44[[#This Row],[Response]])=TRUE,1,0)=2,1,"")</f>
        <v>1</v>
      </c>
      <c r="I104" s="5" t="str">
        <f>IF(IF(Table44[[#This Row],[Pre or Post]]="Post",1,0)+IF(ISNUMBER(Table44[[#This Row],[Response]])=TRUE,1,0)=2,1,"")</f>
        <v/>
      </c>
      <c r="J104" s="5">
        <f>IF(IF(Table44[[#This Row],[Pre or Post]]="Pre",1,0)+IF(ISNUMBER(Table44[[#This Row],[Response]])=TRUE,1,0)=2,Table44[[#This Row],[Response]],"")</f>
        <v>3</v>
      </c>
      <c r="K104" s="5" t="str">
        <f>IF(IF(Table44[[#This Row],[Pre or Post]]="Post",1,0)+IF(ISNUMBER(Table44[[#This Row],[Response]])=TRUE,1,0)=2,Table44[[#This Row],[Response]],"")</f>
        <v/>
      </c>
      <c r="L104" s="5">
        <f>IF(IF(ISNUMBER(J104),1,0)+IF(ISNUMBER(K105),1,0)=2,IF(IF(C105=C104,1,0)+IF(B105=B104,1,0)+IF(D105="Post",1,0)+IF(D104="Pre",1,0)=4,Table44[[#This Row],[Pre Total]],""),"")</f>
        <v>3</v>
      </c>
      <c r="M104" s="5" t="str">
        <f>IF(IF(ISNUMBER(J103),1,0)+IF(ISNUMBER(Table44[[#This Row],[Post Total]]),1,0)=2,IF(IF(Table44[[#This Row],[Student Number]]=C103,1,0)+IF(Table44[[#This Row],[Session]]=B103,1,0)+IF(Table44[[#This Row],[Pre or Post]]="Post",1,0)+IF(D103="Pre",1,0)=4,Table44[[#This Row],[Post Total]],""),"")</f>
        <v/>
      </c>
      <c r="N104" s="5" t="str">
        <f>IF(IF(ISNUMBER(J103),1,0)+IF(ISNUMBER(Table44[[#This Row],[Post Total]]),1,0)=2,IF(IF(Table44[[#This Row],[Student Number]]=C103,1,0)+IF(Table44[[#This Row],[Session]]=B103,1,0)+IF(Table44[[#This Row],[Pre or Post]]="Post",1,0)+IF(D103="Pre",1,0)=4,Table44[[#This Row],[Post Total]]-J103,""),"")</f>
        <v/>
      </c>
      <c r="O104" s="5" t="b">
        <f>ISNUMBER(Table44[[#This Row],[Change]])</f>
        <v>0</v>
      </c>
    </row>
    <row r="105" spans="1:15">
      <c r="A105" s="1" t="s">
        <v>12</v>
      </c>
      <c r="B105" s="1" t="s">
        <v>10</v>
      </c>
      <c r="C105" s="1">
        <v>17</v>
      </c>
      <c r="D105" s="1" t="s">
        <v>16</v>
      </c>
      <c r="E105" s="1">
        <v>2</v>
      </c>
      <c r="F105" s="1">
        <v>3</v>
      </c>
      <c r="G105" s="1" t="s">
        <v>8</v>
      </c>
      <c r="H105" s="5" t="str">
        <f>IF(IF(Table44[[#This Row],[Pre or Post]]="Pre",1,0)+IF(ISNUMBER(Table44[[#This Row],[Response]])=TRUE,1,0)=2,1,"")</f>
        <v/>
      </c>
      <c r="I105" s="5">
        <f>IF(IF(Table44[[#This Row],[Pre or Post]]="Post",1,0)+IF(ISNUMBER(Table44[[#This Row],[Response]])=TRUE,1,0)=2,1,"")</f>
        <v>1</v>
      </c>
      <c r="J105" s="5" t="str">
        <f>IF(IF(Table44[[#This Row],[Pre or Post]]="Pre",1,0)+IF(ISNUMBER(Table44[[#This Row],[Response]])=TRUE,1,0)=2,Table44[[#This Row],[Response]],"")</f>
        <v/>
      </c>
      <c r="K105" s="5">
        <f>IF(IF(Table44[[#This Row],[Pre or Post]]="Post",1,0)+IF(ISNUMBER(Table44[[#This Row],[Response]])=TRUE,1,0)=2,Table44[[#This Row],[Response]],"")</f>
        <v>3</v>
      </c>
      <c r="L105" s="5" t="str">
        <f>IF(IF(ISNUMBER(J105),1,0)+IF(ISNUMBER(K106),1,0)=2,IF(IF(C106=C105,1,0)+IF(B106=B105,1,0)+IF(D106="Post",1,0)+IF(D105="Pre",1,0)=4,Table44[[#This Row],[Pre Total]],""),"")</f>
        <v/>
      </c>
      <c r="M105" s="5">
        <f>IF(IF(ISNUMBER(J104),1,0)+IF(ISNUMBER(Table44[[#This Row],[Post Total]]),1,0)=2,IF(IF(Table44[[#This Row],[Student Number]]=C104,1,0)+IF(Table44[[#This Row],[Session]]=B104,1,0)+IF(Table44[[#This Row],[Pre or Post]]="Post",1,0)+IF(D104="Pre",1,0)=4,Table44[[#This Row],[Post Total]],""),"")</f>
        <v>3</v>
      </c>
      <c r="N105" s="5">
        <f>IF(IF(ISNUMBER(J104),1,0)+IF(ISNUMBER(Table44[[#This Row],[Post Total]]),1,0)=2,IF(IF(Table44[[#This Row],[Student Number]]=C104,1,0)+IF(Table44[[#This Row],[Session]]=B104,1,0)+IF(Table44[[#This Row],[Pre or Post]]="Post",1,0)+IF(D104="Pre",1,0)=4,Table44[[#This Row],[Post Total]]-J104,""),"")</f>
        <v>0</v>
      </c>
      <c r="O105" s="5" t="b">
        <f>ISNUMBER(Table44[[#This Row],[Change]])</f>
        <v>1</v>
      </c>
    </row>
    <row r="106" spans="1:15">
      <c r="A106" s="1" t="s">
        <v>12</v>
      </c>
      <c r="B106" s="1" t="s">
        <v>10</v>
      </c>
      <c r="C106" s="1">
        <v>18</v>
      </c>
      <c r="D106" s="1" t="s">
        <v>16</v>
      </c>
      <c r="E106" s="1">
        <v>2</v>
      </c>
      <c r="F106" s="1">
        <v>3</v>
      </c>
      <c r="G106" s="1" t="s">
        <v>9</v>
      </c>
      <c r="H106" s="5" t="str">
        <f>IF(IF(Table44[[#This Row],[Pre or Post]]="Pre",1,0)+IF(ISNUMBER(Table44[[#This Row],[Response]])=TRUE,1,0)=2,1,"")</f>
        <v/>
      </c>
      <c r="I106" s="5">
        <f>IF(IF(Table44[[#This Row],[Pre or Post]]="Post",1,0)+IF(ISNUMBER(Table44[[#This Row],[Response]])=TRUE,1,0)=2,1,"")</f>
        <v>1</v>
      </c>
      <c r="J106" s="5" t="str">
        <f>IF(IF(Table44[[#This Row],[Pre or Post]]="Pre",1,0)+IF(ISNUMBER(Table44[[#This Row],[Response]])=TRUE,1,0)=2,Table44[[#This Row],[Response]],"")</f>
        <v/>
      </c>
      <c r="K106" s="5">
        <f>IF(IF(Table44[[#This Row],[Pre or Post]]="Post",1,0)+IF(ISNUMBER(Table44[[#This Row],[Response]])=TRUE,1,0)=2,Table44[[#This Row],[Response]],"")</f>
        <v>3</v>
      </c>
      <c r="L106" s="5" t="str">
        <f>IF(IF(ISNUMBER(J106),1,0)+IF(ISNUMBER(K107),1,0)=2,IF(IF(C107=C106,1,0)+IF(B107=B106,1,0)+IF(D107="Post",1,0)+IF(D106="Pre",1,0)=4,Table44[[#This Row],[Pre Total]],""),"")</f>
        <v/>
      </c>
      <c r="M106" s="5" t="str">
        <f>IF(IF(ISNUMBER(J105),1,0)+IF(ISNUMBER(Table44[[#This Row],[Post Total]]),1,0)=2,IF(IF(Table44[[#This Row],[Student Number]]=C105,1,0)+IF(Table44[[#This Row],[Session]]=B105,1,0)+IF(Table44[[#This Row],[Pre or Post]]="Post",1,0)+IF(D105="Pre",1,0)=4,Table44[[#This Row],[Post Total]],""),"")</f>
        <v/>
      </c>
      <c r="N106" s="5" t="str">
        <f>IF(IF(ISNUMBER(J105),1,0)+IF(ISNUMBER(Table44[[#This Row],[Post Total]]),1,0)=2,IF(IF(Table44[[#This Row],[Student Number]]=C105,1,0)+IF(Table44[[#This Row],[Session]]=B105,1,0)+IF(Table44[[#This Row],[Pre or Post]]="Post",1,0)+IF(D105="Pre",1,0)=4,Table44[[#This Row],[Post Total]]-J105,""),"")</f>
        <v/>
      </c>
      <c r="O106" s="5" t="b">
        <f>ISNUMBER(Table44[[#This Row],[Change]])</f>
        <v>0</v>
      </c>
    </row>
    <row r="107" spans="1:15">
      <c r="A107" s="2"/>
      <c r="B107" s="2"/>
      <c r="C107" s="2"/>
      <c r="D107" s="2"/>
      <c r="E107" s="2"/>
      <c r="F107" s="2"/>
      <c r="G107" s="2"/>
      <c r="H107" s="6">
        <f>SUM([Pre Answers])</f>
        <v>40</v>
      </c>
      <c r="I107" s="6">
        <f>SUM([Post Answers])</f>
        <v>65</v>
      </c>
      <c r="J107" s="2">
        <f>SUM([Pre Total])</f>
        <v>127</v>
      </c>
      <c r="K107" s="2">
        <f>SUM([Post Total])</f>
        <v>212</v>
      </c>
      <c r="L107" s="2">
        <f>SUM(Table44[[#Headers],[#Data],[Pre Total (Pooled)]])</f>
        <v>127</v>
      </c>
      <c r="M107" s="2">
        <f>SUM([Post Total (Pooled)])</f>
        <v>127</v>
      </c>
      <c r="N107" s="2">
        <f>SUM([Change])</f>
        <v>0</v>
      </c>
      <c r="O107" s="2">
        <f>COUNTIF([Number 2 Resp],TRUE)</f>
        <v>40</v>
      </c>
    </row>
    <row r="109" spans="1:15" s="7" customFormat="1" ht="45">
      <c r="A109" s="7" t="s">
        <v>4</v>
      </c>
      <c r="B109" s="7" t="s">
        <v>36</v>
      </c>
      <c r="C109" s="7" t="s">
        <v>37</v>
      </c>
      <c r="D109" s="7" t="s">
        <v>68</v>
      </c>
      <c r="E109" s="7" t="s">
        <v>69</v>
      </c>
      <c r="F109" s="7" t="s">
        <v>84</v>
      </c>
    </row>
    <row r="110" spans="1:15">
      <c r="A110" s="1" t="s">
        <v>6</v>
      </c>
      <c r="B110" s="1">
        <f>COUNTIF(Table44[Pre or Post],"Pre")</f>
        <v>40</v>
      </c>
      <c r="C110" s="1">
        <f>Table44[[#Totals],[Pre Answers]]</f>
        <v>40</v>
      </c>
      <c r="D110" s="1">
        <f>Table44[[#Totals],[Pre Total]]/Table512[[#This Row],[Total Answers]]</f>
        <v>3.1749999999999998</v>
      </c>
      <c r="E110" s="1">
        <f>STDEV(Table44[Pre Total])</f>
        <v>0.98416957054653087</v>
      </c>
      <c r="F110" s="5">
        <f>STDEV(Table44[Change])</f>
        <v>0.64051261522034852</v>
      </c>
    </row>
    <row r="111" spans="1:15">
      <c r="A111" s="1" t="s">
        <v>16</v>
      </c>
      <c r="B111" s="1">
        <f>COUNTIF(Table44[Pre or Post],"Post")</f>
        <v>65</v>
      </c>
      <c r="C111" s="1">
        <f>Table44[[#Totals],[Post Answers]]</f>
        <v>65</v>
      </c>
      <c r="D111" s="1">
        <f>Table44[[#Totals],[Post Total]]/Table512[[#This Row],[Total Answers]]</f>
        <v>3.2615384615384615</v>
      </c>
      <c r="E111" s="1">
        <f>STDEV(Table44[Post Total])</f>
        <v>0.87100737433953246</v>
      </c>
      <c r="F111" s="5">
        <f>STDEV(Table44[Change])</f>
        <v>0.64051261522034852</v>
      </c>
    </row>
    <row r="113" spans="1:13" ht="30">
      <c r="A113" s="7" t="s">
        <v>46</v>
      </c>
      <c r="B113" s="7" t="s">
        <v>82</v>
      </c>
      <c r="C113" s="7" t="s">
        <v>70</v>
      </c>
      <c r="D113" s="7" t="s">
        <v>71</v>
      </c>
      <c r="E113" s="7" t="s">
        <v>73</v>
      </c>
      <c r="F113" s="7" t="s">
        <v>74</v>
      </c>
      <c r="G113" s="7" t="s">
        <v>75</v>
      </c>
      <c r="H113" s="7" t="s">
        <v>76</v>
      </c>
      <c r="I113" s="7" t="s">
        <v>77</v>
      </c>
      <c r="J113" s="7" t="s">
        <v>78</v>
      </c>
      <c r="K113" s="7" t="s">
        <v>79</v>
      </c>
      <c r="L113" s="7" t="s">
        <v>80</v>
      </c>
      <c r="M113" s="7" t="s">
        <v>81</v>
      </c>
    </row>
    <row r="114" spans="1:13">
      <c r="A114" s="1">
        <f>COUNTIF(Table44[Pre and Post?],"Yes")/2</f>
        <v>40</v>
      </c>
      <c r="B114" s="1">
        <f>COUNTIF(Table44[Number 2 Resp],TRUE)</f>
        <v>40</v>
      </c>
      <c r="C114" s="1">
        <f>COUNTIF(Table44[Change],1)</f>
        <v>7</v>
      </c>
      <c r="D114" s="1">
        <f>COUNTIF(Table44[Change],2)</f>
        <v>0</v>
      </c>
      <c r="E114" s="1">
        <f>COUNTIF(Table44[Change],3)</f>
        <v>0</v>
      </c>
      <c r="F114" s="1">
        <f>COUNTIF(Table44[Change],4)</f>
        <v>0</v>
      </c>
      <c r="G114" s="1">
        <f>COUNTIF(Table44[Change],-1)</f>
        <v>5</v>
      </c>
      <c r="H114" s="1">
        <f>COUNTIF(Table44[Change],-2)</f>
        <v>1</v>
      </c>
      <c r="I114" s="1">
        <f>COUNTIF(Table44[Change],-3)</f>
        <v>0</v>
      </c>
      <c r="J114" s="1">
        <f>COUNTIF(Table44[Change],-4)</f>
        <v>0</v>
      </c>
      <c r="K114" s="1">
        <f>SUM(Table613[[Increased by 1]:[Increased by 4]])</f>
        <v>7</v>
      </c>
      <c r="L114" s="1">
        <f>SUM(Table613[[Decreased by 1]:[Decreased by 4]])</f>
        <v>6</v>
      </c>
      <c r="M114" s="1">
        <f>COUNTIF(Table44[Change],0)</f>
        <v>27</v>
      </c>
    </row>
    <row r="116" spans="1:13">
      <c r="A116" s="1" t="s">
        <v>87</v>
      </c>
    </row>
    <row r="117" spans="1:13" ht="45">
      <c r="A117" t="s">
        <v>4</v>
      </c>
      <c r="B117" s="15" t="s">
        <v>36</v>
      </c>
      <c r="C117" s="15" t="s">
        <v>84</v>
      </c>
      <c r="D117" s="15" t="s">
        <v>68</v>
      </c>
      <c r="E117" s="15" t="s">
        <v>69</v>
      </c>
    </row>
    <row r="118" spans="1:13">
      <c r="A118" t="s">
        <v>6</v>
      </c>
      <c r="B118" s="1">
        <f>Table44[[#Totals],[Number 2 Resp]]</f>
        <v>40</v>
      </c>
      <c r="C118" s="5">
        <f>STDEV(Table44[Change])</f>
        <v>0.64051261522034852</v>
      </c>
      <c r="D118" s="5">
        <f>Table44[[#Totals],[Pre Total (Pooled)]]/B118</f>
        <v>3.1749999999999998</v>
      </c>
      <c r="E118" s="1">
        <f>STDEV(Table44[Pre Total (Pooled)])</f>
        <v>0.98416957054653087</v>
      </c>
    </row>
    <row r="119" spans="1:13">
      <c r="A119" t="s">
        <v>16</v>
      </c>
      <c r="B119" s="1">
        <f>Table44[[#Totals],[Number 2 Resp]]</f>
        <v>40</v>
      </c>
      <c r="C119" s="5">
        <f>STDEV(Table44[Change])</f>
        <v>0.64051261522034852</v>
      </c>
      <c r="D119" s="5">
        <f>Table44[[#Totals],[Post Total (Pooled)]]/B119</f>
        <v>3.1749999999999998</v>
      </c>
      <c r="E119" s="1">
        <f>STDEV(Table44[Post Total (Pooled)])</f>
        <v>1.0098870208452995</v>
      </c>
    </row>
  </sheetData>
  <conditionalFormatting sqref="F2:G106 F109:F111 C117:C119">
    <cfRule type="cellIs" dxfId="1376" priority="9" operator="equal">
      <formula>"No"</formula>
    </cfRule>
    <cfRule type="cellIs" dxfId="1375" priority="10" operator="equal">
      <formula>"Yes"</formula>
    </cfRule>
  </conditionalFormatting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O171"/>
  <sheetViews>
    <sheetView workbookViewId="0">
      <pane ySplit="1" topLeftCell="A133" activePane="bottomLeft" state="frozen"/>
      <selection activeCell="E37" sqref="E37"/>
      <selection pane="bottomLeft" activeCell="E37" sqref="E37"/>
    </sheetView>
  </sheetViews>
  <sheetFormatPr defaultColWidth="16.7109375" defaultRowHeight="15"/>
  <cols>
    <col min="1" max="16384" width="16.7109375" style="1"/>
  </cols>
  <sheetData>
    <row r="1" spans="1:15">
      <c r="A1" s="1" t="s">
        <v>11</v>
      </c>
      <c r="B1" s="1" t="s">
        <v>0</v>
      </c>
      <c r="C1" s="1" t="s">
        <v>1</v>
      </c>
      <c r="D1" s="1" t="s">
        <v>4</v>
      </c>
      <c r="E1" s="1" t="s">
        <v>2</v>
      </c>
      <c r="F1" s="1" t="s">
        <v>3</v>
      </c>
      <c r="G1" s="1" t="s">
        <v>20</v>
      </c>
      <c r="H1" s="1" t="s">
        <v>64</v>
      </c>
      <c r="I1" s="1" t="s">
        <v>65</v>
      </c>
      <c r="J1" s="1" t="s">
        <v>66</v>
      </c>
      <c r="K1" s="1" t="s">
        <v>67</v>
      </c>
      <c r="L1" s="1" t="s">
        <v>88</v>
      </c>
      <c r="M1" s="1" t="s">
        <v>89</v>
      </c>
      <c r="N1" s="1" t="s">
        <v>72</v>
      </c>
      <c r="O1" s="1" t="s">
        <v>83</v>
      </c>
    </row>
    <row r="2" spans="1:15">
      <c r="A2" s="2" t="s">
        <v>24</v>
      </c>
      <c r="B2" s="2" t="s">
        <v>30</v>
      </c>
      <c r="C2" s="1">
        <v>1</v>
      </c>
      <c r="D2" s="2" t="s">
        <v>16</v>
      </c>
      <c r="E2" s="1">
        <v>2</v>
      </c>
      <c r="F2" s="2">
        <v>4</v>
      </c>
      <c r="G2" s="2" t="s">
        <v>9</v>
      </c>
      <c r="H2" s="6" t="str">
        <f>IF(IF(Table4424[[#This Row],[Pre or Post]]="Pre",1,0)+IF(ISNUMBER(Table4424[[#This Row],[Response]])=TRUE,1,0)=2,1,"")</f>
        <v/>
      </c>
      <c r="I2" s="6">
        <f>IF(IF(Table4424[[#This Row],[Pre or Post]]="Post",1,0)+IF(ISNUMBER(Table4424[[#This Row],[Response]])=TRUE,1,0)=2,1,"")</f>
        <v>1</v>
      </c>
      <c r="J2" s="6" t="str">
        <f>IF(IF(Table4424[[#This Row],[Pre or Post]]="Pre",1,0)+IF(ISNUMBER(Table4424[[#This Row],[Response]])=TRUE,1,0)=2,Table4424[[#This Row],[Response]],"")</f>
        <v/>
      </c>
      <c r="K2" s="6">
        <f>IF(IF(Table4424[[#This Row],[Pre or Post]]="Post",1,0)+IF(ISNUMBER(Table4424[[#This Row],[Response]])=TRUE,1,0)=2,Table4424[[#This Row],[Response]],"")</f>
        <v>4</v>
      </c>
      <c r="L2" s="5" t="str">
        <f>IF(IF(ISNUMBER(J2),1,0)+IF(ISNUMBER(K3),1,0)=2,IF(IF(C3=C2,1,0)+IF(B3=B2,1,0)+IF(D3="Post",1,0)+IF(D2="Pre",1,0)=4,Table4424[[#This Row],[Pre Total]],""),"")</f>
        <v/>
      </c>
      <c r="M2" s="5" t="str">
        <f>IF(IF(ISNUMBER(J1),1,0)+IF(ISNUMBER(Table4424[[#This Row],[Post Total]]),1,0)=2,IF(IF(Table4424[[#This Row],[Student Number]]=C1,1,0)+IF(Table4424[[#This Row],[Session]]=B1,1,0)+IF(Table4424[[#This Row],[Pre or Post]]="Post",1,0)+IF(D1="Pre",1,0)=4,Table4424[[#This Row],[Post Total]],""),"")</f>
        <v/>
      </c>
      <c r="N2" s="6" t="str">
        <f>IF(IF(ISNUMBER(J1),1,0)+IF(ISNUMBER(Table4424[[#This Row],[Post Total]]),1,0)=2,IF(IF(Table4424[[#This Row],[Student Number]]=C1,1,0)+IF(Table4424[[#This Row],[Session]]=B1,1,0)+IF(Table4424[[#This Row],[Pre or Post]]="Post",1,0)+IF(D1="Pre",1,0)=4,Table4424[[#This Row],[Post Total]]-J1,""),"")</f>
        <v/>
      </c>
      <c r="O2" s="6" t="b">
        <f>ISNUMBER(Table4424[[#This Row],[Change]])</f>
        <v>0</v>
      </c>
    </row>
    <row r="3" spans="1:15">
      <c r="A3" s="2" t="s">
        <v>24</v>
      </c>
      <c r="B3" s="2" t="s">
        <v>30</v>
      </c>
      <c r="C3" s="1">
        <v>2</v>
      </c>
      <c r="D3" s="2" t="s">
        <v>16</v>
      </c>
      <c r="E3" s="1">
        <v>2</v>
      </c>
      <c r="F3" s="1">
        <v>4</v>
      </c>
      <c r="G3" s="2" t="s">
        <v>9</v>
      </c>
      <c r="H3" s="6" t="str">
        <f>IF(IF(Table4424[[#This Row],[Pre or Post]]="Pre",1,0)+IF(ISNUMBER(Table4424[[#This Row],[Response]])=TRUE,1,0)=2,1,"")</f>
        <v/>
      </c>
      <c r="I3" s="6">
        <f>IF(IF(Table4424[[#This Row],[Pre or Post]]="Post",1,0)+IF(ISNUMBER(Table4424[[#This Row],[Response]])=TRUE,1,0)=2,1,"")</f>
        <v>1</v>
      </c>
      <c r="J3" s="6" t="str">
        <f>IF(IF(Table4424[[#This Row],[Pre or Post]]="Pre",1,0)+IF(ISNUMBER(Table4424[[#This Row],[Response]])=TRUE,1,0)=2,Table4424[[#This Row],[Response]],"")</f>
        <v/>
      </c>
      <c r="K3" s="6">
        <f>IF(IF(Table4424[[#This Row],[Pre or Post]]="Post",1,0)+IF(ISNUMBER(Table4424[[#This Row],[Response]])=TRUE,1,0)=2,Table4424[[#This Row],[Response]],"")</f>
        <v>4</v>
      </c>
      <c r="L3" s="6" t="str">
        <f>IF(IF(ISNUMBER(J3),1,0)+IF(ISNUMBER(K4),1,0)=2,IF(IF(C4=C3,1,0)+IF(B4=B3,1,0)+IF(D4="Post",1,0)+IF(D3="Pre",1,0)=4,Table4424[[#This Row],[Pre Total]],""),"")</f>
        <v/>
      </c>
      <c r="M3" s="6" t="str">
        <f>IF(IF(ISNUMBER(J2),1,0)+IF(ISNUMBER(Table4424[[#This Row],[Post Total]]),1,0)=2,IF(IF(Table4424[[#This Row],[Student Number]]=C2,1,0)+IF(Table4424[[#This Row],[Session]]=B2,1,0)+IF(Table4424[[#This Row],[Pre or Post]]="Post",1,0)+IF(D2="Pre",1,0)=4,Table4424[[#This Row],[Post Total]],""),"")</f>
        <v/>
      </c>
      <c r="N3" s="6" t="str">
        <f>IF(IF(ISNUMBER(J2),1,0)+IF(ISNUMBER(Table4424[[#This Row],[Post Total]]),1,0)=2,IF(IF(Table4424[[#This Row],[Student Number]]=C2,1,0)+IF(Table4424[[#This Row],[Session]]=B2,1,0)+IF(Table4424[[#This Row],[Pre or Post]]="Post",1,0)+IF(D2="Pre",1,0)=4,Table4424[[#This Row],[Post Total]]-J2,""),"")</f>
        <v/>
      </c>
      <c r="O3" s="6" t="b">
        <f>ISNUMBER(Table4424[[#This Row],[Change]])</f>
        <v>0</v>
      </c>
    </row>
    <row r="4" spans="1:15">
      <c r="A4" s="2" t="s">
        <v>24</v>
      </c>
      <c r="B4" s="2" t="s">
        <v>30</v>
      </c>
      <c r="C4" s="1">
        <v>3</v>
      </c>
      <c r="D4" s="2" t="s">
        <v>16</v>
      </c>
      <c r="E4" s="1">
        <v>2</v>
      </c>
      <c r="F4" s="1">
        <v>2</v>
      </c>
      <c r="G4" s="2" t="s">
        <v>9</v>
      </c>
      <c r="H4" s="6" t="str">
        <f>IF(IF(Table4424[[#This Row],[Pre or Post]]="Pre",1,0)+IF(ISNUMBER(Table4424[[#This Row],[Response]])=TRUE,1,0)=2,1,"")</f>
        <v/>
      </c>
      <c r="I4" s="6">
        <f>IF(IF(Table4424[[#This Row],[Pre or Post]]="Post",1,0)+IF(ISNUMBER(Table4424[[#This Row],[Response]])=TRUE,1,0)=2,1,"")</f>
        <v>1</v>
      </c>
      <c r="J4" s="6" t="str">
        <f>IF(IF(Table4424[[#This Row],[Pre or Post]]="Pre",1,0)+IF(ISNUMBER(Table4424[[#This Row],[Response]])=TRUE,1,0)=2,Table4424[[#This Row],[Response]],"")</f>
        <v/>
      </c>
      <c r="K4" s="6">
        <f>IF(IF(Table4424[[#This Row],[Pre or Post]]="Post",1,0)+IF(ISNUMBER(Table4424[[#This Row],[Response]])=TRUE,1,0)=2,Table4424[[#This Row],[Response]],"")</f>
        <v>2</v>
      </c>
      <c r="L4" s="6" t="str">
        <f>IF(IF(ISNUMBER(J4),1,0)+IF(ISNUMBER(K5),1,0)=2,IF(IF(C5=C4,1,0)+IF(B5=B4,1,0)+IF(D5="Post",1,0)+IF(D4="Pre",1,0)=4,Table4424[[#This Row],[Pre Total]],""),"")</f>
        <v/>
      </c>
      <c r="M4" s="6" t="str">
        <f>IF(IF(ISNUMBER(J3),1,0)+IF(ISNUMBER(Table4424[[#This Row],[Post Total]]),1,0)=2,IF(IF(Table4424[[#This Row],[Student Number]]=C3,1,0)+IF(Table4424[[#This Row],[Session]]=B3,1,0)+IF(Table4424[[#This Row],[Pre or Post]]="Post",1,0)+IF(D3="Pre",1,0)=4,Table4424[[#This Row],[Post Total]],""),"")</f>
        <v/>
      </c>
      <c r="N4" s="6" t="str">
        <f>IF(IF(ISNUMBER(J3),1,0)+IF(ISNUMBER(Table4424[[#This Row],[Post Total]]),1,0)=2,IF(IF(Table4424[[#This Row],[Student Number]]=C3,1,0)+IF(Table4424[[#This Row],[Session]]=B3,1,0)+IF(Table4424[[#This Row],[Pre or Post]]="Post",1,0)+IF(D3="Pre",1,0)=4,Table4424[[#This Row],[Post Total]]-J3,""),"")</f>
        <v/>
      </c>
      <c r="O4" s="6" t="b">
        <f>ISNUMBER(Table4424[[#This Row],[Change]])</f>
        <v>0</v>
      </c>
    </row>
    <row r="5" spans="1:15">
      <c r="A5" s="2" t="s">
        <v>24</v>
      </c>
      <c r="B5" s="2" t="s">
        <v>30</v>
      </c>
      <c r="C5" s="1">
        <v>4</v>
      </c>
      <c r="D5" s="2" t="s">
        <v>16</v>
      </c>
      <c r="E5" s="1">
        <v>2</v>
      </c>
      <c r="F5" s="1">
        <v>4</v>
      </c>
      <c r="G5" s="2" t="s">
        <v>9</v>
      </c>
      <c r="H5" s="6" t="str">
        <f>IF(IF(Table4424[[#This Row],[Pre or Post]]="Pre",1,0)+IF(ISNUMBER(Table4424[[#This Row],[Response]])=TRUE,1,0)=2,1,"")</f>
        <v/>
      </c>
      <c r="I5" s="6">
        <f>IF(IF(Table4424[[#This Row],[Pre or Post]]="Post",1,0)+IF(ISNUMBER(Table4424[[#This Row],[Response]])=TRUE,1,0)=2,1,"")</f>
        <v>1</v>
      </c>
      <c r="J5" s="6" t="str">
        <f>IF(IF(Table4424[[#This Row],[Pre or Post]]="Pre",1,0)+IF(ISNUMBER(Table4424[[#This Row],[Response]])=TRUE,1,0)=2,Table4424[[#This Row],[Response]],"")</f>
        <v/>
      </c>
      <c r="K5" s="6">
        <f>IF(IF(Table4424[[#This Row],[Pre or Post]]="Post",1,0)+IF(ISNUMBER(Table4424[[#This Row],[Response]])=TRUE,1,0)=2,Table4424[[#This Row],[Response]],"")</f>
        <v>4</v>
      </c>
      <c r="L5" s="6" t="str">
        <f>IF(IF(ISNUMBER(J5),1,0)+IF(ISNUMBER(K6),1,0)=2,IF(IF(C6=C5,1,0)+IF(B6=B5,1,0)+IF(D6="Post",1,0)+IF(D5="Pre",1,0)=4,Table4424[[#This Row],[Pre Total]],""),"")</f>
        <v/>
      </c>
      <c r="M5" s="6" t="str">
        <f>IF(IF(ISNUMBER(J4),1,0)+IF(ISNUMBER(Table4424[[#This Row],[Post Total]]),1,0)=2,IF(IF(Table4424[[#This Row],[Student Number]]=C4,1,0)+IF(Table4424[[#This Row],[Session]]=B4,1,0)+IF(Table4424[[#This Row],[Pre or Post]]="Post",1,0)+IF(D4="Pre",1,0)=4,Table4424[[#This Row],[Post Total]],""),"")</f>
        <v/>
      </c>
      <c r="N5" s="6" t="str">
        <f>IF(IF(ISNUMBER(J4),1,0)+IF(ISNUMBER(Table4424[[#This Row],[Post Total]]),1,0)=2,IF(IF(Table4424[[#This Row],[Student Number]]=C4,1,0)+IF(Table4424[[#This Row],[Session]]=B4,1,0)+IF(Table4424[[#This Row],[Pre or Post]]="Post",1,0)+IF(D4="Pre",1,0)=4,Table4424[[#This Row],[Post Total]]-J4,""),"")</f>
        <v/>
      </c>
      <c r="O5" s="6" t="b">
        <f>ISNUMBER(Table4424[[#This Row],[Change]])</f>
        <v>0</v>
      </c>
    </row>
    <row r="6" spans="1:15">
      <c r="A6" s="2" t="s">
        <v>24</v>
      </c>
      <c r="B6" s="2" t="s">
        <v>30</v>
      </c>
      <c r="C6" s="1">
        <v>5</v>
      </c>
      <c r="D6" s="2" t="s">
        <v>16</v>
      </c>
      <c r="E6" s="1">
        <v>2</v>
      </c>
      <c r="F6" s="1">
        <v>2</v>
      </c>
      <c r="G6" s="2" t="s">
        <v>9</v>
      </c>
      <c r="H6" s="6" t="str">
        <f>IF(IF(Table4424[[#This Row],[Pre or Post]]="Pre",1,0)+IF(ISNUMBER(Table4424[[#This Row],[Response]])=TRUE,1,0)=2,1,"")</f>
        <v/>
      </c>
      <c r="I6" s="6">
        <f>IF(IF(Table4424[[#This Row],[Pre or Post]]="Post",1,0)+IF(ISNUMBER(Table4424[[#This Row],[Response]])=TRUE,1,0)=2,1,"")</f>
        <v>1</v>
      </c>
      <c r="J6" s="6" t="str">
        <f>IF(IF(Table4424[[#This Row],[Pre or Post]]="Pre",1,0)+IF(ISNUMBER(Table4424[[#This Row],[Response]])=TRUE,1,0)=2,Table4424[[#This Row],[Response]],"")</f>
        <v/>
      </c>
      <c r="K6" s="6">
        <f>IF(IF(Table4424[[#This Row],[Pre or Post]]="Post",1,0)+IF(ISNUMBER(Table4424[[#This Row],[Response]])=TRUE,1,0)=2,Table4424[[#This Row],[Response]],"")</f>
        <v>2</v>
      </c>
      <c r="L6" s="6" t="str">
        <f>IF(IF(ISNUMBER(J6),1,0)+IF(ISNUMBER(K7),1,0)=2,IF(IF(C7=C6,1,0)+IF(B7=B6,1,0)+IF(D7="Post",1,0)+IF(D6="Pre",1,0)=4,Table4424[[#This Row],[Pre Total]],""),"")</f>
        <v/>
      </c>
      <c r="M6" s="6" t="str">
        <f>IF(IF(ISNUMBER(J5),1,0)+IF(ISNUMBER(Table4424[[#This Row],[Post Total]]),1,0)=2,IF(IF(Table4424[[#This Row],[Student Number]]=C5,1,0)+IF(Table4424[[#This Row],[Session]]=B5,1,0)+IF(Table4424[[#This Row],[Pre or Post]]="Post",1,0)+IF(D5="Pre",1,0)=4,Table4424[[#This Row],[Post Total]],""),"")</f>
        <v/>
      </c>
      <c r="N6" s="6" t="str">
        <f>IF(IF(ISNUMBER(J5),1,0)+IF(ISNUMBER(Table4424[[#This Row],[Post Total]]),1,0)=2,IF(IF(Table4424[[#This Row],[Student Number]]=C5,1,0)+IF(Table4424[[#This Row],[Session]]=B5,1,0)+IF(Table4424[[#This Row],[Pre or Post]]="Post",1,0)+IF(D5="Pre",1,0)=4,Table4424[[#This Row],[Post Total]]-J5,""),"")</f>
        <v/>
      </c>
      <c r="O6" s="6" t="b">
        <f>ISNUMBER(Table4424[[#This Row],[Change]])</f>
        <v>0</v>
      </c>
    </row>
    <row r="7" spans="1:15">
      <c r="A7" s="2" t="s">
        <v>24</v>
      </c>
      <c r="B7" s="2" t="s">
        <v>30</v>
      </c>
      <c r="C7" s="1">
        <v>6</v>
      </c>
      <c r="D7" s="2" t="s">
        <v>16</v>
      </c>
      <c r="E7" s="1">
        <v>2</v>
      </c>
      <c r="F7" s="1">
        <v>4</v>
      </c>
      <c r="G7" s="2" t="s">
        <v>9</v>
      </c>
      <c r="H7" s="6" t="str">
        <f>IF(IF(Table4424[[#This Row],[Pre or Post]]="Pre",1,0)+IF(ISNUMBER(Table4424[[#This Row],[Response]])=TRUE,1,0)=2,1,"")</f>
        <v/>
      </c>
      <c r="I7" s="6">
        <f>IF(IF(Table4424[[#This Row],[Pre or Post]]="Post",1,0)+IF(ISNUMBER(Table4424[[#This Row],[Response]])=TRUE,1,0)=2,1,"")</f>
        <v>1</v>
      </c>
      <c r="J7" s="6" t="str">
        <f>IF(IF(Table4424[[#This Row],[Pre or Post]]="Pre",1,0)+IF(ISNUMBER(Table4424[[#This Row],[Response]])=TRUE,1,0)=2,Table4424[[#This Row],[Response]],"")</f>
        <v/>
      </c>
      <c r="K7" s="6">
        <f>IF(IF(Table4424[[#This Row],[Pre or Post]]="Post",1,0)+IF(ISNUMBER(Table4424[[#This Row],[Response]])=TRUE,1,0)=2,Table4424[[#This Row],[Response]],"")</f>
        <v>4</v>
      </c>
      <c r="L7" s="6" t="str">
        <f>IF(IF(ISNUMBER(J7),1,0)+IF(ISNUMBER(K8),1,0)=2,IF(IF(C8=C7,1,0)+IF(B8=B7,1,0)+IF(D8="Post",1,0)+IF(D7="Pre",1,0)=4,Table4424[[#This Row],[Pre Total]],""),"")</f>
        <v/>
      </c>
      <c r="M7" s="6" t="str">
        <f>IF(IF(ISNUMBER(J6),1,0)+IF(ISNUMBER(Table4424[[#This Row],[Post Total]]),1,0)=2,IF(IF(Table4424[[#This Row],[Student Number]]=C6,1,0)+IF(Table4424[[#This Row],[Session]]=B6,1,0)+IF(Table4424[[#This Row],[Pre or Post]]="Post",1,0)+IF(D6="Pre",1,0)=4,Table4424[[#This Row],[Post Total]],""),"")</f>
        <v/>
      </c>
      <c r="N7" s="6" t="str">
        <f>IF(IF(ISNUMBER(J6),1,0)+IF(ISNUMBER(Table4424[[#This Row],[Post Total]]),1,0)=2,IF(IF(Table4424[[#This Row],[Student Number]]=C6,1,0)+IF(Table4424[[#This Row],[Session]]=B6,1,0)+IF(Table4424[[#This Row],[Pre or Post]]="Post",1,0)+IF(D6="Pre",1,0)=4,Table4424[[#This Row],[Post Total]]-J6,""),"")</f>
        <v/>
      </c>
      <c r="O7" s="6" t="b">
        <f>ISNUMBER(Table4424[[#This Row],[Change]])</f>
        <v>0</v>
      </c>
    </row>
    <row r="8" spans="1:15">
      <c r="A8" s="2" t="s">
        <v>24</v>
      </c>
      <c r="B8" s="2" t="s">
        <v>30</v>
      </c>
      <c r="C8" s="1">
        <v>7</v>
      </c>
      <c r="D8" s="2" t="s">
        <v>16</v>
      </c>
      <c r="E8" s="1">
        <v>2</v>
      </c>
      <c r="F8" s="1">
        <v>4</v>
      </c>
      <c r="G8" s="2" t="s">
        <v>9</v>
      </c>
      <c r="H8" s="6" t="str">
        <f>IF(IF(Table4424[[#This Row],[Pre or Post]]="Pre",1,0)+IF(ISNUMBER(Table4424[[#This Row],[Response]])=TRUE,1,0)=2,1,"")</f>
        <v/>
      </c>
      <c r="I8" s="6">
        <f>IF(IF(Table4424[[#This Row],[Pre or Post]]="Post",1,0)+IF(ISNUMBER(Table4424[[#This Row],[Response]])=TRUE,1,0)=2,1,"")</f>
        <v>1</v>
      </c>
      <c r="J8" s="6" t="str">
        <f>IF(IF(Table4424[[#This Row],[Pre or Post]]="Pre",1,0)+IF(ISNUMBER(Table4424[[#This Row],[Response]])=TRUE,1,0)=2,Table4424[[#This Row],[Response]],"")</f>
        <v/>
      </c>
      <c r="K8" s="6">
        <f>IF(IF(Table4424[[#This Row],[Pre or Post]]="Post",1,0)+IF(ISNUMBER(Table4424[[#This Row],[Response]])=TRUE,1,0)=2,Table4424[[#This Row],[Response]],"")</f>
        <v>4</v>
      </c>
      <c r="L8" s="6" t="str">
        <f>IF(IF(ISNUMBER(J8),1,0)+IF(ISNUMBER(K9),1,0)=2,IF(IF(C9=C8,1,0)+IF(B9=B8,1,0)+IF(D9="Post",1,0)+IF(D8="Pre",1,0)=4,Table4424[[#This Row],[Pre Total]],""),"")</f>
        <v/>
      </c>
      <c r="M8" s="6" t="str">
        <f>IF(IF(ISNUMBER(J7),1,0)+IF(ISNUMBER(Table4424[[#This Row],[Post Total]]),1,0)=2,IF(IF(Table4424[[#This Row],[Student Number]]=C7,1,0)+IF(Table4424[[#This Row],[Session]]=B7,1,0)+IF(Table4424[[#This Row],[Pre or Post]]="Post",1,0)+IF(D7="Pre",1,0)=4,Table4424[[#This Row],[Post Total]],""),"")</f>
        <v/>
      </c>
      <c r="N8" s="6" t="str">
        <f>IF(IF(ISNUMBER(J7),1,0)+IF(ISNUMBER(Table4424[[#This Row],[Post Total]]),1,0)=2,IF(IF(Table4424[[#This Row],[Student Number]]=C7,1,0)+IF(Table4424[[#This Row],[Session]]=B7,1,0)+IF(Table4424[[#This Row],[Pre or Post]]="Post",1,0)+IF(D7="Pre",1,0)=4,Table4424[[#This Row],[Post Total]]-J7,""),"")</f>
        <v/>
      </c>
      <c r="O8" s="6" t="b">
        <f>ISNUMBER(Table4424[[#This Row],[Change]])</f>
        <v>0</v>
      </c>
    </row>
    <row r="9" spans="1:15">
      <c r="A9" s="2" t="s">
        <v>24</v>
      </c>
      <c r="B9" s="2" t="s">
        <v>30</v>
      </c>
      <c r="C9" s="1">
        <v>8</v>
      </c>
      <c r="D9" s="2" t="s">
        <v>16</v>
      </c>
      <c r="E9" s="1">
        <v>2</v>
      </c>
      <c r="F9" s="1">
        <v>3</v>
      </c>
      <c r="G9" s="2" t="s">
        <v>9</v>
      </c>
      <c r="H9" s="6" t="str">
        <f>IF(IF(Table4424[[#This Row],[Pre or Post]]="Pre",1,0)+IF(ISNUMBER(Table4424[[#This Row],[Response]])=TRUE,1,0)=2,1,"")</f>
        <v/>
      </c>
      <c r="I9" s="6">
        <f>IF(IF(Table4424[[#This Row],[Pre or Post]]="Post",1,0)+IF(ISNUMBER(Table4424[[#This Row],[Response]])=TRUE,1,0)=2,1,"")</f>
        <v>1</v>
      </c>
      <c r="J9" s="6" t="str">
        <f>IF(IF(Table4424[[#This Row],[Pre or Post]]="Pre",1,0)+IF(ISNUMBER(Table4424[[#This Row],[Response]])=TRUE,1,0)=2,Table4424[[#This Row],[Response]],"")</f>
        <v/>
      </c>
      <c r="K9" s="6">
        <f>IF(IF(Table4424[[#This Row],[Pre or Post]]="Post",1,0)+IF(ISNUMBER(Table4424[[#This Row],[Response]])=TRUE,1,0)=2,Table4424[[#This Row],[Response]],"")</f>
        <v>3</v>
      </c>
      <c r="L9" s="6" t="str">
        <f>IF(IF(ISNUMBER(J9),1,0)+IF(ISNUMBER(K10),1,0)=2,IF(IF(C10=C9,1,0)+IF(B10=B9,1,0)+IF(D10="Post",1,0)+IF(D9="Pre",1,0)=4,Table4424[[#This Row],[Pre Total]],""),"")</f>
        <v/>
      </c>
      <c r="M9" s="6" t="str">
        <f>IF(IF(ISNUMBER(J8),1,0)+IF(ISNUMBER(Table4424[[#This Row],[Post Total]]),1,0)=2,IF(IF(Table4424[[#This Row],[Student Number]]=C8,1,0)+IF(Table4424[[#This Row],[Session]]=B8,1,0)+IF(Table4424[[#This Row],[Pre or Post]]="Post",1,0)+IF(D8="Pre",1,0)=4,Table4424[[#This Row],[Post Total]],""),"")</f>
        <v/>
      </c>
      <c r="N9" s="6" t="str">
        <f>IF(IF(ISNUMBER(J8),1,0)+IF(ISNUMBER(Table4424[[#This Row],[Post Total]]),1,0)=2,IF(IF(Table4424[[#This Row],[Student Number]]=C8,1,0)+IF(Table4424[[#This Row],[Session]]=B8,1,0)+IF(Table4424[[#This Row],[Pre or Post]]="Post",1,0)+IF(D8="Pre",1,0)=4,Table4424[[#This Row],[Post Total]]-J8,""),"")</f>
        <v/>
      </c>
      <c r="O9" s="6" t="b">
        <f>ISNUMBER(Table4424[[#This Row],[Change]])</f>
        <v>0</v>
      </c>
    </row>
    <row r="10" spans="1:15">
      <c r="A10" s="2" t="s">
        <v>24</v>
      </c>
      <c r="B10" s="2" t="s">
        <v>30</v>
      </c>
      <c r="C10" s="1">
        <v>9</v>
      </c>
      <c r="D10" s="2" t="s">
        <v>16</v>
      </c>
      <c r="E10" s="1">
        <v>2</v>
      </c>
      <c r="F10" s="1">
        <v>4</v>
      </c>
      <c r="G10" s="2" t="s">
        <v>9</v>
      </c>
      <c r="H10" s="6" t="str">
        <f>IF(IF(Table4424[[#This Row],[Pre or Post]]="Pre",1,0)+IF(ISNUMBER(Table4424[[#This Row],[Response]])=TRUE,1,0)=2,1,"")</f>
        <v/>
      </c>
      <c r="I10" s="6">
        <f>IF(IF(Table4424[[#This Row],[Pre or Post]]="Post",1,0)+IF(ISNUMBER(Table4424[[#This Row],[Response]])=TRUE,1,0)=2,1,"")</f>
        <v>1</v>
      </c>
      <c r="J10" s="6" t="str">
        <f>IF(IF(Table4424[[#This Row],[Pre or Post]]="Pre",1,0)+IF(ISNUMBER(Table4424[[#This Row],[Response]])=TRUE,1,0)=2,Table4424[[#This Row],[Response]],"")</f>
        <v/>
      </c>
      <c r="K10" s="6">
        <f>IF(IF(Table4424[[#This Row],[Pre or Post]]="Post",1,0)+IF(ISNUMBER(Table4424[[#This Row],[Response]])=TRUE,1,0)=2,Table4424[[#This Row],[Response]],"")</f>
        <v>4</v>
      </c>
      <c r="L10" s="6" t="str">
        <f>IF(IF(ISNUMBER(J10),1,0)+IF(ISNUMBER(K11),1,0)=2,IF(IF(C11=C10,1,0)+IF(B11=B10,1,0)+IF(D11="Post",1,0)+IF(D10="Pre",1,0)=4,Table4424[[#This Row],[Pre Total]],""),"")</f>
        <v/>
      </c>
      <c r="M10" s="6" t="str">
        <f>IF(IF(ISNUMBER(J9),1,0)+IF(ISNUMBER(Table4424[[#This Row],[Post Total]]),1,0)=2,IF(IF(Table4424[[#This Row],[Student Number]]=C9,1,0)+IF(Table4424[[#This Row],[Session]]=B9,1,0)+IF(Table4424[[#This Row],[Pre or Post]]="Post",1,0)+IF(D9="Pre",1,0)=4,Table4424[[#This Row],[Post Total]],""),"")</f>
        <v/>
      </c>
      <c r="N10" s="6" t="str">
        <f>IF(IF(ISNUMBER(J9),1,0)+IF(ISNUMBER(Table4424[[#This Row],[Post Total]]),1,0)=2,IF(IF(Table4424[[#This Row],[Student Number]]=C9,1,0)+IF(Table4424[[#This Row],[Session]]=B9,1,0)+IF(Table4424[[#This Row],[Pre or Post]]="Post",1,0)+IF(D9="Pre",1,0)=4,Table4424[[#This Row],[Post Total]]-J9,""),"")</f>
        <v/>
      </c>
      <c r="O10" s="6" t="b">
        <f>ISNUMBER(Table4424[[#This Row],[Change]])</f>
        <v>0</v>
      </c>
    </row>
    <row r="11" spans="1:15">
      <c r="A11" s="2" t="s">
        <v>24</v>
      </c>
      <c r="B11" s="2" t="s">
        <v>30</v>
      </c>
      <c r="C11" s="1">
        <v>10</v>
      </c>
      <c r="D11" s="2" t="s">
        <v>16</v>
      </c>
      <c r="E11" s="1">
        <v>2</v>
      </c>
      <c r="F11" s="1">
        <v>3</v>
      </c>
      <c r="G11" s="2" t="s">
        <v>9</v>
      </c>
      <c r="H11" s="6" t="str">
        <f>IF(IF(Table4424[[#This Row],[Pre or Post]]="Pre",1,0)+IF(ISNUMBER(Table4424[[#This Row],[Response]])=TRUE,1,0)=2,1,"")</f>
        <v/>
      </c>
      <c r="I11" s="6">
        <f>IF(IF(Table4424[[#This Row],[Pre or Post]]="Post",1,0)+IF(ISNUMBER(Table4424[[#This Row],[Response]])=TRUE,1,0)=2,1,"")</f>
        <v>1</v>
      </c>
      <c r="J11" s="6" t="str">
        <f>IF(IF(Table4424[[#This Row],[Pre or Post]]="Pre",1,0)+IF(ISNUMBER(Table4424[[#This Row],[Response]])=TRUE,1,0)=2,Table4424[[#This Row],[Response]],"")</f>
        <v/>
      </c>
      <c r="K11" s="6">
        <f>IF(IF(Table4424[[#This Row],[Pre or Post]]="Post",1,0)+IF(ISNUMBER(Table4424[[#This Row],[Response]])=TRUE,1,0)=2,Table4424[[#This Row],[Response]],"")</f>
        <v>3</v>
      </c>
      <c r="L11" s="6" t="str">
        <f>IF(IF(ISNUMBER(J11),1,0)+IF(ISNUMBER(K12),1,0)=2,IF(IF(C12=C11,1,0)+IF(B12=B11,1,0)+IF(D12="Post",1,0)+IF(D11="Pre",1,0)=4,Table4424[[#This Row],[Pre Total]],""),"")</f>
        <v/>
      </c>
      <c r="M11" s="6" t="str">
        <f>IF(IF(ISNUMBER(J10),1,0)+IF(ISNUMBER(Table4424[[#This Row],[Post Total]]),1,0)=2,IF(IF(Table4424[[#This Row],[Student Number]]=C10,1,0)+IF(Table4424[[#This Row],[Session]]=B10,1,0)+IF(Table4424[[#This Row],[Pre or Post]]="Post",1,0)+IF(D10="Pre",1,0)=4,Table4424[[#This Row],[Post Total]],""),"")</f>
        <v/>
      </c>
      <c r="N11" s="6" t="str">
        <f>IF(IF(ISNUMBER(J10),1,0)+IF(ISNUMBER(Table4424[[#This Row],[Post Total]]),1,0)=2,IF(IF(Table4424[[#This Row],[Student Number]]=C10,1,0)+IF(Table4424[[#This Row],[Session]]=B10,1,0)+IF(Table4424[[#This Row],[Pre or Post]]="Post",1,0)+IF(D10="Pre",1,0)=4,Table4424[[#This Row],[Post Total]]-J10,""),"")</f>
        <v/>
      </c>
      <c r="O11" s="6" t="b">
        <f>ISNUMBER(Table4424[[#This Row],[Change]])</f>
        <v>0</v>
      </c>
    </row>
    <row r="12" spans="1:15">
      <c r="A12" s="2" t="s">
        <v>24</v>
      </c>
      <c r="B12" s="2" t="s">
        <v>30</v>
      </c>
      <c r="C12" s="1">
        <v>11</v>
      </c>
      <c r="D12" s="2" t="s">
        <v>16</v>
      </c>
      <c r="E12" s="1">
        <v>2</v>
      </c>
      <c r="F12" s="1">
        <v>4</v>
      </c>
      <c r="G12" s="2" t="s">
        <v>9</v>
      </c>
      <c r="H12" s="6" t="str">
        <f>IF(IF(Table4424[[#This Row],[Pre or Post]]="Pre",1,0)+IF(ISNUMBER(Table4424[[#This Row],[Response]])=TRUE,1,0)=2,1,"")</f>
        <v/>
      </c>
      <c r="I12" s="6">
        <f>IF(IF(Table4424[[#This Row],[Pre or Post]]="Post",1,0)+IF(ISNUMBER(Table4424[[#This Row],[Response]])=TRUE,1,0)=2,1,"")</f>
        <v>1</v>
      </c>
      <c r="J12" s="6" t="str">
        <f>IF(IF(Table4424[[#This Row],[Pre or Post]]="Pre",1,0)+IF(ISNUMBER(Table4424[[#This Row],[Response]])=TRUE,1,0)=2,Table4424[[#This Row],[Response]],"")</f>
        <v/>
      </c>
      <c r="K12" s="6">
        <f>IF(IF(Table4424[[#This Row],[Pre or Post]]="Post",1,0)+IF(ISNUMBER(Table4424[[#This Row],[Response]])=TRUE,1,0)=2,Table4424[[#This Row],[Response]],"")</f>
        <v>4</v>
      </c>
      <c r="L12" s="6" t="str">
        <f>IF(IF(ISNUMBER(J12),1,0)+IF(ISNUMBER(K13),1,0)=2,IF(IF(C13=C12,1,0)+IF(B13=B12,1,0)+IF(D13="Post",1,0)+IF(D12="Pre",1,0)=4,Table4424[[#This Row],[Pre Total]],""),"")</f>
        <v/>
      </c>
      <c r="M12" s="6" t="str">
        <f>IF(IF(ISNUMBER(J11),1,0)+IF(ISNUMBER(Table4424[[#This Row],[Post Total]]),1,0)=2,IF(IF(Table4424[[#This Row],[Student Number]]=C11,1,0)+IF(Table4424[[#This Row],[Session]]=B11,1,0)+IF(Table4424[[#This Row],[Pre or Post]]="Post",1,0)+IF(D11="Pre",1,0)=4,Table4424[[#This Row],[Post Total]],""),"")</f>
        <v/>
      </c>
      <c r="N12" s="6" t="str">
        <f>IF(IF(ISNUMBER(J11),1,0)+IF(ISNUMBER(Table4424[[#This Row],[Post Total]]),1,0)=2,IF(IF(Table4424[[#This Row],[Student Number]]=C11,1,0)+IF(Table4424[[#This Row],[Session]]=B11,1,0)+IF(Table4424[[#This Row],[Pre or Post]]="Post",1,0)+IF(D11="Pre",1,0)=4,Table4424[[#This Row],[Post Total]]-J11,""),"")</f>
        <v/>
      </c>
      <c r="O12" s="6" t="b">
        <f>ISNUMBER(Table4424[[#This Row],[Change]])</f>
        <v>0</v>
      </c>
    </row>
    <row r="13" spans="1:15">
      <c r="A13" s="2" t="s">
        <v>24</v>
      </c>
      <c r="B13" s="2" t="s">
        <v>30</v>
      </c>
      <c r="C13" s="1">
        <v>12</v>
      </c>
      <c r="D13" s="2" t="s">
        <v>16</v>
      </c>
      <c r="E13" s="1">
        <v>2</v>
      </c>
      <c r="F13" s="1">
        <v>5</v>
      </c>
      <c r="G13" s="2" t="s">
        <v>9</v>
      </c>
      <c r="H13" s="6" t="str">
        <f>IF(IF(Table4424[[#This Row],[Pre or Post]]="Pre",1,0)+IF(ISNUMBER(Table4424[[#This Row],[Response]])=TRUE,1,0)=2,1,"")</f>
        <v/>
      </c>
      <c r="I13" s="6">
        <f>IF(IF(Table4424[[#This Row],[Pre or Post]]="Post",1,0)+IF(ISNUMBER(Table4424[[#This Row],[Response]])=TRUE,1,0)=2,1,"")</f>
        <v>1</v>
      </c>
      <c r="J13" s="6" t="str">
        <f>IF(IF(Table4424[[#This Row],[Pre or Post]]="Pre",1,0)+IF(ISNUMBER(Table4424[[#This Row],[Response]])=TRUE,1,0)=2,Table4424[[#This Row],[Response]],"")</f>
        <v/>
      </c>
      <c r="K13" s="6">
        <f>IF(IF(Table4424[[#This Row],[Pre or Post]]="Post",1,0)+IF(ISNUMBER(Table4424[[#This Row],[Response]])=TRUE,1,0)=2,Table4424[[#This Row],[Response]],"")</f>
        <v>5</v>
      </c>
      <c r="L13" s="6" t="str">
        <f>IF(IF(ISNUMBER(J13),1,0)+IF(ISNUMBER(K14),1,0)=2,IF(IF(C14=C13,1,0)+IF(B14=B13,1,0)+IF(D14="Post",1,0)+IF(D13="Pre",1,0)=4,Table4424[[#This Row],[Pre Total]],""),"")</f>
        <v/>
      </c>
      <c r="M13" s="6" t="str">
        <f>IF(IF(ISNUMBER(J12),1,0)+IF(ISNUMBER(Table4424[[#This Row],[Post Total]]),1,0)=2,IF(IF(Table4424[[#This Row],[Student Number]]=C12,1,0)+IF(Table4424[[#This Row],[Session]]=B12,1,0)+IF(Table4424[[#This Row],[Pre or Post]]="Post",1,0)+IF(D12="Pre",1,0)=4,Table4424[[#This Row],[Post Total]],""),"")</f>
        <v/>
      </c>
      <c r="N13" s="6" t="str">
        <f>IF(IF(ISNUMBER(J12),1,0)+IF(ISNUMBER(Table4424[[#This Row],[Post Total]]),1,0)=2,IF(IF(Table4424[[#This Row],[Student Number]]=C12,1,0)+IF(Table4424[[#This Row],[Session]]=B12,1,0)+IF(Table4424[[#This Row],[Pre or Post]]="Post",1,0)+IF(D12="Pre",1,0)=4,Table4424[[#This Row],[Post Total]]-J12,""),"")</f>
        <v/>
      </c>
      <c r="O13" s="6" t="b">
        <f>ISNUMBER(Table4424[[#This Row],[Change]])</f>
        <v>0</v>
      </c>
    </row>
    <row r="14" spans="1:15">
      <c r="A14" s="2" t="s">
        <v>24</v>
      </c>
      <c r="B14" s="2" t="s">
        <v>30</v>
      </c>
      <c r="C14" s="1">
        <v>13</v>
      </c>
      <c r="D14" s="2" t="s">
        <v>16</v>
      </c>
      <c r="E14" s="1">
        <v>2</v>
      </c>
      <c r="F14" s="1">
        <v>4</v>
      </c>
      <c r="G14" s="2" t="s">
        <v>9</v>
      </c>
      <c r="H14" s="6" t="str">
        <f>IF(IF(Table4424[[#This Row],[Pre or Post]]="Pre",1,0)+IF(ISNUMBER(Table4424[[#This Row],[Response]])=TRUE,1,0)=2,1,"")</f>
        <v/>
      </c>
      <c r="I14" s="6">
        <f>IF(IF(Table4424[[#This Row],[Pre or Post]]="Post",1,0)+IF(ISNUMBER(Table4424[[#This Row],[Response]])=TRUE,1,0)=2,1,"")</f>
        <v>1</v>
      </c>
      <c r="J14" s="6" t="str">
        <f>IF(IF(Table4424[[#This Row],[Pre or Post]]="Pre",1,0)+IF(ISNUMBER(Table4424[[#This Row],[Response]])=TRUE,1,0)=2,Table4424[[#This Row],[Response]],"")</f>
        <v/>
      </c>
      <c r="K14" s="6">
        <f>IF(IF(Table4424[[#This Row],[Pre or Post]]="Post",1,0)+IF(ISNUMBER(Table4424[[#This Row],[Response]])=TRUE,1,0)=2,Table4424[[#This Row],[Response]],"")</f>
        <v>4</v>
      </c>
      <c r="L14" s="6" t="str">
        <f>IF(IF(ISNUMBER(J14),1,0)+IF(ISNUMBER(K15),1,0)=2,IF(IF(C15=C14,1,0)+IF(B15=B14,1,0)+IF(D15="Post",1,0)+IF(D14="Pre",1,0)=4,Table4424[[#This Row],[Pre Total]],""),"")</f>
        <v/>
      </c>
      <c r="M14" s="6" t="str">
        <f>IF(IF(ISNUMBER(J13),1,0)+IF(ISNUMBER(Table4424[[#This Row],[Post Total]]),1,0)=2,IF(IF(Table4424[[#This Row],[Student Number]]=C13,1,0)+IF(Table4424[[#This Row],[Session]]=B13,1,0)+IF(Table4424[[#This Row],[Pre or Post]]="Post",1,0)+IF(D13="Pre",1,0)=4,Table4424[[#This Row],[Post Total]],""),"")</f>
        <v/>
      </c>
      <c r="N14" s="6" t="str">
        <f>IF(IF(ISNUMBER(J13),1,0)+IF(ISNUMBER(Table4424[[#This Row],[Post Total]]),1,0)=2,IF(IF(Table4424[[#This Row],[Student Number]]=C13,1,0)+IF(Table4424[[#This Row],[Session]]=B13,1,0)+IF(Table4424[[#This Row],[Pre or Post]]="Post",1,0)+IF(D13="Pre",1,0)=4,Table4424[[#This Row],[Post Total]]-J13,""),"")</f>
        <v/>
      </c>
      <c r="O14" s="6" t="b">
        <f>ISNUMBER(Table4424[[#This Row],[Change]])</f>
        <v>0</v>
      </c>
    </row>
    <row r="15" spans="1:15">
      <c r="A15" s="2" t="s">
        <v>24</v>
      </c>
      <c r="B15" s="2" t="s">
        <v>30</v>
      </c>
      <c r="C15" s="1">
        <v>14</v>
      </c>
      <c r="D15" s="2" t="s">
        <v>16</v>
      </c>
      <c r="E15" s="1">
        <v>2</v>
      </c>
      <c r="F15" s="1">
        <v>5</v>
      </c>
      <c r="G15" s="2" t="s">
        <v>9</v>
      </c>
      <c r="H15" s="6" t="str">
        <f>IF(IF(Table4424[[#This Row],[Pre or Post]]="Pre",1,0)+IF(ISNUMBER(Table4424[[#This Row],[Response]])=TRUE,1,0)=2,1,"")</f>
        <v/>
      </c>
      <c r="I15" s="6">
        <f>IF(IF(Table4424[[#This Row],[Pre or Post]]="Post",1,0)+IF(ISNUMBER(Table4424[[#This Row],[Response]])=TRUE,1,0)=2,1,"")</f>
        <v>1</v>
      </c>
      <c r="J15" s="6" t="str">
        <f>IF(IF(Table4424[[#This Row],[Pre or Post]]="Pre",1,0)+IF(ISNUMBER(Table4424[[#This Row],[Response]])=TRUE,1,0)=2,Table4424[[#This Row],[Response]],"")</f>
        <v/>
      </c>
      <c r="K15" s="6">
        <f>IF(IF(Table4424[[#This Row],[Pre or Post]]="Post",1,0)+IF(ISNUMBER(Table4424[[#This Row],[Response]])=TRUE,1,0)=2,Table4424[[#This Row],[Response]],"")</f>
        <v>5</v>
      </c>
      <c r="L15" s="6" t="str">
        <f>IF(IF(ISNUMBER(J15),1,0)+IF(ISNUMBER(K16),1,0)=2,IF(IF(C16=C15,1,0)+IF(B16=B15,1,0)+IF(D16="Post",1,0)+IF(D15="Pre",1,0)=4,Table4424[[#This Row],[Pre Total]],""),"")</f>
        <v/>
      </c>
      <c r="M15" s="6" t="str">
        <f>IF(IF(ISNUMBER(J14),1,0)+IF(ISNUMBER(Table4424[[#This Row],[Post Total]]),1,0)=2,IF(IF(Table4424[[#This Row],[Student Number]]=C14,1,0)+IF(Table4424[[#This Row],[Session]]=B14,1,0)+IF(Table4424[[#This Row],[Pre or Post]]="Post",1,0)+IF(D14="Pre",1,0)=4,Table4424[[#This Row],[Post Total]],""),"")</f>
        <v/>
      </c>
      <c r="N15" s="6" t="str">
        <f>IF(IF(ISNUMBER(J14),1,0)+IF(ISNUMBER(Table4424[[#This Row],[Post Total]]),1,0)=2,IF(IF(Table4424[[#This Row],[Student Number]]=C14,1,0)+IF(Table4424[[#This Row],[Session]]=B14,1,0)+IF(Table4424[[#This Row],[Pre or Post]]="Post",1,0)+IF(D14="Pre",1,0)=4,Table4424[[#This Row],[Post Total]]-J14,""),"")</f>
        <v/>
      </c>
      <c r="O15" s="6" t="b">
        <f>ISNUMBER(Table4424[[#This Row],[Change]])</f>
        <v>0</v>
      </c>
    </row>
    <row r="16" spans="1:15">
      <c r="A16" s="2" t="s">
        <v>24</v>
      </c>
      <c r="B16" s="2" t="s">
        <v>30</v>
      </c>
      <c r="C16" s="1">
        <v>15</v>
      </c>
      <c r="D16" s="2" t="s">
        <v>16</v>
      </c>
      <c r="E16" s="1">
        <v>2</v>
      </c>
      <c r="F16" s="1">
        <v>3</v>
      </c>
      <c r="G16" s="2" t="s">
        <v>9</v>
      </c>
      <c r="H16" s="6" t="str">
        <f>IF(IF(Table4424[[#This Row],[Pre or Post]]="Pre",1,0)+IF(ISNUMBER(Table4424[[#This Row],[Response]])=TRUE,1,0)=2,1,"")</f>
        <v/>
      </c>
      <c r="I16" s="6">
        <f>IF(IF(Table4424[[#This Row],[Pre or Post]]="Post",1,0)+IF(ISNUMBER(Table4424[[#This Row],[Response]])=TRUE,1,0)=2,1,"")</f>
        <v>1</v>
      </c>
      <c r="J16" s="6" t="str">
        <f>IF(IF(Table4424[[#This Row],[Pre or Post]]="Pre",1,0)+IF(ISNUMBER(Table4424[[#This Row],[Response]])=TRUE,1,0)=2,Table4424[[#This Row],[Response]],"")</f>
        <v/>
      </c>
      <c r="K16" s="6">
        <f>IF(IF(Table4424[[#This Row],[Pre or Post]]="Post",1,0)+IF(ISNUMBER(Table4424[[#This Row],[Response]])=TRUE,1,0)=2,Table4424[[#This Row],[Response]],"")</f>
        <v>3</v>
      </c>
      <c r="L16" s="6" t="str">
        <f>IF(IF(ISNUMBER(J16),1,0)+IF(ISNUMBER(K17),1,0)=2,IF(IF(C17=C16,1,0)+IF(B17=B16,1,0)+IF(D17="Post",1,0)+IF(D16="Pre",1,0)=4,Table4424[[#This Row],[Pre Total]],""),"")</f>
        <v/>
      </c>
      <c r="M16" s="6" t="str">
        <f>IF(IF(ISNUMBER(J15),1,0)+IF(ISNUMBER(Table4424[[#This Row],[Post Total]]),1,0)=2,IF(IF(Table4424[[#This Row],[Student Number]]=C15,1,0)+IF(Table4424[[#This Row],[Session]]=B15,1,0)+IF(Table4424[[#This Row],[Pre or Post]]="Post",1,0)+IF(D15="Pre",1,0)=4,Table4424[[#This Row],[Post Total]],""),"")</f>
        <v/>
      </c>
      <c r="N16" s="6" t="str">
        <f>IF(IF(ISNUMBER(J15),1,0)+IF(ISNUMBER(Table4424[[#This Row],[Post Total]]),1,0)=2,IF(IF(Table4424[[#This Row],[Student Number]]=C15,1,0)+IF(Table4424[[#This Row],[Session]]=B15,1,0)+IF(Table4424[[#This Row],[Pre or Post]]="Post",1,0)+IF(D15="Pre",1,0)=4,Table4424[[#This Row],[Post Total]]-J15,""),"")</f>
        <v/>
      </c>
      <c r="O16" s="6" t="b">
        <f>ISNUMBER(Table4424[[#This Row],[Change]])</f>
        <v>0</v>
      </c>
    </row>
    <row r="17" spans="1:15">
      <c r="A17" s="2" t="s">
        <v>24</v>
      </c>
      <c r="B17" s="2" t="s">
        <v>30</v>
      </c>
      <c r="C17" s="1">
        <v>16</v>
      </c>
      <c r="D17" s="2" t="s">
        <v>16</v>
      </c>
      <c r="E17" s="1">
        <v>2</v>
      </c>
      <c r="F17" s="1">
        <v>4</v>
      </c>
      <c r="G17" s="2" t="s">
        <v>9</v>
      </c>
      <c r="H17" s="6" t="str">
        <f>IF(IF(Table4424[[#This Row],[Pre or Post]]="Pre",1,0)+IF(ISNUMBER(Table4424[[#This Row],[Response]])=TRUE,1,0)=2,1,"")</f>
        <v/>
      </c>
      <c r="I17" s="6">
        <f>IF(IF(Table4424[[#This Row],[Pre or Post]]="Post",1,0)+IF(ISNUMBER(Table4424[[#This Row],[Response]])=TRUE,1,0)=2,1,"")</f>
        <v>1</v>
      </c>
      <c r="J17" s="6" t="str">
        <f>IF(IF(Table4424[[#This Row],[Pre or Post]]="Pre",1,0)+IF(ISNUMBER(Table4424[[#This Row],[Response]])=TRUE,1,0)=2,Table4424[[#This Row],[Response]],"")</f>
        <v/>
      </c>
      <c r="K17" s="6">
        <f>IF(IF(Table4424[[#This Row],[Pre or Post]]="Post",1,0)+IF(ISNUMBER(Table4424[[#This Row],[Response]])=TRUE,1,0)=2,Table4424[[#This Row],[Response]],"")</f>
        <v>4</v>
      </c>
      <c r="L17" s="6" t="str">
        <f>IF(IF(ISNUMBER(J17),1,0)+IF(ISNUMBER(K18),1,0)=2,IF(IF(C18=C17,1,0)+IF(B18=B17,1,0)+IF(D18="Post",1,0)+IF(D17="Pre",1,0)=4,Table4424[[#This Row],[Pre Total]],""),"")</f>
        <v/>
      </c>
      <c r="M17" s="6" t="str">
        <f>IF(IF(ISNUMBER(J16),1,0)+IF(ISNUMBER(Table4424[[#This Row],[Post Total]]),1,0)=2,IF(IF(Table4424[[#This Row],[Student Number]]=C16,1,0)+IF(Table4424[[#This Row],[Session]]=B16,1,0)+IF(Table4424[[#This Row],[Pre or Post]]="Post",1,0)+IF(D16="Pre",1,0)=4,Table4424[[#This Row],[Post Total]],""),"")</f>
        <v/>
      </c>
      <c r="N17" s="6" t="str">
        <f>IF(IF(ISNUMBER(J16),1,0)+IF(ISNUMBER(Table4424[[#This Row],[Post Total]]),1,0)=2,IF(IF(Table4424[[#This Row],[Student Number]]=C16,1,0)+IF(Table4424[[#This Row],[Session]]=B16,1,0)+IF(Table4424[[#This Row],[Pre or Post]]="Post",1,0)+IF(D16="Pre",1,0)=4,Table4424[[#This Row],[Post Total]]-J16,""),"")</f>
        <v/>
      </c>
      <c r="O17" s="6" t="b">
        <f>ISNUMBER(Table4424[[#This Row],[Change]])</f>
        <v>0</v>
      </c>
    </row>
    <row r="18" spans="1:15">
      <c r="A18" s="2" t="s">
        <v>24</v>
      </c>
      <c r="B18" s="2" t="s">
        <v>30</v>
      </c>
      <c r="C18" s="1">
        <v>17</v>
      </c>
      <c r="D18" s="2" t="s">
        <v>16</v>
      </c>
      <c r="E18" s="1">
        <v>2</v>
      </c>
      <c r="F18" s="1">
        <v>3</v>
      </c>
      <c r="G18" s="2" t="s">
        <v>9</v>
      </c>
      <c r="H18" s="6" t="str">
        <f>IF(IF(Table4424[[#This Row],[Pre or Post]]="Pre",1,0)+IF(ISNUMBER(Table4424[[#This Row],[Response]])=TRUE,1,0)=2,1,"")</f>
        <v/>
      </c>
      <c r="I18" s="6">
        <f>IF(IF(Table4424[[#This Row],[Pre or Post]]="Post",1,0)+IF(ISNUMBER(Table4424[[#This Row],[Response]])=TRUE,1,0)=2,1,"")</f>
        <v>1</v>
      </c>
      <c r="J18" s="6" t="str">
        <f>IF(IF(Table4424[[#This Row],[Pre or Post]]="Pre",1,0)+IF(ISNUMBER(Table4424[[#This Row],[Response]])=TRUE,1,0)=2,Table4424[[#This Row],[Response]],"")</f>
        <v/>
      </c>
      <c r="K18" s="6">
        <f>IF(IF(Table4424[[#This Row],[Pre or Post]]="Post",1,0)+IF(ISNUMBER(Table4424[[#This Row],[Response]])=TRUE,1,0)=2,Table4424[[#This Row],[Response]],"")</f>
        <v>3</v>
      </c>
      <c r="L18" s="6" t="str">
        <f>IF(IF(ISNUMBER(J18),1,0)+IF(ISNUMBER(K19),1,0)=2,IF(IF(C19=C18,1,0)+IF(B19=B18,1,0)+IF(D19="Post",1,0)+IF(D18="Pre",1,0)=4,Table4424[[#This Row],[Pre Total]],""),"")</f>
        <v/>
      </c>
      <c r="M18" s="6" t="str">
        <f>IF(IF(ISNUMBER(J17),1,0)+IF(ISNUMBER(Table4424[[#This Row],[Post Total]]),1,0)=2,IF(IF(Table4424[[#This Row],[Student Number]]=C17,1,0)+IF(Table4424[[#This Row],[Session]]=B17,1,0)+IF(Table4424[[#This Row],[Pre or Post]]="Post",1,0)+IF(D17="Pre",1,0)=4,Table4424[[#This Row],[Post Total]],""),"")</f>
        <v/>
      </c>
      <c r="N18" s="6" t="str">
        <f>IF(IF(ISNUMBER(J17),1,0)+IF(ISNUMBER(Table4424[[#This Row],[Post Total]]),1,0)=2,IF(IF(Table4424[[#This Row],[Student Number]]=C17,1,0)+IF(Table4424[[#This Row],[Session]]=B17,1,0)+IF(Table4424[[#This Row],[Pre or Post]]="Post",1,0)+IF(D17="Pre",1,0)=4,Table4424[[#This Row],[Post Total]]-J17,""),"")</f>
        <v/>
      </c>
      <c r="O18" s="6" t="b">
        <f>ISNUMBER(Table4424[[#This Row],[Change]])</f>
        <v>0</v>
      </c>
    </row>
    <row r="19" spans="1:15">
      <c r="A19" s="2" t="s">
        <v>24</v>
      </c>
      <c r="B19" s="2" t="s">
        <v>30</v>
      </c>
      <c r="C19" s="1">
        <v>18</v>
      </c>
      <c r="D19" s="2" t="s">
        <v>16</v>
      </c>
      <c r="E19" s="1">
        <v>2</v>
      </c>
      <c r="F19" s="1">
        <v>3</v>
      </c>
      <c r="G19" s="2" t="s">
        <v>9</v>
      </c>
      <c r="H19" s="6" t="str">
        <f>IF(IF(Table4424[[#This Row],[Pre or Post]]="Pre",1,0)+IF(ISNUMBER(Table4424[[#This Row],[Response]])=TRUE,1,0)=2,1,"")</f>
        <v/>
      </c>
      <c r="I19" s="6">
        <f>IF(IF(Table4424[[#This Row],[Pre or Post]]="Post",1,0)+IF(ISNUMBER(Table4424[[#This Row],[Response]])=TRUE,1,0)=2,1,"")</f>
        <v>1</v>
      </c>
      <c r="J19" s="6" t="str">
        <f>IF(IF(Table4424[[#This Row],[Pre or Post]]="Pre",1,0)+IF(ISNUMBER(Table4424[[#This Row],[Response]])=TRUE,1,0)=2,Table4424[[#This Row],[Response]],"")</f>
        <v/>
      </c>
      <c r="K19" s="6">
        <f>IF(IF(Table4424[[#This Row],[Pre or Post]]="Post",1,0)+IF(ISNUMBER(Table4424[[#This Row],[Response]])=TRUE,1,0)=2,Table4424[[#This Row],[Response]],"")</f>
        <v>3</v>
      </c>
      <c r="L19" s="6" t="str">
        <f>IF(IF(ISNUMBER(J19),1,0)+IF(ISNUMBER(K20),1,0)=2,IF(IF(C20=C19,1,0)+IF(B20=B19,1,0)+IF(D20="Post",1,0)+IF(D19="Pre",1,0)=4,Table4424[[#This Row],[Pre Total]],""),"")</f>
        <v/>
      </c>
      <c r="M19" s="6" t="str">
        <f>IF(IF(ISNUMBER(J18),1,0)+IF(ISNUMBER(Table4424[[#This Row],[Post Total]]),1,0)=2,IF(IF(Table4424[[#This Row],[Student Number]]=C18,1,0)+IF(Table4424[[#This Row],[Session]]=B18,1,0)+IF(Table4424[[#This Row],[Pre or Post]]="Post",1,0)+IF(D18="Pre",1,0)=4,Table4424[[#This Row],[Post Total]],""),"")</f>
        <v/>
      </c>
      <c r="N19" s="6" t="str">
        <f>IF(IF(ISNUMBER(J18),1,0)+IF(ISNUMBER(Table4424[[#This Row],[Post Total]]),1,0)=2,IF(IF(Table4424[[#This Row],[Student Number]]=C18,1,0)+IF(Table4424[[#This Row],[Session]]=B18,1,0)+IF(Table4424[[#This Row],[Pre or Post]]="Post",1,0)+IF(D18="Pre",1,0)=4,Table4424[[#This Row],[Post Total]]-J18,""),"")</f>
        <v/>
      </c>
      <c r="O19" s="6" t="b">
        <f>ISNUMBER(Table4424[[#This Row],[Change]])</f>
        <v>0</v>
      </c>
    </row>
    <row r="20" spans="1:15">
      <c r="A20" s="2" t="s">
        <v>24</v>
      </c>
      <c r="B20" s="2" t="s">
        <v>30</v>
      </c>
      <c r="C20" s="2">
        <v>19</v>
      </c>
      <c r="D20" s="2" t="s">
        <v>16</v>
      </c>
      <c r="E20" s="1">
        <v>2</v>
      </c>
      <c r="F20" s="1">
        <v>3</v>
      </c>
      <c r="G20" s="2" t="s">
        <v>9</v>
      </c>
      <c r="H20" s="6" t="str">
        <f>IF(IF(Table4424[[#This Row],[Pre or Post]]="Pre",1,0)+IF(ISNUMBER(Table4424[[#This Row],[Response]])=TRUE,1,0)=2,1,"")</f>
        <v/>
      </c>
      <c r="I20" s="6">
        <f>IF(IF(Table4424[[#This Row],[Pre or Post]]="Post",1,0)+IF(ISNUMBER(Table4424[[#This Row],[Response]])=TRUE,1,0)=2,1,"")</f>
        <v>1</v>
      </c>
      <c r="J20" s="6" t="str">
        <f>IF(IF(Table4424[[#This Row],[Pre or Post]]="Pre",1,0)+IF(ISNUMBER(Table4424[[#This Row],[Response]])=TRUE,1,0)=2,Table4424[[#This Row],[Response]],"")</f>
        <v/>
      </c>
      <c r="K20" s="6">
        <f>IF(IF(Table4424[[#This Row],[Pre or Post]]="Post",1,0)+IF(ISNUMBER(Table4424[[#This Row],[Response]])=TRUE,1,0)=2,Table4424[[#This Row],[Response]],"")</f>
        <v>3</v>
      </c>
      <c r="L20" s="6" t="str">
        <f>IF(IF(ISNUMBER(J20),1,0)+IF(ISNUMBER(K21),1,0)=2,IF(IF(C21=C20,1,0)+IF(B21=B20,1,0)+IF(D21="Post",1,0)+IF(D20="Pre",1,0)=4,Table4424[[#This Row],[Pre Total]],""),"")</f>
        <v/>
      </c>
      <c r="M20" s="6" t="str">
        <f>IF(IF(ISNUMBER(J19),1,0)+IF(ISNUMBER(Table4424[[#This Row],[Post Total]]),1,0)=2,IF(IF(Table4424[[#This Row],[Student Number]]=C19,1,0)+IF(Table4424[[#This Row],[Session]]=B19,1,0)+IF(Table4424[[#This Row],[Pre or Post]]="Post",1,0)+IF(D19="Pre",1,0)=4,Table4424[[#This Row],[Post Total]],""),"")</f>
        <v/>
      </c>
      <c r="N20" s="6" t="str">
        <f>IF(IF(ISNUMBER(J19),1,0)+IF(ISNUMBER(Table4424[[#This Row],[Post Total]]),1,0)=2,IF(IF(Table4424[[#This Row],[Student Number]]=C19,1,0)+IF(Table4424[[#This Row],[Session]]=B19,1,0)+IF(Table4424[[#This Row],[Pre or Post]]="Post",1,0)+IF(D19="Pre",1,0)=4,Table4424[[#This Row],[Post Total]]-J19,""),"")</f>
        <v/>
      </c>
      <c r="O20" s="6" t="b">
        <f>ISNUMBER(Table4424[[#This Row],[Change]])</f>
        <v>0</v>
      </c>
    </row>
    <row r="21" spans="1:15">
      <c r="A21" s="1" t="s">
        <v>24</v>
      </c>
      <c r="B21" s="1" t="s">
        <v>23</v>
      </c>
      <c r="C21" s="1">
        <v>1</v>
      </c>
      <c r="D21" s="1" t="s">
        <v>6</v>
      </c>
      <c r="E21" s="1">
        <v>9</v>
      </c>
      <c r="F21" s="1">
        <v>3</v>
      </c>
      <c r="G21" s="1" t="s">
        <v>8</v>
      </c>
      <c r="H21" s="5">
        <f>IF(IF(Table4424[[#This Row],[Pre or Post]]="Pre",1,0)+IF(ISNUMBER(Table4424[[#This Row],[Response]])=TRUE,1,0)=2,1,"")</f>
        <v>1</v>
      </c>
      <c r="I21" s="5" t="str">
        <f>IF(IF(Table4424[[#This Row],[Pre or Post]]="Post",1,0)+IF(ISNUMBER(Table4424[[#This Row],[Response]])=TRUE,1,0)=2,1,"")</f>
        <v/>
      </c>
      <c r="J21" s="6">
        <f>IF(IF(Table4424[[#This Row],[Pre or Post]]="Pre",1,0)+IF(ISNUMBER(Table4424[[#This Row],[Response]])=TRUE,1,0)=2,Table4424[[#This Row],[Response]],"")</f>
        <v>3</v>
      </c>
      <c r="K21" s="6" t="str">
        <f>IF(IF(Table4424[[#This Row],[Pre or Post]]="Post",1,0)+IF(ISNUMBER(Table4424[[#This Row],[Response]])=TRUE,1,0)=2,Table4424[[#This Row],[Response]],"")</f>
        <v/>
      </c>
      <c r="L21" s="5">
        <f>IF(IF(ISNUMBER(J21),1,0)+IF(ISNUMBER(K22),1,0)=2,IF(IF(C22=C21,1,0)+IF(B22=B21,1,0)+IF(D22="Post",1,0)+IF(D21="Pre",1,0)=4,Table4424[[#This Row],[Pre Total]],""),"")</f>
        <v>3</v>
      </c>
      <c r="M21" s="5" t="str">
        <f>IF(IF(ISNUMBER(J20),1,0)+IF(ISNUMBER(Table4424[[#This Row],[Post Total]]),1,0)=2,IF(IF(Table4424[[#This Row],[Student Number]]=C20,1,0)+IF(Table4424[[#This Row],[Session]]=B20,1,0)+IF(Table4424[[#This Row],[Pre or Post]]="Post",1,0)+IF(D20="Pre",1,0)=4,Table4424[[#This Row],[Post Total]],""),"")</f>
        <v/>
      </c>
      <c r="N21" s="5" t="str">
        <f>IF(IF(ISNUMBER(J20),1,0)+IF(ISNUMBER(Table4424[[#This Row],[Post Total]]),1,0)=2,IF(IF(Table4424[[#This Row],[Student Number]]=C20,1,0)+IF(Table4424[[#This Row],[Session]]=B20,1,0)+IF(Table4424[[#This Row],[Pre or Post]]="Post",1,0)+IF(D20="Pre",1,0)=4,Table4424[[#This Row],[Post Total]]-J20,""),"")</f>
        <v/>
      </c>
      <c r="O21" s="5" t="b">
        <f>ISNUMBER(Table4424[[#This Row],[Change]])</f>
        <v>0</v>
      </c>
    </row>
    <row r="22" spans="1:15">
      <c r="A22" s="1" t="s">
        <v>24</v>
      </c>
      <c r="B22" s="1" t="s">
        <v>23</v>
      </c>
      <c r="C22" s="1">
        <v>1</v>
      </c>
      <c r="D22" s="1" t="s">
        <v>16</v>
      </c>
      <c r="E22" s="1">
        <v>2</v>
      </c>
      <c r="F22" s="1">
        <v>2</v>
      </c>
      <c r="G22" s="1" t="s">
        <v>8</v>
      </c>
      <c r="H22" s="5" t="str">
        <f>IF(IF(Table4424[[#This Row],[Pre or Post]]="Pre",1,0)+IF(ISNUMBER(Table4424[[#This Row],[Response]])=TRUE,1,0)=2,1,"")</f>
        <v/>
      </c>
      <c r="I22" s="5">
        <f>IF(IF(Table4424[[#This Row],[Pre or Post]]="Post",1,0)+IF(ISNUMBER(Table4424[[#This Row],[Response]])=TRUE,1,0)=2,1,"")</f>
        <v>1</v>
      </c>
      <c r="J22" s="6" t="str">
        <f>IF(IF(Table4424[[#This Row],[Pre or Post]]="Pre",1,0)+IF(ISNUMBER(Table4424[[#This Row],[Response]])=TRUE,1,0)=2,Table4424[[#This Row],[Response]],"")</f>
        <v/>
      </c>
      <c r="K22" s="6">
        <f>IF(IF(Table4424[[#This Row],[Pre or Post]]="Post",1,0)+IF(ISNUMBER(Table4424[[#This Row],[Response]])=TRUE,1,0)=2,Table4424[[#This Row],[Response]],"")</f>
        <v>2</v>
      </c>
      <c r="L22" s="5" t="str">
        <f>IF(IF(ISNUMBER(J22),1,0)+IF(ISNUMBER(K23),1,0)=2,IF(IF(C23=C22,1,0)+IF(B23=B22,1,0)+IF(D23="Post",1,0)+IF(D22="Pre",1,0)=4,Table4424[[#This Row],[Pre Total]],""),"")</f>
        <v/>
      </c>
      <c r="M22" s="5">
        <f>IF(IF(ISNUMBER(J21),1,0)+IF(ISNUMBER(Table4424[[#This Row],[Post Total]]),1,0)=2,IF(IF(Table4424[[#This Row],[Student Number]]=C21,1,0)+IF(Table4424[[#This Row],[Session]]=B21,1,0)+IF(Table4424[[#This Row],[Pre or Post]]="Post",1,0)+IF(D21="Pre",1,0)=4,Table4424[[#This Row],[Post Total]],""),"")</f>
        <v>2</v>
      </c>
      <c r="N22" s="5">
        <f>IF(IF(ISNUMBER(J21),1,0)+IF(ISNUMBER(Table4424[[#This Row],[Post Total]]),1,0)=2,IF(IF(Table4424[[#This Row],[Student Number]]=C21,1,0)+IF(Table4424[[#This Row],[Session]]=B21,1,0)+IF(Table4424[[#This Row],[Pre or Post]]="Post",1,0)+IF(D21="Pre",1,0)=4,Table4424[[#This Row],[Post Total]]-J21,""),"")</f>
        <v>-1</v>
      </c>
      <c r="O22" s="5" t="b">
        <f>ISNUMBER(Table4424[[#This Row],[Change]])</f>
        <v>1</v>
      </c>
    </row>
    <row r="23" spans="1:15">
      <c r="A23" s="1" t="s">
        <v>24</v>
      </c>
      <c r="B23" s="1" t="s">
        <v>23</v>
      </c>
      <c r="C23" s="1">
        <v>2</v>
      </c>
      <c r="D23" s="1" t="s">
        <v>6</v>
      </c>
      <c r="E23" s="1">
        <v>9</v>
      </c>
      <c r="F23" s="1">
        <v>1</v>
      </c>
      <c r="G23" s="1" t="s">
        <v>8</v>
      </c>
      <c r="H23" s="5">
        <f>IF(IF(Table4424[[#This Row],[Pre or Post]]="Pre",1,0)+IF(ISNUMBER(Table4424[[#This Row],[Response]])=TRUE,1,0)=2,1,"")</f>
        <v>1</v>
      </c>
      <c r="I23" s="5" t="str">
        <f>IF(IF(Table4424[[#This Row],[Pre or Post]]="Post",1,0)+IF(ISNUMBER(Table4424[[#This Row],[Response]])=TRUE,1,0)=2,1,"")</f>
        <v/>
      </c>
      <c r="J23" s="6">
        <f>IF(IF(Table4424[[#This Row],[Pre or Post]]="Pre",1,0)+IF(ISNUMBER(Table4424[[#This Row],[Response]])=TRUE,1,0)=2,Table4424[[#This Row],[Response]],"")</f>
        <v>1</v>
      </c>
      <c r="K23" s="6" t="str">
        <f>IF(IF(Table4424[[#This Row],[Pre or Post]]="Post",1,0)+IF(ISNUMBER(Table4424[[#This Row],[Response]])=TRUE,1,0)=2,Table4424[[#This Row],[Response]],"")</f>
        <v/>
      </c>
      <c r="L23" s="5">
        <f>IF(IF(ISNUMBER(J23),1,0)+IF(ISNUMBER(K24),1,0)=2,IF(IF(C24=C23,1,0)+IF(B24=B23,1,0)+IF(D24="Post",1,0)+IF(D23="Pre",1,0)=4,Table4424[[#This Row],[Pre Total]],""),"")</f>
        <v>1</v>
      </c>
      <c r="M23" s="5" t="str">
        <f>IF(IF(ISNUMBER(J22),1,0)+IF(ISNUMBER(Table4424[[#This Row],[Post Total]]),1,0)=2,IF(IF(Table4424[[#This Row],[Student Number]]=C22,1,0)+IF(Table4424[[#This Row],[Session]]=B22,1,0)+IF(Table4424[[#This Row],[Pre or Post]]="Post",1,0)+IF(D22="Pre",1,0)=4,Table4424[[#This Row],[Post Total]],""),"")</f>
        <v/>
      </c>
      <c r="N23" s="5" t="str">
        <f>IF(IF(ISNUMBER(J22),1,0)+IF(ISNUMBER(Table4424[[#This Row],[Post Total]]),1,0)=2,IF(IF(Table4424[[#This Row],[Student Number]]=C22,1,0)+IF(Table4424[[#This Row],[Session]]=B22,1,0)+IF(Table4424[[#This Row],[Pre or Post]]="Post",1,0)+IF(D22="Pre",1,0)=4,Table4424[[#This Row],[Post Total]]-J22,""),"")</f>
        <v/>
      </c>
      <c r="O23" s="5" t="b">
        <f>ISNUMBER(Table4424[[#This Row],[Change]])</f>
        <v>0</v>
      </c>
    </row>
    <row r="24" spans="1:15">
      <c r="A24" s="1" t="s">
        <v>24</v>
      </c>
      <c r="B24" s="1" t="s">
        <v>23</v>
      </c>
      <c r="C24" s="1">
        <v>2</v>
      </c>
      <c r="D24" s="1" t="s">
        <v>16</v>
      </c>
      <c r="E24" s="1">
        <v>2</v>
      </c>
      <c r="F24" s="1">
        <v>1</v>
      </c>
      <c r="G24" s="1" t="s">
        <v>8</v>
      </c>
      <c r="H24" s="5" t="str">
        <f>IF(IF(Table4424[[#This Row],[Pre or Post]]="Pre",1,0)+IF(ISNUMBER(Table4424[[#This Row],[Response]])=TRUE,1,0)=2,1,"")</f>
        <v/>
      </c>
      <c r="I24" s="5">
        <f>IF(IF(Table4424[[#This Row],[Pre or Post]]="Post",1,0)+IF(ISNUMBER(Table4424[[#This Row],[Response]])=TRUE,1,0)=2,1,"")</f>
        <v>1</v>
      </c>
      <c r="J24" s="6" t="str">
        <f>IF(IF(Table4424[[#This Row],[Pre or Post]]="Pre",1,0)+IF(ISNUMBER(Table4424[[#This Row],[Response]])=TRUE,1,0)=2,Table4424[[#This Row],[Response]],"")</f>
        <v/>
      </c>
      <c r="K24" s="6">
        <f>IF(IF(Table4424[[#This Row],[Pre or Post]]="Post",1,0)+IF(ISNUMBER(Table4424[[#This Row],[Response]])=TRUE,1,0)=2,Table4424[[#This Row],[Response]],"")</f>
        <v>1</v>
      </c>
      <c r="L24" s="5" t="str">
        <f>IF(IF(ISNUMBER(J24),1,0)+IF(ISNUMBER(K25),1,0)=2,IF(IF(C25=C24,1,0)+IF(B25=B24,1,0)+IF(D25="Post",1,0)+IF(D24="Pre",1,0)=4,Table4424[[#This Row],[Pre Total]],""),"")</f>
        <v/>
      </c>
      <c r="M24" s="5">
        <f>IF(IF(ISNUMBER(J23),1,0)+IF(ISNUMBER(Table4424[[#This Row],[Post Total]]),1,0)=2,IF(IF(Table4424[[#This Row],[Student Number]]=C23,1,0)+IF(Table4424[[#This Row],[Session]]=B23,1,0)+IF(Table4424[[#This Row],[Pre or Post]]="Post",1,0)+IF(D23="Pre",1,0)=4,Table4424[[#This Row],[Post Total]],""),"")</f>
        <v>1</v>
      </c>
      <c r="N24" s="5">
        <f>IF(IF(ISNUMBER(J23),1,0)+IF(ISNUMBER(Table4424[[#This Row],[Post Total]]),1,0)=2,IF(IF(Table4424[[#This Row],[Student Number]]=C23,1,0)+IF(Table4424[[#This Row],[Session]]=B23,1,0)+IF(Table4424[[#This Row],[Pre or Post]]="Post",1,0)+IF(D23="Pre",1,0)=4,Table4424[[#This Row],[Post Total]]-J23,""),"")</f>
        <v>0</v>
      </c>
      <c r="O24" s="5" t="b">
        <f>ISNUMBER(Table4424[[#This Row],[Change]])</f>
        <v>1</v>
      </c>
    </row>
    <row r="25" spans="1:15">
      <c r="A25" s="1" t="s">
        <v>24</v>
      </c>
      <c r="B25" s="1" t="s">
        <v>23</v>
      </c>
      <c r="C25" s="1">
        <v>3</v>
      </c>
      <c r="D25" s="1" t="s">
        <v>6</v>
      </c>
      <c r="E25" s="1">
        <v>9</v>
      </c>
      <c r="F25" s="1">
        <v>2</v>
      </c>
      <c r="G25" s="1" t="s">
        <v>8</v>
      </c>
      <c r="H25" s="5">
        <f>IF(IF(Table4424[[#This Row],[Pre or Post]]="Pre",1,0)+IF(ISNUMBER(Table4424[[#This Row],[Response]])=TRUE,1,0)=2,1,"")</f>
        <v>1</v>
      </c>
      <c r="I25" s="5" t="str">
        <f>IF(IF(Table4424[[#This Row],[Pre or Post]]="Post",1,0)+IF(ISNUMBER(Table4424[[#This Row],[Response]])=TRUE,1,0)=2,1,"")</f>
        <v/>
      </c>
      <c r="J25" s="6">
        <f>IF(IF(Table4424[[#This Row],[Pre or Post]]="Pre",1,0)+IF(ISNUMBER(Table4424[[#This Row],[Response]])=TRUE,1,0)=2,Table4424[[#This Row],[Response]],"")</f>
        <v>2</v>
      </c>
      <c r="K25" s="6" t="str">
        <f>IF(IF(Table4424[[#This Row],[Pre or Post]]="Post",1,0)+IF(ISNUMBER(Table4424[[#This Row],[Response]])=TRUE,1,0)=2,Table4424[[#This Row],[Response]],"")</f>
        <v/>
      </c>
      <c r="L25" s="5">
        <f>IF(IF(ISNUMBER(J25),1,0)+IF(ISNUMBER(K26),1,0)=2,IF(IF(C26=C25,1,0)+IF(B26=B25,1,0)+IF(D26="Post",1,0)+IF(D25="Pre",1,0)=4,Table4424[[#This Row],[Pre Total]],""),"")</f>
        <v>2</v>
      </c>
      <c r="M25" s="5" t="str">
        <f>IF(IF(ISNUMBER(J24),1,0)+IF(ISNUMBER(Table4424[[#This Row],[Post Total]]),1,0)=2,IF(IF(Table4424[[#This Row],[Student Number]]=C24,1,0)+IF(Table4424[[#This Row],[Session]]=B24,1,0)+IF(Table4424[[#This Row],[Pre or Post]]="Post",1,0)+IF(D24="Pre",1,0)=4,Table4424[[#This Row],[Post Total]],""),"")</f>
        <v/>
      </c>
      <c r="N25" s="5" t="str">
        <f>IF(IF(ISNUMBER(J24),1,0)+IF(ISNUMBER(Table4424[[#This Row],[Post Total]]),1,0)=2,IF(IF(Table4424[[#This Row],[Student Number]]=C24,1,0)+IF(Table4424[[#This Row],[Session]]=B24,1,0)+IF(Table4424[[#This Row],[Pre or Post]]="Post",1,0)+IF(D24="Pre",1,0)=4,Table4424[[#This Row],[Post Total]]-J24,""),"")</f>
        <v/>
      </c>
      <c r="O25" s="5" t="b">
        <f>ISNUMBER(Table4424[[#This Row],[Change]])</f>
        <v>0</v>
      </c>
    </row>
    <row r="26" spans="1:15">
      <c r="A26" s="1" t="s">
        <v>24</v>
      </c>
      <c r="B26" s="1" t="s">
        <v>23</v>
      </c>
      <c r="C26" s="1">
        <v>3</v>
      </c>
      <c r="D26" s="1" t="s">
        <v>16</v>
      </c>
      <c r="E26" s="1">
        <v>2</v>
      </c>
      <c r="F26" s="1">
        <v>3</v>
      </c>
      <c r="G26" s="1" t="s">
        <v>8</v>
      </c>
      <c r="H26" s="5" t="str">
        <f>IF(IF(Table4424[[#This Row],[Pre or Post]]="Pre",1,0)+IF(ISNUMBER(Table4424[[#This Row],[Response]])=TRUE,1,0)=2,1,"")</f>
        <v/>
      </c>
      <c r="I26" s="5">
        <f>IF(IF(Table4424[[#This Row],[Pre or Post]]="Post",1,0)+IF(ISNUMBER(Table4424[[#This Row],[Response]])=TRUE,1,0)=2,1,"")</f>
        <v>1</v>
      </c>
      <c r="J26" s="6" t="str">
        <f>IF(IF(Table4424[[#This Row],[Pre or Post]]="Pre",1,0)+IF(ISNUMBER(Table4424[[#This Row],[Response]])=TRUE,1,0)=2,Table4424[[#This Row],[Response]],"")</f>
        <v/>
      </c>
      <c r="K26" s="6">
        <f>IF(IF(Table4424[[#This Row],[Pre or Post]]="Post",1,0)+IF(ISNUMBER(Table4424[[#This Row],[Response]])=TRUE,1,0)=2,Table4424[[#This Row],[Response]],"")</f>
        <v>3</v>
      </c>
      <c r="L26" s="5" t="str">
        <f>IF(IF(ISNUMBER(J26),1,0)+IF(ISNUMBER(K27),1,0)=2,IF(IF(C27=C26,1,0)+IF(B27=B26,1,0)+IF(D27="Post",1,0)+IF(D26="Pre",1,0)=4,Table4424[[#This Row],[Pre Total]],""),"")</f>
        <v/>
      </c>
      <c r="M26" s="5">
        <f>IF(IF(ISNUMBER(J25),1,0)+IF(ISNUMBER(Table4424[[#This Row],[Post Total]]),1,0)=2,IF(IF(Table4424[[#This Row],[Student Number]]=C25,1,0)+IF(Table4424[[#This Row],[Session]]=B25,1,0)+IF(Table4424[[#This Row],[Pre or Post]]="Post",1,0)+IF(D25="Pre",1,0)=4,Table4424[[#This Row],[Post Total]],""),"")</f>
        <v>3</v>
      </c>
      <c r="N26" s="5">
        <f>IF(IF(ISNUMBER(J25),1,0)+IF(ISNUMBER(Table4424[[#This Row],[Post Total]]),1,0)=2,IF(IF(Table4424[[#This Row],[Student Number]]=C25,1,0)+IF(Table4424[[#This Row],[Session]]=B25,1,0)+IF(Table4424[[#This Row],[Pre or Post]]="Post",1,0)+IF(D25="Pre",1,0)=4,Table4424[[#This Row],[Post Total]]-J25,""),"")</f>
        <v>1</v>
      </c>
      <c r="O26" s="5" t="b">
        <f>ISNUMBER(Table4424[[#This Row],[Change]])</f>
        <v>1</v>
      </c>
    </row>
    <row r="27" spans="1:15">
      <c r="A27" s="1" t="s">
        <v>24</v>
      </c>
      <c r="B27" s="1" t="s">
        <v>23</v>
      </c>
      <c r="C27" s="1">
        <v>4</v>
      </c>
      <c r="D27" s="1" t="s">
        <v>6</v>
      </c>
      <c r="E27" s="1">
        <v>9</v>
      </c>
      <c r="F27" s="1">
        <v>3</v>
      </c>
      <c r="G27" s="1" t="s">
        <v>8</v>
      </c>
      <c r="H27" s="5">
        <f>IF(IF(Table4424[[#This Row],[Pre or Post]]="Pre",1,0)+IF(ISNUMBER(Table4424[[#This Row],[Response]])=TRUE,1,0)=2,1,"")</f>
        <v>1</v>
      </c>
      <c r="I27" s="5" t="str">
        <f>IF(IF(Table4424[[#This Row],[Pre or Post]]="Post",1,0)+IF(ISNUMBER(Table4424[[#This Row],[Response]])=TRUE,1,0)=2,1,"")</f>
        <v/>
      </c>
      <c r="J27" s="6">
        <f>IF(IF(Table4424[[#This Row],[Pre or Post]]="Pre",1,0)+IF(ISNUMBER(Table4424[[#This Row],[Response]])=TRUE,1,0)=2,Table4424[[#This Row],[Response]],"")</f>
        <v>3</v>
      </c>
      <c r="K27" s="6" t="str">
        <f>IF(IF(Table4424[[#This Row],[Pre or Post]]="Post",1,0)+IF(ISNUMBER(Table4424[[#This Row],[Response]])=TRUE,1,0)=2,Table4424[[#This Row],[Response]],"")</f>
        <v/>
      </c>
      <c r="L27" s="5">
        <f>IF(IF(ISNUMBER(J27),1,0)+IF(ISNUMBER(K28),1,0)=2,IF(IF(C28=C27,1,0)+IF(B28=B27,1,0)+IF(D28="Post",1,0)+IF(D27="Pre",1,0)=4,Table4424[[#This Row],[Pre Total]],""),"")</f>
        <v>3</v>
      </c>
      <c r="M27" s="5" t="str">
        <f>IF(IF(ISNUMBER(J26),1,0)+IF(ISNUMBER(Table4424[[#This Row],[Post Total]]),1,0)=2,IF(IF(Table4424[[#This Row],[Student Number]]=C26,1,0)+IF(Table4424[[#This Row],[Session]]=B26,1,0)+IF(Table4424[[#This Row],[Pre or Post]]="Post",1,0)+IF(D26="Pre",1,0)=4,Table4424[[#This Row],[Post Total]],""),"")</f>
        <v/>
      </c>
      <c r="N27" s="5" t="str">
        <f>IF(IF(ISNUMBER(J26),1,0)+IF(ISNUMBER(Table4424[[#This Row],[Post Total]]),1,0)=2,IF(IF(Table4424[[#This Row],[Student Number]]=C26,1,0)+IF(Table4424[[#This Row],[Session]]=B26,1,0)+IF(Table4424[[#This Row],[Pre or Post]]="Post",1,0)+IF(D26="Pre",1,0)=4,Table4424[[#This Row],[Post Total]]-J26,""),"")</f>
        <v/>
      </c>
      <c r="O27" s="5" t="b">
        <f>ISNUMBER(Table4424[[#This Row],[Change]])</f>
        <v>0</v>
      </c>
    </row>
    <row r="28" spans="1:15">
      <c r="A28" s="1" t="s">
        <v>24</v>
      </c>
      <c r="B28" s="1" t="s">
        <v>23</v>
      </c>
      <c r="C28" s="1">
        <v>4</v>
      </c>
      <c r="D28" s="1" t="s">
        <v>16</v>
      </c>
      <c r="E28" s="1">
        <v>2</v>
      </c>
      <c r="F28" s="1">
        <v>3</v>
      </c>
      <c r="G28" s="1" t="s">
        <v>8</v>
      </c>
      <c r="H28" s="5" t="str">
        <f>IF(IF(Table4424[[#This Row],[Pre or Post]]="Pre",1,0)+IF(ISNUMBER(Table4424[[#This Row],[Response]])=TRUE,1,0)=2,1,"")</f>
        <v/>
      </c>
      <c r="I28" s="5">
        <f>IF(IF(Table4424[[#This Row],[Pre or Post]]="Post",1,0)+IF(ISNUMBER(Table4424[[#This Row],[Response]])=TRUE,1,0)=2,1,"")</f>
        <v>1</v>
      </c>
      <c r="J28" s="6" t="str">
        <f>IF(IF(Table4424[[#This Row],[Pre or Post]]="Pre",1,0)+IF(ISNUMBER(Table4424[[#This Row],[Response]])=TRUE,1,0)=2,Table4424[[#This Row],[Response]],"")</f>
        <v/>
      </c>
      <c r="K28" s="6">
        <f>IF(IF(Table4424[[#This Row],[Pre or Post]]="Post",1,0)+IF(ISNUMBER(Table4424[[#This Row],[Response]])=TRUE,1,0)=2,Table4424[[#This Row],[Response]],"")</f>
        <v>3</v>
      </c>
      <c r="L28" s="5" t="str">
        <f>IF(IF(ISNUMBER(J28),1,0)+IF(ISNUMBER(K29),1,0)=2,IF(IF(C29=C28,1,0)+IF(B29=B28,1,0)+IF(D29="Post",1,0)+IF(D28="Pre",1,0)=4,Table4424[[#This Row],[Pre Total]],""),"")</f>
        <v/>
      </c>
      <c r="M28" s="5">
        <f>IF(IF(ISNUMBER(J27),1,0)+IF(ISNUMBER(Table4424[[#This Row],[Post Total]]),1,0)=2,IF(IF(Table4424[[#This Row],[Student Number]]=C27,1,0)+IF(Table4424[[#This Row],[Session]]=B27,1,0)+IF(Table4424[[#This Row],[Pre or Post]]="Post",1,0)+IF(D27="Pre",1,0)=4,Table4424[[#This Row],[Post Total]],""),"")</f>
        <v>3</v>
      </c>
      <c r="N28" s="5">
        <f>IF(IF(ISNUMBER(J27),1,0)+IF(ISNUMBER(Table4424[[#This Row],[Post Total]]),1,0)=2,IF(IF(Table4424[[#This Row],[Student Number]]=C27,1,0)+IF(Table4424[[#This Row],[Session]]=B27,1,0)+IF(Table4424[[#This Row],[Pre or Post]]="Post",1,0)+IF(D27="Pre",1,0)=4,Table4424[[#This Row],[Post Total]]-J27,""),"")</f>
        <v>0</v>
      </c>
      <c r="O28" s="5" t="b">
        <f>ISNUMBER(Table4424[[#This Row],[Change]])</f>
        <v>1</v>
      </c>
    </row>
    <row r="29" spans="1:15">
      <c r="A29" s="1" t="s">
        <v>24</v>
      </c>
      <c r="B29" s="1" t="s">
        <v>23</v>
      </c>
      <c r="C29" s="1">
        <v>5</v>
      </c>
      <c r="D29" s="1" t="s">
        <v>6</v>
      </c>
      <c r="E29" s="1">
        <v>9</v>
      </c>
      <c r="F29" s="1">
        <v>2</v>
      </c>
      <c r="G29" s="1" t="s">
        <v>8</v>
      </c>
      <c r="H29" s="5">
        <f>IF(IF(Table4424[[#This Row],[Pre or Post]]="Pre",1,0)+IF(ISNUMBER(Table4424[[#This Row],[Response]])=TRUE,1,0)=2,1,"")</f>
        <v>1</v>
      </c>
      <c r="I29" s="5" t="str">
        <f>IF(IF(Table4424[[#This Row],[Pre or Post]]="Post",1,0)+IF(ISNUMBER(Table4424[[#This Row],[Response]])=TRUE,1,0)=2,1,"")</f>
        <v/>
      </c>
      <c r="J29" s="6">
        <f>IF(IF(Table4424[[#This Row],[Pre or Post]]="Pre",1,0)+IF(ISNUMBER(Table4424[[#This Row],[Response]])=TRUE,1,0)=2,Table4424[[#This Row],[Response]],"")</f>
        <v>2</v>
      </c>
      <c r="K29" s="6" t="str">
        <f>IF(IF(Table4424[[#This Row],[Pre or Post]]="Post",1,0)+IF(ISNUMBER(Table4424[[#This Row],[Response]])=TRUE,1,0)=2,Table4424[[#This Row],[Response]],"")</f>
        <v/>
      </c>
      <c r="L29" s="5">
        <f>IF(IF(ISNUMBER(J29),1,0)+IF(ISNUMBER(K30),1,0)=2,IF(IF(C30=C29,1,0)+IF(B30=B29,1,0)+IF(D30="Post",1,0)+IF(D29="Pre",1,0)=4,Table4424[[#This Row],[Pre Total]],""),"")</f>
        <v>2</v>
      </c>
      <c r="M29" s="5" t="str">
        <f>IF(IF(ISNUMBER(J28),1,0)+IF(ISNUMBER(Table4424[[#This Row],[Post Total]]),1,0)=2,IF(IF(Table4424[[#This Row],[Student Number]]=C28,1,0)+IF(Table4424[[#This Row],[Session]]=B28,1,0)+IF(Table4424[[#This Row],[Pre or Post]]="Post",1,0)+IF(D28="Pre",1,0)=4,Table4424[[#This Row],[Post Total]],""),"")</f>
        <v/>
      </c>
      <c r="N29" s="5" t="str">
        <f>IF(IF(ISNUMBER(J28),1,0)+IF(ISNUMBER(Table4424[[#This Row],[Post Total]]),1,0)=2,IF(IF(Table4424[[#This Row],[Student Number]]=C28,1,0)+IF(Table4424[[#This Row],[Session]]=B28,1,0)+IF(Table4424[[#This Row],[Pre or Post]]="Post",1,0)+IF(D28="Pre",1,0)=4,Table4424[[#This Row],[Post Total]]-J28,""),"")</f>
        <v/>
      </c>
      <c r="O29" s="5" t="b">
        <f>ISNUMBER(Table4424[[#This Row],[Change]])</f>
        <v>0</v>
      </c>
    </row>
    <row r="30" spans="1:15">
      <c r="A30" s="1" t="s">
        <v>24</v>
      </c>
      <c r="B30" s="1" t="s">
        <v>23</v>
      </c>
      <c r="C30" s="1">
        <v>5</v>
      </c>
      <c r="D30" s="1" t="s">
        <v>16</v>
      </c>
      <c r="E30" s="1">
        <v>2</v>
      </c>
      <c r="F30" s="1">
        <v>4</v>
      </c>
      <c r="G30" s="1" t="s">
        <v>8</v>
      </c>
      <c r="H30" s="5" t="str">
        <f>IF(IF(Table4424[[#This Row],[Pre or Post]]="Pre",1,0)+IF(ISNUMBER(Table4424[[#This Row],[Response]])=TRUE,1,0)=2,1,"")</f>
        <v/>
      </c>
      <c r="I30" s="5">
        <f>IF(IF(Table4424[[#This Row],[Pre or Post]]="Post",1,0)+IF(ISNUMBER(Table4424[[#This Row],[Response]])=TRUE,1,0)=2,1,"")</f>
        <v>1</v>
      </c>
      <c r="J30" s="6" t="str">
        <f>IF(IF(Table4424[[#This Row],[Pre or Post]]="Pre",1,0)+IF(ISNUMBER(Table4424[[#This Row],[Response]])=TRUE,1,0)=2,Table4424[[#This Row],[Response]],"")</f>
        <v/>
      </c>
      <c r="K30" s="6">
        <f>IF(IF(Table4424[[#This Row],[Pre or Post]]="Post",1,0)+IF(ISNUMBER(Table4424[[#This Row],[Response]])=TRUE,1,0)=2,Table4424[[#This Row],[Response]],"")</f>
        <v>4</v>
      </c>
      <c r="L30" s="5" t="str">
        <f>IF(IF(ISNUMBER(J30),1,0)+IF(ISNUMBER(K31),1,0)=2,IF(IF(C31=C30,1,0)+IF(B31=B30,1,0)+IF(D31="Post",1,0)+IF(D30="Pre",1,0)=4,Table4424[[#This Row],[Pre Total]],""),"")</f>
        <v/>
      </c>
      <c r="M30" s="5">
        <f>IF(IF(ISNUMBER(J29),1,0)+IF(ISNUMBER(Table4424[[#This Row],[Post Total]]),1,0)=2,IF(IF(Table4424[[#This Row],[Student Number]]=C29,1,0)+IF(Table4424[[#This Row],[Session]]=B29,1,0)+IF(Table4424[[#This Row],[Pre or Post]]="Post",1,0)+IF(D29="Pre",1,0)=4,Table4424[[#This Row],[Post Total]],""),"")</f>
        <v>4</v>
      </c>
      <c r="N30" s="5">
        <f>IF(IF(ISNUMBER(J29),1,0)+IF(ISNUMBER(Table4424[[#This Row],[Post Total]]),1,0)=2,IF(IF(Table4424[[#This Row],[Student Number]]=C29,1,0)+IF(Table4424[[#This Row],[Session]]=B29,1,0)+IF(Table4424[[#This Row],[Pre or Post]]="Post",1,0)+IF(D29="Pre",1,0)=4,Table4424[[#This Row],[Post Total]]-J29,""),"")</f>
        <v>2</v>
      </c>
      <c r="O30" s="5" t="b">
        <f>ISNUMBER(Table4424[[#This Row],[Change]])</f>
        <v>1</v>
      </c>
    </row>
    <row r="31" spans="1:15">
      <c r="A31" s="1" t="s">
        <v>24</v>
      </c>
      <c r="B31" s="1" t="s">
        <v>23</v>
      </c>
      <c r="C31" s="1">
        <v>6</v>
      </c>
      <c r="D31" s="1" t="s">
        <v>6</v>
      </c>
      <c r="E31" s="1">
        <v>9</v>
      </c>
      <c r="F31" s="1">
        <v>4</v>
      </c>
      <c r="G31" s="1" t="s">
        <v>8</v>
      </c>
      <c r="H31" s="5">
        <f>IF(IF(Table4424[[#This Row],[Pre or Post]]="Pre",1,0)+IF(ISNUMBER(Table4424[[#This Row],[Response]])=TRUE,1,0)=2,1,"")</f>
        <v>1</v>
      </c>
      <c r="I31" s="5" t="str">
        <f>IF(IF(Table4424[[#This Row],[Pre or Post]]="Post",1,0)+IF(ISNUMBER(Table4424[[#This Row],[Response]])=TRUE,1,0)=2,1,"")</f>
        <v/>
      </c>
      <c r="J31" s="6">
        <f>IF(IF(Table4424[[#This Row],[Pre or Post]]="Pre",1,0)+IF(ISNUMBER(Table4424[[#This Row],[Response]])=TRUE,1,0)=2,Table4424[[#This Row],[Response]],"")</f>
        <v>4</v>
      </c>
      <c r="K31" s="6" t="str">
        <f>IF(IF(Table4424[[#This Row],[Pre or Post]]="Post",1,0)+IF(ISNUMBER(Table4424[[#This Row],[Response]])=TRUE,1,0)=2,Table4424[[#This Row],[Response]],"")</f>
        <v/>
      </c>
      <c r="L31" s="5">
        <f>IF(IF(ISNUMBER(J31),1,0)+IF(ISNUMBER(K32),1,0)=2,IF(IF(C32=C31,1,0)+IF(B32=B31,1,0)+IF(D32="Post",1,0)+IF(D31="Pre",1,0)=4,Table4424[[#This Row],[Pre Total]],""),"")</f>
        <v>4</v>
      </c>
      <c r="M31" s="5" t="str">
        <f>IF(IF(ISNUMBER(J30),1,0)+IF(ISNUMBER(Table4424[[#This Row],[Post Total]]),1,0)=2,IF(IF(Table4424[[#This Row],[Student Number]]=C30,1,0)+IF(Table4424[[#This Row],[Session]]=B30,1,0)+IF(Table4424[[#This Row],[Pre or Post]]="Post",1,0)+IF(D30="Pre",1,0)=4,Table4424[[#This Row],[Post Total]],""),"")</f>
        <v/>
      </c>
      <c r="N31" s="5" t="str">
        <f>IF(IF(ISNUMBER(J30),1,0)+IF(ISNUMBER(Table4424[[#This Row],[Post Total]]),1,0)=2,IF(IF(Table4424[[#This Row],[Student Number]]=C30,1,0)+IF(Table4424[[#This Row],[Session]]=B30,1,0)+IF(Table4424[[#This Row],[Pre or Post]]="Post",1,0)+IF(D30="Pre",1,0)=4,Table4424[[#This Row],[Post Total]]-J30,""),"")</f>
        <v/>
      </c>
      <c r="O31" s="5" t="b">
        <f>ISNUMBER(Table4424[[#This Row],[Change]])</f>
        <v>0</v>
      </c>
    </row>
    <row r="32" spans="1:15">
      <c r="A32" s="1" t="s">
        <v>24</v>
      </c>
      <c r="B32" s="1" t="s">
        <v>23</v>
      </c>
      <c r="C32" s="1">
        <v>6</v>
      </c>
      <c r="D32" s="1" t="s">
        <v>16</v>
      </c>
      <c r="E32" s="1">
        <v>2</v>
      </c>
      <c r="F32" s="1">
        <v>4</v>
      </c>
      <c r="G32" s="1" t="s">
        <v>8</v>
      </c>
      <c r="H32" s="5" t="str">
        <f>IF(IF(Table4424[[#This Row],[Pre or Post]]="Pre",1,0)+IF(ISNUMBER(Table4424[[#This Row],[Response]])=TRUE,1,0)=2,1,"")</f>
        <v/>
      </c>
      <c r="I32" s="5">
        <f>IF(IF(Table4424[[#This Row],[Pre or Post]]="Post",1,0)+IF(ISNUMBER(Table4424[[#This Row],[Response]])=TRUE,1,0)=2,1,"")</f>
        <v>1</v>
      </c>
      <c r="J32" s="6" t="str">
        <f>IF(IF(Table4424[[#This Row],[Pre or Post]]="Pre",1,0)+IF(ISNUMBER(Table4424[[#This Row],[Response]])=TRUE,1,0)=2,Table4424[[#This Row],[Response]],"")</f>
        <v/>
      </c>
      <c r="K32" s="6">
        <f>IF(IF(Table4424[[#This Row],[Pre or Post]]="Post",1,0)+IF(ISNUMBER(Table4424[[#This Row],[Response]])=TRUE,1,0)=2,Table4424[[#This Row],[Response]],"")</f>
        <v>4</v>
      </c>
      <c r="L32" s="5" t="str">
        <f>IF(IF(ISNUMBER(J32),1,0)+IF(ISNUMBER(K33),1,0)=2,IF(IF(C33=C32,1,0)+IF(B33=B32,1,0)+IF(D33="Post",1,0)+IF(D32="Pre",1,0)=4,Table4424[[#This Row],[Pre Total]],""),"")</f>
        <v/>
      </c>
      <c r="M32" s="5">
        <f>IF(IF(ISNUMBER(J31),1,0)+IF(ISNUMBER(Table4424[[#This Row],[Post Total]]),1,0)=2,IF(IF(Table4424[[#This Row],[Student Number]]=C31,1,0)+IF(Table4424[[#This Row],[Session]]=B31,1,0)+IF(Table4424[[#This Row],[Pre or Post]]="Post",1,0)+IF(D31="Pre",1,0)=4,Table4424[[#This Row],[Post Total]],""),"")</f>
        <v>4</v>
      </c>
      <c r="N32" s="5">
        <f>IF(IF(ISNUMBER(J31),1,0)+IF(ISNUMBER(Table4424[[#This Row],[Post Total]]),1,0)=2,IF(IF(Table4424[[#This Row],[Student Number]]=C31,1,0)+IF(Table4424[[#This Row],[Session]]=B31,1,0)+IF(Table4424[[#This Row],[Pre or Post]]="Post",1,0)+IF(D31="Pre",1,0)=4,Table4424[[#This Row],[Post Total]]-J31,""),"")</f>
        <v>0</v>
      </c>
      <c r="O32" s="5" t="b">
        <f>ISNUMBER(Table4424[[#This Row],[Change]])</f>
        <v>1</v>
      </c>
    </row>
    <row r="33" spans="1:15">
      <c r="A33" s="1" t="s">
        <v>24</v>
      </c>
      <c r="B33" s="1" t="s">
        <v>23</v>
      </c>
      <c r="C33" s="1">
        <v>7</v>
      </c>
      <c r="D33" s="1" t="s">
        <v>6</v>
      </c>
      <c r="E33" s="1">
        <v>9</v>
      </c>
      <c r="F33" s="1">
        <v>1</v>
      </c>
      <c r="G33" s="1" t="s">
        <v>8</v>
      </c>
      <c r="H33" s="5">
        <f>IF(IF(Table4424[[#This Row],[Pre or Post]]="Pre",1,0)+IF(ISNUMBER(Table4424[[#This Row],[Response]])=TRUE,1,0)=2,1,"")</f>
        <v>1</v>
      </c>
      <c r="I33" s="5" t="str">
        <f>IF(IF(Table4424[[#This Row],[Pre or Post]]="Post",1,0)+IF(ISNUMBER(Table4424[[#This Row],[Response]])=TRUE,1,0)=2,1,"")</f>
        <v/>
      </c>
      <c r="J33" s="6">
        <f>IF(IF(Table4424[[#This Row],[Pre or Post]]="Pre",1,0)+IF(ISNUMBER(Table4424[[#This Row],[Response]])=TRUE,1,0)=2,Table4424[[#This Row],[Response]],"")</f>
        <v>1</v>
      </c>
      <c r="K33" s="6" t="str">
        <f>IF(IF(Table4424[[#This Row],[Pre or Post]]="Post",1,0)+IF(ISNUMBER(Table4424[[#This Row],[Response]])=TRUE,1,0)=2,Table4424[[#This Row],[Response]],"")</f>
        <v/>
      </c>
      <c r="L33" s="5">
        <f>IF(IF(ISNUMBER(J33),1,0)+IF(ISNUMBER(K34),1,0)=2,IF(IF(C34=C33,1,0)+IF(B34=B33,1,0)+IF(D34="Post",1,0)+IF(D33="Pre",1,0)=4,Table4424[[#This Row],[Pre Total]],""),"")</f>
        <v>1</v>
      </c>
      <c r="M33" s="5" t="str">
        <f>IF(IF(ISNUMBER(J32),1,0)+IF(ISNUMBER(Table4424[[#This Row],[Post Total]]),1,0)=2,IF(IF(Table4424[[#This Row],[Student Number]]=C32,1,0)+IF(Table4424[[#This Row],[Session]]=B32,1,0)+IF(Table4424[[#This Row],[Pre or Post]]="Post",1,0)+IF(D32="Pre",1,0)=4,Table4424[[#This Row],[Post Total]],""),"")</f>
        <v/>
      </c>
      <c r="N33" s="5" t="str">
        <f>IF(IF(ISNUMBER(J32),1,0)+IF(ISNUMBER(Table4424[[#This Row],[Post Total]]),1,0)=2,IF(IF(Table4424[[#This Row],[Student Number]]=C32,1,0)+IF(Table4424[[#This Row],[Session]]=B32,1,0)+IF(Table4424[[#This Row],[Pre or Post]]="Post",1,0)+IF(D32="Pre",1,0)=4,Table4424[[#This Row],[Post Total]]-J32,""),"")</f>
        <v/>
      </c>
      <c r="O33" s="5" t="b">
        <f>ISNUMBER(Table4424[[#This Row],[Change]])</f>
        <v>0</v>
      </c>
    </row>
    <row r="34" spans="1:15">
      <c r="A34" s="1" t="s">
        <v>24</v>
      </c>
      <c r="B34" s="1" t="s">
        <v>23</v>
      </c>
      <c r="C34" s="1">
        <v>7</v>
      </c>
      <c r="D34" s="1" t="s">
        <v>16</v>
      </c>
      <c r="E34" s="1">
        <v>2</v>
      </c>
      <c r="F34" s="1">
        <v>1</v>
      </c>
      <c r="G34" s="1" t="s">
        <v>8</v>
      </c>
      <c r="H34" s="5" t="str">
        <f>IF(IF(Table4424[[#This Row],[Pre or Post]]="Pre",1,0)+IF(ISNUMBER(Table4424[[#This Row],[Response]])=TRUE,1,0)=2,1,"")</f>
        <v/>
      </c>
      <c r="I34" s="5">
        <f>IF(IF(Table4424[[#This Row],[Pre or Post]]="Post",1,0)+IF(ISNUMBER(Table4424[[#This Row],[Response]])=TRUE,1,0)=2,1,"")</f>
        <v>1</v>
      </c>
      <c r="J34" s="6" t="str">
        <f>IF(IF(Table4424[[#This Row],[Pre or Post]]="Pre",1,0)+IF(ISNUMBER(Table4424[[#This Row],[Response]])=TRUE,1,0)=2,Table4424[[#This Row],[Response]],"")</f>
        <v/>
      </c>
      <c r="K34" s="6">
        <f>IF(IF(Table4424[[#This Row],[Pre or Post]]="Post",1,0)+IF(ISNUMBER(Table4424[[#This Row],[Response]])=TRUE,1,0)=2,Table4424[[#This Row],[Response]],"")</f>
        <v>1</v>
      </c>
      <c r="L34" s="5" t="str">
        <f>IF(IF(ISNUMBER(J34),1,0)+IF(ISNUMBER(K35),1,0)=2,IF(IF(C35=C34,1,0)+IF(B35=B34,1,0)+IF(D35="Post",1,0)+IF(D34="Pre",1,0)=4,Table4424[[#This Row],[Pre Total]],""),"")</f>
        <v/>
      </c>
      <c r="M34" s="5">
        <f>IF(IF(ISNUMBER(J33),1,0)+IF(ISNUMBER(Table4424[[#This Row],[Post Total]]),1,0)=2,IF(IF(Table4424[[#This Row],[Student Number]]=C33,1,0)+IF(Table4424[[#This Row],[Session]]=B33,1,0)+IF(Table4424[[#This Row],[Pre or Post]]="Post",1,0)+IF(D33="Pre",1,0)=4,Table4424[[#This Row],[Post Total]],""),"")</f>
        <v>1</v>
      </c>
      <c r="N34" s="5">
        <f>IF(IF(ISNUMBER(J33),1,0)+IF(ISNUMBER(Table4424[[#This Row],[Post Total]]),1,0)=2,IF(IF(Table4424[[#This Row],[Student Number]]=C33,1,0)+IF(Table4424[[#This Row],[Session]]=B33,1,0)+IF(Table4424[[#This Row],[Pre or Post]]="Post",1,0)+IF(D33="Pre",1,0)=4,Table4424[[#This Row],[Post Total]]-J33,""),"")</f>
        <v>0</v>
      </c>
      <c r="O34" s="5" t="b">
        <f>ISNUMBER(Table4424[[#This Row],[Change]])</f>
        <v>1</v>
      </c>
    </row>
    <row r="35" spans="1:15">
      <c r="A35" s="1" t="s">
        <v>24</v>
      </c>
      <c r="B35" s="1" t="s">
        <v>23</v>
      </c>
      <c r="C35" s="1">
        <v>8</v>
      </c>
      <c r="D35" s="1" t="s">
        <v>6</v>
      </c>
      <c r="E35" s="1">
        <v>9</v>
      </c>
      <c r="F35" s="1">
        <v>3</v>
      </c>
      <c r="G35" s="1" t="s">
        <v>8</v>
      </c>
      <c r="H35" s="5">
        <f>IF(IF(Table4424[[#This Row],[Pre or Post]]="Pre",1,0)+IF(ISNUMBER(Table4424[[#This Row],[Response]])=TRUE,1,0)=2,1,"")</f>
        <v>1</v>
      </c>
      <c r="I35" s="5" t="str">
        <f>IF(IF(Table4424[[#This Row],[Pre or Post]]="Post",1,0)+IF(ISNUMBER(Table4424[[#This Row],[Response]])=TRUE,1,0)=2,1,"")</f>
        <v/>
      </c>
      <c r="J35" s="6">
        <f>IF(IF(Table4424[[#This Row],[Pre or Post]]="Pre",1,0)+IF(ISNUMBER(Table4424[[#This Row],[Response]])=TRUE,1,0)=2,Table4424[[#This Row],[Response]],"")</f>
        <v>3</v>
      </c>
      <c r="K35" s="6" t="str">
        <f>IF(IF(Table4424[[#This Row],[Pre or Post]]="Post",1,0)+IF(ISNUMBER(Table4424[[#This Row],[Response]])=TRUE,1,0)=2,Table4424[[#This Row],[Response]],"")</f>
        <v/>
      </c>
      <c r="L35" s="5">
        <f>IF(IF(ISNUMBER(J35),1,0)+IF(ISNUMBER(K36),1,0)=2,IF(IF(C36=C35,1,0)+IF(B36=B35,1,0)+IF(D36="Post",1,0)+IF(D35="Pre",1,0)=4,Table4424[[#This Row],[Pre Total]],""),"")</f>
        <v>3</v>
      </c>
      <c r="M35" s="5" t="str">
        <f>IF(IF(ISNUMBER(J34),1,0)+IF(ISNUMBER(Table4424[[#This Row],[Post Total]]),1,0)=2,IF(IF(Table4424[[#This Row],[Student Number]]=C34,1,0)+IF(Table4424[[#This Row],[Session]]=B34,1,0)+IF(Table4424[[#This Row],[Pre or Post]]="Post",1,0)+IF(D34="Pre",1,0)=4,Table4424[[#This Row],[Post Total]],""),"")</f>
        <v/>
      </c>
      <c r="N35" s="5" t="str">
        <f>IF(IF(ISNUMBER(J34),1,0)+IF(ISNUMBER(Table4424[[#This Row],[Post Total]]),1,0)=2,IF(IF(Table4424[[#This Row],[Student Number]]=C34,1,0)+IF(Table4424[[#This Row],[Session]]=B34,1,0)+IF(Table4424[[#This Row],[Pre or Post]]="Post",1,0)+IF(D34="Pre",1,0)=4,Table4424[[#This Row],[Post Total]]-J34,""),"")</f>
        <v/>
      </c>
      <c r="O35" s="5" t="b">
        <f>ISNUMBER(Table4424[[#This Row],[Change]])</f>
        <v>0</v>
      </c>
    </row>
    <row r="36" spans="1:15">
      <c r="A36" s="1" t="s">
        <v>24</v>
      </c>
      <c r="B36" s="1" t="s">
        <v>23</v>
      </c>
      <c r="C36" s="1">
        <v>8</v>
      </c>
      <c r="D36" s="1" t="s">
        <v>16</v>
      </c>
      <c r="E36" s="1">
        <v>2</v>
      </c>
      <c r="F36" s="1">
        <v>3</v>
      </c>
      <c r="G36" s="1" t="s">
        <v>8</v>
      </c>
      <c r="H36" s="5" t="str">
        <f>IF(IF(Table4424[[#This Row],[Pre or Post]]="Pre",1,0)+IF(ISNUMBER(Table4424[[#This Row],[Response]])=TRUE,1,0)=2,1,"")</f>
        <v/>
      </c>
      <c r="I36" s="5">
        <f>IF(IF(Table4424[[#This Row],[Pre or Post]]="Post",1,0)+IF(ISNUMBER(Table4424[[#This Row],[Response]])=TRUE,1,0)=2,1,"")</f>
        <v>1</v>
      </c>
      <c r="J36" s="6" t="str">
        <f>IF(IF(Table4424[[#This Row],[Pre or Post]]="Pre",1,0)+IF(ISNUMBER(Table4424[[#This Row],[Response]])=TRUE,1,0)=2,Table4424[[#This Row],[Response]],"")</f>
        <v/>
      </c>
      <c r="K36" s="6">
        <f>IF(IF(Table4424[[#This Row],[Pre or Post]]="Post",1,0)+IF(ISNUMBER(Table4424[[#This Row],[Response]])=TRUE,1,0)=2,Table4424[[#This Row],[Response]],"")</f>
        <v>3</v>
      </c>
      <c r="L36" s="5" t="str">
        <f>IF(IF(ISNUMBER(J36),1,0)+IF(ISNUMBER(K37),1,0)=2,IF(IF(C37=C36,1,0)+IF(B37=B36,1,0)+IF(D37="Post",1,0)+IF(D36="Pre",1,0)=4,Table4424[[#This Row],[Pre Total]],""),"")</f>
        <v/>
      </c>
      <c r="M36" s="5">
        <f>IF(IF(ISNUMBER(J35),1,0)+IF(ISNUMBER(Table4424[[#This Row],[Post Total]]),1,0)=2,IF(IF(Table4424[[#This Row],[Student Number]]=C35,1,0)+IF(Table4424[[#This Row],[Session]]=B35,1,0)+IF(Table4424[[#This Row],[Pre or Post]]="Post",1,0)+IF(D35="Pre",1,0)=4,Table4424[[#This Row],[Post Total]],""),"")</f>
        <v>3</v>
      </c>
      <c r="N36" s="5">
        <f>IF(IF(ISNUMBER(J35),1,0)+IF(ISNUMBER(Table4424[[#This Row],[Post Total]]),1,0)=2,IF(IF(Table4424[[#This Row],[Student Number]]=C35,1,0)+IF(Table4424[[#This Row],[Session]]=B35,1,0)+IF(Table4424[[#This Row],[Pre or Post]]="Post",1,0)+IF(D35="Pre",1,0)=4,Table4424[[#This Row],[Post Total]]-J35,""),"")</f>
        <v>0</v>
      </c>
      <c r="O36" s="5" t="b">
        <f>ISNUMBER(Table4424[[#This Row],[Change]])</f>
        <v>1</v>
      </c>
    </row>
    <row r="37" spans="1:15">
      <c r="A37" s="1" t="s">
        <v>24</v>
      </c>
      <c r="B37" s="1" t="s">
        <v>23</v>
      </c>
      <c r="C37" s="1">
        <v>9</v>
      </c>
      <c r="D37" s="1" t="s">
        <v>6</v>
      </c>
      <c r="E37" s="1">
        <v>9</v>
      </c>
      <c r="F37" s="1">
        <v>3</v>
      </c>
      <c r="G37" s="1" t="s">
        <v>8</v>
      </c>
      <c r="H37" s="5">
        <f>IF(IF(Table4424[[#This Row],[Pre or Post]]="Pre",1,0)+IF(ISNUMBER(Table4424[[#This Row],[Response]])=TRUE,1,0)=2,1,"")</f>
        <v>1</v>
      </c>
      <c r="I37" s="5" t="str">
        <f>IF(IF(Table4424[[#This Row],[Pre or Post]]="Post",1,0)+IF(ISNUMBER(Table4424[[#This Row],[Response]])=TRUE,1,0)=2,1,"")</f>
        <v/>
      </c>
      <c r="J37" s="6">
        <f>IF(IF(Table4424[[#This Row],[Pre or Post]]="Pre",1,0)+IF(ISNUMBER(Table4424[[#This Row],[Response]])=TRUE,1,0)=2,Table4424[[#This Row],[Response]],"")</f>
        <v>3</v>
      </c>
      <c r="K37" s="6" t="str">
        <f>IF(IF(Table4424[[#This Row],[Pre or Post]]="Post",1,0)+IF(ISNUMBER(Table4424[[#This Row],[Response]])=TRUE,1,0)=2,Table4424[[#This Row],[Response]],"")</f>
        <v/>
      </c>
      <c r="L37" s="5">
        <f>IF(IF(ISNUMBER(J37),1,0)+IF(ISNUMBER(K38),1,0)=2,IF(IF(C38=C37,1,0)+IF(B38=B37,1,0)+IF(D38="Post",1,0)+IF(D37="Pre",1,0)=4,Table4424[[#This Row],[Pre Total]],""),"")</f>
        <v>3</v>
      </c>
      <c r="M37" s="5" t="str">
        <f>IF(IF(ISNUMBER(J36),1,0)+IF(ISNUMBER(Table4424[[#This Row],[Post Total]]),1,0)=2,IF(IF(Table4424[[#This Row],[Student Number]]=C36,1,0)+IF(Table4424[[#This Row],[Session]]=B36,1,0)+IF(Table4424[[#This Row],[Pre or Post]]="Post",1,0)+IF(D36="Pre",1,0)=4,Table4424[[#This Row],[Post Total]],""),"")</f>
        <v/>
      </c>
      <c r="N37" s="5" t="str">
        <f>IF(IF(ISNUMBER(J36),1,0)+IF(ISNUMBER(Table4424[[#This Row],[Post Total]]),1,0)=2,IF(IF(Table4424[[#This Row],[Student Number]]=C36,1,0)+IF(Table4424[[#This Row],[Session]]=B36,1,0)+IF(Table4424[[#This Row],[Pre or Post]]="Post",1,0)+IF(D36="Pre",1,0)=4,Table4424[[#This Row],[Post Total]]-J36,""),"")</f>
        <v/>
      </c>
      <c r="O37" s="5" t="b">
        <f>ISNUMBER(Table4424[[#This Row],[Change]])</f>
        <v>0</v>
      </c>
    </row>
    <row r="38" spans="1:15">
      <c r="A38" s="1" t="s">
        <v>24</v>
      </c>
      <c r="B38" s="1" t="s">
        <v>23</v>
      </c>
      <c r="C38" s="1">
        <v>9</v>
      </c>
      <c r="D38" s="1" t="s">
        <v>16</v>
      </c>
      <c r="E38" s="1">
        <v>2</v>
      </c>
      <c r="F38" s="1">
        <v>3</v>
      </c>
      <c r="G38" s="1" t="s">
        <v>8</v>
      </c>
      <c r="H38" s="5" t="str">
        <f>IF(IF(Table4424[[#This Row],[Pre or Post]]="Pre",1,0)+IF(ISNUMBER(Table4424[[#This Row],[Response]])=TRUE,1,0)=2,1,"")</f>
        <v/>
      </c>
      <c r="I38" s="5">
        <f>IF(IF(Table4424[[#This Row],[Pre or Post]]="Post",1,0)+IF(ISNUMBER(Table4424[[#This Row],[Response]])=TRUE,1,0)=2,1,"")</f>
        <v>1</v>
      </c>
      <c r="J38" s="6" t="str">
        <f>IF(IF(Table4424[[#This Row],[Pre or Post]]="Pre",1,0)+IF(ISNUMBER(Table4424[[#This Row],[Response]])=TRUE,1,0)=2,Table4424[[#This Row],[Response]],"")</f>
        <v/>
      </c>
      <c r="K38" s="6">
        <f>IF(IF(Table4424[[#This Row],[Pre or Post]]="Post",1,0)+IF(ISNUMBER(Table4424[[#This Row],[Response]])=TRUE,1,0)=2,Table4424[[#This Row],[Response]],"")</f>
        <v>3</v>
      </c>
      <c r="L38" s="5" t="str">
        <f>IF(IF(ISNUMBER(J38),1,0)+IF(ISNUMBER(K39),1,0)=2,IF(IF(C39=C38,1,0)+IF(B39=B38,1,0)+IF(D39="Post",1,0)+IF(D38="Pre",1,0)=4,Table4424[[#This Row],[Pre Total]],""),"")</f>
        <v/>
      </c>
      <c r="M38" s="5">
        <f>IF(IF(ISNUMBER(J37),1,0)+IF(ISNUMBER(Table4424[[#This Row],[Post Total]]),1,0)=2,IF(IF(Table4424[[#This Row],[Student Number]]=C37,1,0)+IF(Table4424[[#This Row],[Session]]=B37,1,0)+IF(Table4424[[#This Row],[Pre or Post]]="Post",1,0)+IF(D37="Pre",1,0)=4,Table4424[[#This Row],[Post Total]],""),"")</f>
        <v>3</v>
      </c>
      <c r="N38" s="5">
        <f>IF(IF(ISNUMBER(J37),1,0)+IF(ISNUMBER(Table4424[[#This Row],[Post Total]]),1,0)=2,IF(IF(Table4424[[#This Row],[Student Number]]=C37,1,0)+IF(Table4424[[#This Row],[Session]]=B37,1,0)+IF(Table4424[[#This Row],[Pre or Post]]="Post",1,0)+IF(D37="Pre",1,0)=4,Table4424[[#This Row],[Post Total]]-J37,""),"")</f>
        <v>0</v>
      </c>
      <c r="O38" s="5" t="b">
        <f>ISNUMBER(Table4424[[#This Row],[Change]])</f>
        <v>1</v>
      </c>
    </row>
    <row r="39" spans="1:15">
      <c r="A39" s="1" t="s">
        <v>24</v>
      </c>
      <c r="B39" s="1" t="s">
        <v>23</v>
      </c>
      <c r="C39" s="1">
        <v>10</v>
      </c>
      <c r="D39" s="1" t="s">
        <v>6</v>
      </c>
      <c r="E39" s="1">
        <v>9</v>
      </c>
      <c r="F39" s="1">
        <v>3</v>
      </c>
      <c r="G39" s="1" t="s">
        <v>8</v>
      </c>
      <c r="H39" s="5">
        <f>IF(IF(Table4424[[#This Row],[Pre or Post]]="Pre",1,0)+IF(ISNUMBER(Table4424[[#This Row],[Response]])=TRUE,1,0)=2,1,"")</f>
        <v>1</v>
      </c>
      <c r="I39" s="5" t="str">
        <f>IF(IF(Table4424[[#This Row],[Pre or Post]]="Post",1,0)+IF(ISNUMBER(Table4424[[#This Row],[Response]])=TRUE,1,0)=2,1,"")</f>
        <v/>
      </c>
      <c r="J39" s="6">
        <f>IF(IF(Table4424[[#This Row],[Pre or Post]]="Pre",1,0)+IF(ISNUMBER(Table4424[[#This Row],[Response]])=TRUE,1,0)=2,Table4424[[#This Row],[Response]],"")</f>
        <v>3</v>
      </c>
      <c r="K39" s="6" t="str">
        <f>IF(IF(Table4424[[#This Row],[Pre or Post]]="Post",1,0)+IF(ISNUMBER(Table4424[[#This Row],[Response]])=TRUE,1,0)=2,Table4424[[#This Row],[Response]],"")</f>
        <v/>
      </c>
      <c r="L39" s="5">
        <f>IF(IF(ISNUMBER(J39),1,0)+IF(ISNUMBER(K40),1,0)=2,IF(IF(C40=C39,1,0)+IF(B40=B39,1,0)+IF(D40="Post",1,0)+IF(D39="Pre",1,0)=4,Table4424[[#This Row],[Pre Total]],""),"")</f>
        <v>3</v>
      </c>
      <c r="M39" s="5" t="str">
        <f>IF(IF(ISNUMBER(J38),1,0)+IF(ISNUMBER(Table4424[[#This Row],[Post Total]]),1,0)=2,IF(IF(Table4424[[#This Row],[Student Number]]=C38,1,0)+IF(Table4424[[#This Row],[Session]]=B38,1,0)+IF(Table4424[[#This Row],[Pre or Post]]="Post",1,0)+IF(D38="Pre",1,0)=4,Table4424[[#This Row],[Post Total]],""),"")</f>
        <v/>
      </c>
      <c r="N39" s="5" t="str">
        <f>IF(IF(ISNUMBER(J38),1,0)+IF(ISNUMBER(Table4424[[#This Row],[Post Total]]),1,0)=2,IF(IF(Table4424[[#This Row],[Student Number]]=C38,1,0)+IF(Table4424[[#This Row],[Session]]=B38,1,0)+IF(Table4424[[#This Row],[Pre or Post]]="Post",1,0)+IF(D38="Pre",1,0)=4,Table4424[[#This Row],[Post Total]]-J38,""),"")</f>
        <v/>
      </c>
      <c r="O39" s="5" t="b">
        <f>ISNUMBER(Table4424[[#This Row],[Change]])</f>
        <v>0</v>
      </c>
    </row>
    <row r="40" spans="1:15">
      <c r="A40" s="1" t="s">
        <v>24</v>
      </c>
      <c r="B40" s="1" t="s">
        <v>23</v>
      </c>
      <c r="C40" s="1">
        <v>10</v>
      </c>
      <c r="D40" s="1" t="s">
        <v>16</v>
      </c>
      <c r="E40" s="1">
        <v>2</v>
      </c>
      <c r="F40" s="1">
        <v>4</v>
      </c>
      <c r="G40" s="1" t="s">
        <v>8</v>
      </c>
      <c r="H40" s="5" t="str">
        <f>IF(IF(Table4424[[#This Row],[Pre or Post]]="Pre",1,0)+IF(ISNUMBER(Table4424[[#This Row],[Response]])=TRUE,1,0)=2,1,"")</f>
        <v/>
      </c>
      <c r="I40" s="5">
        <f>IF(IF(Table4424[[#This Row],[Pre or Post]]="Post",1,0)+IF(ISNUMBER(Table4424[[#This Row],[Response]])=TRUE,1,0)=2,1,"")</f>
        <v>1</v>
      </c>
      <c r="J40" s="6" t="str">
        <f>IF(IF(Table4424[[#This Row],[Pre or Post]]="Pre",1,0)+IF(ISNUMBER(Table4424[[#This Row],[Response]])=TRUE,1,0)=2,Table4424[[#This Row],[Response]],"")</f>
        <v/>
      </c>
      <c r="K40" s="6">
        <f>IF(IF(Table4424[[#This Row],[Pre or Post]]="Post",1,0)+IF(ISNUMBER(Table4424[[#This Row],[Response]])=TRUE,1,0)=2,Table4424[[#This Row],[Response]],"")</f>
        <v>4</v>
      </c>
      <c r="L40" s="5" t="str">
        <f>IF(IF(ISNUMBER(J40),1,0)+IF(ISNUMBER(K41),1,0)=2,IF(IF(C41=C40,1,0)+IF(B41=B40,1,0)+IF(D41="Post",1,0)+IF(D40="Pre",1,0)=4,Table4424[[#This Row],[Pre Total]],""),"")</f>
        <v/>
      </c>
      <c r="M40" s="5">
        <f>IF(IF(ISNUMBER(J39),1,0)+IF(ISNUMBER(Table4424[[#This Row],[Post Total]]),1,0)=2,IF(IF(Table4424[[#This Row],[Student Number]]=C39,1,0)+IF(Table4424[[#This Row],[Session]]=B39,1,0)+IF(Table4424[[#This Row],[Pre or Post]]="Post",1,0)+IF(D39="Pre",1,0)=4,Table4424[[#This Row],[Post Total]],""),"")</f>
        <v>4</v>
      </c>
      <c r="N40" s="5">
        <f>IF(IF(ISNUMBER(J39),1,0)+IF(ISNUMBER(Table4424[[#This Row],[Post Total]]),1,0)=2,IF(IF(Table4424[[#This Row],[Student Number]]=C39,1,0)+IF(Table4424[[#This Row],[Session]]=B39,1,0)+IF(Table4424[[#This Row],[Pre or Post]]="Post",1,0)+IF(D39="Pre",1,0)=4,Table4424[[#This Row],[Post Total]]-J39,""),"")</f>
        <v>1</v>
      </c>
      <c r="O40" s="5" t="b">
        <f>ISNUMBER(Table4424[[#This Row],[Change]])</f>
        <v>1</v>
      </c>
    </row>
    <row r="41" spans="1:15">
      <c r="A41" s="1" t="s">
        <v>24</v>
      </c>
      <c r="B41" s="1" t="s">
        <v>23</v>
      </c>
      <c r="C41" s="1">
        <v>11</v>
      </c>
      <c r="D41" s="1" t="s">
        <v>6</v>
      </c>
      <c r="E41" s="1">
        <v>9</v>
      </c>
      <c r="F41" s="1">
        <v>4</v>
      </c>
      <c r="G41" s="1" t="s">
        <v>8</v>
      </c>
      <c r="H41" s="5">
        <f>IF(IF(Table4424[[#This Row],[Pre or Post]]="Pre",1,0)+IF(ISNUMBER(Table4424[[#This Row],[Response]])=TRUE,1,0)=2,1,"")</f>
        <v>1</v>
      </c>
      <c r="I41" s="5" t="str">
        <f>IF(IF(Table4424[[#This Row],[Pre or Post]]="Post",1,0)+IF(ISNUMBER(Table4424[[#This Row],[Response]])=TRUE,1,0)=2,1,"")</f>
        <v/>
      </c>
      <c r="J41" s="6">
        <f>IF(IF(Table4424[[#This Row],[Pre or Post]]="Pre",1,0)+IF(ISNUMBER(Table4424[[#This Row],[Response]])=TRUE,1,0)=2,Table4424[[#This Row],[Response]],"")</f>
        <v>4</v>
      </c>
      <c r="K41" s="6" t="str">
        <f>IF(IF(Table4424[[#This Row],[Pre or Post]]="Post",1,0)+IF(ISNUMBER(Table4424[[#This Row],[Response]])=TRUE,1,0)=2,Table4424[[#This Row],[Response]],"")</f>
        <v/>
      </c>
      <c r="L41" s="5">
        <f>IF(IF(ISNUMBER(J41),1,0)+IF(ISNUMBER(K42),1,0)=2,IF(IF(C42=C41,1,0)+IF(B42=B41,1,0)+IF(D42="Post",1,0)+IF(D41="Pre",1,0)=4,Table4424[[#This Row],[Pre Total]],""),"")</f>
        <v>4</v>
      </c>
      <c r="M41" s="5" t="str">
        <f>IF(IF(ISNUMBER(J40),1,0)+IF(ISNUMBER(Table4424[[#This Row],[Post Total]]),1,0)=2,IF(IF(Table4424[[#This Row],[Student Number]]=C40,1,0)+IF(Table4424[[#This Row],[Session]]=B40,1,0)+IF(Table4424[[#This Row],[Pre or Post]]="Post",1,0)+IF(D40="Pre",1,0)=4,Table4424[[#This Row],[Post Total]],""),"")</f>
        <v/>
      </c>
      <c r="N41" s="5" t="str">
        <f>IF(IF(ISNUMBER(J40),1,0)+IF(ISNUMBER(Table4424[[#This Row],[Post Total]]),1,0)=2,IF(IF(Table4424[[#This Row],[Student Number]]=C40,1,0)+IF(Table4424[[#This Row],[Session]]=B40,1,0)+IF(Table4424[[#This Row],[Pre or Post]]="Post",1,0)+IF(D40="Pre",1,0)=4,Table4424[[#This Row],[Post Total]]-J40,""),"")</f>
        <v/>
      </c>
      <c r="O41" s="5" t="b">
        <f>ISNUMBER(Table4424[[#This Row],[Change]])</f>
        <v>0</v>
      </c>
    </row>
    <row r="42" spans="1:15">
      <c r="A42" s="1" t="s">
        <v>24</v>
      </c>
      <c r="B42" s="1" t="s">
        <v>23</v>
      </c>
      <c r="C42" s="1">
        <v>11</v>
      </c>
      <c r="D42" s="1" t="s">
        <v>16</v>
      </c>
      <c r="E42" s="1">
        <v>2</v>
      </c>
      <c r="F42" s="1">
        <v>4</v>
      </c>
      <c r="G42" s="1" t="s">
        <v>8</v>
      </c>
      <c r="H42" s="5" t="str">
        <f>IF(IF(Table4424[[#This Row],[Pre or Post]]="Pre",1,0)+IF(ISNUMBER(Table4424[[#This Row],[Response]])=TRUE,1,0)=2,1,"")</f>
        <v/>
      </c>
      <c r="I42" s="5">
        <f>IF(IF(Table4424[[#This Row],[Pre or Post]]="Post",1,0)+IF(ISNUMBER(Table4424[[#This Row],[Response]])=TRUE,1,0)=2,1,"")</f>
        <v>1</v>
      </c>
      <c r="J42" s="6" t="str">
        <f>IF(IF(Table4424[[#This Row],[Pre or Post]]="Pre",1,0)+IF(ISNUMBER(Table4424[[#This Row],[Response]])=TRUE,1,0)=2,Table4424[[#This Row],[Response]],"")</f>
        <v/>
      </c>
      <c r="K42" s="6">
        <f>IF(IF(Table4424[[#This Row],[Pre or Post]]="Post",1,0)+IF(ISNUMBER(Table4424[[#This Row],[Response]])=TRUE,1,0)=2,Table4424[[#This Row],[Response]],"")</f>
        <v>4</v>
      </c>
      <c r="L42" s="5" t="str">
        <f>IF(IF(ISNUMBER(J42),1,0)+IF(ISNUMBER(K43),1,0)=2,IF(IF(C43=C42,1,0)+IF(B43=B42,1,0)+IF(D43="Post",1,0)+IF(D42="Pre",1,0)=4,Table4424[[#This Row],[Pre Total]],""),"")</f>
        <v/>
      </c>
      <c r="M42" s="5">
        <f>IF(IF(ISNUMBER(J41),1,0)+IF(ISNUMBER(Table4424[[#This Row],[Post Total]]),1,0)=2,IF(IF(Table4424[[#This Row],[Student Number]]=C41,1,0)+IF(Table4424[[#This Row],[Session]]=B41,1,0)+IF(Table4424[[#This Row],[Pre or Post]]="Post",1,0)+IF(D41="Pre",1,0)=4,Table4424[[#This Row],[Post Total]],""),"")</f>
        <v>4</v>
      </c>
      <c r="N42" s="5">
        <f>IF(IF(ISNUMBER(J41),1,0)+IF(ISNUMBER(Table4424[[#This Row],[Post Total]]),1,0)=2,IF(IF(Table4424[[#This Row],[Student Number]]=C41,1,0)+IF(Table4424[[#This Row],[Session]]=B41,1,0)+IF(Table4424[[#This Row],[Pre or Post]]="Post",1,0)+IF(D41="Pre",1,0)=4,Table4424[[#This Row],[Post Total]]-J41,""),"")</f>
        <v>0</v>
      </c>
      <c r="O42" s="5" t="b">
        <f>ISNUMBER(Table4424[[#This Row],[Change]])</f>
        <v>1</v>
      </c>
    </row>
    <row r="43" spans="1:15">
      <c r="A43" s="1" t="s">
        <v>24</v>
      </c>
      <c r="B43" s="1" t="s">
        <v>23</v>
      </c>
      <c r="C43" s="1">
        <v>12</v>
      </c>
      <c r="D43" s="1" t="s">
        <v>6</v>
      </c>
      <c r="E43" s="1">
        <v>9</v>
      </c>
      <c r="F43" s="1">
        <v>3</v>
      </c>
      <c r="G43" s="1" t="s">
        <v>8</v>
      </c>
      <c r="H43" s="5">
        <f>IF(IF(Table4424[[#This Row],[Pre or Post]]="Pre",1,0)+IF(ISNUMBER(Table4424[[#This Row],[Response]])=TRUE,1,0)=2,1,"")</f>
        <v>1</v>
      </c>
      <c r="I43" s="5" t="str">
        <f>IF(IF(Table4424[[#This Row],[Pre or Post]]="Post",1,0)+IF(ISNUMBER(Table4424[[#This Row],[Response]])=TRUE,1,0)=2,1,"")</f>
        <v/>
      </c>
      <c r="J43" s="6">
        <f>IF(IF(Table4424[[#This Row],[Pre or Post]]="Pre",1,0)+IF(ISNUMBER(Table4424[[#This Row],[Response]])=TRUE,1,0)=2,Table4424[[#This Row],[Response]],"")</f>
        <v>3</v>
      </c>
      <c r="K43" s="6" t="str">
        <f>IF(IF(Table4424[[#This Row],[Pre or Post]]="Post",1,0)+IF(ISNUMBER(Table4424[[#This Row],[Response]])=TRUE,1,0)=2,Table4424[[#This Row],[Response]],"")</f>
        <v/>
      </c>
      <c r="L43" s="5">
        <f>IF(IF(ISNUMBER(J43),1,0)+IF(ISNUMBER(K44),1,0)=2,IF(IF(C44=C43,1,0)+IF(B44=B43,1,0)+IF(D44="Post",1,0)+IF(D43="Pre",1,0)=4,Table4424[[#This Row],[Pre Total]],""),"")</f>
        <v>3</v>
      </c>
      <c r="M43" s="5" t="str">
        <f>IF(IF(ISNUMBER(J42),1,0)+IF(ISNUMBER(Table4424[[#This Row],[Post Total]]),1,0)=2,IF(IF(Table4424[[#This Row],[Student Number]]=C42,1,0)+IF(Table4424[[#This Row],[Session]]=B42,1,0)+IF(Table4424[[#This Row],[Pre or Post]]="Post",1,0)+IF(D42="Pre",1,0)=4,Table4424[[#This Row],[Post Total]],""),"")</f>
        <v/>
      </c>
      <c r="N43" s="5" t="str">
        <f>IF(IF(ISNUMBER(J42),1,0)+IF(ISNUMBER(Table4424[[#This Row],[Post Total]]),1,0)=2,IF(IF(Table4424[[#This Row],[Student Number]]=C42,1,0)+IF(Table4424[[#This Row],[Session]]=B42,1,0)+IF(Table4424[[#This Row],[Pre or Post]]="Post",1,0)+IF(D42="Pre",1,0)=4,Table4424[[#This Row],[Post Total]]-J42,""),"")</f>
        <v/>
      </c>
      <c r="O43" s="5" t="b">
        <f>ISNUMBER(Table4424[[#This Row],[Change]])</f>
        <v>0</v>
      </c>
    </row>
    <row r="44" spans="1:15">
      <c r="A44" s="1" t="s">
        <v>24</v>
      </c>
      <c r="B44" s="1" t="s">
        <v>23</v>
      </c>
      <c r="C44" s="1">
        <v>12</v>
      </c>
      <c r="D44" s="1" t="s">
        <v>16</v>
      </c>
      <c r="E44" s="1">
        <v>2</v>
      </c>
      <c r="F44" s="1">
        <v>3</v>
      </c>
      <c r="G44" s="1" t="s">
        <v>8</v>
      </c>
      <c r="H44" s="5" t="str">
        <f>IF(IF(Table4424[[#This Row],[Pre or Post]]="Pre",1,0)+IF(ISNUMBER(Table4424[[#This Row],[Response]])=TRUE,1,0)=2,1,"")</f>
        <v/>
      </c>
      <c r="I44" s="5">
        <f>IF(IF(Table4424[[#This Row],[Pre or Post]]="Post",1,0)+IF(ISNUMBER(Table4424[[#This Row],[Response]])=TRUE,1,0)=2,1,"")</f>
        <v>1</v>
      </c>
      <c r="J44" s="6" t="str">
        <f>IF(IF(Table4424[[#This Row],[Pre or Post]]="Pre",1,0)+IF(ISNUMBER(Table4424[[#This Row],[Response]])=TRUE,1,0)=2,Table4424[[#This Row],[Response]],"")</f>
        <v/>
      </c>
      <c r="K44" s="6">
        <f>IF(IF(Table4424[[#This Row],[Pre or Post]]="Post",1,0)+IF(ISNUMBER(Table4424[[#This Row],[Response]])=TRUE,1,0)=2,Table4424[[#This Row],[Response]],"")</f>
        <v>3</v>
      </c>
      <c r="L44" s="5" t="str">
        <f>IF(IF(ISNUMBER(J44),1,0)+IF(ISNUMBER(K45),1,0)=2,IF(IF(C45=C44,1,0)+IF(B45=B44,1,0)+IF(D45="Post",1,0)+IF(D44="Pre",1,0)=4,Table4424[[#This Row],[Pre Total]],""),"")</f>
        <v/>
      </c>
      <c r="M44" s="5">
        <f>IF(IF(ISNUMBER(J43),1,0)+IF(ISNUMBER(Table4424[[#This Row],[Post Total]]),1,0)=2,IF(IF(Table4424[[#This Row],[Student Number]]=C43,1,0)+IF(Table4424[[#This Row],[Session]]=B43,1,0)+IF(Table4424[[#This Row],[Pre or Post]]="Post",1,0)+IF(D43="Pre",1,0)=4,Table4424[[#This Row],[Post Total]],""),"")</f>
        <v>3</v>
      </c>
      <c r="N44" s="5">
        <f>IF(IF(ISNUMBER(J43),1,0)+IF(ISNUMBER(Table4424[[#This Row],[Post Total]]),1,0)=2,IF(IF(Table4424[[#This Row],[Student Number]]=C43,1,0)+IF(Table4424[[#This Row],[Session]]=B43,1,0)+IF(Table4424[[#This Row],[Pre or Post]]="Post",1,0)+IF(D43="Pre",1,0)=4,Table4424[[#This Row],[Post Total]]-J43,""),"")</f>
        <v>0</v>
      </c>
      <c r="O44" s="5" t="b">
        <f>ISNUMBER(Table4424[[#This Row],[Change]])</f>
        <v>1</v>
      </c>
    </row>
    <row r="45" spans="1:15">
      <c r="A45" s="1" t="s">
        <v>24</v>
      </c>
      <c r="B45" s="1" t="s">
        <v>23</v>
      </c>
      <c r="C45" s="1">
        <v>13</v>
      </c>
      <c r="D45" s="1" t="s">
        <v>6</v>
      </c>
      <c r="E45" s="1">
        <v>9</v>
      </c>
      <c r="F45" s="1">
        <v>3</v>
      </c>
      <c r="G45" s="1" t="s">
        <v>8</v>
      </c>
      <c r="H45" s="5">
        <f>IF(IF(Table4424[[#This Row],[Pre or Post]]="Pre",1,0)+IF(ISNUMBER(Table4424[[#This Row],[Response]])=TRUE,1,0)=2,1,"")</f>
        <v>1</v>
      </c>
      <c r="I45" s="5" t="str">
        <f>IF(IF(Table4424[[#This Row],[Pre or Post]]="Post",1,0)+IF(ISNUMBER(Table4424[[#This Row],[Response]])=TRUE,1,0)=2,1,"")</f>
        <v/>
      </c>
      <c r="J45" s="6">
        <f>IF(IF(Table4424[[#This Row],[Pre or Post]]="Pre",1,0)+IF(ISNUMBER(Table4424[[#This Row],[Response]])=TRUE,1,0)=2,Table4424[[#This Row],[Response]],"")</f>
        <v>3</v>
      </c>
      <c r="K45" s="6" t="str">
        <f>IF(IF(Table4424[[#This Row],[Pre or Post]]="Post",1,0)+IF(ISNUMBER(Table4424[[#This Row],[Response]])=TRUE,1,0)=2,Table4424[[#This Row],[Response]],"")</f>
        <v/>
      </c>
      <c r="L45" s="5">
        <f>IF(IF(ISNUMBER(J45),1,0)+IF(ISNUMBER(K46),1,0)=2,IF(IF(C46=C45,1,0)+IF(B46=B45,1,0)+IF(D46="Post",1,0)+IF(D45="Pre",1,0)=4,Table4424[[#This Row],[Pre Total]],""),"")</f>
        <v>3</v>
      </c>
      <c r="M45" s="5" t="str">
        <f>IF(IF(ISNUMBER(J44),1,0)+IF(ISNUMBER(Table4424[[#This Row],[Post Total]]),1,0)=2,IF(IF(Table4424[[#This Row],[Student Number]]=C44,1,0)+IF(Table4424[[#This Row],[Session]]=B44,1,0)+IF(Table4424[[#This Row],[Pre or Post]]="Post",1,0)+IF(D44="Pre",1,0)=4,Table4424[[#This Row],[Post Total]],""),"")</f>
        <v/>
      </c>
      <c r="N45" s="5" t="str">
        <f>IF(IF(ISNUMBER(J44),1,0)+IF(ISNUMBER(Table4424[[#This Row],[Post Total]]),1,0)=2,IF(IF(Table4424[[#This Row],[Student Number]]=C44,1,0)+IF(Table4424[[#This Row],[Session]]=B44,1,0)+IF(Table4424[[#This Row],[Pre or Post]]="Post",1,0)+IF(D44="Pre",1,0)=4,Table4424[[#This Row],[Post Total]]-J44,""),"")</f>
        <v/>
      </c>
      <c r="O45" s="5" t="b">
        <f>ISNUMBER(Table4424[[#This Row],[Change]])</f>
        <v>0</v>
      </c>
    </row>
    <row r="46" spans="1:15">
      <c r="A46" s="1" t="s">
        <v>24</v>
      </c>
      <c r="B46" s="1" t="s">
        <v>23</v>
      </c>
      <c r="C46" s="1">
        <v>13</v>
      </c>
      <c r="D46" s="1" t="s">
        <v>16</v>
      </c>
      <c r="E46" s="1">
        <v>2</v>
      </c>
      <c r="F46" s="1">
        <v>3</v>
      </c>
      <c r="G46" s="1" t="s">
        <v>8</v>
      </c>
      <c r="H46" s="5" t="str">
        <f>IF(IF(Table4424[[#This Row],[Pre or Post]]="Pre",1,0)+IF(ISNUMBER(Table4424[[#This Row],[Response]])=TRUE,1,0)=2,1,"")</f>
        <v/>
      </c>
      <c r="I46" s="5">
        <f>IF(IF(Table4424[[#This Row],[Pre or Post]]="Post",1,0)+IF(ISNUMBER(Table4424[[#This Row],[Response]])=TRUE,1,0)=2,1,"")</f>
        <v>1</v>
      </c>
      <c r="J46" s="6" t="str">
        <f>IF(IF(Table4424[[#This Row],[Pre or Post]]="Pre",1,0)+IF(ISNUMBER(Table4424[[#This Row],[Response]])=TRUE,1,0)=2,Table4424[[#This Row],[Response]],"")</f>
        <v/>
      </c>
      <c r="K46" s="6">
        <f>IF(IF(Table4424[[#This Row],[Pre or Post]]="Post",1,0)+IF(ISNUMBER(Table4424[[#This Row],[Response]])=TRUE,1,0)=2,Table4424[[#This Row],[Response]],"")</f>
        <v>3</v>
      </c>
      <c r="L46" s="5" t="str">
        <f>IF(IF(ISNUMBER(J46),1,0)+IF(ISNUMBER(K47),1,0)=2,IF(IF(C47=C46,1,0)+IF(B47=B46,1,0)+IF(D47="Post",1,0)+IF(D46="Pre",1,0)=4,Table4424[[#This Row],[Pre Total]],""),"")</f>
        <v/>
      </c>
      <c r="M46" s="5">
        <f>IF(IF(ISNUMBER(J45),1,0)+IF(ISNUMBER(Table4424[[#This Row],[Post Total]]),1,0)=2,IF(IF(Table4424[[#This Row],[Student Number]]=C45,1,0)+IF(Table4424[[#This Row],[Session]]=B45,1,0)+IF(Table4424[[#This Row],[Pre or Post]]="Post",1,0)+IF(D45="Pre",1,0)=4,Table4424[[#This Row],[Post Total]],""),"")</f>
        <v>3</v>
      </c>
      <c r="N46" s="5">
        <f>IF(IF(ISNUMBER(J45),1,0)+IF(ISNUMBER(Table4424[[#This Row],[Post Total]]),1,0)=2,IF(IF(Table4424[[#This Row],[Student Number]]=C45,1,0)+IF(Table4424[[#This Row],[Session]]=B45,1,0)+IF(Table4424[[#This Row],[Pre or Post]]="Post",1,0)+IF(D45="Pre",1,0)=4,Table4424[[#This Row],[Post Total]]-J45,""),"")</f>
        <v>0</v>
      </c>
      <c r="O46" s="5" t="b">
        <f>ISNUMBER(Table4424[[#This Row],[Change]])</f>
        <v>1</v>
      </c>
    </row>
    <row r="47" spans="1:15">
      <c r="A47" s="1" t="s">
        <v>24</v>
      </c>
      <c r="B47" s="1" t="s">
        <v>23</v>
      </c>
      <c r="C47" s="1">
        <v>14</v>
      </c>
      <c r="D47" s="1" t="s">
        <v>6</v>
      </c>
      <c r="E47" s="1">
        <v>9</v>
      </c>
      <c r="F47" s="1">
        <v>2</v>
      </c>
      <c r="G47" s="1" t="s">
        <v>8</v>
      </c>
      <c r="H47" s="5">
        <f>IF(IF(Table4424[[#This Row],[Pre or Post]]="Pre",1,0)+IF(ISNUMBER(Table4424[[#This Row],[Response]])=TRUE,1,0)=2,1,"")</f>
        <v>1</v>
      </c>
      <c r="I47" s="5" t="str">
        <f>IF(IF(Table4424[[#This Row],[Pre or Post]]="Post",1,0)+IF(ISNUMBER(Table4424[[#This Row],[Response]])=TRUE,1,0)=2,1,"")</f>
        <v/>
      </c>
      <c r="J47" s="6">
        <f>IF(IF(Table4424[[#This Row],[Pre or Post]]="Pre",1,0)+IF(ISNUMBER(Table4424[[#This Row],[Response]])=TRUE,1,0)=2,Table4424[[#This Row],[Response]],"")</f>
        <v>2</v>
      </c>
      <c r="K47" s="6" t="str">
        <f>IF(IF(Table4424[[#This Row],[Pre or Post]]="Post",1,0)+IF(ISNUMBER(Table4424[[#This Row],[Response]])=TRUE,1,0)=2,Table4424[[#This Row],[Response]],"")</f>
        <v/>
      </c>
      <c r="L47" s="5">
        <f>IF(IF(ISNUMBER(J47),1,0)+IF(ISNUMBER(K48),1,0)=2,IF(IF(C48=C47,1,0)+IF(B48=B47,1,0)+IF(D48="Post",1,0)+IF(D47="Pre",1,0)=4,Table4424[[#This Row],[Pre Total]],""),"")</f>
        <v>2</v>
      </c>
      <c r="M47" s="5" t="str">
        <f>IF(IF(ISNUMBER(J46),1,0)+IF(ISNUMBER(Table4424[[#This Row],[Post Total]]),1,0)=2,IF(IF(Table4424[[#This Row],[Student Number]]=C46,1,0)+IF(Table4424[[#This Row],[Session]]=B46,1,0)+IF(Table4424[[#This Row],[Pre or Post]]="Post",1,0)+IF(D46="Pre",1,0)=4,Table4424[[#This Row],[Post Total]],""),"")</f>
        <v/>
      </c>
      <c r="N47" s="5" t="str">
        <f>IF(IF(ISNUMBER(J46),1,0)+IF(ISNUMBER(Table4424[[#This Row],[Post Total]]),1,0)=2,IF(IF(Table4424[[#This Row],[Student Number]]=C46,1,0)+IF(Table4424[[#This Row],[Session]]=B46,1,0)+IF(Table4424[[#This Row],[Pre or Post]]="Post",1,0)+IF(D46="Pre",1,0)=4,Table4424[[#This Row],[Post Total]]-J46,""),"")</f>
        <v/>
      </c>
      <c r="O47" s="5" t="b">
        <f>ISNUMBER(Table4424[[#This Row],[Change]])</f>
        <v>0</v>
      </c>
    </row>
    <row r="48" spans="1:15">
      <c r="A48" s="1" t="s">
        <v>24</v>
      </c>
      <c r="B48" s="1" t="s">
        <v>23</v>
      </c>
      <c r="C48" s="1">
        <v>14</v>
      </c>
      <c r="D48" s="1" t="s">
        <v>16</v>
      </c>
      <c r="E48" s="1">
        <v>2</v>
      </c>
      <c r="F48" s="1">
        <v>3</v>
      </c>
      <c r="G48" s="1" t="s">
        <v>8</v>
      </c>
      <c r="H48" s="5" t="str">
        <f>IF(IF(Table4424[[#This Row],[Pre or Post]]="Pre",1,0)+IF(ISNUMBER(Table4424[[#This Row],[Response]])=TRUE,1,0)=2,1,"")</f>
        <v/>
      </c>
      <c r="I48" s="5">
        <f>IF(IF(Table4424[[#This Row],[Pre or Post]]="Post",1,0)+IF(ISNUMBER(Table4424[[#This Row],[Response]])=TRUE,1,0)=2,1,"")</f>
        <v>1</v>
      </c>
      <c r="J48" s="6" t="str">
        <f>IF(IF(Table4424[[#This Row],[Pre or Post]]="Pre",1,0)+IF(ISNUMBER(Table4424[[#This Row],[Response]])=TRUE,1,0)=2,Table4424[[#This Row],[Response]],"")</f>
        <v/>
      </c>
      <c r="K48" s="6">
        <f>IF(IF(Table4424[[#This Row],[Pre or Post]]="Post",1,0)+IF(ISNUMBER(Table4424[[#This Row],[Response]])=TRUE,1,0)=2,Table4424[[#This Row],[Response]],"")</f>
        <v>3</v>
      </c>
      <c r="L48" s="5" t="str">
        <f>IF(IF(ISNUMBER(J48),1,0)+IF(ISNUMBER(K49),1,0)=2,IF(IF(C49=C48,1,0)+IF(B49=B48,1,0)+IF(D49="Post",1,0)+IF(D48="Pre",1,0)=4,Table4424[[#This Row],[Pre Total]],""),"")</f>
        <v/>
      </c>
      <c r="M48" s="5">
        <f>IF(IF(ISNUMBER(J47),1,0)+IF(ISNUMBER(Table4424[[#This Row],[Post Total]]),1,0)=2,IF(IF(Table4424[[#This Row],[Student Number]]=C47,1,0)+IF(Table4424[[#This Row],[Session]]=B47,1,0)+IF(Table4424[[#This Row],[Pre or Post]]="Post",1,0)+IF(D47="Pre",1,0)=4,Table4424[[#This Row],[Post Total]],""),"")</f>
        <v>3</v>
      </c>
      <c r="N48" s="5">
        <f>IF(IF(ISNUMBER(J47),1,0)+IF(ISNUMBER(Table4424[[#This Row],[Post Total]]),1,0)=2,IF(IF(Table4424[[#This Row],[Student Number]]=C47,1,0)+IF(Table4424[[#This Row],[Session]]=B47,1,0)+IF(Table4424[[#This Row],[Pre or Post]]="Post",1,0)+IF(D47="Pre",1,0)=4,Table4424[[#This Row],[Post Total]]-J47,""),"")</f>
        <v>1</v>
      </c>
      <c r="O48" s="5" t="b">
        <f>ISNUMBER(Table4424[[#This Row],[Change]])</f>
        <v>1</v>
      </c>
    </row>
    <row r="49" spans="1:15">
      <c r="A49" s="1" t="s">
        <v>24</v>
      </c>
      <c r="B49" s="1" t="s">
        <v>23</v>
      </c>
      <c r="C49" s="1">
        <v>15</v>
      </c>
      <c r="D49" s="1" t="s">
        <v>6</v>
      </c>
      <c r="E49" s="1">
        <v>9</v>
      </c>
      <c r="F49" s="1">
        <v>4</v>
      </c>
      <c r="G49" s="1" t="s">
        <v>8</v>
      </c>
      <c r="H49" s="5">
        <f>IF(IF(Table4424[[#This Row],[Pre or Post]]="Pre",1,0)+IF(ISNUMBER(Table4424[[#This Row],[Response]])=TRUE,1,0)=2,1,"")</f>
        <v>1</v>
      </c>
      <c r="I49" s="5" t="str">
        <f>IF(IF(Table4424[[#This Row],[Pre or Post]]="Post",1,0)+IF(ISNUMBER(Table4424[[#This Row],[Response]])=TRUE,1,0)=2,1,"")</f>
        <v/>
      </c>
      <c r="J49" s="6">
        <f>IF(IF(Table4424[[#This Row],[Pre or Post]]="Pre",1,0)+IF(ISNUMBER(Table4424[[#This Row],[Response]])=TRUE,1,0)=2,Table4424[[#This Row],[Response]],"")</f>
        <v>4</v>
      </c>
      <c r="K49" s="6" t="str">
        <f>IF(IF(Table4424[[#This Row],[Pre or Post]]="Post",1,0)+IF(ISNUMBER(Table4424[[#This Row],[Response]])=TRUE,1,0)=2,Table4424[[#This Row],[Response]],"")</f>
        <v/>
      </c>
      <c r="L49" s="5">
        <f>IF(IF(ISNUMBER(J49),1,0)+IF(ISNUMBER(K50),1,0)=2,IF(IF(C50=C49,1,0)+IF(B50=B49,1,0)+IF(D50="Post",1,0)+IF(D49="Pre",1,0)=4,Table4424[[#This Row],[Pre Total]],""),"")</f>
        <v>4</v>
      </c>
      <c r="M49" s="5" t="str">
        <f>IF(IF(ISNUMBER(J48),1,0)+IF(ISNUMBER(Table4424[[#This Row],[Post Total]]),1,0)=2,IF(IF(Table4424[[#This Row],[Student Number]]=C48,1,0)+IF(Table4424[[#This Row],[Session]]=B48,1,0)+IF(Table4424[[#This Row],[Pre or Post]]="Post",1,0)+IF(D48="Pre",1,0)=4,Table4424[[#This Row],[Post Total]],""),"")</f>
        <v/>
      </c>
      <c r="N49" s="5" t="str">
        <f>IF(IF(ISNUMBER(J48),1,0)+IF(ISNUMBER(Table4424[[#This Row],[Post Total]]),1,0)=2,IF(IF(Table4424[[#This Row],[Student Number]]=C48,1,0)+IF(Table4424[[#This Row],[Session]]=B48,1,0)+IF(Table4424[[#This Row],[Pre or Post]]="Post",1,0)+IF(D48="Pre",1,0)=4,Table4424[[#This Row],[Post Total]]-J48,""),"")</f>
        <v/>
      </c>
      <c r="O49" s="5" t="b">
        <f>ISNUMBER(Table4424[[#This Row],[Change]])</f>
        <v>0</v>
      </c>
    </row>
    <row r="50" spans="1:15">
      <c r="A50" s="1" t="s">
        <v>24</v>
      </c>
      <c r="B50" s="1" t="s">
        <v>23</v>
      </c>
      <c r="C50" s="1">
        <v>15</v>
      </c>
      <c r="D50" s="1" t="s">
        <v>16</v>
      </c>
      <c r="E50" s="1">
        <v>2</v>
      </c>
      <c r="F50" s="1">
        <v>4</v>
      </c>
      <c r="G50" s="1" t="s">
        <v>8</v>
      </c>
      <c r="H50" s="5" t="str">
        <f>IF(IF(Table4424[[#This Row],[Pre or Post]]="Pre",1,0)+IF(ISNUMBER(Table4424[[#This Row],[Response]])=TRUE,1,0)=2,1,"")</f>
        <v/>
      </c>
      <c r="I50" s="5">
        <f>IF(IF(Table4424[[#This Row],[Pre or Post]]="Post",1,0)+IF(ISNUMBER(Table4424[[#This Row],[Response]])=TRUE,1,0)=2,1,"")</f>
        <v>1</v>
      </c>
      <c r="J50" s="6" t="str">
        <f>IF(IF(Table4424[[#This Row],[Pre or Post]]="Pre",1,0)+IF(ISNUMBER(Table4424[[#This Row],[Response]])=TRUE,1,0)=2,Table4424[[#This Row],[Response]],"")</f>
        <v/>
      </c>
      <c r="K50" s="6">
        <f>IF(IF(Table4424[[#This Row],[Pre or Post]]="Post",1,0)+IF(ISNUMBER(Table4424[[#This Row],[Response]])=TRUE,1,0)=2,Table4424[[#This Row],[Response]],"")</f>
        <v>4</v>
      </c>
      <c r="L50" s="5" t="str">
        <f>IF(IF(ISNUMBER(J50),1,0)+IF(ISNUMBER(K51),1,0)=2,IF(IF(C51=C50,1,0)+IF(B51=B50,1,0)+IF(D51="Post",1,0)+IF(D50="Pre",1,0)=4,Table4424[[#This Row],[Pre Total]],""),"")</f>
        <v/>
      </c>
      <c r="M50" s="5">
        <f>IF(IF(ISNUMBER(J49),1,0)+IF(ISNUMBER(Table4424[[#This Row],[Post Total]]),1,0)=2,IF(IF(Table4424[[#This Row],[Student Number]]=C49,1,0)+IF(Table4424[[#This Row],[Session]]=B49,1,0)+IF(Table4424[[#This Row],[Pre or Post]]="Post",1,0)+IF(D49="Pre",1,0)=4,Table4424[[#This Row],[Post Total]],""),"")</f>
        <v>4</v>
      </c>
      <c r="N50" s="5">
        <f>IF(IF(ISNUMBER(J49),1,0)+IF(ISNUMBER(Table4424[[#This Row],[Post Total]]),1,0)=2,IF(IF(Table4424[[#This Row],[Student Number]]=C49,1,0)+IF(Table4424[[#This Row],[Session]]=B49,1,0)+IF(Table4424[[#This Row],[Pre or Post]]="Post",1,0)+IF(D49="Pre",1,0)=4,Table4424[[#This Row],[Post Total]]-J49,""),"")</f>
        <v>0</v>
      </c>
      <c r="O50" s="5" t="b">
        <f>ISNUMBER(Table4424[[#This Row],[Change]])</f>
        <v>1</v>
      </c>
    </row>
    <row r="51" spans="1:15">
      <c r="A51" s="1" t="s">
        <v>24</v>
      </c>
      <c r="B51" s="1" t="s">
        <v>23</v>
      </c>
      <c r="C51" s="1">
        <v>16</v>
      </c>
      <c r="D51" s="1" t="s">
        <v>6</v>
      </c>
      <c r="E51" s="1">
        <v>9</v>
      </c>
      <c r="F51" s="1">
        <v>3</v>
      </c>
      <c r="G51" s="1" t="s">
        <v>8</v>
      </c>
      <c r="H51" s="5">
        <f>IF(IF(Table4424[[#This Row],[Pre or Post]]="Pre",1,0)+IF(ISNUMBER(Table4424[[#This Row],[Response]])=TRUE,1,0)=2,1,"")</f>
        <v>1</v>
      </c>
      <c r="I51" s="5" t="str">
        <f>IF(IF(Table4424[[#This Row],[Pre or Post]]="Post",1,0)+IF(ISNUMBER(Table4424[[#This Row],[Response]])=TRUE,1,0)=2,1,"")</f>
        <v/>
      </c>
      <c r="J51" s="6">
        <f>IF(IF(Table4424[[#This Row],[Pre or Post]]="Pre",1,0)+IF(ISNUMBER(Table4424[[#This Row],[Response]])=TRUE,1,0)=2,Table4424[[#This Row],[Response]],"")</f>
        <v>3</v>
      </c>
      <c r="K51" s="6" t="str">
        <f>IF(IF(Table4424[[#This Row],[Pre or Post]]="Post",1,0)+IF(ISNUMBER(Table4424[[#This Row],[Response]])=TRUE,1,0)=2,Table4424[[#This Row],[Response]],"")</f>
        <v/>
      </c>
      <c r="L51" s="5">
        <f>IF(IF(ISNUMBER(J51),1,0)+IF(ISNUMBER(K52),1,0)=2,IF(IF(C52=C51,1,0)+IF(B52=B51,1,0)+IF(D52="Post",1,0)+IF(D51="Pre",1,0)=4,Table4424[[#This Row],[Pre Total]],""),"")</f>
        <v>3</v>
      </c>
      <c r="M51" s="5" t="str">
        <f>IF(IF(ISNUMBER(J50),1,0)+IF(ISNUMBER(Table4424[[#This Row],[Post Total]]),1,0)=2,IF(IF(Table4424[[#This Row],[Student Number]]=C50,1,0)+IF(Table4424[[#This Row],[Session]]=B50,1,0)+IF(Table4424[[#This Row],[Pre or Post]]="Post",1,0)+IF(D50="Pre",1,0)=4,Table4424[[#This Row],[Post Total]],""),"")</f>
        <v/>
      </c>
      <c r="N51" s="5" t="str">
        <f>IF(IF(ISNUMBER(J50),1,0)+IF(ISNUMBER(Table4424[[#This Row],[Post Total]]),1,0)=2,IF(IF(Table4424[[#This Row],[Student Number]]=C50,1,0)+IF(Table4424[[#This Row],[Session]]=B50,1,0)+IF(Table4424[[#This Row],[Pre or Post]]="Post",1,0)+IF(D50="Pre",1,0)=4,Table4424[[#This Row],[Post Total]]-J50,""),"")</f>
        <v/>
      </c>
      <c r="O51" s="5" t="b">
        <f>ISNUMBER(Table4424[[#This Row],[Change]])</f>
        <v>0</v>
      </c>
    </row>
    <row r="52" spans="1:15">
      <c r="A52" s="1" t="s">
        <v>24</v>
      </c>
      <c r="B52" s="1" t="s">
        <v>23</v>
      </c>
      <c r="C52" s="1">
        <v>16</v>
      </c>
      <c r="D52" s="1" t="s">
        <v>16</v>
      </c>
      <c r="E52" s="1">
        <v>2</v>
      </c>
      <c r="F52" s="1">
        <v>3</v>
      </c>
      <c r="G52" s="1" t="s">
        <v>8</v>
      </c>
      <c r="H52" s="5" t="str">
        <f>IF(IF(Table4424[[#This Row],[Pre or Post]]="Pre",1,0)+IF(ISNUMBER(Table4424[[#This Row],[Response]])=TRUE,1,0)=2,1,"")</f>
        <v/>
      </c>
      <c r="I52" s="5">
        <f>IF(IF(Table4424[[#This Row],[Pre or Post]]="Post",1,0)+IF(ISNUMBER(Table4424[[#This Row],[Response]])=TRUE,1,0)=2,1,"")</f>
        <v>1</v>
      </c>
      <c r="J52" s="6" t="str">
        <f>IF(IF(Table4424[[#This Row],[Pre or Post]]="Pre",1,0)+IF(ISNUMBER(Table4424[[#This Row],[Response]])=TRUE,1,0)=2,Table4424[[#This Row],[Response]],"")</f>
        <v/>
      </c>
      <c r="K52" s="6">
        <f>IF(IF(Table4424[[#This Row],[Pre or Post]]="Post",1,0)+IF(ISNUMBER(Table4424[[#This Row],[Response]])=TRUE,1,0)=2,Table4424[[#This Row],[Response]],"")</f>
        <v>3</v>
      </c>
      <c r="L52" s="5" t="str">
        <f>IF(IF(ISNUMBER(J52),1,0)+IF(ISNUMBER(K53),1,0)=2,IF(IF(C53=C52,1,0)+IF(B53=B52,1,0)+IF(D53="Post",1,0)+IF(D52="Pre",1,0)=4,Table4424[[#This Row],[Pre Total]],""),"")</f>
        <v/>
      </c>
      <c r="M52" s="5">
        <f>IF(IF(ISNUMBER(J51),1,0)+IF(ISNUMBER(Table4424[[#This Row],[Post Total]]),1,0)=2,IF(IF(Table4424[[#This Row],[Student Number]]=C51,1,0)+IF(Table4424[[#This Row],[Session]]=B51,1,0)+IF(Table4424[[#This Row],[Pre or Post]]="Post",1,0)+IF(D51="Pre",1,0)=4,Table4424[[#This Row],[Post Total]],""),"")</f>
        <v>3</v>
      </c>
      <c r="N52" s="5">
        <f>IF(IF(ISNUMBER(J51),1,0)+IF(ISNUMBER(Table4424[[#This Row],[Post Total]]),1,0)=2,IF(IF(Table4424[[#This Row],[Student Number]]=C51,1,0)+IF(Table4424[[#This Row],[Session]]=B51,1,0)+IF(Table4424[[#This Row],[Pre or Post]]="Post",1,0)+IF(D51="Pre",1,0)=4,Table4424[[#This Row],[Post Total]]-J51,""),"")</f>
        <v>0</v>
      </c>
      <c r="O52" s="5" t="b">
        <f>ISNUMBER(Table4424[[#This Row],[Change]])</f>
        <v>1</v>
      </c>
    </row>
    <row r="53" spans="1:15">
      <c r="A53" s="1" t="s">
        <v>24</v>
      </c>
      <c r="B53" s="1" t="s">
        <v>25</v>
      </c>
      <c r="C53" s="1">
        <v>1</v>
      </c>
      <c r="D53" s="1" t="s">
        <v>6</v>
      </c>
      <c r="E53" s="1">
        <v>9</v>
      </c>
      <c r="F53" s="1">
        <v>3</v>
      </c>
      <c r="G53" s="1" t="s">
        <v>8</v>
      </c>
      <c r="H53" s="5">
        <f>IF(IF(Table4424[[#This Row],[Pre or Post]]="Pre",1,0)+IF(ISNUMBER(Table4424[[#This Row],[Response]])=TRUE,1,0)=2,1,"")</f>
        <v>1</v>
      </c>
      <c r="I53" s="5" t="str">
        <f>IF(IF(Table4424[[#This Row],[Pre or Post]]="Post",1,0)+IF(ISNUMBER(Table4424[[#This Row],[Response]])=TRUE,1,0)=2,1,"")</f>
        <v/>
      </c>
      <c r="J53" s="6">
        <f>IF(IF(Table4424[[#This Row],[Pre or Post]]="Pre",1,0)+IF(ISNUMBER(Table4424[[#This Row],[Response]])=TRUE,1,0)=2,Table4424[[#This Row],[Response]],"")</f>
        <v>3</v>
      </c>
      <c r="K53" s="6" t="str">
        <f>IF(IF(Table4424[[#This Row],[Pre or Post]]="Post",1,0)+IF(ISNUMBER(Table4424[[#This Row],[Response]])=TRUE,1,0)=2,Table4424[[#This Row],[Response]],"")</f>
        <v/>
      </c>
      <c r="L53" s="5">
        <f>IF(IF(ISNUMBER(J53),1,0)+IF(ISNUMBER(K54),1,0)=2,IF(IF(C54=C53,1,0)+IF(B54=B53,1,0)+IF(D54="Post",1,0)+IF(D53="Pre",1,0)=4,Table4424[[#This Row],[Pre Total]],""),"")</f>
        <v>3</v>
      </c>
      <c r="M53" s="5" t="str">
        <f>IF(IF(ISNUMBER(J52),1,0)+IF(ISNUMBER(Table4424[[#This Row],[Post Total]]),1,0)=2,IF(IF(Table4424[[#This Row],[Student Number]]=C52,1,0)+IF(Table4424[[#This Row],[Session]]=B52,1,0)+IF(Table4424[[#This Row],[Pre or Post]]="Post",1,0)+IF(D52="Pre",1,0)=4,Table4424[[#This Row],[Post Total]],""),"")</f>
        <v/>
      </c>
      <c r="N53" s="5" t="str">
        <f>IF(IF(ISNUMBER(J52),1,0)+IF(ISNUMBER(Table4424[[#This Row],[Post Total]]),1,0)=2,IF(IF(Table4424[[#This Row],[Student Number]]=C52,1,0)+IF(Table4424[[#This Row],[Session]]=B52,1,0)+IF(Table4424[[#This Row],[Pre or Post]]="Post",1,0)+IF(D52="Pre",1,0)=4,Table4424[[#This Row],[Post Total]]-J52,""),"")</f>
        <v/>
      </c>
      <c r="O53" s="5" t="b">
        <f>ISNUMBER(Table4424[[#This Row],[Change]])</f>
        <v>0</v>
      </c>
    </row>
    <row r="54" spans="1:15">
      <c r="A54" s="1" t="s">
        <v>24</v>
      </c>
      <c r="B54" s="1" t="s">
        <v>25</v>
      </c>
      <c r="C54" s="1">
        <v>1</v>
      </c>
      <c r="D54" s="1" t="s">
        <v>16</v>
      </c>
      <c r="E54" s="1">
        <v>2</v>
      </c>
      <c r="F54" s="1">
        <v>3</v>
      </c>
      <c r="G54" s="2" t="s">
        <v>8</v>
      </c>
      <c r="H54" s="5" t="str">
        <f>IF(IF(Table4424[[#This Row],[Pre or Post]]="Pre",1,0)+IF(ISNUMBER(Table4424[[#This Row],[Response]])=TRUE,1,0)=2,1,"")</f>
        <v/>
      </c>
      <c r="I54" s="5">
        <f>IF(IF(Table4424[[#This Row],[Pre or Post]]="Post",1,0)+IF(ISNUMBER(Table4424[[#This Row],[Response]])=TRUE,1,0)=2,1,"")</f>
        <v>1</v>
      </c>
      <c r="J54" s="6" t="str">
        <f>IF(IF(Table4424[[#This Row],[Pre or Post]]="Pre",1,0)+IF(ISNUMBER(Table4424[[#This Row],[Response]])=TRUE,1,0)=2,Table4424[[#This Row],[Response]],"")</f>
        <v/>
      </c>
      <c r="K54" s="6">
        <f>IF(IF(Table4424[[#This Row],[Pre or Post]]="Post",1,0)+IF(ISNUMBER(Table4424[[#This Row],[Response]])=TRUE,1,0)=2,Table4424[[#This Row],[Response]],"")</f>
        <v>3</v>
      </c>
      <c r="L54" s="5" t="str">
        <f>IF(IF(ISNUMBER(J54),1,0)+IF(ISNUMBER(K55),1,0)=2,IF(IF(C55=C54,1,0)+IF(B55=B54,1,0)+IF(D55="Post",1,0)+IF(D54="Pre",1,0)=4,Table4424[[#This Row],[Pre Total]],""),"")</f>
        <v/>
      </c>
      <c r="M54" s="5">
        <f>IF(IF(ISNUMBER(J53),1,0)+IF(ISNUMBER(Table4424[[#This Row],[Post Total]]),1,0)=2,IF(IF(Table4424[[#This Row],[Student Number]]=C53,1,0)+IF(Table4424[[#This Row],[Session]]=B53,1,0)+IF(Table4424[[#This Row],[Pre or Post]]="Post",1,0)+IF(D53="Pre",1,0)=4,Table4424[[#This Row],[Post Total]],""),"")</f>
        <v>3</v>
      </c>
      <c r="N54" s="5">
        <f>IF(IF(ISNUMBER(J53),1,0)+IF(ISNUMBER(Table4424[[#This Row],[Post Total]]),1,0)=2,IF(IF(Table4424[[#This Row],[Student Number]]=C53,1,0)+IF(Table4424[[#This Row],[Session]]=B53,1,0)+IF(Table4424[[#This Row],[Pre or Post]]="Post",1,0)+IF(D53="Pre",1,0)=4,Table4424[[#This Row],[Post Total]]-J53,""),"")</f>
        <v>0</v>
      </c>
      <c r="O54" s="5" t="b">
        <f>ISNUMBER(Table4424[[#This Row],[Change]])</f>
        <v>1</v>
      </c>
    </row>
    <row r="55" spans="1:15">
      <c r="A55" s="1" t="s">
        <v>24</v>
      </c>
      <c r="B55" s="1" t="s">
        <v>25</v>
      </c>
      <c r="C55" s="1">
        <v>2</v>
      </c>
      <c r="D55" s="1" t="s">
        <v>6</v>
      </c>
      <c r="E55" s="1">
        <v>9</v>
      </c>
      <c r="F55" s="1">
        <v>3</v>
      </c>
      <c r="G55" s="1" t="s">
        <v>8</v>
      </c>
      <c r="H55" s="5">
        <f>IF(IF(Table4424[[#This Row],[Pre or Post]]="Pre",1,0)+IF(ISNUMBER(Table4424[[#This Row],[Response]])=TRUE,1,0)=2,1,"")</f>
        <v>1</v>
      </c>
      <c r="I55" s="5" t="str">
        <f>IF(IF(Table4424[[#This Row],[Pre or Post]]="Post",1,0)+IF(ISNUMBER(Table4424[[#This Row],[Response]])=TRUE,1,0)=2,1,"")</f>
        <v/>
      </c>
      <c r="J55" s="6">
        <f>IF(IF(Table4424[[#This Row],[Pre or Post]]="Pre",1,0)+IF(ISNUMBER(Table4424[[#This Row],[Response]])=TRUE,1,0)=2,Table4424[[#This Row],[Response]],"")</f>
        <v>3</v>
      </c>
      <c r="K55" s="6" t="str">
        <f>IF(IF(Table4424[[#This Row],[Pre or Post]]="Post",1,0)+IF(ISNUMBER(Table4424[[#This Row],[Response]])=TRUE,1,0)=2,Table4424[[#This Row],[Response]],"")</f>
        <v/>
      </c>
      <c r="L55" s="5">
        <f>IF(IF(ISNUMBER(J55),1,0)+IF(ISNUMBER(K56),1,0)=2,IF(IF(C56=C55,1,0)+IF(B56=B55,1,0)+IF(D56="Post",1,0)+IF(D55="Pre",1,0)=4,Table4424[[#This Row],[Pre Total]],""),"")</f>
        <v>3</v>
      </c>
      <c r="M55" s="5" t="str">
        <f>IF(IF(ISNUMBER(J54),1,0)+IF(ISNUMBER(Table4424[[#This Row],[Post Total]]),1,0)=2,IF(IF(Table4424[[#This Row],[Student Number]]=C54,1,0)+IF(Table4424[[#This Row],[Session]]=B54,1,0)+IF(Table4424[[#This Row],[Pre or Post]]="Post",1,0)+IF(D54="Pre",1,0)=4,Table4424[[#This Row],[Post Total]],""),"")</f>
        <v/>
      </c>
      <c r="N55" s="5" t="str">
        <f>IF(IF(ISNUMBER(J54),1,0)+IF(ISNUMBER(Table4424[[#This Row],[Post Total]]),1,0)=2,IF(IF(Table4424[[#This Row],[Student Number]]=C54,1,0)+IF(Table4424[[#This Row],[Session]]=B54,1,0)+IF(Table4424[[#This Row],[Pre or Post]]="Post",1,0)+IF(D54="Pre",1,0)=4,Table4424[[#This Row],[Post Total]]-J54,""),"")</f>
        <v/>
      </c>
      <c r="O55" s="5" t="b">
        <f>ISNUMBER(Table4424[[#This Row],[Change]])</f>
        <v>0</v>
      </c>
    </row>
    <row r="56" spans="1:15">
      <c r="A56" s="1" t="s">
        <v>24</v>
      </c>
      <c r="B56" s="1" t="s">
        <v>25</v>
      </c>
      <c r="C56" s="1">
        <v>2</v>
      </c>
      <c r="D56" s="1" t="s">
        <v>16</v>
      </c>
      <c r="E56" s="1">
        <v>2</v>
      </c>
      <c r="F56" s="1">
        <v>3</v>
      </c>
      <c r="G56" s="2" t="s">
        <v>8</v>
      </c>
      <c r="H56" s="5" t="str">
        <f>IF(IF(Table4424[[#This Row],[Pre or Post]]="Pre",1,0)+IF(ISNUMBER(Table4424[[#This Row],[Response]])=TRUE,1,0)=2,1,"")</f>
        <v/>
      </c>
      <c r="I56" s="5">
        <f>IF(IF(Table4424[[#This Row],[Pre or Post]]="Post",1,0)+IF(ISNUMBER(Table4424[[#This Row],[Response]])=TRUE,1,0)=2,1,"")</f>
        <v>1</v>
      </c>
      <c r="J56" s="6" t="str">
        <f>IF(IF(Table4424[[#This Row],[Pre or Post]]="Pre",1,0)+IF(ISNUMBER(Table4424[[#This Row],[Response]])=TRUE,1,0)=2,Table4424[[#This Row],[Response]],"")</f>
        <v/>
      </c>
      <c r="K56" s="6">
        <f>IF(IF(Table4424[[#This Row],[Pre or Post]]="Post",1,0)+IF(ISNUMBER(Table4424[[#This Row],[Response]])=TRUE,1,0)=2,Table4424[[#This Row],[Response]],"")</f>
        <v>3</v>
      </c>
      <c r="L56" s="5" t="str">
        <f>IF(IF(ISNUMBER(J56),1,0)+IF(ISNUMBER(K57),1,0)=2,IF(IF(C57=C56,1,0)+IF(B57=B56,1,0)+IF(D57="Post",1,0)+IF(D56="Pre",1,0)=4,Table4424[[#This Row],[Pre Total]],""),"")</f>
        <v/>
      </c>
      <c r="M56" s="5">
        <f>IF(IF(ISNUMBER(J55),1,0)+IF(ISNUMBER(Table4424[[#This Row],[Post Total]]),1,0)=2,IF(IF(Table4424[[#This Row],[Student Number]]=C55,1,0)+IF(Table4424[[#This Row],[Session]]=B55,1,0)+IF(Table4424[[#This Row],[Pre or Post]]="Post",1,0)+IF(D55="Pre",1,0)=4,Table4424[[#This Row],[Post Total]],""),"")</f>
        <v>3</v>
      </c>
      <c r="N56" s="5">
        <f>IF(IF(ISNUMBER(J55),1,0)+IF(ISNUMBER(Table4424[[#This Row],[Post Total]]),1,0)=2,IF(IF(Table4424[[#This Row],[Student Number]]=C55,1,0)+IF(Table4424[[#This Row],[Session]]=B55,1,0)+IF(Table4424[[#This Row],[Pre or Post]]="Post",1,0)+IF(D55="Pre",1,0)=4,Table4424[[#This Row],[Post Total]]-J55,""),"")</f>
        <v>0</v>
      </c>
      <c r="O56" s="5" t="b">
        <f>ISNUMBER(Table4424[[#This Row],[Change]])</f>
        <v>1</v>
      </c>
    </row>
    <row r="57" spans="1:15">
      <c r="A57" s="1" t="s">
        <v>24</v>
      </c>
      <c r="B57" s="1" t="s">
        <v>25</v>
      </c>
      <c r="C57" s="1">
        <v>3</v>
      </c>
      <c r="D57" s="1" t="s">
        <v>6</v>
      </c>
      <c r="E57" s="1">
        <v>9</v>
      </c>
      <c r="F57" s="1">
        <v>3</v>
      </c>
      <c r="G57" s="1" t="s">
        <v>8</v>
      </c>
      <c r="H57" s="5">
        <f>IF(IF(Table4424[[#This Row],[Pre or Post]]="Pre",1,0)+IF(ISNUMBER(Table4424[[#This Row],[Response]])=TRUE,1,0)=2,1,"")</f>
        <v>1</v>
      </c>
      <c r="I57" s="5" t="str">
        <f>IF(IF(Table4424[[#This Row],[Pre or Post]]="Post",1,0)+IF(ISNUMBER(Table4424[[#This Row],[Response]])=TRUE,1,0)=2,1,"")</f>
        <v/>
      </c>
      <c r="J57" s="6">
        <f>IF(IF(Table4424[[#This Row],[Pre or Post]]="Pre",1,0)+IF(ISNUMBER(Table4424[[#This Row],[Response]])=TRUE,1,0)=2,Table4424[[#This Row],[Response]],"")</f>
        <v>3</v>
      </c>
      <c r="K57" s="6" t="str">
        <f>IF(IF(Table4424[[#This Row],[Pre or Post]]="Post",1,0)+IF(ISNUMBER(Table4424[[#This Row],[Response]])=TRUE,1,0)=2,Table4424[[#This Row],[Response]],"")</f>
        <v/>
      </c>
      <c r="L57" s="5">
        <f>IF(IF(ISNUMBER(J57),1,0)+IF(ISNUMBER(K58),1,0)=2,IF(IF(C58=C57,1,0)+IF(B58=B57,1,0)+IF(D58="Post",1,0)+IF(D57="Pre",1,0)=4,Table4424[[#This Row],[Pre Total]],""),"")</f>
        <v>3</v>
      </c>
      <c r="M57" s="5" t="str">
        <f>IF(IF(ISNUMBER(J56),1,0)+IF(ISNUMBER(Table4424[[#This Row],[Post Total]]),1,0)=2,IF(IF(Table4424[[#This Row],[Student Number]]=C56,1,0)+IF(Table4424[[#This Row],[Session]]=B56,1,0)+IF(Table4424[[#This Row],[Pre or Post]]="Post",1,0)+IF(D56="Pre",1,0)=4,Table4424[[#This Row],[Post Total]],""),"")</f>
        <v/>
      </c>
      <c r="N57" s="5" t="str">
        <f>IF(IF(ISNUMBER(J56),1,0)+IF(ISNUMBER(Table4424[[#This Row],[Post Total]]),1,0)=2,IF(IF(Table4424[[#This Row],[Student Number]]=C56,1,0)+IF(Table4424[[#This Row],[Session]]=B56,1,0)+IF(Table4424[[#This Row],[Pre or Post]]="Post",1,0)+IF(D56="Pre",1,0)=4,Table4424[[#This Row],[Post Total]]-J56,""),"")</f>
        <v/>
      </c>
      <c r="O57" s="5" t="b">
        <f>ISNUMBER(Table4424[[#This Row],[Change]])</f>
        <v>0</v>
      </c>
    </row>
    <row r="58" spans="1:15">
      <c r="A58" s="1" t="s">
        <v>24</v>
      </c>
      <c r="B58" s="1" t="s">
        <v>25</v>
      </c>
      <c r="C58" s="1">
        <v>3</v>
      </c>
      <c r="D58" s="1" t="s">
        <v>16</v>
      </c>
      <c r="E58" s="1">
        <v>2</v>
      </c>
      <c r="F58" s="1">
        <v>3</v>
      </c>
      <c r="G58" s="2" t="s">
        <v>8</v>
      </c>
      <c r="H58" s="5" t="str">
        <f>IF(IF(Table4424[[#This Row],[Pre or Post]]="Pre",1,0)+IF(ISNUMBER(Table4424[[#This Row],[Response]])=TRUE,1,0)=2,1,"")</f>
        <v/>
      </c>
      <c r="I58" s="5">
        <f>IF(IF(Table4424[[#This Row],[Pre or Post]]="Post",1,0)+IF(ISNUMBER(Table4424[[#This Row],[Response]])=TRUE,1,0)=2,1,"")</f>
        <v>1</v>
      </c>
      <c r="J58" s="6" t="str">
        <f>IF(IF(Table4424[[#This Row],[Pre or Post]]="Pre",1,0)+IF(ISNUMBER(Table4424[[#This Row],[Response]])=TRUE,1,0)=2,Table4424[[#This Row],[Response]],"")</f>
        <v/>
      </c>
      <c r="K58" s="6">
        <f>IF(IF(Table4424[[#This Row],[Pre or Post]]="Post",1,0)+IF(ISNUMBER(Table4424[[#This Row],[Response]])=TRUE,1,0)=2,Table4424[[#This Row],[Response]],"")</f>
        <v>3</v>
      </c>
      <c r="L58" s="5" t="str">
        <f>IF(IF(ISNUMBER(J58),1,0)+IF(ISNUMBER(K59),1,0)=2,IF(IF(C59=C58,1,0)+IF(B59=B58,1,0)+IF(D59="Post",1,0)+IF(D58="Pre",1,0)=4,Table4424[[#This Row],[Pre Total]],""),"")</f>
        <v/>
      </c>
      <c r="M58" s="5">
        <f>IF(IF(ISNUMBER(J57),1,0)+IF(ISNUMBER(Table4424[[#This Row],[Post Total]]),1,0)=2,IF(IF(Table4424[[#This Row],[Student Number]]=C57,1,0)+IF(Table4424[[#This Row],[Session]]=B57,1,0)+IF(Table4424[[#This Row],[Pre or Post]]="Post",1,0)+IF(D57="Pre",1,0)=4,Table4424[[#This Row],[Post Total]],""),"")</f>
        <v>3</v>
      </c>
      <c r="N58" s="5">
        <f>IF(IF(ISNUMBER(J57),1,0)+IF(ISNUMBER(Table4424[[#This Row],[Post Total]]),1,0)=2,IF(IF(Table4424[[#This Row],[Student Number]]=C57,1,0)+IF(Table4424[[#This Row],[Session]]=B57,1,0)+IF(Table4424[[#This Row],[Pre or Post]]="Post",1,0)+IF(D57="Pre",1,0)=4,Table4424[[#This Row],[Post Total]]-J57,""),"")</f>
        <v>0</v>
      </c>
      <c r="O58" s="5" t="b">
        <f>ISNUMBER(Table4424[[#This Row],[Change]])</f>
        <v>1</v>
      </c>
    </row>
    <row r="59" spans="1:15">
      <c r="A59" s="1" t="s">
        <v>24</v>
      </c>
      <c r="B59" s="1" t="s">
        <v>25</v>
      </c>
      <c r="C59" s="1">
        <v>4</v>
      </c>
      <c r="D59" s="1" t="s">
        <v>6</v>
      </c>
      <c r="E59" s="1">
        <v>9</v>
      </c>
      <c r="F59" s="1">
        <v>3</v>
      </c>
      <c r="G59" s="1" t="s">
        <v>8</v>
      </c>
      <c r="H59" s="5">
        <f>IF(IF(Table4424[[#This Row],[Pre or Post]]="Pre",1,0)+IF(ISNUMBER(Table4424[[#This Row],[Response]])=TRUE,1,0)=2,1,"")</f>
        <v>1</v>
      </c>
      <c r="I59" s="5" t="str">
        <f>IF(IF(Table4424[[#This Row],[Pre or Post]]="Post",1,0)+IF(ISNUMBER(Table4424[[#This Row],[Response]])=TRUE,1,0)=2,1,"")</f>
        <v/>
      </c>
      <c r="J59" s="6">
        <f>IF(IF(Table4424[[#This Row],[Pre or Post]]="Pre",1,0)+IF(ISNUMBER(Table4424[[#This Row],[Response]])=TRUE,1,0)=2,Table4424[[#This Row],[Response]],"")</f>
        <v>3</v>
      </c>
      <c r="K59" s="6" t="str">
        <f>IF(IF(Table4424[[#This Row],[Pre or Post]]="Post",1,0)+IF(ISNUMBER(Table4424[[#This Row],[Response]])=TRUE,1,0)=2,Table4424[[#This Row],[Response]],"")</f>
        <v/>
      </c>
      <c r="L59" s="5">
        <f>IF(IF(ISNUMBER(J59),1,0)+IF(ISNUMBER(K60),1,0)=2,IF(IF(C60=C59,1,0)+IF(B60=B59,1,0)+IF(D60="Post",1,0)+IF(D59="Pre",1,0)=4,Table4424[[#This Row],[Pre Total]],""),"")</f>
        <v>3</v>
      </c>
      <c r="M59" s="5" t="str">
        <f>IF(IF(ISNUMBER(J58),1,0)+IF(ISNUMBER(Table4424[[#This Row],[Post Total]]),1,0)=2,IF(IF(Table4424[[#This Row],[Student Number]]=C58,1,0)+IF(Table4424[[#This Row],[Session]]=B58,1,0)+IF(Table4424[[#This Row],[Pre or Post]]="Post",1,0)+IF(D58="Pre",1,0)=4,Table4424[[#This Row],[Post Total]],""),"")</f>
        <v/>
      </c>
      <c r="N59" s="5" t="str">
        <f>IF(IF(ISNUMBER(J58),1,0)+IF(ISNUMBER(Table4424[[#This Row],[Post Total]]),1,0)=2,IF(IF(Table4424[[#This Row],[Student Number]]=C58,1,0)+IF(Table4424[[#This Row],[Session]]=B58,1,0)+IF(Table4424[[#This Row],[Pre or Post]]="Post",1,0)+IF(D58="Pre",1,0)=4,Table4424[[#This Row],[Post Total]]-J58,""),"")</f>
        <v/>
      </c>
      <c r="O59" s="5" t="b">
        <f>ISNUMBER(Table4424[[#This Row],[Change]])</f>
        <v>0</v>
      </c>
    </row>
    <row r="60" spans="1:15">
      <c r="A60" s="1" t="s">
        <v>24</v>
      </c>
      <c r="B60" s="1" t="s">
        <v>25</v>
      </c>
      <c r="C60" s="1">
        <v>4</v>
      </c>
      <c r="D60" s="1" t="s">
        <v>16</v>
      </c>
      <c r="E60" s="1">
        <v>2</v>
      </c>
      <c r="F60" s="1">
        <v>3</v>
      </c>
      <c r="G60" s="2" t="s">
        <v>8</v>
      </c>
      <c r="H60" s="5" t="str">
        <f>IF(IF(Table4424[[#This Row],[Pre or Post]]="Pre",1,0)+IF(ISNUMBER(Table4424[[#This Row],[Response]])=TRUE,1,0)=2,1,"")</f>
        <v/>
      </c>
      <c r="I60" s="5">
        <f>IF(IF(Table4424[[#This Row],[Pre or Post]]="Post",1,0)+IF(ISNUMBER(Table4424[[#This Row],[Response]])=TRUE,1,0)=2,1,"")</f>
        <v>1</v>
      </c>
      <c r="J60" s="6" t="str">
        <f>IF(IF(Table4424[[#This Row],[Pre or Post]]="Pre",1,0)+IF(ISNUMBER(Table4424[[#This Row],[Response]])=TRUE,1,0)=2,Table4424[[#This Row],[Response]],"")</f>
        <v/>
      </c>
      <c r="K60" s="6">
        <f>IF(IF(Table4424[[#This Row],[Pre or Post]]="Post",1,0)+IF(ISNUMBER(Table4424[[#This Row],[Response]])=TRUE,1,0)=2,Table4424[[#This Row],[Response]],"")</f>
        <v>3</v>
      </c>
      <c r="L60" s="5" t="str">
        <f>IF(IF(ISNUMBER(J60),1,0)+IF(ISNUMBER(K61),1,0)=2,IF(IF(C61=C60,1,0)+IF(B61=B60,1,0)+IF(D61="Post",1,0)+IF(D60="Pre",1,0)=4,Table4424[[#This Row],[Pre Total]],""),"")</f>
        <v/>
      </c>
      <c r="M60" s="5">
        <f>IF(IF(ISNUMBER(J59),1,0)+IF(ISNUMBER(Table4424[[#This Row],[Post Total]]),1,0)=2,IF(IF(Table4424[[#This Row],[Student Number]]=C59,1,0)+IF(Table4424[[#This Row],[Session]]=B59,1,0)+IF(Table4424[[#This Row],[Pre or Post]]="Post",1,0)+IF(D59="Pre",1,0)=4,Table4424[[#This Row],[Post Total]],""),"")</f>
        <v>3</v>
      </c>
      <c r="N60" s="5">
        <f>IF(IF(ISNUMBER(J59),1,0)+IF(ISNUMBER(Table4424[[#This Row],[Post Total]]),1,0)=2,IF(IF(Table4424[[#This Row],[Student Number]]=C59,1,0)+IF(Table4424[[#This Row],[Session]]=B59,1,0)+IF(Table4424[[#This Row],[Pre or Post]]="Post",1,0)+IF(D59="Pre",1,0)=4,Table4424[[#This Row],[Post Total]]-J59,""),"")</f>
        <v>0</v>
      </c>
      <c r="O60" s="5" t="b">
        <f>ISNUMBER(Table4424[[#This Row],[Change]])</f>
        <v>1</v>
      </c>
    </row>
    <row r="61" spans="1:15">
      <c r="A61" s="1" t="s">
        <v>24</v>
      </c>
      <c r="B61" s="1" t="s">
        <v>25</v>
      </c>
      <c r="C61" s="1">
        <v>5</v>
      </c>
      <c r="D61" s="1" t="s">
        <v>6</v>
      </c>
      <c r="E61" s="1">
        <v>9</v>
      </c>
      <c r="F61" s="1">
        <v>3</v>
      </c>
      <c r="G61" s="1" t="s">
        <v>8</v>
      </c>
      <c r="H61" s="5">
        <f>IF(IF(Table4424[[#This Row],[Pre or Post]]="Pre",1,0)+IF(ISNUMBER(Table4424[[#This Row],[Response]])=TRUE,1,0)=2,1,"")</f>
        <v>1</v>
      </c>
      <c r="I61" s="5" t="str">
        <f>IF(IF(Table4424[[#This Row],[Pre or Post]]="Post",1,0)+IF(ISNUMBER(Table4424[[#This Row],[Response]])=TRUE,1,0)=2,1,"")</f>
        <v/>
      </c>
      <c r="J61" s="6">
        <f>IF(IF(Table4424[[#This Row],[Pre or Post]]="Pre",1,0)+IF(ISNUMBER(Table4424[[#This Row],[Response]])=TRUE,1,0)=2,Table4424[[#This Row],[Response]],"")</f>
        <v>3</v>
      </c>
      <c r="K61" s="6" t="str">
        <f>IF(IF(Table4424[[#This Row],[Pre or Post]]="Post",1,0)+IF(ISNUMBER(Table4424[[#This Row],[Response]])=TRUE,1,0)=2,Table4424[[#This Row],[Response]],"")</f>
        <v/>
      </c>
      <c r="L61" s="5">
        <f>IF(IF(ISNUMBER(J61),1,0)+IF(ISNUMBER(K62),1,0)=2,IF(IF(C62=C61,1,0)+IF(B62=B61,1,0)+IF(D62="Post",1,0)+IF(D61="Pre",1,0)=4,Table4424[[#This Row],[Pre Total]],""),"")</f>
        <v>3</v>
      </c>
      <c r="M61" s="5" t="str">
        <f>IF(IF(ISNUMBER(J60),1,0)+IF(ISNUMBER(Table4424[[#This Row],[Post Total]]),1,0)=2,IF(IF(Table4424[[#This Row],[Student Number]]=C60,1,0)+IF(Table4424[[#This Row],[Session]]=B60,1,0)+IF(Table4424[[#This Row],[Pre or Post]]="Post",1,0)+IF(D60="Pre",1,0)=4,Table4424[[#This Row],[Post Total]],""),"")</f>
        <v/>
      </c>
      <c r="N61" s="5" t="str">
        <f>IF(IF(ISNUMBER(J60),1,0)+IF(ISNUMBER(Table4424[[#This Row],[Post Total]]),1,0)=2,IF(IF(Table4424[[#This Row],[Student Number]]=C60,1,0)+IF(Table4424[[#This Row],[Session]]=B60,1,0)+IF(Table4424[[#This Row],[Pre or Post]]="Post",1,0)+IF(D60="Pre",1,0)=4,Table4424[[#This Row],[Post Total]]-J60,""),"")</f>
        <v/>
      </c>
      <c r="O61" s="5" t="b">
        <f>ISNUMBER(Table4424[[#This Row],[Change]])</f>
        <v>0</v>
      </c>
    </row>
    <row r="62" spans="1:15">
      <c r="A62" s="1" t="s">
        <v>24</v>
      </c>
      <c r="B62" s="1" t="s">
        <v>25</v>
      </c>
      <c r="C62" s="1">
        <v>5</v>
      </c>
      <c r="D62" s="1" t="s">
        <v>16</v>
      </c>
      <c r="E62" s="1">
        <v>2</v>
      </c>
      <c r="F62" s="1">
        <v>4</v>
      </c>
      <c r="G62" s="2" t="s">
        <v>8</v>
      </c>
      <c r="H62" s="5" t="str">
        <f>IF(IF(Table4424[[#This Row],[Pre or Post]]="Pre",1,0)+IF(ISNUMBER(Table4424[[#This Row],[Response]])=TRUE,1,0)=2,1,"")</f>
        <v/>
      </c>
      <c r="I62" s="5">
        <f>IF(IF(Table4424[[#This Row],[Pre or Post]]="Post",1,0)+IF(ISNUMBER(Table4424[[#This Row],[Response]])=TRUE,1,0)=2,1,"")</f>
        <v>1</v>
      </c>
      <c r="J62" s="6" t="str">
        <f>IF(IF(Table4424[[#This Row],[Pre or Post]]="Pre",1,0)+IF(ISNUMBER(Table4424[[#This Row],[Response]])=TRUE,1,0)=2,Table4424[[#This Row],[Response]],"")</f>
        <v/>
      </c>
      <c r="K62" s="6">
        <f>IF(IF(Table4424[[#This Row],[Pre or Post]]="Post",1,0)+IF(ISNUMBER(Table4424[[#This Row],[Response]])=TRUE,1,0)=2,Table4424[[#This Row],[Response]],"")</f>
        <v>4</v>
      </c>
      <c r="L62" s="5" t="str">
        <f>IF(IF(ISNUMBER(J62),1,0)+IF(ISNUMBER(K63),1,0)=2,IF(IF(C63=C62,1,0)+IF(B63=B62,1,0)+IF(D63="Post",1,0)+IF(D62="Pre",1,0)=4,Table4424[[#This Row],[Pre Total]],""),"")</f>
        <v/>
      </c>
      <c r="M62" s="5">
        <f>IF(IF(ISNUMBER(J61),1,0)+IF(ISNUMBER(Table4424[[#This Row],[Post Total]]),1,0)=2,IF(IF(Table4424[[#This Row],[Student Number]]=C61,1,0)+IF(Table4424[[#This Row],[Session]]=B61,1,0)+IF(Table4424[[#This Row],[Pre or Post]]="Post",1,0)+IF(D61="Pre",1,0)=4,Table4424[[#This Row],[Post Total]],""),"")</f>
        <v>4</v>
      </c>
      <c r="N62" s="5">
        <f>IF(IF(ISNUMBER(J61),1,0)+IF(ISNUMBER(Table4424[[#This Row],[Post Total]]),1,0)=2,IF(IF(Table4424[[#This Row],[Student Number]]=C61,1,0)+IF(Table4424[[#This Row],[Session]]=B61,1,0)+IF(Table4424[[#This Row],[Pre or Post]]="Post",1,0)+IF(D61="Pre",1,0)=4,Table4424[[#This Row],[Post Total]]-J61,""),"")</f>
        <v>1</v>
      </c>
      <c r="O62" s="5" t="b">
        <f>ISNUMBER(Table4424[[#This Row],[Change]])</f>
        <v>1</v>
      </c>
    </row>
    <row r="63" spans="1:15">
      <c r="A63" s="1" t="s">
        <v>24</v>
      </c>
      <c r="B63" s="1" t="s">
        <v>25</v>
      </c>
      <c r="C63" s="1">
        <v>6</v>
      </c>
      <c r="D63" s="1" t="s">
        <v>6</v>
      </c>
      <c r="E63" s="1">
        <v>9</v>
      </c>
      <c r="F63" s="1">
        <v>3</v>
      </c>
      <c r="G63" s="1" t="s">
        <v>8</v>
      </c>
      <c r="H63" s="5">
        <f>IF(IF(Table4424[[#This Row],[Pre or Post]]="Pre",1,0)+IF(ISNUMBER(Table4424[[#This Row],[Response]])=TRUE,1,0)=2,1,"")</f>
        <v>1</v>
      </c>
      <c r="I63" s="5" t="str">
        <f>IF(IF(Table4424[[#This Row],[Pre or Post]]="Post",1,0)+IF(ISNUMBER(Table4424[[#This Row],[Response]])=TRUE,1,0)=2,1,"")</f>
        <v/>
      </c>
      <c r="J63" s="6">
        <f>IF(IF(Table4424[[#This Row],[Pre or Post]]="Pre",1,0)+IF(ISNUMBER(Table4424[[#This Row],[Response]])=TRUE,1,0)=2,Table4424[[#This Row],[Response]],"")</f>
        <v>3</v>
      </c>
      <c r="K63" s="6" t="str">
        <f>IF(IF(Table4424[[#This Row],[Pre or Post]]="Post",1,0)+IF(ISNUMBER(Table4424[[#This Row],[Response]])=TRUE,1,0)=2,Table4424[[#This Row],[Response]],"")</f>
        <v/>
      </c>
      <c r="L63" s="5">
        <f>IF(IF(ISNUMBER(J63),1,0)+IF(ISNUMBER(K64),1,0)=2,IF(IF(C64=C63,1,0)+IF(B64=B63,1,0)+IF(D64="Post",1,0)+IF(D63="Pre",1,0)=4,Table4424[[#This Row],[Pre Total]],""),"")</f>
        <v>3</v>
      </c>
      <c r="M63" s="5" t="str">
        <f>IF(IF(ISNUMBER(J62),1,0)+IF(ISNUMBER(Table4424[[#This Row],[Post Total]]),1,0)=2,IF(IF(Table4424[[#This Row],[Student Number]]=C62,1,0)+IF(Table4424[[#This Row],[Session]]=B62,1,0)+IF(Table4424[[#This Row],[Pre or Post]]="Post",1,0)+IF(D62="Pre",1,0)=4,Table4424[[#This Row],[Post Total]],""),"")</f>
        <v/>
      </c>
      <c r="N63" s="5" t="str">
        <f>IF(IF(ISNUMBER(J62),1,0)+IF(ISNUMBER(Table4424[[#This Row],[Post Total]]),1,0)=2,IF(IF(Table4424[[#This Row],[Student Number]]=C62,1,0)+IF(Table4424[[#This Row],[Session]]=B62,1,0)+IF(Table4424[[#This Row],[Pre or Post]]="Post",1,0)+IF(D62="Pre",1,0)=4,Table4424[[#This Row],[Post Total]]-J62,""),"")</f>
        <v/>
      </c>
      <c r="O63" s="5" t="b">
        <f>ISNUMBER(Table4424[[#This Row],[Change]])</f>
        <v>0</v>
      </c>
    </row>
    <row r="64" spans="1:15">
      <c r="A64" s="1" t="s">
        <v>24</v>
      </c>
      <c r="B64" s="1" t="s">
        <v>25</v>
      </c>
      <c r="C64" s="1">
        <v>6</v>
      </c>
      <c r="D64" s="1" t="s">
        <v>16</v>
      </c>
      <c r="E64" s="1">
        <v>2</v>
      </c>
      <c r="F64" s="1">
        <v>4</v>
      </c>
      <c r="G64" s="2" t="s">
        <v>8</v>
      </c>
      <c r="H64" s="5" t="str">
        <f>IF(IF(Table4424[[#This Row],[Pre or Post]]="Pre",1,0)+IF(ISNUMBER(Table4424[[#This Row],[Response]])=TRUE,1,0)=2,1,"")</f>
        <v/>
      </c>
      <c r="I64" s="5">
        <f>IF(IF(Table4424[[#This Row],[Pre or Post]]="Post",1,0)+IF(ISNUMBER(Table4424[[#This Row],[Response]])=TRUE,1,0)=2,1,"")</f>
        <v>1</v>
      </c>
      <c r="J64" s="6" t="str">
        <f>IF(IF(Table4424[[#This Row],[Pre or Post]]="Pre",1,0)+IF(ISNUMBER(Table4424[[#This Row],[Response]])=TRUE,1,0)=2,Table4424[[#This Row],[Response]],"")</f>
        <v/>
      </c>
      <c r="K64" s="6">
        <f>IF(IF(Table4424[[#This Row],[Pre or Post]]="Post",1,0)+IF(ISNUMBER(Table4424[[#This Row],[Response]])=TRUE,1,0)=2,Table4424[[#This Row],[Response]],"")</f>
        <v>4</v>
      </c>
      <c r="L64" s="5" t="str">
        <f>IF(IF(ISNUMBER(J64),1,0)+IF(ISNUMBER(K65),1,0)=2,IF(IF(C65=C64,1,0)+IF(B65=B64,1,0)+IF(D65="Post",1,0)+IF(D64="Pre",1,0)=4,Table4424[[#This Row],[Pre Total]],""),"")</f>
        <v/>
      </c>
      <c r="M64" s="5">
        <f>IF(IF(ISNUMBER(J63),1,0)+IF(ISNUMBER(Table4424[[#This Row],[Post Total]]),1,0)=2,IF(IF(Table4424[[#This Row],[Student Number]]=C63,1,0)+IF(Table4424[[#This Row],[Session]]=B63,1,0)+IF(Table4424[[#This Row],[Pre or Post]]="Post",1,0)+IF(D63="Pre",1,0)=4,Table4424[[#This Row],[Post Total]],""),"")</f>
        <v>4</v>
      </c>
      <c r="N64" s="5">
        <f>IF(IF(ISNUMBER(J63),1,0)+IF(ISNUMBER(Table4424[[#This Row],[Post Total]]),1,0)=2,IF(IF(Table4424[[#This Row],[Student Number]]=C63,1,0)+IF(Table4424[[#This Row],[Session]]=B63,1,0)+IF(Table4424[[#This Row],[Pre or Post]]="Post",1,0)+IF(D63="Pre",1,0)=4,Table4424[[#This Row],[Post Total]]-J63,""),"")</f>
        <v>1</v>
      </c>
      <c r="O64" s="5" t="b">
        <f>ISNUMBER(Table4424[[#This Row],[Change]])</f>
        <v>1</v>
      </c>
    </row>
    <row r="65" spans="1:15">
      <c r="A65" s="1" t="s">
        <v>24</v>
      </c>
      <c r="B65" s="1" t="s">
        <v>25</v>
      </c>
      <c r="C65" s="1">
        <v>7</v>
      </c>
      <c r="D65" s="1" t="s">
        <v>6</v>
      </c>
      <c r="E65" s="1">
        <v>9</v>
      </c>
      <c r="F65" s="1">
        <v>3</v>
      </c>
      <c r="G65" s="1" t="s">
        <v>8</v>
      </c>
      <c r="H65" s="5">
        <f>IF(IF(Table4424[[#This Row],[Pre or Post]]="Pre",1,0)+IF(ISNUMBER(Table4424[[#This Row],[Response]])=TRUE,1,0)=2,1,"")</f>
        <v>1</v>
      </c>
      <c r="I65" s="5" t="str">
        <f>IF(IF(Table4424[[#This Row],[Pre or Post]]="Post",1,0)+IF(ISNUMBER(Table4424[[#This Row],[Response]])=TRUE,1,0)=2,1,"")</f>
        <v/>
      </c>
      <c r="J65" s="6">
        <f>IF(IF(Table4424[[#This Row],[Pre or Post]]="Pre",1,0)+IF(ISNUMBER(Table4424[[#This Row],[Response]])=TRUE,1,0)=2,Table4424[[#This Row],[Response]],"")</f>
        <v>3</v>
      </c>
      <c r="K65" s="6" t="str">
        <f>IF(IF(Table4424[[#This Row],[Pre or Post]]="Post",1,0)+IF(ISNUMBER(Table4424[[#This Row],[Response]])=TRUE,1,0)=2,Table4424[[#This Row],[Response]],"")</f>
        <v/>
      </c>
      <c r="L65" s="5">
        <f>IF(IF(ISNUMBER(J65),1,0)+IF(ISNUMBER(K66),1,0)=2,IF(IF(C66=C65,1,0)+IF(B66=B65,1,0)+IF(D66="Post",1,0)+IF(D65="Pre",1,0)=4,Table4424[[#This Row],[Pre Total]],""),"")</f>
        <v>3</v>
      </c>
      <c r="M65" s="5" t="str">
        <f>IF(IF(ISNUMBER(J64),1,0)+IF(ISNUMBER(Table4424[[#This Row],[Post Total]]),1,0)=2,IF(IF(Table4424[[#This Row],[Student Number]]=C64,1,0)+IF(Table4424[[#This Row],[Session]]=B64,1,0)+IF(Table4424[[#This Row],[Pre or Post]]="Post",1,0)+IF(D64="Pre",1,0)=4,Table4424[[#This Row],[Post Total]],""),"")</f>
        <v/>
      </c>
      <c r="N65" s="5" t="str">
        <f>IF(IF(ISNUMBER(J64),1,0)+IF(ISNUMBER(Table4424[[#This Row],[Post Total]]),1,0)=2,IF(IF(Table4424[[#This Row],[Student Number]]=C64,1,0)+IF(Table4424[[#This Row],[Session]]=B64,1,0)+IF(Table4424[[#This Row],[Pre or Post]]="Post",1,0)+IF(D64="Pre",1,0)=4,Table4424[[#This Row],[Post Total]]-J64,""),"")</f>
        <v/>
      </c>
      <c r="O65" s="5" t="b">
        <f>ISNUMBER(Table4424[[#This Row],[Change]])</f>
        <v>0</v>
      </c>
    </row>
    <row r="66" spans="1:15">
      <c r="A66" s="1" t="s">
        <v>24</v>
      </c>
      <c r="B66" s="1" t="s">
        <v>25</v>
      </c>
      <c r="C66" s="1">
        <v>7</v>
      </c>
      <c r="D66" s="1" t="s">
        <v>16</v>
      </c>
      <c r="E66" s="1">
        <v>2</v>
      </c>
      <c r="F66" s="1">
        <v>4</v>
      </c>
      <c r="G66" s="2" t="s">
        <v>8</v>
      </c>
      <c r="H66" s="5" t="str">
        <f>IF(IF(Table4424[[#This Row],[Pre or Post]]="Pre",1,0)+IF(ISNUMBER(Table4424[[#This Row],[Response]])=TRUE,1,0)=2,1,"")</f>
        <v/>
      </c>
      <c r="I66" s="5">
        <f>IF(IF(Table4424[[#This Row],[Pre or Post]]="Post",1,0)+IF(ISNUMBER(Table4424[[#This Row],[Response]])=TRUE,1,0)=2,1,"")</f>
        <v>1</v>
      </c>
      <c r="J66" s="6" t="str">
        <f>IF(IF(Table4424[[#This Row],[Pre or Post]]="Pre",1,0)+IF(ISNUMBER(Table4424[[#This Row],[Response]])=TRUE,1,0)=2,Table4424[[#This Row],[Response]],"")</f>
        <v/>
      </c>
      <c r="K66" s="6">
        <f>IF(IF(Table4424[[#This Row],[Pre or Post]]="Post",1,0)+IF(ISNUMBER(Table4424[[#This Row],[Response]])=TRUE,1,0)=2,Table4424[[#This Row],[Response]],"")</f>
        <v>4</v>
      </c>
      <c r="L66" s="5" t="str">
        <f>IF(IF(ISNUMBER(J66),1,0)+IF(ISNUMBER(K67),1,0)=2,IF(IF(C67=C66,1,0)+IF(B67=B66,1,0)+IF(D67="Post",1,0)+IF(D66="Pre",1,0)=4,Table4424[[#This Row],[Pre Total]],""),"")</f>
        <v/>
      </c>
      <c r="M66" s="5">
        <f>IF(IF(ISNUMBER(J65),1,0)+IF(ISNUMBER(Table4424[[#This Row],[Post Total]]),1,0)=2,IF(IF(Table4424[[#This Row],[Student Number]]=C65,1,0)+IF(Table4424[[#This Row],[Session]]=B65,1,0)+IF(Table4424[[#This Row],[Pre or Post]]="Post",1,0)+IF(D65="Pre",1,0)=4,Table4424[[#This Row],[Post Total]],""),"")</f>
        <v>4</v>
      </c>
      <c r="N66" s="5">
        <f>IF(IF(ISNUMBER(J65),1,0)+IF(ISNUMBER(Table4424[[#This Row],[Post Total]]),1,0)=2,IF(IF(Table4424[[#This Row],[Student Number]]=C65,1,0)+IF(Table4424[[#This Row],[Session]]=B65,1,0)+IF(Table4424[[#This Row],[Pre or Post]]="Post",1,0)+IF(D65="Pre",1,0)=4,Table4424[[#This Row],[Post Total]]-J65,""),"")</f>
        <v>1</v>
      </c>
      <c r="O66" s="5" t="b">
        <f>ISNUMBER(Table4424[[#This Row],[Change]])</f>
        <v>1</v>
      </c>
    </row>
    <row r="67" spans="1:15">
      <c r="A67" s="1" t="s">
        <v>24</v>
      </c>
      <c r="B67" s="1" t="s">
        <v>25</v>
      </c>
      <c r="C67" s="1">
        <v>8</v>
      </c>
      <c r="D67" s="1" t="s">
        <v>6</v>
      </c>
      <c r="E67" s="1">
        <v>9</v>
      </c>
      <c r="F67" s="1">
        <v>1</v>
      </c>
      <c r="G67" s="1" t="s">
        <v>8</v>
      </c>
      <c r="H67" s="5">
        <f>IF(IF(Table4424[[#This Row],[Pre or Post]]="Pre",1,0)+IF(ISNUMBER(Table4424[[#This Row],[Response]])=TRUE,1,0)=2,1,"")</f>
        <v>1</v>
      </c>
      <c r="I67" s="5" t="str">
        <f>IF(IF(Table4424[[#This Row],[Pre or Post]]="Post",1,0)+IF(ISNUMBER(Table4424[[#This Row],[Response]])=TRUE,1,0)=2,1,"")</f>
        <v/>
      </c>
      <c r="J67" s="6">
        <f>IF(IF(Table4424[[#This Row],[Pre or Post]]="Pre",1,0)+IF(ISNUMBER(Table4424[[#This Row],[Response]])=TRUE,1,0)=2,Table4424[[#This Row],[Response]],"")</f>
        <v>1</v>
      </c>
      <c r="K67" s="6" t="str">
        <f>IF(IF(Table4424[[#This Row],[Pre or Post]]="Post",1,0)+IF(ISNUMBER(Table4424[[#This Row],[Response]])=TRUE,1,0)=2,Table4424[[#This Row],[Response]],"")</f>
        <v/>
      </c>
      <c r="L67" s="5">
        <f>IF(IF(ISNUMBER(J67),1,0)+IF(ISNUMBER(K68),1,0)=2,IF(IF(C68=C67,1,0)+IF(B68=B67,1,0)+IF(D68="Post",1,0)+IF(D67="Pre",1,0)=4,Table4424[[#This Row],[Pre Total]],""),"")</f>
        <v>1</v>
      </c>
      <c r="M67" s="5" t="str">
        <f>IF(IF(ISNUMBER(J66),1,0)+IF(ISNUMBER(Table4424[[#This Row],[Post Total]]),1,0)=2,IF(IF(Table4424[[#This Row],[Student Number]]=C66,1,0)+IF(Table4424[[#This Row],[Session]]=B66,1,0)+IF(Table4424[[#This Row],[Pre or Post]]="Post",1,0)+IF(D66="Pre",1,0)=4,Table4424[[#This Row],[Post Total]],""),"")</f>
        <v/>
      </c>
      <c r="N67" s="5" t="str">
        <f>IF(IF(ISNUMBER(J66),1,0)+IF(ISNUMBER(Table4424[[#This Row],[Post Total]]),1,0)=2,IF(IF(Table4424[[#This Row],[Student Number]]=C66,1,0)+IF(Table4424[[#This Row],[Session]]=B66,1,0)+IF(Table4424[[#This Row],[Pre or Post]]="Post",1,0)+IF(D66="Pre",1,0)=4,Table4424[[#This Row],[Post Total]]-J66,""),"")</f>
        <v/>
      </c>
      <c r="O67" s="5" t="b">
        <f>ISNUMBER(Table4424[[#This Row],[Change]])</f>
        <v>0</v>
      </c>
    </row>
    <row r="68" spans="1:15">
      <c r="A68" s="1" t="s">
        <v>24</v>
      </c>
      <c r="B68" s="1" t="s">
        <v>25</v>
      </c>
      <c r="C68" s="1">
        <v>8</v>
      </c>
      <c r="D68" s="1" t="s">
        <v>16</v>
      </c>
      <c r="E68" s="1">
        <v>2</v>
      </c>
      <c r="F68" s="1">
        <v>3</v>
      </c>
      <c r="G68" s="2" t="s">
        <v>8</v>
      </c>
      <c r="H68" s="5" t="str">
        <f>IF(IF(Table4424[[#This Row],[Pre or Post]]="Pre",1,0)+IF(ISNUMBER(Table4424[[#This Row],[Response]])=TRUE,1,0)=2,1,"")</f>
        <v/>
      </c>
      <c r="I68" s="5">
        <f>IF(IF(Table4424[[#This Row],[Pre or Post]]="Post",1,0)+IF(ISNUMBER(Table4424[[#This Row],[Response]])=TRUE,1,0)=2,1,"")</f>
        <v>1</v>
      </c>
      <c r="J68" s="6" t="str">
        <f>IF(IF(Table4424[[#This Row],[Pre or Post]]="Pre",1,0)+IF(ISNUMBER(Table4424[[#This Row],[Response]])=TRUE,1,0)=2,Table4424[[#This Row],[Response]],"")</f>
        <v/>
      </c>
      <c r="K68" s="6">
        <f>IF(IF(Table4424[[#This Row],[Pre or Post]]="Post",1,0)+IF(ISNUMBER(Table4424[[#This Row],[Response]])=TRUE,1,0)=2,Table4424[[#This Row],[Response]],"")</f>
        <v>3</v>
      </c>
      <c r="L68" s="5" t="str">
        <f>IF(IF(ISNUMBER(J68),1,0)+IF(ISNUMBER(K69),1,0)=2,IF(IF(C69=C68,1,0)+IF(B69=B68,1,0)+IF(D69="Post",1,0)+IF(D68="Pre",1,0)=4,Table4424[[#This Row],[Pre Total]],""),"")</f>
        <v/>
      </c>
      <c r="M68" s="5">
        <f>IF(IF(ISNUMBER(J67),1,0)+IF(ISNUMBER(Table4424[[#This Row],[Post Total]]),1,0)=2,IF(IF(Table4424[[#This Row],[Student Number]]=C67,1,0)+IF(Table4424[[#This Row],[Session]]=B67,1,0)+IF(Table4424[[#This Row],[Pre or Post]]="Post",1,0)+IF(D67="Pre",1,0)=4,Table4424[[#This Row],[Post Total]],""),"")</f>
        <v>3</v>
      </c>
      <c r="N68" s="5">
        <f>IF(IF(ISNUMBER(J67),1,0)+IF(ISNUMBER(Table4424[[#This Row],[Post Total]]),1,0)=2,IF(IF(Table4424[[#This Row],[Student Number]]=C67,1,0)+IF(Table4424[[#This Row],[Session]]=B67,1,0)+IF(Table4424[[#This Row],[Pre or Post]]="Post",1,0)+IF(D67="Pre",1,0)=4,Table4424[[#This Row],[Post Total]]-J67,""),"")</f>
        <v>2</v>
      </c>
      <c r="O68" s="5" t="b">
        <f>ISNUMBER(Table4424[[#This Row],[Change]])</f>
        <v>1</v>
      </c>
    </row>
    <row r="69" spans="1:15">
      <c r="A69" s="1" t="s">
        <v>24</v>
      </c>
      <c r="B69" s="1" t="s">
        <v>25</v>
      </c>
      <c r="C69" s="1">
        <v>9</v>
      </c>
      <c r="D69" s="1" t="s">
        <v>6</v>
      </c>
      <c r="E69" s="1">
        <v>9</v>
      </c>
      <c r="F69" s="1">
        <v>1</v>
      </c>
      <c r="G69" s="1" t="s">
        <v>8</v>
      </c>
      <c r="H69" s="5">
        <f>IF(IF(Table4424[[#This Row],[Pre or Post]]="Pre",1,0)+IF(ISNUMBER(Table4424[[#This Row],[Response]])=TRUE,1,0)=2,1,"")</f>
        <v>1</v>
      </c>
      <c r="I69" s="5" t="str">
        <f>IF(IF(Table4424[[#This Row],[Pre or Post]]="Post",1,0)+IF(ISNUMBER(Table4424[[#This Row],[Response]])=TRUE,1,0)=2,1,"")</f>
        <v/>
      </c>
      <c r="J69" s="6">
        <f>IF(IF(Table4424[[#This Row],[Pre or Post]]="Pre",1,0)+IF(ISNUMBER(Table4424[[#This Row],[Response]])=TRUE,1,0)=2,Table4424[[#This Row],[Response]],"")</f>
        <v>1</v>
      </c>
      <c r="K69" s="6" t="str">
        <f>IF(IF(Table4424[[#This Row],[Pre or Post]]="Post",1,0)+IF(ISNUMBER(Table4424[[#This Row],[Response]])=TRUE,1,0)=2,Table4424[[#This Row],[Response]],"")</f>
        <v/>
      </c>
      <c r="L69" s="5">
        <f>IF(IF(ISNUMBER(J69),1,0)+IF(ISNUMBER(K70),1,0)=2,IF(IF(C70=C69,1,0)+IF(B70=B69,1,0)+IF(D70="Post",1,0)+IF(D69="Pre",1,0)=4,Table4424[[#This Row],[Pre Total]],""),"")</f>
        <v>1</v>
      </c>
      <c r="M69" s="5" t="str">
        <f>IF(IF(ISNUMBER(J68),1,0)+IF(ISNUMBER(Table4424[[#This Row],[Post Total]]),1,0)=2,IF(IF(Table4424[[#This Row],[Student Number]]=C68,1,0)+IF(Table4424[[#This Row],[Session]]=B68,1,0)+IF(Table4424[[#This Row],[Pre or Post]]="Post",1,0)+IF(D68="Pre",1,0)=4,Table4424[[#This Row],[Post Total]],""),"")</f>
        <v/>
      </c>
      <c r="N69" s="5" t="str">
        <f>IF(IF(ISNUMBER(J68),1,0)+IF(ISNUMBER(Table4424[[#This Row],[Post Total]]),1,0)=2,IF(IF(Table4424[[#This Row],[Student Number]]=C68,1,0)+IF(Table4424[[#This Row],[Session]]=B68,1,0)+IF(Table4424[[#This Row],[Pre or Post]]="Post",1,0)+IF(D68="Pre",1,0)=4,Table4424[[#This Row],[Post Total]]-J68,""),"")</f>
        <v/>
      </c>
      <c r="O69" s="5" t="b">
        <f>ISNUMBER(Table4424[[#This Row],[Change]])</f>
        <v>0</v>
      </c>
    </row>
    <row r="70" spans="1:15">
      <c r="A70" s="1" t="s">
        <v>24</v>
      </c>
      <c r="B70" s="1" t="s">
        <v>25</v>
      </c>
      <c r="C70" s="1">
        <v>9</v>
      </c>
      <c r="D70" s="1" t="s">
        <v>16</v>
      </c>
      <c r="E70" s="1">
        <v>2</v>
      </c>
      <c r="F70" s="1">
        <v>3</v>
      </c>
      <c r="G70" s="2" t="s">
        <v>8</v>
      </c>
      <c r="H70" s="5" t="str">
        <f>IF(IF(Table4424[[#This Row],[Pre or Post]]="Pre",1,0)+IF(ISNUMBER(Table4424[[#This Row],[Response]])=TRUE,1,0)=2,1,"")</f>
        <v/>
      </c>
      <c r="I70" s="5">
        <f>IF(IF(Table4424[[#This Row],[Pre or Post]]="Post",1,0)+IF(ISNUMBER(Table4424[[#This Row],[Response]])=TRUE,1,0)=2,1,"")</f>
        <v>1</v>
      </c>
      <c r="J70" s="6" t="str">
        <f>IF(IF(Table4424[[#This Row],[Pre or Post]]="Pre",1,0)+IF(ISNUMBER(Table4424[[#This Row],[Response]])=TRUE,1,0)=2,Table4424[[#This Row],[Response]],"")</f>
        <v/>
      </c>
      <c r="K70" s="6">
        <f>IF(IF(Table4424[[#This Row],[Pre or Post]]="Post",1,0)+IF(ISNUMBER(Table4424[[#This Row],[Response]])=TRUE,1,0)=2,Table4424[[#This Row],[Response]],"")</f>
        <v>3</v>
      </c>
      <c r="L70" s="5" t="str">
        <f>IF(IF(ISNUMBER(J70),1,0)+IF(ISNUMBER(K71),1,0)=2,IF(IF(C71=C70,1,0)+IF(B71=B70,1,0)+IF(D71="Post",1,0)+IF(D70="Pre",1,0)=4,Table4424[[#This Row],[Pre Total]],""),"")</f>
        <v/>
      </c>
      <c r="M70" s="5">
        <f>IF(IF(ISNUMBER(J69),1,0)+IF(ISNUMBER(Table4424[[#This Row],[Post Total]]),1,0)=2,IF(IF(Table4424[[#This Row],[Student Number]]=C69,1,0)+IF(Table4424[[#This Row],[Session]]=B69,1,0)+IF(Table4424[[#This Row],[Pre or Post]]="Post",1,0)+IF(D69="Pre",1,0)=4,Table4424[[#This Row],[Post Total]],""),"")</f>
        <v>3</v>
      </c>
      <c r="N70" s="5">
        <f>IF(IF(ISNUMBER(J69),1,0)+IF(ISNUMBER(Table4424[[#This Row],[Post Total]]),1,0)=2,IF(IF(Table4424[[#This Row],[Student Number]]=C69,1,0)+IF(Table4424[[#This Row],[Session]]=B69,1,0)+IF(Table4424[[#This Row],[Pre or Post]]="Post",1,0)+IF(D69="Pre",1,0)=4,Table4424[[#This Row],[Post Total]]-J69,""),"")</f>
        <v>2</v>
      </c>
      <c r="O70" s="5" t="b">
        <f>ISNUMBER(Table4424[[#This Row],[Change]])</f>
        <v>1</v>
      </c>
    </row>
    <row r="71" spans="1:15">
      <c r="A71" s="1" t="s">
        <v>24</v>
      </c>
      <c r="B71" s="1" t="s">
        <v>25</v>
      </c>
      <c r="C71" s="1">
        <v>10</v>
      </c>
      <c r="D71" s="1" t="s">
        <v>6</v>
      </c>
      <c r="E71" s="1">
        <v>9</v>
      </c>
      <c r="F71" s="1">
        <v>1</v>
      </c>
      <c r="G71" s="1" t="s">
        <v>8</v>
      </c>
      <c r="H71" s="5">
        <f>IF(IF(Table4424[[#This Row],[Pre or Post]]="Pre",1,0)+IF(ISNUMBER(Table4424[[#This Row],[Response]])=TRUE,1,0)=2,1,"")</f>
        <v>1</v>
      </c>
      <c r="I71" s="5" t="str">
        <f>IF(IF(Table4424[[#This Row],[Pre or Post]]="Post",1,0)+IF(ISNUMBER(Table4424[[#This Row],[Response]])=TRUE,1,0)=2,1,"")</f>
        <v/>
      </c>
      <c r="J71" s="6">
        <f>IF(IF(Table4424[[#This Row],[Pre or Post]]="Pre",1,0)+IF(ISNUMBER(Table4424[[#This Row],[Response]])=TRUE,1,0)=2,Table4424[[#This Row],[Response]],"")</f>
        <v>1</v>
      </c>
      <c r="K71" s="6" t="str">
        <f>IF(IF(Table4424[[#This Row],[Pre or Post]]="Post",1,0)+IF(ISNUMBER(Table4424[[#This Row],[Response]])=TRUE,1,0)=2,Table4424[[#This Row],[Response]],"")</f>
        <v/>
      </c>
      <c r="L71" s="5">
        <f>IF(IF(ISNUMBER(J71),1,0)+IF(ISNUMBER(K72),1,0)=2,IF(IF(C72=C71,1,0)+IF(B72=B71,1,0)+IF(D72="Post",1,0)+IF(D71="Pre",1,0)=4,Table4424[[#This Row],[Pre Total]],""),"")</f>
        <v>1</v>
      </c>
      <c r="M71" s="5" t="str">
        <f>IF(IF(ISNUMBER(J70),1,0)+IF(ISNUMBER(Table4424[[#This Row],[Post Total]]),1,0)=2,IF(IF(Table4424[[#This Row],[Student Number]]=C70,1,0)+IF(Table4424[[#This Row],[Session]]=B70,1,0)+IF(Table4424[[#This Row],[Pre or Post]]="Post",1,0)+IF(D70="Pre",1,0)=4,Table4424[[#This Row],[Post Total]],""),"")</f>
        <v/>
      </c>
      <c r="N71" s="5" t="str">
        <f>IF(IF(ISNUMBER(J70),1,0)+IF(ISNUMBER(Table4424[[#This Row],[Post Total]]),1,0)=2,IF(IF(Table4424[[#This Row],[Student Number]]=C70,1,0)+IF(Table4424[[#This Row],[Session]]=B70,1,0)+IF(Table4424[[#This Row],[Pre or Post]]="Post",1,0)+IF(D70="Pre",1,0)=4,Table4424[[#This Row],[Post Total]]-J70,""),"")</f>
        <v/>
      </c>
      <c r="O71" s="5" t="b">
        <f>ISNUMBER(Table4424[[#This Row],[Change]])</f>
        <v>0</v>
      </c>
    </row>
    <row r="72" spans="1:15">
      <c r="A72" s="1" t="s">
        <v>24</v>
      </c>
      <c r="B72" s="1" t="s">
        <v>25</v>
      </c>
      <c r="C72" s="1">
        <v>10</v>
      </c>
      <c r="D72" s="1" t="s">
        <v>16</v>
      </c>
      <c r="E72" s="1">
        <v>2</v>
      </c>
      <c r="F72" s="2">
        <v>2</v>
      </c>
      <c r="G72" s="2" t="s">
        <v>8</v>
      </c>
      <c r="H72" s="5" t="str">
        <f>IF(IF(Table4424[[#This Row],[Pre or Post]]="Pre",1,0)+IF(ISNUMBER(Table4424[[#This Row],[Response]])=TRUE,1,0)=2,1,"")</f>
        <v/>
      </c>
      <c r="I72" s="5">
        <f>IF(IF(Table4424[[#This Row],[Pre or Post]]="Post",1,0)+IF(ISNUMBER(Table4424[[#This Row],[Response]])=TRUE,1,0)=2,1,"")</f>
        <v>1</v>
      </c>
      <c r="J72" s="6" t="str">
        <f>IF(IF(Table4424[[#This Row],[Pre or Post]]="Pre",1,0)+IF(ISNUMBER(Table4424[[#This Row],[Response]])=TRUE,1,0)=2,Table4424[[#This Row],[Response]],"")</f>
        <v/>
      </c>
      <c r="K72" s="6">
        <f>IF(IF(Table4424[[#This Row],[Pre or Post]]="Post",1,0)+IF(ISNUMBER(Table4424[[#This Row],[Response]])=TRUE,1,0)=2,Table4424[[#This Row],[Response]],"")</f>
        <v>2</v>
      </c>
      <c r="L72" s="5" t="str">
        <f>IF(IF(ISNUMBER(J72),1,0)+IF(ISNUMBER(K73),1,0)=2,IF(IF(C73=C72,1,0)+IF(B73=B72,1,0)+IF(D73="Post",1,0)+IF(D72="Pre",1,0)=4,Table4424[[#This Row],[Pre Total]],""),"")</f>
        <v/>
      </c>
      <c r="M72" s="5">
        <f>IF(IF(ISNUMBER(J71),1,0)+IF(ISNUMBER(Table4424[[#This Row],[Post Total]]),1,0)=2,IF(IF(Table4424[[#This Row],[Student Number]]=C71,1,0)+IF(Table4424[[#This Row],[Session]]=B71,1,0)+IF(Table4424[[#This Row],[Pre or Post]]="Post",1,0)+IF(D71="Pre",1,0)=4,Table4424[[#This Row],[Post Total]],""),"")</f>
        <v>2</v>
      </c>
      <c r="N72" s="5">
        <f>IF(IF(ISNUMBER(J71),1,0)+IF(ISNUMBER(Table4424[[#This Row],[Post Total]]),1,0)=2,IF(IF(Table4424[[#This Row],[Student Number]]=C71,1,0)+IF(Table4424[[#This Row],[Session]]=B71,1,0)+IF(Table4424[[#This Row],[Pre or Post]]="Post",1,0)+IF(D71="Pre",1,0)=4,Table4424[[#This Row],[Post Total]]-J71,""),"")</f>
        <v>1</v>
      </c>
      <c r="O72" s="5" t="b">
        <f>ISNUMBER(Table4424[[#This Row],[Change]])</f>
        <v>1</v>
      </c>
    </row>
    <row r="73" spans="1:15">
      <c r="A73" s="1" t="s">
        <v>24</v>
      </c>
      <c r="B73" s="1" t="s">
        <v>25</v>
      </c>
      <c r="C73" s="1">
        <v>11</v>
      </c>
      <c r="D73" s="1" t="s">
        <v>6</v>
      </c>
      <c r="E73" s="1">
        <v>9</v>
      </c>
      <c r="F73" s="1">
        <v>4</v>
      </c>
      <c r="G73" s="1" t="s">
        <v>8</v>
      </c>
      <c r="H73" s="5">
        <f>IF(IF(Table4424[[#This Row],[Pre or Post]]="Pre",1,0)+IF(ISNUMBER(Table4424[[#This Row],[Response]])=TRUE,1,0)=2,1,"")</f>
        <v>1</v>
      </c>
      <c r="I73" s="5" t="str">
        <f>IF(IF(Table4424[[#This Row],[Pre or Post]]="Post",1,0)+IF(ISNUMBER(Table4424[[#This Row],[Response]])=TRUE,1,0)=2,1,"")</f>
        <v/>
      </c>
      <c r="J73" s="6">
        <f>IF(IF(Table4424[[#This Row],[Pre or Post]]="Pre",1,0)+IF(ISNUMBER(Table4424[[#This Row],[Response]])=TRUE,1,0)=2,Table4424[[#This Row],[Response]],"")</f>
        <v>4</v>
      </c>
      <c r="K73" s="6" t="str">
        <f>IF(IF(Table4424[[#This Row],[Pre or Post]]="Post",1,0)+IF(ISNUMBER(Table4424[[#This Row],[Response]])=TRUE,1,0)=2,Table4424[[#This Row],[Response]],"")</f>
        <v/>
      </c>
      <c r="L73" s="5">
        <f>IF(IF(ISNUMBER(J73),1,0)+IF(ISNUMBER(K74),1,0)=2,IF(IF(C74=C73,1,0)+IF(B74=B73,1,0)+IF(D74="Post",1,0)+IF(D73="Pre",1,0)=4,Table4424[[#This Row],[Pre Total]],""),"")</f>
        <v>4</v>
      </c>
      <c r="M73" s="5" t="str">
        <f>IF(IF(ISNUMBER(J72),1,0)+IF(ISNUMBER(Table4424[[#This Row],[Post Total]]),1,0)=2,IF(IF(Table4424[[#This Row],[Student Number]]=C72,1,0)+IF(Table4424[[#This Row],[Session]]=B72,1,0)+IF(Table4424[[#This Row],[Pre or Post]]="Post",1,0)+IF(D72="Pre",1,0)=4,Table4424[[#This Row],[Post Total]],""),"")</f>
        <v/>
      </c>
      <c r="N73" s="5" t="str">
        <f>IF(IF(ISNUMBER(J72),1,0)+IF(ISNUMBER(Table4424[[#This Row],[Post Total]]),1,0)=2,IF(IF(Table4424[[#This Row],[Student Number]]=C72,1,0)+IF(Table4424[[#This Row],[Session]]=B72,1,0)+IF(Table4424[[#This Row],[Pre or Post]]="Post",1,0)+IF(D72="Pre",1,0)=4,Table4424[[#This Row],[Post Total]]-J72,""),"")</f>
        <v/>
      </c>
      <c r="O73" s="5" t="b">
        <f>ISNUMBER(Table4424[[#This Row],[Change]])</f>
        <v>0</v>
      </c>
    </row>
    <row r="74" spans="1:15">
      <c r="A74" s="1" t="s">
        <v>24</v>
      </c>
      <c r="B74" s="1" t="s">
        <v>25</v>
      </c>
      <c r="C74" s="1">
        <v>11</v>
      </c>
      <c r="D74" s="1" t="s">
        <v>16</v>
      </c>
      <c r="E74" s="1">
        <v>2</v>
      </c>
      <c r="F74" s="1">
        <v>4</v>
      </c>
      <c r="G74" s="2" t="s">
        <v>8</v>
      </c>
      <c r="H74" s="5" t="str">
        <f>IF(IF(Table4424[[#This Row],[Pre or Post]]="Pre",1,0)+IF(ISNUMBER(Table4424[[#This Row],[Response]])=TRUE,1,0)=2,1,"")</f>
        <v/>
      </c>
      <c r="I74" s="5">
        <f>IF(IF(Table4424[[#This Row],[Pre or Post]]="Post",1,0)+IF(ISNUMBER(Table4424[[#This Row],[Response]])=TRUE,1,0)=2,1,"")</f>
        <v>1</v>
      </c>
      <c r="J74" s="6" t="str">
        <f>IF(IF(Table4424[[#This Row],[Pre or Post]]="Pre",1,0)+IF(ISNUMBER(Table4424[[#This Row],[Response]])=TRUE,1,0)=2,Table4424[[#This Row],[Response]],"")</f>
        <v/>
      </c>
      <c r="K74" s="6">
        <f>IF(IF(Table4424[[#This Row],[Pre or Post]]="Post",1,0)+IF(ISNUMBER(Table4424[[#This Row],[Response]])=TRUE,1,0)=2,Table4424[[#This Row],[Response]],"")</f>
        <v>4</v>
      </c>
      <c r="L74" s="5" t="str">
        <f>IF(IF(ISNUMBER(J74),1,0)+IF(ISNUMBER(K75),1,0)=2,IF(IF(C75=C74,1,0)+IF(B75=B74,1,0)+IF(D75="Post",1,0)+IF(D74="Pre",1,0)=4,Table4424[[#This Row],[Pre Total]],""),"")</f>
        <v/>
      </c>
      <c r="M74" s="5">
        <f>IF(IF(ISNUMBER(J73),1,0)+IF(ISNUMBER(Table4424[[#This Row],[Post Total]]),1,0)=2,IF(IF(Table4424[[#This Row],[Student Number]]=C73,1,0)+IF(Table4424[[#This Row],[Session]]=B73,1,0)+IF(Table4424[[#This Row],[Pre or Post]]="Post",1,0)+IF(D73="Pre",1,0)=4,Table4424[[#This Row],[Post Total]],""),"")</f>
        <v>4</v>
      </c>
      <c r="N74" s="5">
        <f>IF(IF(ISNUMBER(J73),1,0)+IF(ISNUMBER(Table4424[[#This Row],[Post Total]]),1,0)=2,IF(IF(Table4424[[#This Row],[Student Number]]=C73,1,0)+IF(Table4424[[#This Row],[Session]]=B73,1,0)+IF(Table4424[[#This Row],[Pre or Post]]="Post",1,0)+IF(D73="Pre",1,0)=4,Table4424[[#This Row],[Post Total]]-J73,""),"")</f>
        <v>0</v>
      </c>
      <c r="O74" s="5" t="b">
        <f>ISNUMBER(Table4424[[#This Row],[Change]])</f>
        <v>1</v>
      </c>
    </row>
    <row r="75" spans="1:15">
      <c r="A75" s="1" t="s">
        <v>24</v>
      </c>
      <c r="B75" s="1" t="s">
        <v>25</v>
      </c>
      <c r="C75" s="1">
        <v>12</v>
      </c>
      <c r="D75" s="1" t="s">
        <v>6</v>
      </c>
      <c r="E75" s="1">
        <v>9</v>
      </c>
      <c r="F75" s="1">
        <v>2</v>
      </c>
      <c r="G75" s="1" t="s">
        <v>8</v>
      </c>
      <c r="H75" s="5">
        <f>IF(IF(Table4424[[#This Row],[Pre or Post]]="Pre",1,0)+IF(ISNUMBER(Table4424[[#This Row],[Response]])=TRUE,1,0)=2,1,"")</f>
        <v>1</v>
      </c>
      <c r="I75" s="5" t="str">
        <f>IF(IF(Table4424[[#This Row],[Pre or Post]]="Post",1,0)+IF(ISNUMBER(Table4424[[#This Row],[Response]])=TRUE,1,0)=2,1,"")</f>
        <v/>
      </c>
      <c r="J75" s="6">
        <f>IF(IF(Table4424[[#This Row],[Pre or Post]]="Pre",1,0)+IF(ISNUMBER(Table4424[[#This Row],[Response]])=TRUE,1,0)=2,Table4424[[#This Row],[Response]],"")</f>
        <v>2</v>
      </c>
      <c r="K75" s="6" t="str">
        <f>IF(IF(Table4424[[#This Row],[Pre or Post]]="Post",1,0)+IF(ISNUMBER(Table4424[[#This Row],[Response]])=TRUE,1,0)=2,Table4424[[#This Row],[Response]],"")</f>
        <v/>
      </c>
      <c r="L75" s="5">
        <f>IF(IF(ISNUMBER(J75),1,0)+IF(ISNUMBER(K76),1,0)=2,IF(IF(C76=C75,1,0)+IF(B76=B75,1,0)+IF(D76="Post",1,0)+IF(D75="Pre",1,0)=4,Table4424[[#This Row],[Pre Total]],""),"")</f>
        <v>2</v>
      </c>
      <c r="M75" s="5" t="str">
        <f>IF(IF(ISNUMBER(J74),1,0)+IF(ISNUMBER(Table4424[[#This Row],[Post Total]]),1,0)=2,IF(IF(Table4424[[#This Row],[Student Number]]=C74,1,0)+IF(Table4424[[#This Row],[Session]]=B74,1,0)+IF(Table4424[[#This Row],[Pre or Post]]="Post",1,0)+IF(D74="Pre",1,0)=4,Table4424[[#This Row],[Post Total]],""),"")</f>
        <v/>
      </c>
      <c r="N75" s="5" t="str">
        <f>IF(IF(ISNUMBER(J74),1,0)+IF(ISNUMBER(Table4424[[#This Row],[Post Total]]),1,0)=2,IF(IF(Table4424[[#This Row],[Student Number]]=C74,1,0)+IF(Table4424[[#This Row],[Session]]=B74,1,0)+IF(Table4424[[#This Row],[Pre or Post]]="Post",1,0)+IF(D74="Pre",1,0)=4,Table4424[[#This Row],[Post Total]]-J74,""),"")</f>
        <v/>
      </c>
      <c r="O75" s="5" t="b">
        <f>ISNUMBER(Table4424[[#This Row],[Change]])</f>
        <v>0</v>
      </c>
    </row>
    <row r="76" spans="1:15">
      <c r="A76" s="1" t="s">
        <v>24</v>
      </c>
      <c r="B76" s="1" t="s">
        <v>25</v>
      </c>
      <c r="C76" s="1">
        <v>12</v>
      </c>
      <c r="D76" s="1" t="s">
        <v>16</v>
      </c>
      <c r="E76" s="1">
        <v>2</v>
      </c>
      <c r="F76" s="1">
        <v>3</v>
      </c>
      <c r="G76" s="2" t="s">
        <v>8</v>
      </c>
      <c r="H76" s="5" t="str">
        <f>IF(IF(Table4424[[#This Row],[Pre or Post]]="Pre",1,0)+IF(ISNUMBER(Table4424[[#This Row],[Response]])=TRUE,1,0)=2,1,"")</f>
        <v/>
      </c>
      <c r="I76" s="5">
        <f>IF(IF(Table4424[[#This Row],[Pre or Post]]="Post",1,0)+IF(ISNUMBER(Table4424[[#This Row],[Response]])=TRUE,1,0)=2,1,"")</f>
        <v>1</v>
      </c>
      <c r="J76" s="6" t="str">
        <f>IF(IF(Table4424[[#This Row],[Pre or Post]]="Pre",1,0)+IF(ISNUMBER(Table4424[[#This Row],[Response]])=TRUE,1,0)=2,Table4424[[#This Row],[Response]],"")</f>
        <v/>
      </c>
      <c r="K76" s="6">
        <f>IF(IF(Table4424[[#This Row],[Pre or Post]]="Post",1,0)+IF(ISNUMBER(Table4424[[#This Row],[Response]])=TRUE,1,0)=2,Table4424[[#This Row],[Response]],"")</f>
        <v>3</v>
      </c>
      <c r="L76" s="5" t="str">
        <f>IF(IF(ISNUMBER(J76),1,0)+IF(ISNUMBER(K77),1,0)=2,IF(IF(C77=C76,1,0)+IF(B77=B76,1,0)+IF(D77="Post",1,0)+IF(D76="Pre",1,0)=4,Table4424[[#This Row],[Pre Total]],""),"")</f>
        <v/>
      </c>
      <c r="M76" s="5">
        <f>IF(IF(ISNUMBER(J75),1,0)+IF(ISNUMBER(Table4424[[#This Row],[Post Total]]),1,0)=2,IF(IF(Table4424[[#This Row],[Student Number]]=C75,1,0)+IF(Table4424[[#This Row],[Session]]=B75,1,0)+IF(Table4424[[#This Row],[Pre or Post]]="Post",1,0)+IF(D75="Pre",1,0)=4,Table4424[[#This Row],[Post Total]],""),"")</f>
        <v>3</v>
      </c>
      <c r="N76" s="5">
        <f>IF(IF(ISNUMBER(J75),1,0)+IF(ISNUMBER(Table4424[[#This Row],[Post Total]]),1,0)=2,IF(IF(Table4424[[#This Row],[Student Number]]=C75,1,0)+IF(Table4424[[#This Row],[Session]]=B75,1,0)+IF(Table4424[[#This Row],[Pre or Post]]="Post",1,0)+IF(D75="Pre",1,0)=4,Table4424[[#This Row],[Post Total]]-J75,""),"")</f>
        <v>1</v>
      </c>
      <c r="O76" s="5" t="b">
        <f>ISNUMBER(Table4424[[#This Row],[Change]])</f>
        <v>1</v>
      </c>
    </row>
    <row r="77" spans="1:15">
      <c r="A77" s="1" t="s">
        <v>24</v>
      </c>
      <c r="B77" s="1" t="s">
        <v>25</v>
      </c>
      <c r="C77" s="1">
        <v>13</v>
      </c>
      <c r="D77" s="1" t="s">
        <v>6</v>
      </c>
      <c r="E77" s="1">
        <v>9</v>
      </c>
      <c r="F77" s="1">
        <v>2</v>
      </c>
      <c r="G77" s="1" t="s">
        <v>8</v>
      </c>
      <c r="H77" s="5">
        <f>IF(IF(Table4424[[#This Row],[Pre or Post]]="Pre",1,0)+IF(ISNUMBER(Table4424[[#This Row],[Response]])=TRUE,1,0)=2,1,"")</f>
        <v>1</v>
      </c>
      <c r="I77" s="5" t="str">
        <f>IF(IF(Table4424[[#This Row],[Pre or Post]]="Post",1,0)+IF(ISNUMBER(Table4424[[#This Row],[Response]])=TRUE,1,0)=2,1,"")</f>
        <v/>
      </c>
      <c r="J77" s="6">
        <f>IF(IF(Table4424[[#This Row],[Pre or Post]]="Pre",1,0)+IF(ISNUMBER(Table4424[[#This Row],[Response]])=TRUE,1,0)=2,Table4424[[#This Row],[Response]],"")</f>
        <v>2</v>
      </c>
      <c r="K77" s="6" t="str">
        <f>IF(IF(Table4424[[#This Row],[Pre or Post]]="Post",1,0)+IF(ISNUMBER(Table4424[[#This Row],[Response]])=TRUE,1,0)=2,Table4424[[#This Row],[Response]],"")</f>
        <v/>
      </c>
      <c r="L77" s="5">
        <f>IF(IF(ISNUMBER(J77),1,0)+IF(ISNUMBER(K78),1,0)=2,IF(IF(C78=C77,1,0)+IF(B78=B77,1,0)+IF(D78="Post",1,0)+IF(D77="Pre",1,0)=4,Table4424[[#This Row],[Pre Total]],""),"")</f>
        <v>2</v>
      </c>
      <c r="M77" s="5" t="str">
        <f>IF(IF(ISNUMBER(J76),1,0)+IF(ISNUMBER(Table4424[[#This Row],[Post Total]]),1,0)=2,IF(IF(Table4424[[#This Row],[Student Number]]=C76,1,0)+IF(Table4424[[#This Row],[Session]]=B76,1,0)+IF(Table4424[[#This Row],[Pre or Post]]="Post",1,0)+IF(D76="Pre",1,0)=4,Table4424[[#This Row],[Post Total]],""),"")</f>
        <v/>
      </c>
      <c r="N77" s="5" t="str">
        <f>IF(IF(ISNUMBER(J76),1,0)+IF(ISNUMBER(Table4424[[#This Row],[Post Total]]),1,0)=2,IF(IF(Table4424[[#This Row],[Student Number]]=C76,1,0)+IF(Table4424[[#This Row],[Session]]=B76,1,0)+IF(Table4424[[#This Row],[Pre or Post]]="Post",1,0)+IF(D76="Pre",1,0)=4,Table4424[[#This Row],[Post Total]]-J76,""),"")</f>
        <v/>
      </c>
      <c r="O77" s="5" t="b">
        <f>ISNUMBER(Table4424[[#This Row],[Change]])</f>
        <v>0</v>
      </c>
    </row>
    <row r="78" spans="1:15">
      <c r="A78" s="1" t="s">
        <v>24</v>
      </c>
      <c r="B78" s="1" t="s">
        <v>25</v>
      </c>
      <c r="C78" s="1">
        <v>13</v>
      </c>
      <c r="D78" s="1" t="s">
        <v>16</v>
      </c>
      <c r="E78" s="1">
        <v>2</v>
      </c>
      <c r="F78" s="1">
        <v>3</v>
      </c>
      <c r="G78" s="2" t="s">
        <v>8</v>
      </c>
      <c r="H78" s="5" t="str">
        <f>IF(IF(Table4424[[#This Row],[Pre or Post]]="Pre",1,0)+IF(ISNUMBER(Table4424[[#This Row],[Response]])=TRUE,1,0)=2,1,"")</f>
        <v/>
      </c>
      <c r="I78" s="5">
        <f>IF(IF(Table4424[[#This Row],[Pre or Post]]="Post",1,0)+IF(ISNUMBER(Table4424[[#This Row],[Response]])=TRUE,1,0)=2,1,"")</f>
        <v>1</v>
      </c>
      <c r="J78" s="6" t="str">
        <f>IF(IF(Table4424[[#This Row],[Pre or Post]]="Pre",1,0)+IF(ISNUMBER(Table4424[[#This Row],[Response]])=TRUE,1,0)=2,Table4424[[#This Row],[Response]],"")</f>
        <v/>
      </c>
      <c r="K78" s="6">
        <f>IF(IF(Table4424[[#This Row],[Pre or Post]]="Post",1,0)+IF(ISNUMBER(Table4424[[#This Row],[Response]])=TRUE,1,0)=2,Table4424[[#This Row],[Response]],"")</f>
        <v>3</v>
      </c>
      <c r="L78" s="5" t="str">
        <f>IF(IF(ISNUMBER(J78),1,0)+IF(ISNUMBER(K79),1,0)=2,IF(IF(C79=C78,1,0)+IF(B79=B78,1,0)+IF(D79="Post",1,0)+IF(D78="Pre",1,0)=4,Table4424[[#This Row],[Pre Total]],""),"")</f>
        <v/>
      </c>
      <c r="M78" s="5">
        <f>IF(IF(ISNUMBER(J77),1,0)+IF(ISNUMBER(Table4424[[#This Row],[Post Total]]),1,0)=2,IF(IF(Table4424[[#This Row],[Student Number]]=C77,1,0)+IF(Table4424[[#This Row],[Session]]=B77,1,0)+IF(Table4424[[#This Row],[Pre or Post]]="Post",1,0)+IF(D77="Pre",1,0)=4,Table4424[[#This Row],[Post Total]],""),"")</f>
        <v>3</v>
      </c>
      <c r="N78" s="5">
        <f>IF(IF(ISNUMBER(J77),1,0)+IF(ISNUMBER(Table4424[[#This Row],[Post Total]]),1,0)=2,IF(IF(Table4424[[#This Row],[Student Number]]=C77,1,0)+IF(Table4424[[#This Row],[Session]]=B77,1,0)+IF(Table4424[[#This Row],[Pre or Post]]="Post",1,0)+IF(D77="Pre",1,0)=4,Table4424[[#This Row],[Post Total]]-J77,""),"")</f>
        <v>1</v>
      </c>
      <c r="O78" s="5" t="b">
        <f>ISNUMBER(Table4424[[#This Row],[Change]])</f>
        <v>1</v>
      </c>
    </row>
    <row r="79" spans="1:15">
      <c r="A79" s="1" t="s">
        <v>24</v>
      </c>
      <c r="B79" s="1" t="s">
        <v>25</v>
      </c>
      <c r="C79" s="1">
        <v>14</v>
      </c>
      <c r="D79" s="1" t="s">
        <v>6</v>
      </c>
      <c r="E79" s="1">
        <v>9</v>
      </c>
      <c r="F79" s="1">
        <v>3</v>
      </c>
      <c r="G79" s="1" t="s">
        <v>8</v>
      </c>
      <c r="H79" s="5">
        <f>IF(IF(Table4424[[#This Row],[Pre or Post]]="Pre",1,0)+IF(ISNUMBER(Table4424[[#This Row],[Response]])=TRUE,1,0)=2,1,"")</f>
        <v>1</v>
      </c>
      <c r="I79" s="5" t="str">
        <f>IF(IF(Table4424[[#This Row],[Pre or Post]]="Post",1,0)+IF(ISNUMBER(Table4424[[#This Row],[Response]])=TRUE,1,0)=2,1,"")</f>
        <v/>
      </c>
      <c r="J79" s="6">
        <f>IF(IF(Table4424[[#This Row],[Pre or Post]]="Pre",1,0)+IF(ISNUMBER(Table4424[[#This Row],[Response]])=TRUE,1,0)=2,Table4424[[#This Row],[Response]],"")</f>
        <v>3</v>
      </c>
      <c r="K79" s="6" t="str">
        <f>IF(IF(Table4424[[#This Row],[Pre or Post]]="Post",1,0)+IF(ISNUMBER(Table4424[[#This Row],[Response]])=TRUE,1,0)=2,Table4424[[#This Row],[Response]],"")</f>
        <v/>
      </c>
      <c r="L79" s="5">
        <f>IF(IF(ISNUMBER(J79),1,0)+IF(ISNUMBER(K80),1,0)=2,IF(IF(C80=C79,1,0)+IF(B80=B79,1,0)+IF(D80="Post",1,0)+IF(D79="Pre",1,0)=4,Table4424[[#This Row],[Pre Total]],""),"")</f>
        <v>3</v>
      </c>
      <c r="M79" s="5" t="str">
        <f>IF(IF(ISNUMBER(J78),1,0)+IF(ISNUMBER(Table4424[[#This Row],[Post Total]]),1,0)=2,IF(IF(Table4424[[#This Row],[Student Number]]=C78,1,0)+IF(Table4424[[#This Row],[Session]]=B78,1,0)+IF(Table4424[[#This Row],[Pre or Post]]="Post",1,0)+IF(D78="Pre",1,0)=4,Table4424[[#This Row],[Post Total]],""),"")</f>
        <v/>
      </c>
      <c r="N79" s="5" t="str">
        <f>IF(IF(ISNUMBER(J78),1,0)+IF(ISNUMBER(Table4424[[#This Row],[Post Total]]),1,0)=2,IF(IF(Table4424[[#This Row],[Student Number]]=C78,1,0)+IF(Table4424[[#This Row],[Session]]=B78,1,0)+IF(Table4424[[#This Row],[Pre or Post]]="Post",1,0)+IF(D78="Pre",1,0)=4,Table4424[[#This Row],[Post Total]]-J78,""),"")</f>
        <v/>
      </c>
      <c r="O79" s="5" t="b">
        <f>ISNUMBER(Table4424[[#This Row],[Change]])</f>
        <v>0</v>
      </c>
    </row>
    <row r="80" spans="1:15">
      <c r="A80" s="1" t="s">
        <v>24</v>
      </c>
      <c r="B80" s="1" t="s">
        <v>25</v>
      </c>
      <c r="C80" s="1">
        <v>14</v>
      </c>
      <c r="D80" s="1" t="s">
        <v>16</v>
      </c>
      <c r="E80" s="1">
        <v>2</v>
      </c>
      <c r="F80" s="1">
        <v>3</v>
      </c>
      <c r="G80" s="2" t="s">
        <v>8</v>
      </c>
      <c r="H80" s="5" t="str">
        <f>IF(IF(Table4424[[#This Row],[Pre or Post]]="Pre",1,0)+IF(ISNUMBER(Table4424[[#This Row],[Response]])=TRUE,1,0)=2,1,"")</f>
        <v/>
      </c>
      <c r="I80" s="5">
        <f>IF(IF(Table4424[[#This Row],[Pre or Post]]="Post",1,0)+IF(ISNUMBER(Table4424[[#This Row],[Response]])=TRUE,1,0)=2,1,"")</f>
        <v>1</v>
      </c>
      <c r="J80" s="6" t="str">
        <f>IF(IF(Table4424[[#This Row],[Pre or Post]]="Pre",1,0)+IF(ISNUMBER(Table4424[[#This Row],[Response]])=TRUE,1,0)=2,Table4424[[#This Row],[Response]],"")</f>
        <v/>
      </c>
      <c r="K80" s="6">
        <f>IF(IF(Table4424[[#This Row],[Pre or Post]]="Post",1,0)+IF(ISNUMBER(Table4424[[#This Row],[Response]])=TRUE,1,0)=2,Table4424[[#This Row],[Response]],"")</f>
        <v>3</v>
      </c>
      <c r="L80" s="5" t="str">
        <f>IF(IF(ISNUMBER(J80),1,0)+IF(ISNUMBER(K81),1,0)=2,IF(IF(C81=C80,1,0)+IF(B81=B80,1,0)+IF(D81="Post",1,0)+IF(D80="Pre",1,0)=4,Table4424[[#This Row],[Pre Total]],""),"")</f>
        <v/>
      </c>
      <c r="M80" s="5">
        <f>IF(IF(ISNUMBER(J79),1,0)+IF(ISNUMBER(Table4424[[#This Row],[Post Total]]),1,0)=2,IF(IF(Table4424[[#This Row],[Student Number]]=C79,1,0)+IF(Table4424[[#This Row],[Session]]=B79,1,0)+IF(Table4424[[#This Row],[Pre or Post]]="Post",1,0)+IF(D79="Pre",1,0)=4,Table4424[[#This Row],[Post Total]],""),"")</f>
        <v>3</v>
      </c>
      <c r="N80" s="5">
        <f>IF(IF(ISNUMBER(J79),1,0)+IF(ISNUMBER(Table4424[[#This Row],[Post Total]]),1,0)=2,IF(IF(Table4424[[#This Row],[Student Number]]=C79,1,0)+IF(Table4424[[#This Row],[Session]]=B79,1,0)+IF(Table4424[[#This Row],[Pre or Post]]="Post",1,0)+IF(D79="Pre",1,0)=4,Table4424[[#This Row],[Post Total]]-J79,""),"")</f>
        <v>0</v>
      </c>
      <c r="O80" s="5" t="b">
        <f>ISNUMBER(Table4424[[#This Row],[Change]])</f>
        <v>1</v>
      </c>
    </row>
    <row r="81" spans="1:15">
      <c r="A81" s="1" t="s">
        <v>24</v>
      </c>
      <c r="B81" s="1" t="s">
        <v>25</v>
      </c>
      <c r="C81" s="1">
        <v>15</v>
      </c>
      <c r="D81" s="1" t="s">
        <v>6</v>
      </c>
      <c r="E81" s="1">
        <v>9</v>
      </c>
      <c r="F81" s="1">
        <v>4</v>
      </c>
      <c r="G81" s="2" t="s">
        <v>9</v>
      </c>
      <c r="H81" s="5">
        <f>IF(IF(Table4424[[#This Row],[Pre or Post]]="Pre",1,0)+IF(ISNUMBER(Table4424[[#This Row],[Response]])=TRUE,1,0)=2,1,"")</f>
        <v>1</v>
      </c>
      <c r="I81" s="5" t="str">
        <f>IF(IF(Table4424[[#This Row],[Pre or Post]]="Post",1,0)+IF(ISNUMBER(Table4424[[#This Row],[Response]])=TRUE,1,0)=2,1,"")</f>
        <v/>
      </c>
      <c r="J81" s="6">
        <f>IF(IF(Table4424[[#This Row],[Pre or Post]]="Pre",1,0)+IF(ISNUMBER(Table4424[[#This Row],[Response]])=TRUE,1,0)=2,Table4424[[#This Row],[Response]],"")</f>
        <v>4</v>
      </c>
      <c r="K81" s="6" t="str">
        <f>IF(IF(Table4424[[#This Row],[Pre or Post]]="Post",1,0)+IF(ISNUMBER(Table4424[[#This Row],[Response]])=TRUE,1,0)=2,Table4424[[#This Row],[Response]],"")</f>
        <v/>
      </c>
      <c r="L81" s="5" t="str">
        <f>IF(IF(ISNUMBER(J81),1,0)+IF(ISNUMBER(K82),1,0)=2,IF(IF(C82=C81,1,0)+IF(B82=B81,1,0)+IF(D82="Post",1,0)+IF(D81="Pre",1,0)=4,Table4424[[#This Row],[Pre Total]],""),"")</f>
        <v/>
      </c>
      <c r="M81" s="5" t="str">
        <f>IF(IF(ISNUMBER(J80),1,0)+IF(ISNUMBER(Table4424[[#This Row],[Post Total]]),1,0)=2,IF(IF(Table4424[[#This Row],[Student Number]]=C80,1,0)+IF(Table4424[[#This Row],[Session]]=B80,1,0)+IF(Table4424[[#This Row],[Pre or Post]]="Post",1,0)+IF(D80="Pre",1,0)=4,Table4424[[#This Row],[Post Total]],""),"")</f>
        <v/>
      </c>
      <c r="N81" s="5" t="str">
        <f>IF(IF(ISNUMBER(J80),1,0)+IF(ISNUMBER(Table4424[[#This Row],[Post Total]]),1,0)=2,IF(IF(Table4424[[#This Row],[Student Number]]=C80,1,0)+IF(Table4424[[#This Row],[Session]]=B80,1,0)+IF(Table4424[[#This Row],[Pre or Post]]="Post",1,0)+IF(D80="Pre",1,0)=4,Table4424[[#This Row],[Post Total]]-J80,""),"")</f>
        <v/>
      </c>
      <c r="O81" s="5" t="b">
        <f>ISNUMBER(Table4424[[#This Row],[Change]])</f>
        <v>0</v>
      </c>
    </row>
    <row r="82" spans="1:15">
      <c r="A82" s="1" t="s">
        <v>24</v>
      </c>
      <c r="B82" s="1" t="s">
        <v>25</v>
      </c>
      <c r="C82" s="1">
        <v>16</v>
      </c>
      <c r="D82" s="1" t="s">
        <v>6</v>
      </c>
      <c r="E82" s="1">
        <v>9</v>
      </c>
      <c r="F82" s="1">
        <v>3</v>
      </c>
      <c r="G82" s="2" t="s">
        <v>9</v>
      </c>
      <c r="H82" s="5">
        <f>IF(IF(Table4424[[#This Row],[Pre or Post]]="Pre",1,0)+IF(ISNUMBER(Table4424[[#This Row],[Response]])=TRUE,1,0)=2,1,"")</f>
        <v>1</v>
      </c>
      <c r="I82" s="5" t="str">
        <f>IF(IF(Table4424[[#This Row],[Pre or Post]]="Post",1,0)+IF(ISNUMBER(Table4424[[#This Row],[Response]])=TRUE,1,0)=2,1,"")</f>
        <v/>
      </c>
      <c r="J82" s="6">
        <f>IF(IF(Table4424[[#This Row],[Pre or Post]]="Pre",1,0)+IF(ISNUMBER(Table4424[[#This Row],[Response]])=TRUE,1,0)=2,Table4424[[#This Row],[Response]],"")</f>
        <v>3</v>
      </c>
      <c r="K82" s="6" t="str">
        <f>IF(IF(Table4424[[#This Row],[Pre or Post]]="Post",1,0)+IF(ISNUMBER(Table4424[[#This Row],[Response]])=TRUE,1,0)=2,Table4424[[#This Row],[Response]],"")</f>
        <v/>
      </c>
      <c r="L82" s="5" t="str">
        <f>IF(IF(ISNUMBER(J82),1,0)+IF(ISNUMBER(K83),1,0)=2,IF(IF(C83=C82,1,0)+IF(B83=B82,1,0)+IF(D83="Post",1,0)+IF(D82="Pre",1,0)=4,Table4424[[#This Row],[Pre Total]],""),"")</f>
        <v/>
      </c>
      <c r="M82" s="5" t="str">
        <f>IF(IF(ISNUMBER(J81),1,0)+IF(ISNUMBER(Table4424[[#This Row],[Post Total]]),1,0)=2,IF(IF(Table4424[[#This Row],[Student Number]]=C81,1,0)+IF(Table4424[[#This Row],[Session]]=B81,1,0)+IF(Table4424[[#This Row],[Pre or Post]]="Post",1,0)+IF(D81="Pre",1,0)=4,Table4424[[#This Row],[Post Total]],""),"")</f>
        <v/>
      </c>
      <c r="N82" s="5" t="str">
        <f>IF(IF(ISNUMBER(J81),1,0)+IF(ISNUMBER(Table4424[[#This Row],[Post Total]]),1,0)=2,IF(IF(Table4424[[#This Row],[Student Number]]=C81,1,0)+IF(Table4424[[#This Row],[Session]]=B81,1,0)+IF(Table4424[[#This Row],[Pre or Post]]="Post",1,0)+IF(D81="Pre",1,0)=4,Table4424[[#This Row],[Post Total]]-J81,""),"")</f>
        <v/>
      </c>
      <c r="O82" s="5" t="b">
        <f>ISNUMBER(Table4424[[#This Row],[Change]])</f>
        <v>0</v>
      </c>
    </row>
    <row r="83" spans="1:15">
      <c r="A83" s="1" t="s">
        <v>24</v>
      </c>
      <c r="B83" s="1" t="s">
        <v>25</v>
      </c>
      <c r="C83" s="1">
        <v>17</v>
      </c>
      <c r="D83" s="1" t="s">
        <v>6</v>
      </c>
      <c r="E83" s="1">
        <v>9</v>
      </c>
      <c r="F83" s="1">
        <v>3</v>
      </c>
      <c r="G83" s="2" t="s">
        <v>9</v>
      </c>
      <c r="H83" s="5">
        <f>IF(IF(Table4424[[#This Row],[Pre or Post]]="Pre",1,0)+IF(ISNUMBER(Table4424[[#This Row],[Response]])=TRUE,1,0)=2,1,"")</f>
        <v>1</v>
      </c>
      <c r="I83" s="5" t="str">
        <f>IF(IF(Table4424[[#This Row],[Pre or Post]]="Post",1,0)+IF(ISNUMBER(Table4424[[#This Row],[Response]])=TRUE,1,0)=2,1,"")</f>
        <v/>
      </c>
      <c r="J83" s="6">
        <f>IF(IF(Table4424[[#This Row],[Pre or Post]]="Pre",1,0)+IF(ISNUMBER(Table4424[[#This Row],[Response]])=TRUE,1,0)=2,Table4424[[#This Row],[Response]],"")</f>
        <v>3</v>
      </c>
      <c r="K83" s="6" t="str">
        <f>IF(IF(Table4424[[#This Row],[Pre or Post]]="Post",1,0)+IF(ISNUMBER(Table4424[[#This Row],[Response]])=TRUE,1,0)=2,Table4424[[#This Row],[Response]],"")</f>
        <v/>
      </c>
      <c r="L83" s="5" t="str">
        <f>IF(IF(ISNUMBER(J83),1,0)+IF(ISNUMBER(K84),1,0)=2,IF(IF(C84=C83,1,0)+IF(B84=B83,1,0)+IF(D84="Post",1,0)+IF(D83="Pre",1,0)=4,Table4424[[#This Row],[Pre Total]],""),"")</f>
        <v/>
      </c>
      <c r="M83" s="5" t="str">
        <f>IF(IF(ISNUMBER(J82),1,0)+IF(ISNUMBER(Table4424[[#This Row],[Post Total]]),1,0)=2,IF(IF(Table4424[[#This Row],[Student Number]]=C82,1,0)+IF(Table4424[[#This Row],[Session]]=B82,1,0)+IF(Table4424[[#This Row],[Pre or Post]]="Post",1,0)+IF(D82="Pre",1,0)=4,Table4424[[#This Row],[Post Total]],""),"")</f>
        <v/>
      </c>
      <c r="N83" s="5" t="str">
        <f>IF(IF(ISNUMBER(J82),1,0)+IF(ISNUMBER(Table4424[[#This Row],[Post Total]]),1,0)=2,IF(IF(Table4424[[#This Row],[Student Number]]=C82,1,0)+IF(Table4424[[#This Row],[Session]]=B82,1,0)+IF(Table4424[[#This Row],[Pre or Post]]="Post",1,0)+IF(D82="Pre",1,0)=4,Table4424[[#This Row],[Post Total]]-J82,""),"")</f>
        <v/>
      </c>
      <c r="O83" s="5" t="b">
        <f>ISNUMBER(Table4424[[#This Row],[Change]])</f>
        <v>0</v>
      </c>
    </row>
    <row r="84" spans="1:15">
      <c r="A84" s="1" t="s">
        <v>24</v>
      </c>
      <c r="B84" s="1" t="s">
        <v>25</v>
      </c>
      <c r="C84" s="1">
        <v>18</v>
      </c>
      <c r="D84" s="1" t="s">
        <v>16</v>
      </c>
      <c r="E84" s="1">
        <v>2</v>
      </c>
      <c r="F84" s="1">
        <v>3</v>
      </c>
      <c r="G84" s="2" t="s">
        <v>9</v>
      </c>
      <c r="H84" s="5" t="str">
        <f>IF(IF(Table4424[[#This Row],[Pre or Post]]="Pre",1,0)+IF(ISNUMBER(Table4424[[#This Row],[Response]])=TRUE,1,0)=2,1,"")</f>
        <v/>
      </c>
      <c r="I84" s="5">
        <f>IF(IF(Table4424[[#This Row],[Pre or Post]]="Post",1,0)+IF(ISNUMBER(Table4424[[#This Row],[Response]])=TRUE,1,0)=2,1,"")</f>
        <v>1</v>
      </c>
      <c r="J84" s="6" t="str">
        <f>IF(IF(Table4424[[#This Row],[Pre or Post]]="Pre",1,0)+IF(ISNUMBER(Table4424[[#This Row],[Response]])=TRUE,1,0)=2,Table4424[[#This Row],[Response]],"")</f>
        <v/>
      </c>
      <c r="K84" s="6">
        <f>IF(IF(Table4424[[#This Row],[Pre or Post]]="Post",1,0)+IF(ISNUMBER(Table4424[[#This Row],[Response]])=TRUE,1,0)=2,Table4424[[#This Row],[Response]],"")</f>
        <v>3</v>
      </c>
      <c r="L84" s="5" t="str">
        <f>IF(IF(ISNUMBER(J84),1,0)+IF(ISNUMBER(K85),1,0)=2,IF(IF(C85=C84,1,0)+IF(B85=B84,1,0)+IF(D85="Post",1,0)+IF(D84="Pre",1,0)=4,Table4424[[#This Row],[Pre Total]],""),"")</f>
        <v/>
      </c>
      <c r="M84" s="5" t="str">
        <f>IF(IF(ISNUMBER(J83),1,0)+IF(ISNUMBER(Table4424[[#This Row],[Post Total]]),1,0)=2,IF(IF(Table4424[[#This Row],[Student Number]]=C83,1,0)+IF(Table4424[[#This Row],[Session]]=B83,1,0)+IF(Table4424[[#This Row],[Pre or Post]]="Post",1,0)+IF(D83="Pre",1,0)=4,Table4424[[#This Row],[Post Total]],""),"")</f>
        <v/>
      </c>
      <c r="N84" s="5" t="str">
        <f>IF(IF(ISNUMBER(J83),1,0)+IF(ISNUMBER(Table4424[[#This Row],[Post Total]]),1,0)=2,IF(IF(Table4424[[#This Row],[Student Number]]=C83,1,0)+IF(Table4424[[#This Row],[Session]]=B83,1,0)+IF(Table4424[[#This Row],[Pre or Post]]="Post",1,0)+IF(D83="Pre",1,0)=4,Table4424[[#This Row],[Post Total]]-J83,""),"")</f>
        <v/>
      </c>
      <c r="O84" s="5" t="b">
        <f>ISNUMBER(Table4424[[#This Row],[Change]])</f>
        <v>0</v>
      </c>
    </row>
    <row r="85" spans="1:15">
      <c r="A85" s="1" t="s">
        <v>24</v>
      </c>
      <c r="B85" s="1" t="s">
        <v>25</v>
      </c>
      <c r="C85" s="1">
        <v>19</v>
      </c>
      <c r="D85" s="1" t="s">
        <v>16</v>
      </c>
      <c r="E85" s="1">
        <v>2</v>
      </c>
      <c r="F85" s="1">
        <v>3</v>
      </c>
      <c r="G85" s="2" t="s">
        <v>9</v>
      </c>
      <c r="H85" s="5" t="str">
        <f>IF(IF(Table4424[[#This Row],[Pre or Post]]="Pre",1,0)+IF(ISNUMBER(Table4424[[#This Row],[Response]])=TRUE,1,0)=2,1,"")</f>
        <v/>
      </c>
      <c r="I85" s="5">
        <f>IF(IF(Table4424[[#This Row],[Pre or Post]]="Post",1,0)+IF(ISNUMBER(Table4424[[#This Row],[Response]])=TRUE,1,0)=2,1,"")</f>
        <v>1</v>
      </c>
      <c r="J85" s="6" t="str">
        <f>IF(IF(Table4424[[#This Row],[Pre or Post]]="Pre",1,0)+IF(ISNUMBER(Table4424[[#This Row],[Response]])=TRUE,1,0)=2,Table4424[[#This Row],[Response]],"")</f>
        <v/>
      </c>
      <c r="K85" s="6">
        <f>IF(IF(Table4424[[#This Row],[Pre or Post]]="Post",1,0)+IF(ISNUMBER(Table4424[[#This Row],[Response]])=TRUE,1,0)=2,Table4424[[#This Row],[Response]],"")</f>
        <v>3</v>
      </c>
      <c r="L85" s="5" t="str">
        <f>IF(IF(ISNUMBER(J85),1,0)+IF(ISNUMBER(K86),1,0)=2,IF(IF(C86=C85,1,0)+IF(B86=B85,1,0)+IF(D86="Post",1,0)+IF(D85="Pre",1,0)=4,Table4424[[#This Row],[Pre Total]],""),"")</f>
        <v/>
      </c>
      <c r="M85" s="5" t="str">
        <f>IF(IF(ISNUMBER(J84),1,0)+IF(ISNUMBER(Table4424[[#This Row],[Post Total]]),1,0)=2,IF(IF(Table4424[[#This Row],[Student Number]]=C84,1,0)+IF(Table4424[[#This Row],[Session]]=B84,1,0)+IF(Table4424[[#This Row],[Pre or Post]]="Post",1,0)+IF(D84="Pre",1,0)=4,Table4424[[#This Row],[Post Total]],""),"")</f>
        <v/>
      </c>
      <c r="N85" s="5" t="str">
        <f>IF(IF(ISNUMBER(J84),1,0)+IF(ISNUMBER(Table4424[[#This Row],[Post Total]]),1,0)=2,IF(IF(Table4424[[#This Row],[Student Number]]=C84,1,0)+IF(Table4424[[#This Row],[Session]]=B84,1,0)+IF(Table4424[[#This Row],[Pre or Post]]="Post",1,0)+IF(D84="Pre",1,0)=4,Table4424[[#This Row],[Post Total]]-J84,""),"")</f>
        <v/>
      </c>
      <c r="O85" s="5" t="b">
        <f>ISNUMBER(Table4424[[#This Row],[Change]])</f>
        <v>0</v>
      </c>
    </row>
    <row r="86" spans="1:15">
      <c r="A86" s="1" t="s">
        <v>24</v>
      </c>
      <c r="B86" s="1" t="s">
        <v>25</v>
      </c>
      <c r="C86" s="1">
        <v>20</v>
      </c>
      <c r="D86" s="1" t="s">
        <v>16</v>
      </c>
      <c r="E86" s="1">
        <v>2</v>
      </c>
      <c r="F86" s="1">
        <v>3</v>
      </c>
      <c r="G86" s="2" t="s">
        <v>9</v>
      </c>
      <c r="H86" s="5" t="str">
        <f>IF(IF(Table4424[[#This Row],[Pre or Post]]="Pre",1,0)+IF(ISNUMBER(Table4424[[#This Row],[Response]])=TRUE,1,0)=2,1,"")</f>
        <v/>
      </c>
      <c r="I86" s="5">
        <f>IF(IF(Table4424[[#This Row],[Pre or Post]]="Post",1,0)+IF(ISNUMBER(Table4424[[#This Row],[Response]])=TRUE,1,0)=2,1,"")</f>
        <v>1</v>
      </c>
      <c r="J86" s="6" t="str">
        <f>IF(IF(Table4424[[#This Row],[Pre or Post]]="Pre",1,0)+IF(ISNUMBER(Table4424[[#This Row],[Response]])=TRUE,1,0)=2,Table4424[[#This Row],[Response]],"")</f>
        <v/>
      </c>
      <c r="K86" s="6">
        <f>IF(IF(Table4424[[#This Row],[Pre or Post]]="Post",1,0)+IF(ISNUMBER(Table4424[[#This Row],[Response]])=TRUE,1,0)=2,Table4424[[#This Row],[Response]],"")</f>
        <v>3</v>
      </c>
      <c r="L86" s="5" t="str">
        <f>IF(IF(ISNUMBER(J86),1,0)+IF(ISNUMBER(K87),1,0)=2,IF(IF(C87=C86,1,0)+IF(B87=B86,1,0)+IF(D87="Post",1,0)+IF(D86="Pre",1,0)=4,Table4424[[#This Row],[Pre Total]],""),"")</f>
        <v/>
      </c>
      <c r="M86" s="5" t="str">
        <f>IF(IF(ISNUMBER(J85),1,0)+IF(ISNUMBER(Table4424[[#This Row],[Post Total]]),1,0)=2,IF(IF(Table4424[[#This Row],[Student Number]]=C85,1,0)+IF(Table4424[[#This Row],[Session]]=B85,1,0)+IF(Table4424[[#This Row],[Pre or Post]]="Post",1,0)+IF(D85="Pre",1,0)=4,Table4424[[#This Row],[Post Total]],""),"")</f>
        <v/>
      </c>
      <c r="N86" s="5" t="str">
        <f>IF(IF(ISNUMBER(J85),1,0)+IF(ISNUMBER(Table4424[[#This Row],[Post Total]]),1,0)=2,IF(IF(Table4424[[#This Row],[Student Number]]=C85,1,0)+IF(Table4424[[#This Row],[Session]]=B85,1,0)+IF(Table4424[[#This Row],[Pre or Post]]="Post",1,0)+IF(D85="Pre",1,0)=4,Table4424[[#This Row],[Post Total]]-J85,""),"")</f>
        <v/>
      </c>
      <c r="O86" s="5" t="b">
        <f>ISNUMBER(Table4424[[#This Row],[Change]])</f>
        <v>0</v>
      </c>
    </row>
    <row r="87" spans="1:15">
      <c r="A87" s="1" t="s">
        <v>24</v>
      </c>
      <c r="B87" s="1" t="s">
        <v>25</v>
      </c>
      <c r="C87" s="1">
        <v>21</v>
      </c>
      <c r="D87" s="1" t="s">
        <v>16</v>
      </c>
      <c r="E87" s="1">
        <v>2</v>
      </c>
      <c r="F87" s="1">
        <v>2</v>
      </c>
      <c r="G87" s="2" t="s">
        <v>9</v>
      </c>
      <c r="H87" s="5" t="str">
        <f>IF(IF(Table4424[[#This Row],[Pre or Post]]="Pre",1,0)+IF(ISNUMBER(Table4424[[#This Row],[Response]])=TRUE,1,0)=2,1,"")</f>
        <v/>
      </c>
      <c r="I87" s="5">
        <f>IF(IF(Table4424[[#This Row],[Pre or Post]]="Post",1,0)+IF(ISNUMBER(Table4424[[#This Row],[Response]])=TRUE,1,0)=2,1,"")</f>
        <v>1</v>
      </c>
      <c r="J87" s="6" t="str">
        <f>IF(IF(Table4424[[#This Row],[Pre or Post]]="Pre",1,0)+IF(ISNUMBER(Table4424[[#This Row],[Response]])=TRUE,1,0)=2,Table4424[[#This Row],[Response]],"")</f>
        <v/>
      </c>
      <c r="K87" s="6">
        <f>IF(IF(Table4424[[#This Row],[Pre or Post]]="Post",1,0)+IF(ISNUMBER(Table4424[[#This Row],[Response]])=TRUE,1,0)=2,Table4424[[#This Row],[Response]],"")</f>
        <v>2</v>
      </c>
      <c r="L87" s="5" t="str">
        <f>IF(IF(ISNUMBER(J87),1,0)+IF(ISNUMBER(K88),1,0)=2,IF(IF(C88=C87,1,0)+IF(B88=B87,1,0)+IF(D88="Post",1,0)+IF(D87="Pre",1,0)=4,Table4424[[#This Row],[Pre Total]],""),"")</f>
        <v/>
      </c>
      <c r="M87" s="5" t="str">
        <f>IF(IF(ISNUMBER(J86),1,0)+IF(ISNUMBER(Table4424[[#This Row],[Post Total]]),1,0)=2,IF(IF(Table4424[[#This Row],[Student Number]]=C86,1,0)+IF(Table4424[[#This Row],[Session]]=B86,1,0)+IF(Table4424[[#This Row],[Pre or Post]]="Post",1,0)+IF(D86="Pre",1,0)=4,Table4424[[#This Row],[Post Total]],""),"")</f>
        <v/>
      </c>
      <c r="N87" s="5" t="str">
        <f>IF(IF(ISNUMBER(J86),1,0)+IF(ISNUMBER(Table4424[[#This Row],[Post Total]]),1,0)=2,IF(IF(Table4424[[#This Row],[Student Number]]=C86,1,0)+IF(Table4424[[#This Row],[Session]]=B86,1,0)+IF(Table4424[[#This Row],[Pre or Post]]="Post",1,0)+IF(D86="Pre",1,0)=4,Table4424[[#This Row],[Post Total]]-J86,""),"")</f>
        <v/>
      </c>
      <c r="O87" s="5" t="b">
        <f>ISNUMBER(Table4424[[#This Row],[Change]])</f>
        <v>0</v>
      </c>
    </row>
    <row r="88" spans="1:15">
      <c r="A88" s="2" t="s">
        <v>24</v>
      </c>
      <c r="B88" s="2" t="s">
        <v>28</v>
      </c>
      <c r="C88" s="1">
        <v>1</v>
      </c>
      <c r="D88" s="1" t="s">
        <v>6</v>
      </c>
      <c r="E88" s="1">
        <v>9</v>
      </c>
      <c r="F88" s="1">
        <v>3</v>
      </c>
      <c r="G88" s="2" t="s">
        <v>8</v>
      </c>
      <c r="H88" s="5">
        <f>IF(IF(Table4424[[#This Row],[Pre or Post]]="Pre",1,0)+IF(ISNUMBER(Table4424[[#This Row],[Response]])=TRUE,1,0)=2,1,"")</f>
        <v>1</v>
      </c>
      <c r="I88" s="5" t="str">
        <f>IF(IF(Table4424[[#This Row],[Pre or Post]]="Post",1,0)+IF(ISNUMBER(Table4424[[#This Row],[Response]])=TRUE,1,0)=2,1,"")</f>
        <v/>
      </c>
      <c r="J88" s="6">
        <f>IF(IF(Table4424[[#This Row],[Pre or Post]]="Pre",1,0)+IF(ISNUMBER(Table4424[[#This Row],[Response]])=TRUE,1,0)=2,Table4424[[#This Row],[Response]],"")</f>
        <v>3</v>
      </c>
      <c r="K88" s="6" t="str">
        <f>IF(IF(Table4424[[#This Row],[Pre or Post]]="Post",1,0)+IF(ISNUMBER(Table4424[[#This Row],[Response]])=TRUE,1,0)=2,Table4424[[#This Row],[Response]],"")</f>
        <v/>
      </c>
      <c r="L88" s="5">
        <f>IF(IF(ISNUMBER(J88),1,0)+IF(ISNUMBER(K89),1,0)=2,IF(IF(C89=C88,1,0)+IF(B89=B88,1,0)+IF(D89="Post",1,0)+IF(D88="Pre",1,0)=4,Table4424[[#This Row],[Pre Total]],""),"")</f>
        <v>3</v>
      </c>
      <c r="M88" s="5" t="str">
        <f>IF(IF(ISNUMBER(J87),1,0)+IF(ISNUMBER(Table4424[[#This Row],[Post Total]]),1,0)=2,IF(IF(Table4424[[#This Row],[Student Number]]=C87,1,0)+IF(Table4424[[#This Row],[Session]]=B87,1,0)+IF(Table4424[[#This Row],[Pre or Post]]="Post",1,0)+IF(D87="Pre",1,0)=4,Table4424[[#This Row],[Post Total]],""),"")</f>
        <v/>
      </c>
      <c r="N88" s="5" t="str">
        <f>IF(IF(ISNUMBER(J87),1,0)+IF(ISNUMBER(Table4424[[#This Row],[Post Total]]),1,0)=2,IF(IF(Table4424[[#This Row],[Student Number]]=C87,1,0)+IF(Table4424[[#This Row],[Session]]=B87,1,0)+IF(Table4424[[#This Row],[Pre or Post]]="Post",1,0)+IF(D87="Pre",1,0)=4,Table4424[[#This Row],[Post Total]]-J87,""),"")</f>
        <v/>
      </c>
      <c r="O88" s="5" t="b">
        <f>ISNUMBER(Table4424[[#This Row],[Change]])</f>
        <v>0</v>
      </c>
    </row>
    <row r="89" spans="1:15">
      <c r="A89" s="2" t="s">
        <v>24</v>
      </c>
      <c r="B89" s="2" t="s">
        <v>28</v>
      </c>
      <c r="C89" s="1">
        <v>1</v>
      </c>
      <c r="D89" s="1" t="s">
        <v>16</v>
      </c>
      <c r="E89" s="1">
        <v>2</v>
      </c>
      <c r="F89" s="2">
        <v>4</v>
      </c>
      <c r="G89" s="2" t="s">
        <v>8</v>
      </c>
      <c r="H89" s="6" t="str">
        <f>IF(IF(Table4424[[#This Row],[Pre or Post]]="Pre",1,0)+IF(ISNUMBER(Table4424[[#This Row],[Response]])=TRUE,1,0)=2,1,"")</f>
        <v/>
      </c>
      <c r="I89" s="6">
        <f>IF(IF(Table4424[[#This Row],[Pre or Post]]="Post",1,0)+IF(ISNUMBER(Table4424[[#This Row],[Response]])=TRUE,1,0)=2,1,"")</f>
        <v>1</v>
      </c>
      <c r="J89" s="6" t="str">
        <f>IF(IF(Table4424[[#This Row],[Pre or Post]]="Pre",1,0)+IF(ISNUMBER(Table4424[[#This Row],[Response]])=TRUE,1,0)=2,Table4424[[#This Row],[Response]],"")</f>
        <v/>
      </c>
      <c r="K89" s="6">
        <f>IF(IF(Table4424[[#This Row],[Pre or Post]]="Post",1,0)+IF(ISNUMBER(Table4424[[#This Row],[Response]])=TRUE,1,0)=2,Table4424[[#This Row],[Response]],"")</f>
        <v>4</v>
      </c>
      <c r="L89" s="6" t="str">
        <f>IF(IF(ISNUMBER(J89),1,0)+IF(ISNUMBER(K90),1,0)=2,IF(IF(C90=C89,1,0)+IF(B90=B89,1,0)+IF(D90="Post",1,0)+IF(D89="Pre",1,0)=4,Table4424[[#This Row],[Pre Total]],""),"")</f>
        <v/>
      </c>
      <c r="M89" s="6">
        <f>IF(IF(ISNUMBER(J88),1,0)+IF(ISNUMBER(Table4424[[#This Row],[Post Total]]),1,0)=2,IF(IF(Table4424[[#This Row],[Student Number]]=C88,1,0)+IF(Table4424[[#This Row],[Session]]=B88,1,0)+IF(Table4424[[#This Row],[Pre or Post]]="Post",1,0)+IF(D88="Pre",1,0)=4,Table4424[[#This Row],[Post Total]],""),"")</f>
        <v>4</v>
      </c>
      <c r="N89" s="6">
        <f>IF(IF(ISNUMBER(J88),1,0)+IF(ISNUMBER(Table4424[[#This Row],[Post Total]]),1,0)=2,IF(IF(Table4424[[#This Row],[Student Number]]=C88,1,0)+IF(Table4424[[#This Row],[Session]]=B88,1,0)+IF(Table4424[[#This Row],[Pre or Post]]="Post",1,0)+IF(D88="Pre",1,0)=4,Table4424[[#This Row],[Post Total]]-J88,""),"")</f>
        <v>1</v>
      </c>
      <c r="O89" s="6" t="b">
        <f>ISNUMBER(Table4424[[#This Row],[Change]])</f>
        <v>1</v>
      </c>
    </row>
    <row r="90" spans="1:15">
      <c r="A90" s="2" t="s">
        <v>24</v>
      </c>
      <c r="B90" s="2" t="s">
        <v>28</v>
      </c>
      <c r="C90" s="1">
        <v>2</v>
      </c>
      <c r="D90" s="1" t="s">
        <v>6</v>
      </c>
      <c r="E90" s="1">
        <v>9</v>
      </c>
      <c r="F90" s="1">
        <v>3</v>
      </c>
      <c r="G90" s="2" t="s">
        <v>8</v>
      </c>
      <c r="H90" s="5">
        <f>IF(IF(Table4424[[#This Row],[Pre or Post]]="Pre",1,0)+IF(ISNUMBER(Table4424[[#This Row],[Response]])=TRUE,1,0)=2,1,"")</f>
        <v>1</v>
      </c>
      <c r="I90" s="5" t="str">
        <f>IF(IF(Table4424[[#This Row],[Pre or Post]]="Post",1,0)+IF(ISNUMBER(Table4424[[#This Row],[Response]])=TRUE,1,0)=2,1,"")</f>
        <v/>
      </c>
      <c r="J90" s="6">
        <f>IF(IF(Table4424[[#This Row],[Pre or Post]]="Pre",1,0)+IF(ISNUMBER(Table4424[[#This Row],[Response]])=TRUE,1,0)=2,Table4424[[#This Row],[Response]],"")</f>
        <v>3</v>
      </c>
      <c r="K90" s="6" t="str">
        <f>IF(IF(Table4424[[#This Row],[Pre or Post]]="Post",1,0)+IF(ISNUMBER(Table4424[[#This Row],[Response]])=TRUE,1,0)=2,Table4424[[#This Row],[Response]],"")</f>
        <v/>
      </c>
      <c r="L90" s="5">
        <f>IF(IF(ISNUMBER(J90),1,0)+IF(ISNUMBER(K91),1,0)=2,IF(IF(C91=C90,1,0)+IF(B91=B90,1,0)+IF(D91="Post",1,0)+IF(D90="Pre",1,0)=4,Table4424[[#This Row],[Pre Total]],""),"")</f>
        <v>3</v>
      </c>
      <c r="M90" s="5" t="str">
        <f>IF(IF(ISNUMBER(J89),1,0)+IF(ISNUMBER(Table4424[[#This Row],[Post Total]]),1,0)=2,IF(IF(Table4424[[#This Row],[Student Number]]=C89,1,0)+IF(Table4424[[#This Row],[Session]]=B89,1,0)+IF(Table4424[[#This Row],[Pre or Post]]="Post",1,0)+IF(D89="Pre",1,0)=4,Table4424[[#This Row],[Post Total]],""),"")</f>
        <v/>
      </c>
      <c r="N90" s="5" t="str">
        <f>IF(IF(ISNUMBER(J89),1,0)+IF(ISNUMBER(Table4424[[#This Row],[Post Total]]),1,0)=2,IF(IF(Table4424[[#This Row],[Student Number]]=C89,1,0)+IF(Table4424[[#This Row],[Session]]=B89,1,0)+IF(Table4424[[#This Row],[Pre or Post]]="Post",1,0)+IF(D89="Pre",1,0)=4,Table4424[[#This Row],[Post Total]]-J89,""),"")</f>
        <v/>
      </c>
      <c r="O90" s="5" t="b">
        <f>ISNUMBER(Table4424[[#This Row],[Change]])</f>
        <v>0</v>
      </c>
    </row>
    <row r="91" spans="1:15">
      <c r="A91" s="2" t="s">
        <v>24</v>
      </c>
      <c r="B91" s="2" t="s">
        <v>28</v>
      </c>
      <c r="C91" s="1">
        <v>2</v>
      </c>
      <c r="D91" s="1" t="s">
        <v>16</v>
      </c>
      <c r="E91" s="1">
        <v>2</v>
      </c>
      <c r="F91" s="2">
        <v>4</v>
      </c>
      <c r="G91" s="2" t="s">
        <v>8</v>
      </c>
      <c r="H91" s="6" t="str">
        <f>IF(IF(Table4424[[#This Row],[Pre or Post]]="Pre",1,0)+IF(ISNUMBER(Table4424[[#This Row],[Response]])=TRUE,1,0)=2,1,"")</f>
        <v/>
      </c>
      <c r="I91" s="6">
        <f>IF(IF(Table4424[[#This Row],[Pre or Post]]="Post",1,0)+IF(ISNUMBER(Table4424[[#This Row],[Response]])=TRUE,1,0)=2,1,"")</f>
        <v>1</v>
      </c>
      <c r="J91" s="6" t="str">
        <f>IF(IF(Table4424[[#This Row],[Pre or Post]]="Pre",1,0)+IF(ISNUMBER(Table4424[[#This Row],[Response]])=TRUE,1,0)=2,Table4424[[#This Row],[Response]],"")</f>
        <v/>
      </c>
      <c r="K91" s="6">
        <f>IF(IF(Table4424[[#This Row],[Pre or Post]]="Post",1,0)+IF(ISNUMBER(Table4424[[#This Row],[Response]])=TRUE,1,0)=2,Table4424[[#This Row],[Response]],"")</f>
        <v>4</v>
      </c>
      <c r="L91" s="6" t="str">
        <f>IF(IF(ISNUMBER(J91),1,0)+IF(ISNUMBER(K92),1,0)=2,IF(IF(C92=C91,1,0)+IF(B92=B91,1,0)+IF(D92="Post",1,0)+IF(D91="Pre",1,0)=4,Table4424[[#This Row],[Pre Total]],""),"")</f>
        <v/>
      </c>
      <c r="M91" s="6">
        <f>IF(IF(ISNUMBER(J90),1,0)+IF(ISNUMBER(Table4424[[#This Row],[Post Total]]),1,0)=2,IF(IF(Table4424[[#This Row],[Student Number]]=C90,1,0)+IF(Table4424[[#This Row],[Session]]=B90,1,0)+IF(Table4424[[#This Row],[Pre or Post]]="Post",1,0)+IF(D90="Pre",1,0)=4,Table4424[[#This Row],[Post Total]],""),"")</f>
        <v>4</v>
      </c>
      <c r="N91" s="6">
        <f>IF(IF(ISNUMBER(J90),1,0)+IF(ISNUMBER(Table4424[[#This Row],[Post Total]]),1,0)=2,IF(IF(Table4424[[#This Row],[Student Number]]=C90,1,0)+IF(Table4424[[#This Row],[Session]]=B90,1,0)+IF(Table4424[[#This Row],[Pre or Post]]="Post",1,0)+IF(D90="Pre",1,0)=4,Table4424[[#This Row],[Post Total]]-J90,""),"")</f>
        <v>1</v>
      </c>
      <c r="O91" s="6" t="b">
        <f>ISNUMBER(Table4424[[#This Row],[Change]])</f>
        <v>1</v>
      </c>
    </row>
    <row r="92" spans="1:15">
      <c r="A92" s="2" t="s">
        <v>24</v>
      </c>
      <c r="B92" s="2" t="s">
        <v>28</v>
      </c>
      <c r="C92" s="1">
        <v>3</v>
      </c>
      <c r="D92" s="1" t="s">
        <v>6</v>
      </c>
      <c r="E92" s="1">
        <v>9</v>
      </c>
      <c r="F92" s="1">
        <v>3</v>
      </c>
      <c r="G92" s="2" t="s">
        <v>8</v>
      </c>
      <c r="H92" s="5">
        <f>IF(IF(Table4424[[#This Row],[Pre or Post]]="Pre",1,0)+IF(ISNUMBER(Table4424[[#This Row],[Response]])=TRUE,1,0)=2,1,"")</f>
        <v>1</v>
      </c>
      <c r="I92" s="5" t="str">
        <f>IF(IF(Table4424[[#This Row],[Pre or Post]]="Post",1,0)+IF(ISNUMBER(Table4424[[#This Row],[Response]])=TRUE,1,0)=2,1,"")</f>
        <v/>
      </c>
      <c r="J92" s="6">
        <f>IF(IF(Table4424[[#This Row],[Pre or Post]]="Pre",1,0)+IF(ISNUMBER(Table4424[[#This Row],[Response]])=TRUE,1,0)=2,Table4424[[#This Row],[Response]],"")</f>
        <v>3</v>
      </c>
      <c r="K92" s="6" t="str">
        <f>IF(IF(Table4424[[#This Row],[Pre or Post]]="Post",1,0)+IF(ISNUMBER(Table4424[[#This Row],[Response]])=TRUE,1,0)=2,Table4424[[#This Row],[Response]],"")</f>
        <v/>
      </c>
      <c r="L92" s="5">
        <f>IF(IF(ISNUMBER(J92),1,0)+IF(ISNUMBER(K93),1,0)=2,IF(IF(C93=C92,1,0)+IF(B93=B92,1,0)+IF(D93="Post",1,0)+IF(D92="Pre",1,0)=4,Table4424[[#This Row],[Pre Total]],""),"")</f>
        <v>3</v>
      </c>
      <c r="M92" s="5" t="str">
        <f>IF(IF(ISNUMBER(J91),1,0)+IF(ISNUMBER(Table4424[[#This Row],[Post Total]]),1,0)=2,IF(IF(Table4424[[#This Row],[Student Number]]=C91,1,0)+IF(Table4424[[#This Row],[Session]]=B91,1,0)+IF(Table4424[[#This Row],[Pre or Post]]="Post",1,0)+IF(D91="Pre",1,0)=4,Table4424[[#This Row],[Post Total]],""),"")</f>
        <v/>
      </c>
      <c r="N92" s="5" t="str">
        <f>IF(IF(ISNUMBER(J91),1,0)+IF(ISNUMBER(Table4424[[#This Row],[Post Total]]),1,0)=2,IF(IF(Table4424[[#This Row],[Student Number]]=C91,1,0)+IF(Table4424[[#This Row],[Session]]=B91,1,0)+IF(Table4424[[#This Row],[Pre or Post]]="Post",1,0)+IF(D91="Pre",1,0)=4,Table4424[[#This Row],[Post Total]]-J91,""),"")</f>
        <v/>
      </c>
      <c r="O92" s="5" t="b">
        <f>ISNUMBER(Table4424[[#This Row],[Change]])</f>
        <v>0</v>
      </c>
    </row>
    <row r="93" spans="1:15">
      <c r="A93" s="2" t="s">
        <v>24</v>
      </c>
      <c r="B93" s="2" t="s">
        <v>28</v>
      </c>
      <c r="C93" s="1">
        <v>3</v>
      </c>
      <c r="D93" s="1" t="s">
        <v>16</v>
      </c>
      <c r="E93" s="1">
        <v>2</v>
      </c>
      <c r="F93" s="2">
        <v>3</v>
      </c>
      <c r="G93" s="2" t="s">
        <v>8</v>
      </c>
      <c r="H93" s="6" t="str">
        <f>IF(IF(Table4424[[#This Row],[Pre or Post]]="Pre",1,0)+IF(ISNUMBER(Table4424[[#This Row],[Response]])=TRUE,1,0)=2,1,"")</f>
        <v/>
      </c>
      <c r="I93" s="6">
        <f>IF(IF(Table4424[[#This Row],[Pre or Post]]="Post",1,0)+IF(ISNUMBER(Table4424[[#This Row],[Response]])=TRUE,1,0)=2,1,"")</f>
        <v>1</v>
      </c>
      <c r="J93" s="6" t="str">
        <f>IF(IF(Table4424[[#This Row],[Pre or Post]]="Pre",1,0)+IF(ISNUMBER(Table4424[[#This Row],[Response]])=TRUE,1,0)=2,Table4424[[#This Row],[Response]],"")</f>
        <v/>
      </c>
      <c r="K93" s="6">
        <f>IF(IF(Table4424[[#This Row],[Pre or Post]]="Post",1,0)+IF(ISNUMBER(Table4424[[#This Row],[Response]])=TRUE,1,0)=2,Table4424[[#This Row],[Response]],"")</f>
        <v>3</v>
      </c>
      <c r="L93" s="6" t="str">
        <f>IF(IF(ISNUMBER(J93),1,0)+IF(ISNUMBER(K94),1,0)=2,IF(IF(C94=C93,1,0)+IF(B94=B93,1,0)+IF(D94="Post",1,0)+IF(D93="Pre",1,0)=4,Table4424[[#This Row],[Pre Total]],""),"")</f>
        <v/>
      </c>
      <c r="M93" s="6">
        <f>IF(IF(ISNUMBER(J92),1,0)+IF(ISNUMBER(Table4424[[#This Row],[Post Total]]),1,0)=2,IF(IF(Table4424[[#This Row],[Student Number]]=C92,1,0)+IF(Table4424[[#This Row],[Session]]=B92,1,0)+IF(Table4424[[#This Row],[Pre or Post]]="Post",1,0)+IF(D92="Pre",1,0)=4,Table4424[[#This Row],[Post Total]],""),"")</f>
        <v>3</v>
      </c>
      <c r="N93" s="6">
        <f>IF(IF(ISNUMBER(J92),1,0)+IF(ISNUMBER(Table4424[[#This Row],[Post Total]]),1,0)=2,IF(IF(Table4424[[#This Row],[Student Number]]=C92,1,0)+IF(Table4424[[#This Row],[Session]]=B92,1,0)+IF(Table4424[[#This Row],[Pre or Post]]="Post",1,0)+IF(D92="Pre",1,0)=4,Table4424[[#This Row],[Post Total]]-J92,""),"")</f>
        <v>0</v>
      </c>
      <c r="O93" s="6" t="b">
        <f>ISNUMBER(Table4424[[#This Row],[Change]])</f>
        <v>1</v>
      </c>
    </row>
    <row r="94" spans="1:15">
      <c r="A94" s="2" t="s">
        <v>24</v>
      </c>
      <c r="B94" s="2" t="s">
        <v>28</v>
      </c>
      <c r="C94" s="1">
        <v>4</v>
      </c>
      <c r="D94" s="1" t="s">
        <v>6</v>
      </c>
      <c r="E94" s="1">
        <v>9</v>
      </c>
      <c r="F94" s="1">
        <v>4</v>
      </c>
      <c r="G94" s="2" t="s">
        <v>8</v>
      </c>
      <c r="H94" s="5">
        <f>IF(IF(Table4424[[#This Row],[Pre or Post]]="Pre",1,0)+IF(ISNUMBER(Table4424[[#This Row],[Response]])=TRUE,1,0)=2,1,"")</f>
        <v>1</v>
      </c>
      <c r="I94" s="5" t="str">
        <f>IF(IF(Table4424[[#This Row],[Pre or Post]]="Post",1,0)+IF(ISNUMBER(Table4424[[#This Row],[Response]])=TRUE,1,0)=2,1,"")</f>
        <v/>
      </c>
      <c r="J94" s="6">
        <f>IF(IF(Table4424[[#This Row],[Pre or Post]]="Pre",1,0)+IF(ISNUMBER(Table4424[[#This Row],[Response]])=TRUE,1,0)=2,Table4424[[#This Row],[Response]],"")</f>
        <v>4</v>
      </c>
      <c r="K94" s="6" t="str">
        <f>IF(IF(Table4424[[#This Row],[Pre or Post]]="Post",1,0)+IF(ISNUMBER(Table4424[[#This Row],[Response]])=TRUE,1,0)=2,Table4424[[#This Row],[Response]],"")</f>
        <v/>
      </c>
      <c r="L94" s="5">
        <f>IF(IF(ISNUMBER(J94),1,0)+IF(ISNUMBER(K95),1,0)=2,IF(IF(C95=C94,1,0)+IF(B95=B94,1,0)+IF(D95="Post",1,0)+IF(D94="Pre",1,0)=4,Table4424[[#This Row],[Pre Total]],""),"")</f>
        <v>4</v>
      </c>
      <c r="M94" s="5" t="str">
        <f>IF(IF(ISNUMBER(J93),1,0)+IF(ISNUMBER(Table4424[[#This Row],[Post Total]]),1,0)=2,IF(IF(Table4424[[#This Row],[Student Number]]=C93,1,0)+IF(Table4424[[#This Row],[Session]]=B93,1,0)+IF(Table4424[[#This Row],[Pre or Post]]="Post",1,0)+IF(D93="Pre",1,0)=4,Table4424[[#This Row],[Post Total]],""),"")</f>
        <v/>
      </c>
      <c r="N94" s="5" t="str">
        <f>IF(IF(ISNUMBER(J93),1,0)+IF(ISNUMBER(Table4424[[#This Row],[Post Total]]),1,0)=2,IF(IF(Table4424[[#This Row],[Student Number]]=C93,1,0)+IF(Table4424[[#This Row],[Session]]=B93,1,0)+IF(Table4424[[#This Row],[Pre or Post]]="Post",1,0)+IF(D93="Pre",1,0)=4,Table4424[[#This Row],[Post Total]]-J93,""),"")</f>
        <v/>
      </c>
      <c r="O94" s="5" t="b">
        <f>ISNUMBER(Table4424[[#This Row],[Change]])</f>
        <v>0</v>
      </c>
    </row>
    <row r="95" spans="1:15">
      <c r="A95" s="2" t="s">
        <v>24</v>
      </c>
      <c r="B95" s="2" t="s">
        <v>28</v>
      </c>
      <c r="C95" s="1">
        <v>4</v>
      </c>
      <c r="D95" s="1" t="s">
        <v>16</v>
      </c>
      <c r="E95" s="1">
        <v>2</v>
      </c>
      <c r="F95" s="2">
        <v>4</v>
      </c>
      <c r="G95" s="2" t="s">
        <v>8</v>
      </c>
      <c r="H95" s="6" t="str">
        <f>IF(IF(Table4424[[#This Row],[Pre or Post]]="Pre",1,0)+IF(ISNUMBER(Table4424[[#This Row],[Response]])=TRUE,1,0)=2,1,"")</f>
        <v/>
      </c>
      <c r="I95" s="6">
        <f>IF(IF(Table4424[[#This Row],[Pre or Post]]="Post",1,0)+IF(ISNUMBER(Table4424[[#This Row],[Response]])=TRUE,1,0)=2,1,"")</f>
        <v>1</v>
      </c>
      <c r="J95" s="6" t="str">
        <f>IF(IF(Table4424[[#This Row],[Pre or Post]]="Pre",1,0)+IF(ISNUMBER(Table4424[[#This Row],[Response]])=TRUE,1,0)=2,Table4424[[#This Row],[Response]],"")</f>
        <v/>
      </c>
      <c r="K95" s="6">
        <f>IF(IF(Table4424[[#This Row],[Pre or Post]]="Post",1,0)+IF(ISNUMBER(Table4424[[#This Row],[Response]])=TRUE,1,0)=2,Table4424[[#This Row],[Response]],"")</f>
        <v>4</v>
      </c>
      <c r="L95" s="6" t="str">
        <f>IF(IF(ISNUMBER(J95),1,0)+IF(ISNUMBER(K96),1,0)=2,IF(IF(C96=C95,1,0)+IF(B96=B95,1,0)+IF(D96="Post",1,0)+IF(D95="Pre",1,0)=4,Table4424[[#This Row],[Pre Total]],""),"")</f>
        <v/>
      </c>
      <c r="M95" s="6">
        <f>IF(IF(ISNUMBER(J94),1,0)+IF(ISNUMBER(Table4424[[#This Row],[Post Total]]),1,0)=2,IF(IF(Table4424[[#This Row],[Student Number]]=C94,1,0)+IF(Table4424[[#This Row],[Session]]=B94,1,0)+IF(Table4424[[#This Row],[Pre or Post]]="Post",1,0)+IF(D94="Pre",1,0)=4,Table4424[[#This Row],[Post Total]],""),"")</f>
        <v>4</v>
      </c>
      <c r="N95" s="6">
        <f>IF(IF(ISNUMBER(J94),1,0)+IF(ISNUMBER(Table4424[[#This Row],[Post Total]]),1,0)=2,IF(IF(Table4424[[#This Row],[Student Number]]=C94,1,0)+IF(Table4424[[#This Row],[Session]]=B94,1,0)+IF(Table4424[[#This Row],[Pre or Post]]="Post",1,0)+IF(D94="Pre",1,0)=4,Table4424[[#This Row],[Post Total]]-J94,""),"")</f>
        <v>0</v>
      </c>
      <c r="O95" s="6" t="b">
        <f>ISNUMBER(Table4424[[#This Row],[Change]])</f>
        <v>1</v>
      </c>
    </row>
    <row r="96" spans="1:15">
      <c r="A96" s="2" t="s">
        <v>24</v>
      </c>
      <c r="B96" s="2" t="s">
        <v>28</v>
      </c>
      <c r="C96" s="1">
        <v>5</v>
      </c>
      <c r="D96" s="1" t="s">
        <v>6</v>
      </c>
      <c r="E96" s="1">
        <v>9</v>
      </c>
      <c r="F96" s="1">
        <v>3</v>
      </c>
      <c r="G96" s="2" t="s">
        <v>8</v>
      </c>
      <c r="H96" s="5">
        <f>IF(IF(Table4424[[#This Row],[Pre or Post]]="Pre",1,0)+IF(ISNUMBER(Table4424[[#This Row],[Response]])=TRUE,1,0)=2,1,"")</f>
        <v>1</v>
      </c>
      <c r="I96" s="5" t="str">
        <f>IF(IF(Table4424[[#This Row],[Pre or Post]]="Post",1,0)+IF(ISNUMBER(Table4424[[#This Row],[Response]])=TRUE,1,0)=2,1,"")</f>
        <v/>
      </c>
      <c r="J96" s="6">
        <f>IF(IF(Table4424[[#This Row],[Pre or Post]]="Pre",1,0)+IF(ISNUMBER(Table4424[[#This Row],[Response]])=TRUE,1,0)=2,Table4424[[#This Row],[Response]],"")</f>
        <v>3</v>
      </c>
      <c r="K96" s="6" t="str">
        <f>IF(IF(Table4424[[#This Row],[Pre or Post]]="Post",1,0)+IF(ISNUMBER(Table4424[[#This Row],[Response]])=TRUE,1,0)=2,Table4424[[#This Row],[Response]],"")</f>
        <v/>
      </c>
      <c r="L96" s="5">
        <f>IF(IF(ISNUMBER(J96),1,0)+IF(ISNUMBER(K97),1,0)=2,IF(IF(C97=C96,1,0)+IF(B97=B96,1,0)+IF(D97="Post",1,0)+IF(D96="Pre",1,0)=4,Table4424[[#This Row],[Pre Total]],""),"")</f>
        <v>3</v>
      </c>
      <c r="M96" s="5" t="str">
        <f>IF(IF(ISNUMBER(J95),1,0)+IF(ISNUMBER(Table4424[[#This Row],[Post Total]]),1,0)=2,IF(IF(Table4424[[#This Row],[Student Number]]=C95,1,0)+IF(Table4424[[#This Row],[Session]]=B95,1,0)+IF(Table4424[[#This Row],[Pre or Post]]="Post",1,0)+IF(D95="Pre",1,0)=4,Table4424[[#This Row],[Post Total]],""),"")</f>
        <v/>
      </c>
      <c r="N96" s="5" t="str">
        <f>IF(IF(ISNUMBER(J95),1,0)+IF(ISNUMBER(Table4424[[#This Row],[Post Total]]),1,0)=2,IF(IF(Table4424[[#This Row],[Student Number]]=C95,1,0)+IF(Table4424[[#This Row],[Session]]=B95,1,0)+IF(Table4424[[#This Row],[Pre or Post]]="Post",1,0)+IF(D95="Pre",1,0)=4,Table4424[[#This Row],[Post Total]]-J95,""),"")</f>
        <v/>
      </c>
      <c r="O96" s="5" t="b">
        <f>ISNUMBER(Table4424[[#This Row],[Change]])</f>
        <v>0</v>
      </c>
    </row>
    <row r="97" spans="1:15">
      <c r="A97" s="2" t="s">
        <v>24</v>
      </c>
      <c r="B97" s="2" t="s">
        <v>28</v>
      </c>
      <c r="C97" s="1">
        <v>5</v>
      </c>
      <c r="D97" s="1" t="s">
        <v>16</v>
      </c>
      <c r="E97" s="1">
        <v>2</v>
      </c>
      <c r="F97" s="2">
        <v>3</v>
      </c>
      <c r="G97" s="2" t="s">
        <v>8</v>
      </c>
      <c r="H97" s="6" t="str">
        <f>IF(IF(Table4424[[#This Row],[Pre or Post]]="Pre",1,0)+IF(ISNUMBER(Table4424[[#This Row],[Response]])=TRUE,1,0)=2,1,"")</f>
        <v/>
      </c>
      <c r="I97" s="6">
        <f>IF(IF(Table4424[[#This Row],[Pre or Post]]="Post",1,0)+IF(ISNUMBER(Table4424[[#This Row],[Response]])=TRUE,1,0)=2,1,"")</f>
        <v>1</v>
      </c>
      <c r="J97" s="6" t="str">
        <f>IF(IF(Table4424[[#This Row],[Pre or Post]]="Pre",1,0)+IF(ISNUMBER(Table4424[[#This Row],[Response]])=TRUE,1,0)=2,Table4424[[#This Row],[Response]],"")</f>
        <v/>
      </c>
      <c r="K97" s="6">
        <f>IF(IF(Table4424[[#This Row],[Pre or Post]]="Post",1,0)+IF(ISNUMBER(Table4424[[#This Row],[Response]])=TRUE,1,0)=2,Table4424[[#This Row],[Response]],"")</f>
        <v>3</v>
      </c>
      <c r="L97" s="6" t="str">
        <f>IF(IF(ISNUMBER(J97),1,0)+IF(ISNUMBER(K98),1,0)=2,IF(IF(C98=C97,1,0)+IF(B98=B97,1,0)+IF(D98="Post",1,0)+IF(D97="Pre",1,0)=4,Table4424[[#This Row],[Pre Total]],""),"")</f>
        <v/>
      </c>
      <c r="M97" s="6">
        <f>IF(IF(ISNUMBER(J96),1,0)+IF(ISNUMBER(Table4424[[#This Row],[Post Total]]),1,0)=2,IF(IF(Table4424[[#This Row],[Student Number]]=C96,1,0)+IF(Table4424[[#This Row],[Session]]=B96,1,0)+IF(Table4424[[#This Row],[Pre or Post]]="Post",1,0)+IF(D96="Pre",1,0)=4,Table4424[[#This Row],[Post Total]],""),"")</f>
        <v>3</v>
      </c>
      <c r="N97" s="6">
        <f>IF(IF(ISNUMBER(J96),1,0)+IF(ISNUMBER(Table4424[[#This Row],[Post Total]]),1,0)=2,IF(IF(Table4424[[#This Row],[Student Number]]=C96,1,0)+IF(Table4424[[#This Row],[Session]]=B96,1,0)+IF(Table4424[[#This Row],[Pre or Post]]="Post",1,0)+IF(D96="Pre",1,0)=4,Table4424[[#This Row],[Post Total]]-J96,""),"")</f>
        <v>0</v>
      </c>
      <c r="O97" s="6" t="b">
        <f>ISNUMBER(Table4424[[#This Row],[Change]])</f>
        <v>1</v>
      </c>
    </row>
    <row r="98" spans="1:15">
      <c r="A98" s="2" t="s">
        <v>24</v>
      </c>
      <c r="B98" s="2" t="s">
        <v>28</v>
      </c>
      <c r="C98" s="1">
        <v>6</v>
      </c>
      <c r="D98" s="1" t="s">
        <v>6</v>
      </c>
      <c r="E98" s="1">
        <v>9</v>
      </c>
      <c r="F98" s="1">
        <v>3</v>
      </c>
      <c r="G98" s="2" t="s">
        <v>8</v>
      </c>
      <c r="H98" s="5">
        <f>IF(IF(Table4424[[#This Row],[Pre or Post]]="Pre",1,0)+IF(ISNUMBER(Table4424[[#This Row],[Response]])=TRUE,1,0)=2,1,"")</f>
        <v>1</v>
      </c>
      <c r="I98" s="5" t="str">
        <f>IF(IF(Table4424[[#This Row],[Pre or Post]]="Post",1,0)+IF(ISNUMBER(Table4424[[#This Row],[Response]])=TRUE,1,0)=2,1,"")</f>
        <v/>
      </c>
      <c r="J98" s="6">
        <f>IF(IF(Table4424[[#This Row],[Pre or Post]]="Pre",1,0)+IF(ISNUMBER(Table4424[[#This Row],[Response]])=TRUE,1,0)=2,Table4424[[#This Row],[Response]],"")</f>
        <v>3</v>
      </c>
      <c r="K98" s="6" t="str">
        <f>IF(IF(Table4424[[#This Row],[Pre or Post]]="Post",1,0)+IF(ISNUMBER(Table4424[[#This Row],[Response]])=TRUE,1,0)=2,Table4424[[#This Row],[Response]],"")</f>
        <v/>
      </c>
      <c r="L98" s="5">
        <f>IF(IF(ISNUMBER(J98),1,0)+IF(ISNUMBER(K99),1,0)=2,IF(IF(C99=C98,1,0)+IF(B99=B98,1,0)+IF(D99="Post",1,0)+IF(D98="Pre",1,0)=4,Table4424[[#This Row],[Pre Total]],""),"")</f>
        <v>3</v>
      </c>
      <c r="M98" s="5" t="str">
        <f>IF(IF(ISNUMBER(J97),1,0)+IF(ISNUMBER(Table4424[[#This Row],[Post Total]]),1,0)=2,IF(IF(Table4424[[#This Row],[Student Number]]=C97,1,0)+IF(Table4424[[#This Row],[Session]]=B97,1,0)+IF(Table4424[[#This Row],[Pre or Post]]="Post",1,0)+IF(D97="Pre",1,0)=4,Table4424[[#This Row],[Post Total]],""),"")</f>
        <v/>
      </c>
      <c r="N98" s="5" t="str">
        <f>IF(IF(ISNUMBER(J97),1,0)+IF(ISNUMBER(Table4424[[#This Row],[Post Total]]),1,0)=2,IF(IF(Table4424[[#This Row],[Student Number]]=C97,1,0)+IF(Table4424[[#This Row],[Session]]=B97,1,0)+IF(Table4424[[#This Row],[Pre or Post]]="Post",1,0)+IF(D97="Pre",1,0)=4,Table4424[[#This Row],[Post Total]]-J97,""),"")</f>
        <v/>
      </c>
      <c r="O98" s="5" t="b">
        <f>ISNUMBER(Table4424[[#This Row],[Change]])</f>
        <v>0</v>
      </c>
    </row>
    <row r="99" spans="1:15">
      <c r="A99" s="2" t="s">
        <v>24</v>
      </c>
      <c r="B99" s="2" t="s">
        <v>28</v>
      </c>
      <c r="C99" s="1">
        <v>6</v>
      </c>
      <c r="D99" s="1" t="s">
        <v>16</v>
      </c>
      <c r="E99" s="1">
        <v>2</v>
      </c>
      <c r="F99" s="2">
        <v>4</v>
      </c>
      <c r="G99" s="2" t="s">
        <v>8</v>
      </c>
      <c r="H99" s="6" t="str">
        <f>IF(IF(Table4424[[#This Row],[Pre or Post]]="Pre",1,0)+IF(ISNUMBER(Table4424[[#This Row],[Response]])=TRUE,1,0)=2,1,"")</f>
        <v/>
      </c>
      <c r="I99" s="6">
        <f>IF(IF(Table4424[[#This Row],[Pre or Post]]="Post",1,0)+IF(ISNUMBER(Table4424[[#This Row],[Response]])=TRUE,1,0)=2,1,"")</f>
        <v>1</v>
      </c>
      <c r="J99" s="6" t="str">
        <f>IF(IF(Table4424[[#This Row],[Pre or Post]]="Pre",1,0)+IF(ISNUMBER(Table4424[[#This Row],[Response]])=TRUE,1,0)=2,Table4424[[#This Row],[Response]],"")</f>
        <v/>
      </c>
      <c r="K99" s="6">
        <f>IF(IF(Table4424[[#This Row],[Pre or Post]]="Post",1,0)+IF(ISNUMBER(Table4424[[#This Row],[Response]])=TRUE,1,0)=2,Table4424[[#This Row],[Response]],"")</f>
        <v>4</v>
      </c>
      <c r="L99" s="6" t="str">
        <f>IF(IF(ISNUMBER(J99),1,0)+IF(ISNUMBER(K100),1,0)=2,IF(IF(C100=C99,1,0)+IF(B100=B99,1,0)+IF(D100="Post",1,0)+IF(D99="Pre",1,0)=4,Table4424[[#This Row],[Pre Total]],""),"")</f>
        <v/>
      </c>
      <c r="M99" s="6">
        <f>IF(IF(ISNUMBER(J98),1,0)+IF(ISNUMBER(Table4424[[#This Row],[Post Total]]),1,0)=2,IF(IF(Table4424[[#This Row],[Student Number]]=C98,1,0)+IF(Table4424[[#This Row],[Session]]=B98,1,0)+IF(Table4424[[#This Row],[Pre or Post]]="Post",1,0)+IF(D98="Pre",1,0)=4,Table4424[[#This Row],[Post Total]],""),"")</f>
        <v>4</v>
      </c>
      <c r="N99" s="6">
        <f>IF(IF(ISNUMBER(J98),1,0)+IF(ISNUMBER(Table4424[[#This Row],[Post Total]]),1,0)=2,IF(IF(Table4424[[#This Row],[Student Number]]=C98,1,0)+IF(Table4424[[#This Row],[Session]]=B98,1,0)+IF(Table4424[[#This Row],[Pre or Post]]="Post",1,0)+IF(D98="Pre",1,0)=4,Table4424[[#This Row],[Post Total]]-J98,""),"")</f>
        <v>1</v>
      </c>
      <c r="O99" s="6" t="b">
        <f>ISNUMBER(Table4424[[#This Row],[Change]])</f>
        <v>1</v>
      </c>
    </row>
    <row r="100" spans="1:15">
      <c r="A100" s="2" t="s">
        <v>24</v>
      </c>
      <c r="B100" s="2" t="s">
        <v>28</v>
      </c>
      <c r="C100" s="1">
        <v>7</v>
      </c>
      <c r="D100" s="1" t="s">
        <v>6</v>
      </c>
      <c r="E100" s="1">
        <v>9</v>
      </c>
      <c r="F100" s="1">
        <v>3</v>
      </c>
      <c r="G100" s="2" t="s">
        <v>8</v>
      </c>
      <c r="H100" s="5">
        <f>IF(IF(Table4424[[#This Row],[Pre or Post]]="Pre",1,0)+IF(ISNUMBER(Table4424[[#This Row],[Response]])=TRUE,1,0)=2,1,"")</f>
        <v>1</v>
      </c>
      <c r="I100" s="5" t="str">
        <f>IF(IF(Table4424[[#This Row],[Pre or Post]]="Post",1,0)+IF(ISNUMBER(Table4424[[#This Row],[Response]])=TRUE,1,0)=2,1,"")</f>
        <v/>
      </c>
      <c r="J100" s="6">
        <f>IF(IF(Table4424[[#This Row],[Pre or Post]]="Pre",1,0)+IF(ISNUMBER(Table4424[[#This Row],[Response]])=TRUE,1,0)=2,Table4424[[#This Row],[Response]],"")</f>
        <v>3</v>
      </c>
      <c r="K100" s="6" t="str">
        <f>IF(IF(Table4424[[#This Row],[Pre or Post]]="Post",1,0)+IF(ISNUMBER(Table4424[[#This Row],[Response]])=TRUE,1,0)=2,Table4424[[#This Row],[Response]],"")</f>
        <v/>
      </c>
      <c r="L100" s="5">
        <f>IF(IF(ISNUMBER(J100),1,0)+IF(ISNUMBER(K101),1,0)=2,IF(IF(C101=C100,1,0)+IF(B101=B100,1,0)+IF(D101="Post",1,0)+IF(D100="Pre",1,0)=4,Table4424[[#This Row],[Pre Total]],""),"")</f>
        <v>3</v>
      </c>
      <c r="M100" s="5" t="str">
        <f>IF(IF(ISNUMBER(J99),1,0)+IF(ISNUMBER(Table4424[[#This Row],[Post Total]]),1,0)=2,IF(IF(Table4424[[#This Row],[Student Number]]=C99,1,0)+IF(Table4424[[#This Row],[Session]]=B99,1,0)+IF(Table4424[[#This Row],[Pre or Post]]="Post",1,0)+IF(D99="Pre",1,0)=4,Table4424[[#This Row],[Post Total]],""),"")</f>
        <v/>
      </c>
      <c r="N100" s="5" t="str">
        <f>IF(IF(ISNUMBER(J99),1,0)+IF(ISNUMBER(Table4424[[#This Row],[Post Total]]),1,0)=2,IF(IF(Table4424[[#This Row],[Student Number]]=C99,1,0)+IF(Table4424[[#This Row],[Session]]=B99,1,0)+IF(Table4424[[#This Row],[Pre or Post]]="Post",1,0)+IF(D99="Pre",1,0)=4,Table4424[[#This Row],[Post Total]]-J99,""),"")</f>
        <v/>
      </c>
      <c r="O100" s="5" t="b">
        <f>ISNUMBER(Table4424[[#This Row],[Change]])</f>
        <v>0</v>
      </c>
    </row>
    <row r="101" spans="1:15">
      <c r="A101" s="2" t="s">
        <v>24</v>
      </c>
      <c r="B101" s="2" t="s">
        <v>28</v>
      </c>
      <c r="C101" s="1">
        <v>7</v>
      </c>
      <c r="D101" s="1" t="s">
        <v>16</v>
      </c>
      <c r="E101" s="1">
        <v>2</v>
      </c>
      <c r="F101" s="2">
        <v>2</v>
      </c>
      <c r="G101" s="2" t="s">
        <v>8</v>
      </c>
      <c r="H101" s="6" t="str">
        <f>IF(IF(Table4424[[#This Row],[Pre or Post]]="Pre",1,0)+IF(ISNUMBER(Table4424[[#This Row],[Response]])=TRUE,1,0)=2,1,"")</f>
        <v/>
      </c>
      <c r="I101" s="6">
        <f>IF(IF(Table4424[[#This Row],[Pre or Post]]="Post",1,0)+IF(ISNUMBER(Table4424[[#This Row],[Response]])=TRUE,1,0)=2,1,"")</f>
        <v>1</v>
      </c>
      <c r="J101" s="6" t="str">
        <f>IF(IF(Table4424[[#This Row],[Pre or Post]]="Pre",1,0)+IF(ISNUMBER(Table4424[[#This Row],[Response]])=TRUE,1,0)=2,Table4424[[#This Row],[Response]],"")</f>
        <v/>
      </c>
      <c r="K101" s="6">
        <f>IF(IF(Table4424[[#This Row],[Pre or Post]]="Post",1,0)+IF(ISNUMBER(Table4424[[#This Row],[Response]])=TRUE,1,0)=2,Table4424[[#This Row],[Response]],"")</f>
        <v>2</v>
      </c>
      <c r="L101" s="6" t="str">
        <f>IF(IF(ISNUMBER(J101),1,0)+IF(ISNUMBER(K102),1,0)=2,IF(IF(C102=C101,1,0)+IF(B102=B101,1,0)+IF(D102="Post",1,0)+IF(D101="Pre",1,0)=4,Table4424[[#This Row],[Pre Total]],""),"")</f>
        <v/>
      </c>
      <c r="M101" s="6">
        <f>IF(IF(ISNUMBER(J100),1,0)+IF(ISNUMBER(Table4424[[#This Row],[Post Total]]),1,0)=2,IF(IF(Table4424[[#This Row],[Student Number]]=C100,1,0)+IF(Table4424[[#This Row],[Session]]=B100,1,0)+IF(Table4424[[#This Row],[Pre or Post]]="Post",1,0)+IF(D100="Pre",1,0)=4,Table4424[[#This Row],[Post Total]],""),"")</f>
        <v>2</v>
      </c>
      <c r="N101" s="6">
        <f>IF(IF(ISNUMBER(J100),1,0)+IF(ISNUMBER(Table4424[[#This Row],[Post Total]]),1,0)=2,IF(IF(Table4424[[#This Row],[Student Number]]=C100,1,0)+IF(Table4424[[#This Row],[Session]]=B100,1,0)+IF(Table4424[[#This Row],[Pre or Post]]="Post",1,0)+IF(D100="Pre",1,0)=4,Table4424[[#This Row],[Post Total]]-J100,""),"")</f>
        <v>-1</v>
      </c>
      <c r="O101" s="6" t="b">
        <f>ISNUMBER(Table4424[[#This Row],[Change]])</f>
        <v>1</v>
      </c>
    </row>
    <row r="102" spans="1:15">
      <c r="A102" s="2" t="s">
        <v>24</v>
      </c>
      <c r="B102" s="2" t="s">
        <v>28</v>
      </c>
      <c r="C102" s="1">
        <v>8</v>
      </c>
      <c r="D102" s="1" t="s">
        <v>6</v>
      </c>
      <c r="E102" s="1">
        <v>9</v>
      </c>
      <c r="F102" s="1">
        <v>3</v>
      </c>
      <c r="G102" s="2" t="s">
        <v>8</v>
      </c>
      <c r="H102" s="5">
        <f>IF(IF(Table4424[[#This Row],[Pre or Post]]="Pre",1,0)+IF(ISNUMBER(Table4424[[#This Row],[Response]])=TRUE,1,0)=2,1,"")</f>
        <v>1</v>
      </c>
      <c r="I102" s="5" t="str">
        <f>IF(IF(Table4424[[#This Row],[Pre or Post]]="Post",1,0)+IF(ISNUMBER(Table4424[[#This Row],[Response]])=TRUE,1,0)=2,1,"")</f>
        <v/>
      </c>
      <c r="J102" s="6">
        <f>IF(IF(Table4424[[#This Row],[Pre or Post]]="Pre",1,0)+IF(ISNUMBER(Table4424[[#This Row],[Response]])=TRUE,1,0)=2,Table4424[[#This Row],[Response]],"")</f>
        <v>3</v>
      </c>
      <c r="K102" s="6" t="str">
        <f>IF(IF(Table4424[[#This Row],[Pre or Post]]="Post",1,0)+IF(ISNUMBER(Table4424[[#This Row],[Response]])=TRUE,1,0)=2,Table4424[[#This Row],[Response]],"")</f>
        <v/>
      </c>
      <c r="L102" s="5">
        <f>IF(IF(ISNUMBER(J102),1,0)+IF(ISNUMBER(K103),1,0)=2,IF(IF(C103=C102,1,0)+IF(B103=B102,1,0)+IF(D103="Post",1,0)+IF(D102="Pre",1,0)=4,Table4424[[#This Row],[Pre Total]],""),"")</f>
        <v>3</v>
      </c>
      <c r="M102" s="5" t="str">
        <f>IF(IF(ISNUMBER(J101),1,0)+IF(ISNUMBER(Table4424[[#This Row],[Post Total]]),1,0)=2,IF(IF(Table4424[[#This Row],[Student Number]]=C101,1,0)+IF(Table4424[[#This Row],[Session]]=B101,1,0)+IF(Table4424[[#This Row],[Pre or Post]]="Post",1,0)+IF(D101="Pre",1,0)=4,Table4424[[#This Row],[Post Total]],""),"")</f>
        <v/>
      </c>
      <c r="N102" s="5" t="str">
        <f>IF(IF(ISNUMBER(J101),1,0)+IF(ISNUMBER(Table4424[[#This Row],[Post Total]]),1,0)=2,IF(IF(Table4424[[#This Row],[Student Number]]=C101,1,0)+IF(Table4424[[#This Row],[Session]]=B101,1,0)+IF(Table4424[[#This Row],[Pre or Post]]="Post",1,0)+IF(D101="Pre",1,0)=4,Table4424[[#This Row],[Post Total]]-J101,""),"")</f>
        <v/>
      </c>
      <c r="O102" s="5" t="b">
        <f>ISNUMBER(Table4424[[#This Row],[Change]])</f>
        <v>0</v>
      </c>
    </row>
    <row r="103" spans="1:15">
      <c r="A103" s="2" t="s">
        <v>24</v>
      </c>
      <c r="B103" s="2" t="s">
        <v>28</v>
      </c>
      <c r="C103" s="1">
        <v>8</v>
      </c>
      <c r="D103" s="1" t="s">
        <v>16</v>
      </c>
      <c r="E103" s="1">
        <v>2</v>
      </c>
      <c r="F103" s="1">
        <v>3</v>
      </c>
      <c r="G103" s="2" t="s">
        <v>8</v>
      </c>
      <c r="H103" s="6" t="str">
        <f>IF(IF(Table4424[[#This Row],[Pre or Post]]="Pre",1,0)+IF(ISNUMBER(Table4424[[#This Row],[Response]])=TRUE,1,0)=2,1,"")</f>
        <v/>
      </c>
      <c r="I103" s="6">
        <f>IF(IF(Table4424[[#This Row],[Pre or Post]]="Post",1,0)+IF(ISNUMBER(Table4424[[#This Row],[Response]])=TRUE,1,0)=2,1,"")</f>
        <v>1</v>
      </c>
      <c r="J103" s="6" t="str">
        <f>IF(IF(Table4424[[#This Row],[Pre or Post]]="Pre",1,0)+IF(ISNUMBER(Table4424[[#This Row],[Response]])=TRUE,1,0)=2,Table4424[[#This Row],[Response]],"")</f>
        <v/>
      </c>
      <c r="K103" s="6">
        <f>IF(IF(Table4424[[#This Row],[Pre or Post]]="Post",1,0)+IF(ISNUMBER(Table4424[[#This Row],[Response]])=TRUE,1,0)=2,Table4424[[#This Row],[Response]],"")</f>
        <v>3</v>
      </c>
      <c r="L103" s="6" t="str">
        <f>IF(IF(ISNUMBER(J103),1,0)+IF(ISNUMBER(K104),1,0)=2,IF(IF(C104=C103,1,0)+IF(B104=B103,1,0)+IF(D104="Post",1,0)+IF(D103="Pre",1,0)=4,Table4424[[#This Row],[Pre Total]],""),"")</f>
        <v/>
      </c>
      <c r="M103" s="6">
        <f>IF(IF(ISNUMBER(J102),1,0)+IF(ISNUMBER(Table4424[[#This Row],[Post Total]]),1,0)=2,IF(IF(Table4424[[#This Row],[Student Number]]=C102,1,0)+IF(Table4424[[#This Row],[Session]]=B102,1,0)+IF(Table4424[[#This Row],[Pre or Post]]="Post",1,0)+IF(D102="Pre",1,0)=4,Table4424[[#This Row],[Post Total]],""),"")</f>
        <v>3</v>
      </c>
      <c r="N103" s="6">
        <f>IF(IF(ISNUMBER(J102),1,0)+IF(ISNUMBER(Table4424[[#This Row],[Post Total]]),1,0)=2,IF(IF(Table4424[[#This Row],[Student Number]]=C102,1,0)+IF(Table4424[[#This Row],[Session]]=B102,1,0)+IF(Table4424[[#This Row],[Pre or Post]]="Post",1,0)+IF(D102="Pre",1,0)=4,Table4424[[#This Row],[Post Total]]-J102,""),"")</f>
        <v>0</v>
      </c>
      <c r="O103" s="6" t="b">
        <f>ISNUMBER(Table4424[[#This Row],[Change]])</f>
        <v>1</v>
      </c>
    </row>
    <row r="104" spans="1:15">
      <c r="A104" s="2" t="s">
        <v>24</v>
      </c>
      <c r="B104" s="2" t="s">
        <v>28</v>
      </c>
      <c r="C104" s="1">
        <v>9</v>
      </c>
      <c r="D104" s="1" t="s">
        <v>6</v>
      </c>
      <c r="E104" s="1">
        <v>9</v>
      </c>
      <c r="F104" s="1">
        <v>2</v>
      </c>
      <c r="G104" s="2" t="s">
        <v>8</v>
      </c>
      <c r="H104" s="5">
        <f>IF(IF(Table4424[[#This Row],[Pre or Post]]="Pre",1,0)+IF(ISNUMBER(Table4424[[#This Row],[Response]])=TRUE,1,0)=2,1,"")</f>
        <v>1</v>
      </c>
      <c r="I104" s="5" t="str">
        <f>IF(IF(Table4424[[#This Row],[Pre or Post]]="Post",1,0)+IF(ISNUMBER(Table4424[[#This Row],[Response]])=TRUE,1,0)=2,1,"")</f>
        <v/>
      </c>
      <c r="J104" s="6">
        <f>IF(IF(Table4424[[#This Row],[Pre or Post]]="Pre",1,0)+IF(ISNUMBER(Table4424[[#This Row],[Response]])=TRUE,1,0)=2,Table4424[[#This Row],[Response]],"")</f>
        <v>2</v>
      </c>
      <c r="K104" s="6" t="str">
        <f>IF(IF(Table4424[[#This Row],[Pre or Post]]="Post",1,0)+IF(ISNUMBER(Table4424[[#This Row],[Response]])=TRUE,1,0)=2,Table4424[[#This Row],[Response]],"")</f>
        <v/>
      </c>
      <c r="L104" s="5">
        <f>IF(IF(ISNUMBER(J104),1,0)+IF(ISNUMBER(K105),1,0)=2,IF(IF(C105=C104,1,0)+IF(B105=B104,1,0)+IF(D105="Post",1,0)+IF(D104="Pre",1,0)=4,Table4424[[#This Row],[Pre Total]],""),"")</f>
        <v>2</v>
      </c>
      <c r="M104" s="5" t="str">
        <f>IF(IF(ISNUMBER(J103),1,0)+IF(ISNUMBER(Table4424[[#This Row],[Post Total]]),1,0)=2,IF(IF(Table4424[[#This Row],[Student Number]]=C103,1,0)+IF(Table4424[[#This Row],[Session]]=B103,1,0)+IF(Table4424[[#This Row],[Pre or Post]]="Post",1,0)+IF(D103="Pre",1,0)=4,Table4424[[#This Row],[Post Total]],""),"")</f>
        <v/>
      </c>
      <c r="N104" s="5" t="str">
        <f>IF(IF(ISNUMBER(J103),1,0)+IF(ISNUMBER(Table4424[[#This Row],[Post Total]]),1,0)=2,IF(IF(Table4424[[#This Row],[Student Number]]=C103,1,0)+IF(Table4424[[#This Row],[Session]]=B103,1,0)+IF(Table4424[[#This Row],[Pre or Post]]="Post",1,0)+IF(D103="Pre",1,0)=4,Table4424[[#This Row],[Post Total]]-J103,""),"")</f>
        <v/>
      </c>
      <c r="O104" s="5" t="b">
        <f>ISNUMBER(Table4424[[#This Row],[Change]])</f>
        <v>0</v>
      </c>
    </row>
    <row r="105" spans="1:15">
      <c r="A105" s="2" t="s">
        <v>24</v>
      </c>
      <c r="B105" s="2" t="s">
        <v>28</v>
      </c>
      <c r="C105" s="1">
        <v>9</v>
      </c>
      <c r="D105" s="1" t="s">
        <v>16</v>
      </c>
      <c r="E105" s="1">
        <v>2</v>
      </c>
      <c r="F105" s="1">
        <v>2</v>
      </c>
      <c r="G105" s="2" t="s">
        <v>8</v>
      </c>
      <c r="H105" s="6" t="str">
        <f>IF(IF(Table4424[[#This Row],[Pre or Post]]="Pre",1,0)+IF(ISNUMBER(Table4424[[#This Row],[Response]])=TRUE,1,0)=2,1,"")</f>
        <v/>
      </c>
      <c r="I105" s="6">
        <f>IF(IF(Table4424[[#This Row],[Pre or Post]]="Post",1,0)+IF(ISNUMBER(Table4424[[#This Row],[Response]])=TRUE,1,0)=2,1,"")</f>
        <v>1</v>
      </c>
      <c r="J105" s="6" t="str">
        <f>IF(IF(Table4424[[#This Row],[Pre or Post]]="Pre",1,0)+IF(ISNUMBER(Table4424[[#This Row],[Response]])=TRUE,1,0)=2,Table4424[[#This Row],[Response]],"")</f>
        <v/>
      </c>
      <c r="K105" s="6">
        <f>IF(IF(Table4424[[#This Row],[Pre or Post]]="Post",1,0)+IF(ISNUMBER(Table4424[[#This Row],[Response]])=TRUE,1,0)=2,Table4424[[#This Row],[Response]],"")</f>
        <v>2</v>
      </c>
      <c r="L105" s="6" t="str">
        <f>IF(IF(ISNUMBER(J105),1,0)+IF(ISNUMBER(K106),1,0)=2,IF(IF(C106=C105,1,0)+IF(B106=B105,1,0)+IF(D106="Post",1,0)+IF(D105="Pre",1,0)=4,Table4424[[#This Row],[Pre Total]],""),"")</f>
        <v/>
      </c>
      <c r="M105" s="6">
        <f>IF(IF(ISNUMBER(J104),1,0)+IF(ISNUMBER(Table4424[[#This Row],[Post Total]]),1,0)=2,IF(IF(Table4424[[#This Row],[Student Number]]=C104,1,0)+IF(Table4424[[#This Row],[Session]]=B104,1,0)+IF(Table4424[[#This Row],[Pre or Post]]="Post",1,0)+IF(D104="Pre",1,0)=4,Table4424[[#This Row],[Post Total]],""),"")</f>
        <v>2</v>
      </c>
      <c r="N105" s="6">
        <f>IF(IF(ISNUMBER(J104),1,0)+IF(ISNUMBER(Table4424[[#This Row],[Post Total]]),1,0)=2,IF(IF(Table4424[[#This Row],[Student Number]]=C104,1,0)+IF(Table4424[[#This Row],[Session]]=B104,1,0)+IF(Table4424[[#This Row],[Pre or Post]]="Post",1,0)+IF(D104="Pre",1,0)=4,Table4424[[#This Row],[Post Total]]-J104,""),"")</f>
        <v>0</v>
      </c>
      <c r="O105" s="6" t="b">
        <f>ISNUMBER(Table4424[[#This Row],[Change]])</f>
        <v>1</v>
      </c>
    </row>
    <row r="106" spans="1:15">
      <c r="A106" s="2" t="s">
        <v>24</v>
      </c>
      <c r="B106" s="2" t="s">
        <v>28</v>
      </c>
      <c r="C106" s="1">
        <v>10</v>
      </c>
      <c r="D106" s="1" t="s">
        <v>6</v>
      </c>
      <c r="E106" s="1">
        <v>9</v>
      </c>
      <c r="F106" s="1">
        <v>3</v>
      </c>
      <c r="G106" s="2" t="s">
        <v>8</v>
      </c>
      <c r="H106" s="5">
        <f>IF(IF(Table4424[[#This Row],[Pre or Post]]="Pre",1,0)+IF(ISNUMBER(Table4424[[#This Row],[Response]])=TRUE,1,0)=2,1,"")</f>
        <v>1</v>
      </c>
      <c r="I106" s="5" t="str">
        <f>IF(IF(Table4424[[#This Row],[Pre or Post]]="Post",1,0)+IF(ISNUMBER(Table4424[[#This Row],[Response]])=TRUE,1,0)=2,1,"")</f>
        <v/>
      </c>
      <c r="J106" s="6">
        <f>IF(IF(Table4424[[#This Row],[Pre or Post]]="Pre",1,0)+IF(ISNUMBER(Table4424[[#This Row],[Response]])=TRUE,1,0)=2,Table4424[[#This Row],[Response]],"")</f>
        <v>3</v>
      </c>
      <c r="K106" s="6" t="str">
        <f>IF(IF(Table4424[[#This Row],[Pre or Post]]="Post",1,0)+IF(ISNUMBER(Table4424[[#This Row],[Response]])=TRUE,1,0)=2,Table4424[[#This Row],[Response]],"")</f>
        <v/>
      </c>
      <c r="L106" s="5">
        <f>IF(IF(ISNUMBER(J106),1,0)+IF(ISNUMBER(K107),1,0)=2,IF(IF(C107=C106,1,0)+IF(B107=B106,1,0)+IF(D107="Post",1,0)+IF(D106="Pre",1,0)=4,Table4424[[#This Row],[Pre Total]],""),"")</f>
        <v>3</v>
      </c>
      <c r="M106" s="5" t="str">
        <f>IF(IF(ISNUMBER(J105),1,0)+IF(ISNUMBER(Table4424[[#This Row],[Post Total]]),1,0)=2,IF(IF(Table4424[[#This Row],[Student Number]]=C105,1,0)+IF(Table4424[[#This Row],[Session]]=B105,1,0)+IF(Table4424[[#This Row],[Pre or Post]]="Post",1,0)+IF(D105="Pre",1,0)=4,Table4424[[#This Row],[Post Total]],""),"")</f>
        <v/>
      </c>
      <c r="N106" s="5" t="str">
        <f>IF(IF(ISNUMBER(J105),1,0)+IF(ISNUMBER(Table4424[[#This Row],[Post Total]]),1,0)=2,IF(IF(Table4424[[#This Row],[Student Number]]=C105,1,0)+IF(Table4424[[#This Row],[Session]]=B105,1,0)+IF(Table4424[[#This Row],[Pre or Post]]="Post",1,0)+IF(D105="Pre",1,0)=4,Table4424[[#This Row],[Post Total]]-J105,""),"")</f>
        <v/>
      </c>
      <c r="O106" s="5" t="b">
        <f>ISNUMBER(Table4424[[#This Row],[Change]])</f>
        <v>0</v>
      </c>
    </row>
    <row r="107" spans="1:15">
      <c r="A107" s="2" t="s">
        <v>24</v>
      </c>
      <c r="B107" s="2" t="s">
        <v>28</v>
      </c>
      <c r="C107" s="1">
        <v>10</v>
      </c>
      <c r="D107" s="1" t="s">
        <v>16</v>
      </c>
      <c r="E107" s="1">
        <v>2</v>
      </c>
      <c r="F107" s="1">
        <v>3</v>
      </c>
      <c r="G107" s="2" t="s">
        <v>8</v>
      </c>
      <c r="H107" s="6" t="str">
        <f>IF(IF(Table4424[[#This Row],[Pre or Post]]="Pre",1,0)+IF(ISNUMBER(Table4424[[#This Row],[Response]])=TRUE,1,0)=2,1,"")</f>
        <v/>
      </c>
      <c r="I107" s="6">
        <f>IF(IF(Table4424[[#This Row],[Pre or Post]]="Post",1,0)+IF(ISNUMBER(Table4424[[#This Row],[Response]])=TRUE,1,0)=2,1,"")</f>
        <v>1</v>
      </c>
      <c r="J107" s="6" t="str">
        <f>IF(IF(Table4424[[#This Row],[Pre or Post]]="Pre",1,0)+IF(ISNUMBER(Table4424[[#This Row],[Response]])=TRUE,1,0)=2,Table4424[[#This Row],[Response]],"")</f>
        <v/>
      </c>
      <c r="K107" s="6">
        <f>IF(IF(Table4424[[#This Row],[Pre or Post]]="Post",1,0)+IF(ISNUMBER(Table4424[[#This Row],[Response]])=TRUE,1,0)=2,Table4424[[#This Row],[Response]],"")</f>
        <v>3</v>
      </c>
      <c r="L107" s="6" t="str">
        <f>IF(IF(ISNUMBER(J107),1,0)+IF(ISNUMBER(K108),1,0)=2,IF(IF(C108=C107,1,0)+IF(B108=B107,1,0)+IF(D108="Post",1,0)+IF(D107="Pre",1,0)=4,Table4424[[#This Row],[Pre Total]],""),"")</f>
        <v/>
      </c>
      <c r="M107" s="6">
        <f>IF(IF(ISNUMBER(J106),1,0)+IF(ISNUMBER(Table4424[[#This Row],[Post Total]]),1,0)=2,IF(IF(Table4424[[#This Row],[Student Number]]=C106,1,0)+IF(Table4424[[#This Row],[Session]]=B106,1,0)+IF(Table4424[[#This Row],[Pre or Post]]="Post",1,0)+IF(D106="Pre",1,0)=4,Table4424[[#This Row],[Post Total]],""),"")</f>
        <v>3</v>
      </c>
      <c r="N107" s="6">
        <f>IF(IF(ISNUMBER(J106),1,0)+IF(ISNUMBER(Table4424[[#This Row],[Post Total]]),1,0)=2,IF(IF(Table4424[[#This Row],[Student Number]]=C106,1,0)+IF(Table4424[[#This Row],[Session]]=B106,1,0)+IF(Table4424[[#This Row],[Pre or Post]]="Post",1,0)+IF(D106="Pre",1,0)=4,Table4424[[#This Row],[Post Total]]-J106,""),"")</f>
        <v>0</v>
      </c>
      <c r="O107" s="6" t="b">
        <f>ISNUMBER(Table4424[[#This Row],[Change]])</f>
        <v>1</v>
      </c>
    </row>
    <row r="108" spans="1:15">
      <c r="A108" s="2" t="s">
        <v>24</v>
      </c>
      <c r="B108" s="2" t="s">
        <v>28</v>
      </c>
      <c r="C108" s="1">
        <v>11</v>
      </c>
      <c r="D108" s="1" t="s">
        <v>6</v>
      </c>
      <c r="E108" s="1">
        <v>9</v>
      </c>
      <c r="F108" s="1">
        <v>3</v>
      </c>
      <c r="G108" s="2" t="s">
        <v>8</v>
      </c>
      <c r="H108" s="5">
        <f>IF(IF(Table4424[[#This Row],[Pre or Post]]="Pre",1,0)+IF(ISNUMBER(Table4424[[#This Row],[Response]])=TRUE,1,0)=2,1,"")</f>
        <v>1</v>
      </c>
      <c r="I108" s="5" t="str">
        <f>IF(IF(Table4424[[#This Row],[Pre or Post]]="Post",1,0)+IF(ISNUMBER(Table4424[[#This Row],[Response]])=TRUE,1,0)=2,1,"")</f>
        <v/>
      </c>
      <c r="J108" s="6">
        <f>IF(IF(Table4424[[#This Row],[Pre or Post]]="Pre",1,0)+IF(ISNUMBER(Table4424[[#This Row],[Response]])=TRUE,1,0)=2,Table4424[[#This Row],[Response]],"")</f>
        <v>3</v>
      </c>
      <c r="K108" s="6" t="str">
        <f>IF(IF(Table4424[[#This Row],[Pre or Post]]="Post",1,0)+IF(ISNUMBER(Table4424[[#This Row],[Response]])=TRUE,1,0)=2,Table4424[[#This Row],[Response]],"")</f>
        <v/>
      </c>
      <c r="L108" s="5">
        <f>IF(IF(ISNUMBER(J108),1,0)+IF(ISNUMBER(K109),1,0)=2,IF(IF(C109=C108,1,0)+IF(B109=B108,1,0)+IF(D109="Post",1,0)+IF(D108="Pre",1,0)=4,Table4424[[#This Row],[Pre Total]],""),"")</f>
        <v>3</v>
      </c>
      <c r="M108" s="5" t="str">
        <f>IF(IF(ISNUMBER(J107),1,0)+IF(ISNUMBER(Table4424[[#This Row],[Post Total]]),1,0)=2,IF(IF(Table4424[[#This Row],[Student Number]]=C107,1,0)+IF(Table4424[[#This Row],[Session]]=B107,1,0)+IF(Table4424[[#This Row],[Pre or Post]]="Post",1,0)+IF(D107="Pre",1,0)=4,Table4424[[#This Row],[Post Total]],""),"")</f>
        <v/>
      </c>
      <c r="N108" s="5" t="str">
        <f>IF(IF(ISNUMBER(J107),1,0)+IF(ISNUMBER(Table4424[[#This Row],[Post Total]]),1,0)=2,IF(IF(Table4424[[#This Row],[Student Number]]=C107,1,0)+IF(Table4424[[#This Row],[Session]]=B107,1,0)+IF(Table4424[[#This Row],[Pre or Post]]="Post",1,0)+IF(D107="Pre",1,0)=4,Table4424[[#This Row],[Post Total]]-J107,""),"")</f>
        <v/>
      </c>
      <c r="O108" s="5" t="b">
        <f>ISNUMBER(Table4424[[#This Row],[Change]])</f>
        <v>0</v>
      </c>
    </row>
    <row r="109" spans="1:15" s="7" customFormat="1">
      <c r="A109" s="2" t="s">
        <v>24</v>
      </c>
      <c r="B109" s="2" t="s">
        <v>28</v>
      </c>
      <c r="C109" s="1">
        <v>11</v>
      </c>
      <c r="D109" s="1" t="s">
        <v>16</v>
      </c>
      <c r="E109" s="1">
        <v>2</v>
      </c>
      <c r="F109" s="1">
        <v>3</v>
      </c>
      <c r="G109" s="2" t="s">
        <v>8</v>
      </c>
      <c r="H109" s="6" t="str">
        <f>IF(IF(Table4424[[#This Row],[Pre or Post]]="Pre",1,0)+IF(ISNUMBER(Table4424[[#This Row],[Response]])=TRUE,1,0)=2,1,"")</f>
        <v/>
      </c>
      <c r="I109" s="6">
        <f>IF(IF(Table4424[[#This Row],[Pre or Post]]="Post",1,0)+IF(ISNUMBER(Table4424[[#This Row],[Response]])=TRUE,1,0)=2,1,"")</f>
        <v>1</v>
      </c>
      <c r="J109" s="6" t="str">
        <f>IF(IF(Table4424[[#This Row],[Pre or Post]]="Pre",1,0)+IF(ISNUMBER(Table4424[[#This Row],[Response]])=TRUE,1,0)=2,Table4424[[#This Row],[Response]],"")</f>
        <v/>
      </c>
      <c r="K109" s="6">
        <f>IF(IF(Table4424[[#This Row],[Pre or Post]]="Post",1,0)+IF(ISNUMBER(Table4424[[#This Row],[Response]])=TRUE,1,0)=2,Table4424[[#This Row],[Response]],"")</f>
        <v>3</v>
      </c>
      <c r="L109" s="6" t="str">
        <f>IF(IF(ISNUMBER(J109),1,0)+IF(ISNUMBER(K110),1,0)=2,IF(IF(C110=C109,1,0)+IF(B110=B109,1,0)+IF(D110="Post",1,0)+IF(D109="Pre",1,0)=4,Table4424[[#This Row],[Pre Total]],""),"")</f>
        <v/>
      </c>
      <c r="M109" s="6">
        <f>IF(IF(ISNUMBER(J108),1,0)+IF(ISNUMBER(Table4424[[#This Row],[Post Total]]),1,0)=2,IF(IF(Table4424[[#This Row],[Student Number]]=C108,1,0)+IF(Table4424[[#This Row],[Session]]=B108,1,0)+IF(Table4424[[#This Row],[Pre or Post]]="Post",1,0)+IF(D108="Pre",1,0)=4,Table4424[[#This Row],[Post Total]],""),"")</f>
        <v>3</v>
      </c>
      <c r="N109" s="6">
        <f>IF(IF(ISNUMBER(J108),1,0)+IF(ISNUMBER(Table4424[[#This Row],[Post Total]]),1,0)=2,IF(IF(Table4424[[#This Row],[Student Number]]=C108,1,0)+IF(Table4424[[#This Row],[Session]]=B108,1,0)+IF(Table4424[[#This Row],[Pre or Post]]="Post",1,0)+IF(D108="Pre",1,0)=4,Table4424[[#This Row],[Post Total]]-J108,""),"")</f>
        <v>0</v>
      </c>
      <c r="O109" s="6" t="b">
        <f>ISNUMBER(Table4424[[#This Row],[Change]])</f>
        <v>1</v>
      </c>
    </row>
    <row r="110" spans="1:15">
      <c r="A110" s="2" t="s">
        <v>24</v>
      </c>
      <c r="B110" s="2" t="s">
        <v>28</v>
      </c>
      <c r="C110" s="1">
        <v>12</v>
      </c>
      <c r="D110" s="1" t="s">
        <v>6</v>
      </c>
      <c r="E110" s="1">
        <v>9</v>
      </c>
      <c r="F110" s="2">
        <v>3</v>
      </c>
      <c r="G110" s="2" t="s">
        <v>8</v>
      </c>
      <c r="H110" s="5">
        <f>IF(IF(Table4424[[#This Row],[Pre or Post]]="Pre",1,0)+IF(ISNUMBER(Table4424[[#This Row],[Response]])=TRUE,1,0)=2,1,"")</f>
        <v>1</v>
      </c>
      <c r="I110" s="5" t="str">
        <f>IF(IF(Table4424[[#This Row],[Pre or Post]]="Post",1,0)+IF(ISNUMBER(Table4424[[#This Row],[Response]])=TRUE,1,0)=2,1,"")</f>
        <v/>
      </c>
      <c r="J110" s="6">
        <f>IF(IF(Table4424[[#This Row],[Pre or Post]]="Pre",1,0)+IF(ISNUMBER(Table4424[[#This Row],[Response]])=TRUE,1,0)=2,Table4424[[#This Row],[Response]],"")</f>
        <v>3</v>
      </c>
      <c r="K110" s="6" t="str">
        <f>IF(IF(Table4424[[#This Row],[Pre or Post]]="Post",1,0)+IF(ISNUMBER(Table4424[[#This Row],[Response]])=TRUE,1,0)=2,Table4424[[#This Row],[Response]],"")</f>
        <v/>
      </c>
      <c r="L110" s="5">
        <f>IF(IF(ISNUMBER(J110),1,0)+IF(ISNUMBER(K111),1,0)=2,IF(IF(C111=C110,1,0)+IF(B111=B110,1,0)+IF(D111="Post",1,0)+IF(D110="Pre",1,0)=4,Table4424[[#This Row],[Pre Total]],""),"")</f>
        <v>3</v>
      </c>
      <c r="M110" s="5" t="str">
        <f>IF(IF(ISNUMBER(J109),1,0)+IF(ISNUMBER(Table4424[[#This Row],[Post Total]]),1,0)=2,IF(IF(Table4424[[#This Row],[Student Number]]=C109,1,0)+IF(Table4424[[#This Row],[Session]]=B109,1,0)+IF(Table4424[[#This Row],[Pre or Post]]="Post",1,0)+IF(D109="Pre",1,0)=4,Table4424[[#This Row],[Post Total]],""),"")</f>
        <v/>
      </c>
      <c r="N110" s="5" t="str">
        <f>IF(IF(ISNUMBER(J109),1,0)+IF(ISNUMBER(Table4424[[#This Row],[Post Total]]),1,0)=2,IF(IF(Table4424[[#This Row],[Student Number]]=C109,1,0)+IF(Table4424[[#This Row],[Session]]=B109,1,0)+IF(Table4424[[#This Row],[Pre or Post]]="Post",1,0)+IF(D109="Pre",1,0)=4,Table4424[[#This Row],[Post Total]]-J109,""),"")</f>
        <v/>
      </c>
      <c r="O110" s="5" t="b">
        <f>ISNUMBER(Table4424[[#This Row],[Change]])</f>
        <v>0</v>
      </c>
    </row>
    <row r="111" spans="1:15">
      <c r="A111" s="2" t="s">
        <v>24</v>
      </c>
      <c r="B111" s="2" t="s">
        <v>28</v>
      </c>
      <c r="C111" s="1">
        <v>12</v>
      </c>
      <c r="D111" s="1" t="s">
        <v>16</v>
      </c>
      <c r="E111" s="1">
        <v>2</v>
      </c>
      <c r="F111" s="1">
        <v>3</v>
      </c>
      <c r="G111" s="2" t="s">
        <v>8</v>
      </c>
      <c r="H111" s="6" t="str">
        <f>IF(IF(Table4424[[#This Row],[Pre or Post]]="Pre",1,0)+IF(ISNUMBER(Table4424[[#This Row],[Response]])=TRUE,1,0)=2,1,"")</f>
        <v/>
      </c>
      <c r="I111" s="6">
        <f>IF(IF(Table4424[[#This Row],[Pre or Post]]="Post",1,0)+IF(ISNUMBER(Table4424[[#This Row],[Response]])=TRUE,1,0)=2,1,"")</f>
        <v>1</v>
      </c>
      <c r="J111" s="6" t="str">
        <f>IF(IF(Table4424[[#This Row],[Pre or Post]]="Pre",1,0)+IF(ISNUMBER(Table4424[[#This Row],[Response]])=TRUE,1,0)=2,Table4424[[#This Row],[Response]],"")</f>
        <v/>
      </c>
      <c r="K111" s="6">
        <f>IF(IF(Table4424[[#This Row],[Pre or Post]]="Post",1,0)+IF(ISNUMBER(Table4424[[#This Row],[Response]])=TRUE,1,0)=2,Table4424[[#This Row],[Response]],"")</f>
        <v>3</v>
      </c>
      <c r="L111" s="6" t="str">
        <f>IF(IF(ISNUMBER(J111),1,0)+IF(ISNUMBER(K112),1,0)=2,IF(IF(C112=C111,1,0)+IF(B112=B111,1,0)+IF(D112="Post",1,0)+IF(D111="Pre",1,0)=4,Table4424[[#This Row],[Pre Total]],""),"")</f>
        <v/>
      </c>
      <c r="M111" s="6">
        <f>IF(IF(ISNUMBER(J110),1,0)+IF(ISNUMBER(Table4424[[#This Row],[Post Total]]),1,0)=2,IF(IF(Table4424[[#This Row],[Student Number]]=C110,1,0)+IF(Table4424[[#This Row],[Session]]=B110,1,0)+IF(Table4424[[#This Row],[Pre or Post]]="Post",1,0)+IF(D110="Pre",1,0)=4,Table4424[[#This Row],[Post Total]],""),"")</f>
        <v>3</v>
      </c>
      <c r="N111" s="6">
        <f>IF(IF(ISNUMBER(J110),1,0)+IF(ISNUMBER(Table4424[[#This Row],[Post Total]]),1,0)=2,IF(IF(Table4424[[#This Row],[Student Number]]=C110,1,0)+IF(Table4424[[#This Row],[Session]]=B110,1,0)+IF(Table4424[[#This Row],[Pre or Post]]="Post",1,0)+IF(D110="Pre",1,0)=4,Table4424[[#This Row],[Post Total]]-J110,""),"")</f>
        <v>0</v>
      </c>
      <c r="O111" s="6" t="b">
        <f>ISNUMBER(Table4424[[#This Row],[Change]])</f>
        <v>1</v>
      </c>
    </row>
    <row r="112" spans="1:15">
      <c r="A112" s="2" t="s">
        <v>24</v>
      </c>
      <c r="B112" s="2" t="s">
        <v>28</v>
      </c>
      <c r="C112" s="1">
        <v>13</v>
      </c>
      <c r="D112" s="1" t="s">
        <v>6</v>
      </c>
      <c r="E112" s="1">
        <v>9</v>
      </c>
      <c r="F112" s="2">
        <v>3</v>
      </c>
      <c r="G112" s="2" t="s">
        <v>8</v>
      </c>
      <c r="H112" s="5">
        <f>IF(IF(Table4424[[#This Row],[Pre or Post]]="Pre",1,0)+IF(ISNUMBER(Table4424[[#This Row],[Response]])=TRUE,1,0)=2,1,"")</f>
        <v>1</v>
      </c>
      <c r="I112" s="5" t="str">
        <f>IF(IF(Table4424[[#This Row],[Pre or Post]]="Post",1,0)+IF(ISNUMBER(Table4424[[#This Row],[Response]])=TRUE,1,0)=2,1,"")</f>
        <v/>
      </c>
      <c r="J112" s="6">
        <f>IF(IF(Table4424[[#This Row],[Pre or Post]]="Pre",1,0)+IF(ISNUMBER(Table4424[[#This Row],[Response]])=TRUE,1,0)=2,Table4424[[#This Row],[Response]],"")</f>
        <v>3</v>
      </c>
      <c r="K112" s="6" t="str">
        <f>IF(IF(Table4424[[#This Row],[Pre or Post]]="Post",1,0)+IF(ISNUMBER(Table4424[[#This Row],[Response]])=TRUE,1,0)=2,Table4424[[#This Row],[Response]],"")</f>
        <v/>
      </c>
      <c r="L112" s="5">
        <f>IF(IF(ISNUMBER(J112),1,0)+IF(ISNUMBER(K113),1,0)=2,IF(IF(C113=C112,1,0)+IF(B113=B112,1,0)+IF(D113="Post",1,0)+IF(D112="Pre",1,0)=4,Table4424[[#This Row],[Pre Total]],""),"")</f>
        <v>3</v>
      </c>
      <c r="M112" s="5" t="str">
        <f>IF(IF(ISNUMBER(J111),1,0)+IF(ISNUMBER(Table4424[[#This Row],[Post Total]]),1,0)=2,IF(IF(Table4424[[#This Row],[Student Number]]=C111,1,0)+IF(Table4424[[#This Row],[Session]]=B111,1,0)+IF(Table4424[[#This Row],[Pre or Post]]="Post",1,0)+IF(D111="Pre",1,0)=4,Table4424[[#This Row],[Post Total]],""),"")</f>
        <v/>
      </c>
      <c r="N112" s="5" t="str">
        <f>IF(IF(ISNUMBER(J111),1,0)+IF(ISNUMBER(Table4424[[#This Row],[Post Total]]),1,0)=2,IF(IF(Table4424[[#This Row],[Student Number]]=C111,1,0)+IF(Table4424[[#This Row],[Session]]=B111,1,0)+IF(Table4424[[#This Row],[Pre or Post]]="Post",1,0)+IF(D111="Pre",1,0)=4,Table4424[[#This Row],[Post Total]]-J111,""),"")</f>
        <v/>
      </c>
      <c r="O112" s="5" t="b">
        <f>ISNUMBER(Table4424[[#This Row],[Change]])</f>
        <v>0</v>
      </c>
    </row>
    <row r="113" spans="1:15">
      <c r="A113" s="2" t="s">
        <v>24</v>
      </c>
      <c r="B113" s="2" t="s">
        <v>28</v>
      </c>
      <c r="C113" s="1">
        <v>13</v>
      </c>
      <c r="D113" s="1" t="s">
        <v>16</v>
      </c>
      <c r="E113" s="1">
        <v>2</v>
      </c>
      <c r="F113" s="1">
        <v>3.5</v>
      </c>
      <c r="G113" s="2" t="s">
        <v>8</v>
      </c>
      <c r="H113" s="6" t="str">
        <f>IF(IF(Table4424[[#This Row],[Pre or Post]]="Pre",1,0)+IF(ISNUMBER(Table4424[[#This Row],[Response]])=TRUE,1,0)=2,1,"")</f>
        <v/>
      </c>
      <c r="I113" s="6">
        <f>IF(IF(Table4424[[#This Row],[Pre or Post]]="Post",1,0)+IF(ISNUMBER(Table4424[[#This Row],[Response]])=TRUE,1,0)=2,1,"")</f>
        <v>1</v>
      </c>
      <c r="J113" s="6" t="str">
        <f>IF(IF(Table4424[[#This Row],[Pre or Post]]="Pre",1,0)+IF(ISNUMBER(Table4424[[#This Row],[Response]])=TRUE,1,0)=2,Table4424[[#This Row],[Response]],"")</f>
        <v/>
      </c>
      <c r="K113" s="6">
        <f>IF(IF(Table4424[[#This Row],[Pre or Post]]="Post",1,0)+IF(ISNUMBER(Table4424[[#This Row],[Response]])=TRUE,1,0)=2,Table4424[[#This Row],[Response]],"")</f>
        <v>3.5</v>
      </c>
      <c r="L113" s="6" t="str">
        <f>IF(IF(ISNUMBER(J113),1,0)+IF(ISNUMBER(K114),1,0)=2,IF(IF(C114=C113,1,0)+IF(B114=B113,1,0)+IF(D114="Post",1,0)+IF(D113="Pre",1,0)=4,Table4424[[#This Row],[Pre Total]],""),"")</f>
        <v/>
      </c>
      <c r="M113" s="6">
        <f>IF(IF(ISNUMBER(J112),1,0)+IF(ISNUMBER(Table4424[[#This Row],[Post Total]]),1,0)=2,IF(IF(Table4424[[#This Row],[Student Number]]=C112,1,0)+IF(Table4424[[#This Row],[Session]]=B112,1,0)+IF(Table4424[[#This Row],[Pre or Post]]="Post",1,0)+IF(D112="Pre",1,0)=4,Table4424[[#This Row],[Post Total]],""),"")</f>
        <v>3.5</v>
      </c>
      <c r="N113" s="6">
        <f>IF(IF(ISNUMBER(J112),1,0)+IF(ISNUMBER(Table4424[[#This Row],[Post Total]]),1,0)=2,IF(IF(Table4424[[#This Row],[Student Number]]=C112,1,0)+IF(Table4424[[#This Row],[Session]]=B112,1,0)+IF(Table4424[[#This Row],[Pre or Post]]="Post",1,0)+IF(D112="Pre",1,0)=4,Table4424[[#This Row],[Post Total]]-J112,""),"")</f>
        <v>0.5</v>
      </c>
      <c r="O113" s="6" t="b">
        <f>ISNUMBER(Table4424[[#This Row],[Change]])</f>
        <v>1</v>
      </c>
    </row>
    <row r="114" spans="1:15">
      <c r="A114" s="2" t="s">
        <v>24</v>
      </c>
      <c r="B114" s="2" t="s">
        <v>31</v>
      </c>
      <c r="C114" s="1">
        <v>1</v>
      </c>
      <c r="D114" s="2" t="s">
        <v>16</v>
      </c>
      <c r="E114" s="1">
        <v>2</v>
      </c>
      <c r="F114" s="1">
        <v>3</v>
      </c>
      <c r="G114" s="2" t="s">
        <v>9</v>
      </c>
      <c r="H114" s="6" t="str">
        <f>IF(IF(Table4424[[#This Row],[Pre or Post]]="Pre",1,0)+IF(ISNUMBER(Table4424[[#This Row],[Response]])=TRUE,1,0)=2,1,"")</f>
        <v/>
      </c>
      <c r="I114" s="6">
        <f>IF(IF(Table4424[[#This Row],[Pre or Post]]="Post",1,0)+IF(ISNUMBER(Table4424[[#This Row],[Response]])=TRUE,1,0)=2,1,"")</f>
        <v>1</v>
      </c>
      <c r="J114" s="6" t="str">
        <f>IF(IF(Table4424[[#This Row],[Pre or Post]]="Pre",1,0)+IF(ISNUMBER(Table4424[[#This Row],[Response]])=TRUE,1,0)=2,Table4424[[#This Row],[Response]],"")</f>
        <v/>
      </c>
      <c r="K114" s="6">
        <f>IF(IF(Table4424[[#This Row],[Pre or Post]]="Post",1,0)+IF(ISNUMBER(Table4424[[#This Row],[Response]])=TRUE,1,0)=2,Table4424[[#This Row],[Response]],"")</f>
        <v>3</v>
      </c>
      <c r="L114" s="6" t="str">
        <f>IF(IF(ISNUMBER(J114),1,0)+IF(ISNUMBER(K115),1,0)=2,IF(IF(C115=C114,1,0)+IF(B115=B114,1,0)+IF(D115="Post",1,0)+IF(D114="Pre",1,0)=4,Table4424[[#This Row],[Pre Total]],""),"")</f>
        <v/>
      </c>
      <c r="M114" s="6" t="str">
        <f>IF(IF(ISNUMBER(J113),1,0)+IF(ISNUMBER(Table4424[[#This Row],[Post Total]]),1,0)=2,IF(IF(Table4424[[#This Row],[Student Number]]=C113,1,0)+IF(Table4424[[#This Row],[Session]]=B113,1,0)+IF(Table4424[[#This Row],[Pre or Post]]="Post",1,0)+IF(D113="Pre",1,0)=4,Table4424[[#This Row],[Post Total]],""),"")</f>
        <v/>
      </c>
      <c r="N114" s="6" t="str">
        <f>IF(IF(ISNUMBER(J113),1,0)+IF(ISNUMBER(Table4424[[#This Row],[Post Total]]),1,0)=2,IF(IF(Table4424[[#This Row],[Student Number]]=C113,1,0)+IF(Table4424[[#This Row],[Session]]=B113,1,0)+IF(Table4424[[#This Row],[Pre or Post]]="Post",1,0)+IF(D113="Pre",1,0)=4,Table4424[[#This Row],[Post Total]]-J113,""),"")</f>
        <v/>
      </c>
      <c r="O114" s="6" t="b">
        <f>ISNUMBER(Table4424[[#This Row],[Change]])</f>
        <v>0</v>
      </c>
    </row>
    <row r="115" spans="1:15">
      <c r="A115" s="2" t="s">
        <v>24</v>
      </c>
      <c r="B115" s="2" t="s">
        <v>31</v>
      </c>
      <c r="C115" s="1">
        <v>2</v>
      </c>
      <c r="D115" s="2" t="s">
        <v>16</v>
      </c>
      <c r="E115" s="1">
        <v>2</v>
      </c>
      <c r="F115" s="1">
        <v>3</v>
      </c>
      <c r="G115" s="2" t="s">
        <v>9</v>
      </c>
      <c r="H115" s="6" t="str">
        <f>IF(IF(Table4424[[#This Row],[Pre or Post]]="Pre",1,0)+IF(ISNUMBER(Table4424[[#This Row],[Response]])=TRUE,1,0)=2,1,"")</f>
        <v/>
      </c>
      <c r="I115" s="6">
        <f>IF(IF(Table4424[[#This Row],[Pre or Post]]="Post",1,0)+IF(ISNUMBER(Table4424[[#This Row],[Response]])=TRUE,1,0)=2,1,"")</f>
        <v>1</v>
      </c>
      <c r="J115" s="6" t="str">
        <f>IF(IF(Table4424[[#This Row],[Pre or Post]]="Pre",1,0)+IF(ISNUMBER(Table4424[[#This Row],[Response]])=TRUE,1,0)=2,Table4424[[#This Row],[Response]],"")</f>
        <v/>
      </c>
      <c r="K115" s="6">
        <f>IF(IF(Table4424[[#This Row],[Pre or Post]]="Post",1,0)+IF(ISNUMBER(Table4424[[#This Row],[Response]])=TRUE,1,0)=2,Table4424[[#This Row],[Response]],"")</f>
        <v>3</v>
      </c>
      <c r="L115" s="6" t="str">
        <f>IF(IF(ISNUMBER(J115),1,0)+IF(ISNUMBER(K116),1,0)=2,IF(IF(C116=C115,1,0)+IF(B116=B115,1,0)+IF(D116="Post",1,0)+IF(D115="Pre",1,0)=4,Table4424[[#This Row],[Pre Total]],""),"")</f>
        <v/>
      </c>
      <c r="M115" s="6" t="str">
        <f>IF(IF(ISNUMBER(J114),1,0)+IF(ISNUMBER(Table4424[[#This Row],[Post Total]]),1,0)=2,IF(IF(Table4424[[#This Row],[Student Number]]=C114,1,0)+IF(Table4424[[#This Row],[Session]]=B114,1,0)+IF(Table4424[[#This Row],[Pre or Post]]="Post",1,0)+IF(D114="Pre",1,0)=4,Table4424[[#This Row],[Post Total]],""),"")</f>
        <v/>
      </c>
      <c r="N115" s="6" t="str">
        <f>IF(IF(ISNUMBER(J114),1,0)+IF(ISNUMBER(Table4424[[#This Row],[Post Total]]),1,0)=2,IF(IF(Table4424[[#This Row],[Student Number]]=C114,1,0)+IF(Table4424[[#This Row],[Session]]=B114,1,0)+IF(Table4424[[#This Row],[Pre or Post]]="Post",1,0)+IF(D114="Pre",1,0)=4,Table4424[[#This Row],[Post Total]]-J114,""),"")</f>
        <v/>
      </c>
      <c r="O115" s="6" t="b">
        <f>ISNUMBER(Table4424[[#This Row],[Change]])</f>
        <v>0</v>
      </c>
    </row>
    <row r="116" spans="1:15">
      <c r="A116" s="2" t="s">
        <v>24</v>
      </c>
      <c r="B116" s="2" t="s">
        <v>31</v>
      </c>
      <c r="C116" s="1">
        <v>3</v>
      </c>
      <c r="D116" s="2" t="s">
        <v>16</v>
      </c>
      <c r="E116" s="1">
        <v>2</v>
      </c>
      <c r="F116" s="1">
        <v>4</v>
      </c>
      <c r="G116" s="2" t="s">
        <v>9</v>
      </c>
      <c r="H116" s="6" t="str">
        <f>IF(IF(Table4424[[#This Row],[Pre or Post]]="Pre",1,0)+IF(ISNUMBER(Table4424[[#This Row],[Response]])=TRUE,1,0)=2,1,"")</f>
        <v/>
      </c>
      <c r="I116" s="6">
        <f>IF(IF(Table4424[[#This Row],[Pre or Post]]="Post",1,0)+IF(ISNUMBER(Table4424[[#This Row],[Response]])=TRUE,1,0)=2,1,"")</f>
        <v>1</v>
      </c>
      <c r="J116" s="6" t="str">
        <f>IF(IF(Table4424[[#This Row],[Pre or Post]]="Pre",1,0)+IF(ISNUMBER(Table4424[[#This Row],[Response]])=TRUE,1,0)=2,Table4424[[#This Row],[Response]],"")</f>
        <v/>
      </c>
      <c r="K116" s="6">
        <f>IF(IF(Table4424[[#This Row],[Pre or Post]]="Post",1,0)+IF(ISNUMBER(Table4424[[#This Row],[Response]])=TRUE,1,0)=2,Table4424[[#This Row],[Response]],"")</f>
        <v>4</v>
      </c>
      <c r="L116" s="6" t="str">
        <f>IF(IF(ISNUMBER(J116),1,0)+IF(ISNUMBER(K117),1,0)=2,IF(IF(C117=C116,1,0)+IF(B117=B116,1,0)+IF(D117="Post",1,0)+IF(D116="Pre",1,0)=4,Table4424[[#This Row],[Pre Total]],""),"")</f>
        <v/>
      </c>
      <c r="M116" s="6" t="str">
        <f>IF(IF(ISNUMBER(J115),1,0)+IF(ISNUMBER(Table4424[[#This Row],[Post Total]]),1,0)=2,IF(IF(Table4424[[#This Row],[Student Number]]=C115,1,0)+IF(Table4424[[#This Row],[Session]]=B115,1,0)+IF(Table4424[[#This Row],[Pre or Post]]="Post",1,0)+IF(D115="Pre",1,0)=4,Table4424[[#This Row],[Post Total]],""),"")</f>
        <v/>
      </c>
      <c r="N116" s="6" t="str">
        <f>IF(IF(ISNUMBER(J115),1,0)+IF(ISNUMBER(Table4424[[#This Row],[Post Total]]),1,0)=2,IF(IF(Table4424[[#This Row],[Student Number]]=C115,1,0)+IF(Table4424[[#This Row],[Session]]=B115,1,0)+IF(Table4424[[#This Row],[Pre or Post]]="Post",1,0)+IF(D115="Pre",1,0)=4,Table4424[[#This Row],[Post Total]]-J115,""),"")</f>
        <v/>
      </c>
      <c r="O116" s="6" t="b">
        <f>ISNUMBER(Table4424[[#This Row],[Change]])</f>
        <v>0</v>
      </c>
    </row>
    <row r="117" spans="1:15">
      <c r="A117" s="2" t="s">
        <v>24</v>
      </c>
      <c r="B117" s="2" t="s">
        <v>31</v>
      </c>
      <c r="C117" s="1">
        <v>4</v>
      </c>
      <c r="D117" s="2" t="s">
        <v>16</v>
      </c>
      <c r="E117" s="1">
        <v>2</v>
      </c>
      <c r="F117" s="1">
        <v>4</v>
      </c>
      <c r="G117" s="2" t="s">
        <v>9</v>
      </c>
      <c r="H117" s="6" t="str">
        <f>IF(IF(Table4424[[#This Row],[Pre or Post]]="Pre",1,0)+IF(ISNUMBER(Table4424[[#This Row],[Response]])=TRUE,1,0)=2,1,"")</f>
        <v/>
      </c>
      <c r="I117" s="6">
        <f>IF(IF(Table4424[[#This Row],[Pre or Post]]="Post",1,0)+IF(ISNUMBER(Table4424[[#This Row],[Response]])=TRUE,1,0)=2,1,"")</f>
        <v>1</v>
      </c>
      <c r="J117" s="6" t="str">
        <f>IF(IF(Table4424[[#This Row],[Pre or Post]]="Pre",1,0)+IF(ISNUMBER(Table4424[[#This Row],[Response]])=TRUE,1,0)=2,Table4424[[#This Row],[Response]],"")</f>
        <v/>
      </c>
      <c r="K117" s="6">
        <f>IF(IF(Table4424[[#This Row],[Pre or Post]]="Post",1,0)+IF(ISNUMBER(Table4424[[#This Row],[Response]])=TRUE,1,0)=2,Table4424[[#This Row],[Response]],"")</f>
        <v>4</v>
      </c>
      <c r="L117" s="6" t="str">
        <f>IF(IF(ISNUMBER(J117),1,0)+IF(ISNUMBER(K118),1,0)=2,IF(IF(C118=C117,1,0)+IF(B118=B117,1,0)+IF(D118="Post",1,0)+IF(D117="Pre",1,0)=4,Table4424[[#This Row],[Pre Total]],""),"")</f>
        <v/>
      </c>
      <c r="M117" s="6" t="str">
        <f>IF(IF(ISNUMBER(J116),1,0)+IF(ISNUMBER(Table4424[[#This Row],[Post Total]]),1,0)=2,IF(IF(Table4424[[#This Row],[Student Number]]=C116,1,0)+IF(Table4424[[#This Row],[Session]]=B116,1,0)+IF(Table4424[[#This Row],[Pre or Post]]="Post",1,0)+IF(D116="Pre",1,0)=4,Table4424[[#This Row],[Post Total]],""),"")</f>
        <v/>
      </c>
      <c r="N117" s="6" t="str">
        <f>IF(IF(ISNUMBER(J116),1,0)+IF(ISNUMBER(Table4424[[#This Row],[Post Total]]),1,0)=2,IF(IF(Table4424[[#This Row],[Student Number]]=C116,1,0)+IF(Table4424[[#This Row],[Session]]=B116,1,0)+IF(Table4424[[#This Row],[Pre or Post]]="Post",1,0)+IF(D116="Pre",1,0)=4,Table4424[[#This Row],[Post Total]]-J116,""),"")</f>
        <v/>
      </c>
      <c r="O117" s="6" t="b">
        <f>ISNUMBER(Table4424[[#This Row],[Change]])</f>
        <v>0</v>
      </c>
    </row>
    <row r="118" spans="1:15">
      <c r="A118" s="2" t="s">
        <v>24</v>
      </c>
      <c r="B118" s="2" t="s">
        <v>31</v>
      </c>
      <c r="C118" s="1">
        <v>5</v>
      </c>
      <c r="D118" s="2" t="s">
        <v>16</v>
      </c>
      <c r="E118" s="1">
        <v>2</v>
      </c>
      <c r="F118" s="1">
        <v>3</v>
      </c>
      <c r="G118" s="2" t="s">
        <v>9</v>
      </c>
      <c r="H118" s="6" t="str">
        <f>IF(IF(Table4424[[#This Row],[Pre or Post]]="Pre",1,0)+IF(ISNUMBER(Table4424[[#This Row],[Response]])=TRUE,1,0)=2,1,"")</f>
        <v/>
      </c>
      <c r="I118" s="6">
        <f>IF(IF(Table4424[[#This Row],[Pre or Post]]="Post",1,0)+IF(ISNUMBER(Table4424[[#This Row],[Response]])=TRUE,1,0)=2,1,"")</f>
        <v>1</v>
      </c>
      <c r="J118" s="6" t="str">
        <f>IF(IF(Table4424[[#This Row],[Pre or Post]]="Pre",1,0)+IF(ISNUMBER(Table4424[[#This Row],[Response]])=TRUE,1,0)=2,Table4424[[#This Row],[Response]],"")</f>
        <v/>
      </c>
      <c r="K118" s="6">
        <f>IF(IF(Table4424[[#This Row],[Pre or Post]]="Post",1,0)+IF(ISNUMBER(Table4424[[#This Row],[Response]])=TRUE,1,0)=2,Table4424[[#This Row],[Response]],"")</f>
        <v>3</v>
      </c>
      <c r="L118" s="6" t="str">
        <f>IF(IF(ISNUMBER(J118),1,0)+IF(ISNUMBER(K119),1,0)=2,IF(IF(C119=C118,1,0)+IF(B119=B118,1,0)+IF(D119="Post",1,0)+IF(D118="Pre",1,0)=4,Table4424[[#This Row],[Pre Total]],""),"")</f>
        <v/>
      </c>
      <c r="M118" s="6" t="str">
        <f>IF(IF(ISNUMBER(J117),1,0)+IF(ISNUMBER(Table4424[[#This Row],[Post Total]]),1,0)=2,IF(IF(Table4424[[#This Row],[Student Number]]=C117,1,0)+IF(Table4424[[#This Row],[Session]]=B117,1,0)+IF(Table4424[[#This Row],[Pre or Post]]="Post",1,0)+IF(D117="Pre",1,0)=4,Table4424[[#This Row],[Post Total]],""),"")</f>
        <v/>
      </c>
      <c r="N118" s="6" t="str">
        <f>IF(IF(ISNUMBER(J117),1,0)+IF(ISNUMBER(Table4424[[#This Row],[Post Total]]),1,0)=2,IF(IF(Table4424[[#This Row],[Student Number]]=C117,1,0)+IF(Table4424[[#This Row],[Session]]=B117,1,0)+IF(Table4424[[#This Row],[Pre or Post]]="Post",1,0)+IF(D117="Pre",1,0)=4,Table4424[[#This Row],[Post Total]]-J117,""),"")</f>
        <v/>
      </c>
      <c r="O118" s="6" t="b">
        <f>ISNUMBER(Table4424[[#This Row],[Change]])</f>
        <v>0</v>
      </c>
    </row>
    <row r="119" spans="1:15">
      <c r="A119" s="2" t="s">
        <v>24</v>
      </c>
      <c r="B119" s="2" t="s">
        <v>31</v>
      </c>
      <c r="C119" s="1">
        <v>6</v>
      </c>
      <c r="D119" s="2" t="s">
        <v>16</v>
      </c>
      <c r="E119" s="1">
        <v>2</v>
      </c>
      <c r="F119" s="1">
        <v>4</v>
      </c>
      <c r="G119" s="2" t="s">
        <v>9</v>
      </c>
      <c r="H119" s="6" t="str">
        <f>IF(IF(Table4424[[#This Row],[Pre or Post]]="Pre",1,0)+IF(ISNUMBER(Table4424[[#This Row],[Response]])=TRUE,1,0)=2,1,"")</f>
        <v/>
      </c>
      <c r="I119" s="6">
        <f>IF(IF(Table4424[[#This Row],[Pre or Post]]="Post",1,0)+IF(ISNUMBER(Table4424[[#This Row],[Response]])=TRUE,1,0)=2,1,"")</f>
        <v>1</v>
      </c>
      <c r="J119" s="6" t="str">
        <f>IF(IF(Table4424[[#This Row],[Pre or Post]]="Pre",1,0)+IF(ISNUMBER(Table4424[[#This Row],[Response]])=TRUE,1,0)=2,Table4424[[#This Row],[Response]],"")</f>
        <v/>
      </c>
      <c r="K119" s="6">
        <f>IF(IF(Table4424[[#This Row],[Pre or Post]]="Post",1,0)+IF(ISNUMBER(Table4424[[#This Row],[Response]])=TRUE,1,0)=2,Table4424[[#This Row],[Response]],"")</f>
        <v>4</v>
      </c>
      <c r="L119" s="6" t="str">
        <f>IF(IF(ISNUMBER(J119),1,0)+IF(ISNUMBER(K120),1,0)=2,IF(IF(C120=C119,1,0)+IF(B120=B119,1,0)+IF(D120="Post",1,0)+IF(D119="Pre",1,0)=4,Table4424[[#This Row],[Pre Total]],""),"")</f>
        <v/>
      </c>
      <c r="M119" s="6" t="str">
        <f>IF(IF(ISNUMBER(J118),1,0)+IF(ISNUMBER(Table4424[[#This Row],[Post Total]]),1,0)=2,IF(IF(Table4424[[#This Row],[Student Number]]=C118,1,0)+IF(Table4424[[#This Row],[Session]]=B118,1,0)+IF(Table4424[[#This Row],[Pre or Post]]="Post",1,0)+IF(D118="Pre",1,0)=4,Table4424[[#This Row],[Post Total]],""),"")</f>
        <v/>
      </c>
      <c r="N119" s="6" t="str">
        <f>IF(IF(ISNUMBER(J118),1,0)+IF(ISNUMBER(Table4424[[#This Row],[Post Total]]),1,0)=2,IF(IF(Table4424[[#This Row],[Student Number]]=C118,1,0)+IF(Table4424[[#This Row],[Session]]=B118,1,0)+IF(Table4424[[#This Row],[Pre or Post]]="Post",1,0)+IF(D118="Pre",1,0)=4,Table4424[[#This Row],[Post Total]]-J118,""),"")</f>
        <v/>
      </c>
      <c r="O119" s="6" t="b">
        <f>ISNUMBER(Table4424[[#This Row],[Change]])</f>
        <v>0</v>
      </c>
    </row>
    <row r="120" spans="1:15">
      <c r="A120" s="2" t="s">
        <v>24</v>
      </c>
      <c r="B120" s="2" t="s">
        <v>31</v>
      </c>
      <c r="C120" s="1">
        <v>7</v>
      </c>
      <c r="D120" s="2" t="s">
        <v>16</v>
      </c>
      <c r="E120" s="1">
        <v>2</v>
      </c>
      <c r="F120" s="1">
        <v>3</v>
      </c>
      <c r="G120" s="2" t="s">
        <v>9</v>
      </c>
      <c r="H120" s="6" t="str">
        <f>IF(IF(Table4424[[#This Row],[Pre or Post]]="Pre",1,0)+IF(ISNUMBER(Table4424[[#This Row],[Response]])=TRUE,1,0)=2,1,"")</f>
        <v/>
      </c>
      <c r="I120" s="6">
        <f>IF(IF(Table4424[[#This Row],[Pre or Post]]="Post",1,0)+IF(ISNUMBER(Table4424[[#This Row],[Response]])=TRUE,1,0)=2,1,"")</f>
        <v>1</v>
      </c>
      <c r="J120" s="6" t="str">
        <f>IF(IF(Table4424[[#This Row],[Pre or Post]]="Pre",1,0)+IF(ISNUMBER(Table4424[[#This Row],[Response]])=TRUE,1,0)=2,Table4424[[#This Row],[Response]],"")</f>
        <v/>
      </c>
      <c r="K120" s="6">
        <f>IF(IF(Table4424[[#This Row],[Pre or Post]]="Post",1,0)+IF(ISNUMBER(Table4424[[#This Row],[Response]])=TRUE,1,0)=2,Table4424[[#This Row],[Response]],"")</f>
        <v>3</v>
      </c>
      <c r="L120" s="6" t="str">
        <f>IF(IF(ISNUMBER(J120),1,0)+IF(ISNUMBER(K121),1,0)=2,IF(IF(C121=C120,1,0)+IF(B121=B120,1,0)+IF(D121="Post",1,0)+IF(D120="Pre",1,0)=4,Table4424[[#This Row],[Pre Total]],""),"")</f>
        <v/>
      </c>
      <c r="M120" s="6" t="str">
        <f>IF(IF(ISNUMBER(J119),1,0)+IF(ISNUMBER(Table4424[[#This Row],[Post Total]]),1,0)=2,IF(IF(Table4424[[#This Row],[Student Number]]=C119,1,0)+IF(Table4424[[#This Row],[Session]]=B119,1,0)+IF(Table4424[[#This Row],[Pre or Post]]="Post",1,0)+IF(D119="Pre",1,0)=4,Table4424[[#This Row],[Post Total]],""),"")</f>
        <v/>
      </c>
      <c r="N120" s="6" t="str">
        <f>IF(IF(ISNUMBER(J119),1,0)+IF(ISNUMBER(Table4424[[#This Row],[Post Total]]),1,0)=2,IF(IF(Table4424[[#This Row],[Student Number]]=C119,1,0)+IF(Table4424[[#This Row],[Session]]=B119,1,0)+IF(Table4424[[#This Row],[Pre or Post]]="Post",1,0)+IF(D119="Pre",1,0)=4,Table4424[[#This Row],[Post Total]]-J119,""),"")</f>
        <v/>
      </c>
      <c r="O120" s="6" t="b">
        <f>ISNUMBER(Table4424[[#This Row],[Change]])</f>
        <v>0</v>
      </c>
    </row>
    <row r="121" spans="1:15">
      <c r="A121" s="2" t="s">
        <v>24</v>
      </c>
      <c r="B121" s="2" t="s">
        <v>31</v>
      </c>
      <c r="C121" s="1">
        <v>8</v>
      </c>
      <c r="D121" s="2" t="s">
        <v>16</v>
      </c>
      <c r="E121" s="1">
        <v>2</v>
      </c>
      <c r="F121" s="1">
        <v>4</v>
      </c>
      <c r="G121" s="2" t="s">
        <v>9</v>
      </c>
      <c r="H121" s="6" t="str">
        <f>IF(IF(Table4424[[#This Row],[Pre or Post]]="Pre",1,0)+IF(ISNUMBER(Table4424[[#This Row],[Response]])=TRUE,1,0)=2,1,"")</f>
        <v/>
      </c>
      <c r="I121" s="6">
        <f>IF(IF(Table4424[[#This Row],[Pre or Post]]="Post",1,0)+IF(ISNUMBER(Table4424[[#This Row],[Response]])=TRUE,1,0)=2,1,"")</f>
        <v>1</v>
      </c>
      <c r="J121" s="6" t="str">
        <f>IF(IF(Table4424[[#This Row],[Pre or Post]]="Pre",1,0)+IF(ISNUMBER(Table4424[[#This Row],[Response]])=TRUE,1,0)=2,Table4424[[#This Row],[Response]],"")</f>
        <v/>
      </c>
      <c r="K121" s="6">
        <f>IF(IF(Table4424[[#This Row],[Pre or Post]]="Post",1,0)+IF(ISNUMBER(Table4424[[#This Row],[Response]])=TRUE,1,0)=2,Table4424[[#This Row],[Response]],"")</f>
        <v>4</v>
      </c>
      <c r="L121" s="6" t="str">
        <f>IF(IF(ISNUMBER(J121),1,0)+IF(ISNUMBER(K122),1,0)=2,IF(IF(C122=C121,1,0)+IF(B122=B121,1,0)+IF(D122="Post",1,0)+IF(D121="Pre",1,0)=4,Table4424[[#This Row],[Pre Total]],""),"")</f>
        <v/>
      </c>
      <c r="M121" s="6" t="str">
        <f>IF(IF(ISNUMBER(J120),1,0)+IF(ISNUMBER(Table4424[[#This Row],[Post Total]]),1,0)=2,IF(IF(Table4424[[#This Row],[Student Number]]=C120,1,0)+IF(Table4424[[#This Row],[Session]]=B120,1,0)+IF(Table4424[[#This Row],[Pre or Post]]="Post",1,0)+IF(D120="Pre",1,0)=4,Table4424[[#This Row],[Post Total]],""),"")</f>
        <v/>
      </c>
      <c r="N121" s="6" t="str">
        <f>IF(IF(ISNUMBER(J120),1,0)+IF(ISNUMBER(Table4424[[#This Row],[Post Total]]),1,0)=2,IF(IF(Table4424[[#This Row],[Student Number]]=C120,1,0)+IF(Table4424[[#This Row],[Session]]=B120,1,0)+IF(Table4424[[#This Row],[Pre or Post]]="Post",1,0)+IF(D120="Pre",1,0)=4,Table4424[[#This Row],[Post Total]]-J120,""),"")</f>
        <v/>
      </c>
      <c r="O121" s="6" t="b">
        <f>ISNUMBER(Table4424[[#This Row],[Change]])</f>
        <v>0</v>
      </c>
    </row>
    <row r="122" spans="1:15">
      <c r="A122" s="2" t="s">
        <v>24</v>
      </c>
      <c r="B122" s="2" t="s">
        <v>31</v>
      </c>
      <c r="C122" s="1">
        <v>9</v>
      </c>
      <c r="D122" s="2" t="s">
        <v>16</v>
      </c>
      <c r="E122" s="1">
        <v>2</v>
      </c>
      <c r="F122" s="1">
        <v>4</v>
      </c>
      <c r="G122" s="2" t="s">
        <v>9</v>
      </c>
      <c r="H122" s="6" t="str">
        <f>IF(IF(Table4424[[#This Row],[Pre or Post]]="Pre",1,0)+IF(ISNUMBER(Table4424[[#This Row],[Response]])=TRUE,1,0)=2,1,"")</f>
        <v/>
      </c>
      <c r="I122" s="6">
        <f>IF(IF(Table4424[[#This Row],[Pre or Post]]="Post",1,0)+IF(ISNUMBER(Table4424[[#This Row],[Response]])=TRUE,1,0)=2,1,"")</f>
        <v>1</v>
      </c>
      <c r="J122" s="6" t="str">
        <f>IF(IF(Table4424[[#This Row],[Pre or Post]]="Pre",1,0)+IF(ISNUMBER(Table4424[[#This Row],[Response]])=TRUE,1,0)=2,Table4424[[#This Row],[Response]],"")</f>
        <v/>
      </c>
      <c r="K122" s="6">
        <f>IF(IF(Table4424[[#This Row],[Pre or Post]]="Post",1,0)+IF(ISNUMBER(Table4424[[#This Row],[Response]])=TRUE,1,0)=2,Table4424[[#This Row],[Response]],"")</f>
        <v>4</v>
      </c>
      <c r="L122" s="6" t="str">
        <f>IF(IF(ISNUMBER(J122),1,0)+IF(ISNUMBER(K123),1,0)=2,IF(IF(C123=C122,1,0)+IF(B123=B122,1,0)+IF(D123="Post",1,0)+IF(D122="Pre",1,0)=4,Table4424[[#This Row],[Pre Total]],""),"")</f>
        <v/>
      </c>
      <c r="M122" s="6" t="str">
        <f>IF(IF(ISNUMBER(J121),1,0)+IF(ISNUMBER(Table4424[[#This Row],[Post Total]]),1,0)=2,IF(IF(Table4424[[#This Row],[Student Number]]=C121,1,0)+IF(Table4424[[#This Row],[Session]]=B121,1,0)+IF(Table4424[[#This Row],[Pre or Post]]="Post",1,0)+IF(D121="Pre",1,0)=4,Table4424[[#This Row],[Post Total]],""),"")</f>
        <v/>
      </c>
      <c r="N122" s="6" t="str">
        <f>IF(IF(ISNUMBER(J121),1,0)+IF(ISNUMBER(Table4424[[#This Row],[Post Total]]),1,0)=2,IF(IF(Table4424[[#This Row],[Student Number]]=C121,1,0)+IF(Table4424[[#This Row],[Session]]=B121,1,0)+IF(Table4424[[#This Row],[Pre or Post]]="Post",1,0)+IF(D121="Pre",1,0)=4,Table4424[[#This Row],[Post Total]]-J121,""),"")</f>
        <v/>
      </c>
      <c r="O122" s="6" t="b">
        <f>ISNUMBER(Table4424[[#This Row],[Change]])</f>
        <v>0</v>
      </c>
    </row>
    <row r="123" spans="1:15">
      <c r="A123" s="2" t="s">
        <v>24</v>
      </c>
      <c r="B123" s="2" t="s">
        <v>31</v>
      </c>
      <c r="C123" s="1">
        <v>10</v>
      </c>
      <c r="D123" s="2" t="s">
        <v>16</v>
      </c>
      <c r="E123" s="1">
        <v>2</v>
      </c>
      <c r="F123" s="1">
        <v>5</v>
      </c>
      <c r="G123" s="2" t="s">
        <v>9</v>
      </c>
      <c r="H123" s="6" t="str">
        <f>IF(IF(Table4424[[#This Row],[Pre or Post]]="Pre",1,0)+IF(ISNUMBER(Table4424[[#This Row],[Response]])=TRUE,1,0)=2,1,"")</f>
        <v/>
      </c>
      <c r="I123" s="6">
        <f>IF(IF(Table4424[[#This Row],[Pre or Post]]="Post",1,0)+IF(ISNUMBER(Table4424[[#This Row],[Response]])=TRUE,1,0)=2,1,"")</f>
        <v>1</v>
      </c>
      <c r="J123" s="6" t="str">
        <f>IF(IF(Table4424[[#This Row],[Pre or Post]]="Pre",1,0)+IF(ISNUMBER(Table4424[[#This Row],[Response]])=TRUE,1,0)=2,Table4424[[#This Row],[Response]],"")</f>
        <v/>
      </c>
      <c r="K123" s="6">
        <f>IF(IF(Table4424[[#This Row],[Pre or Post]]="Post",1,0)+IF(ISNUMBER(Table4424[[#This Row],[Response]])=TRUE,1,0)=2,Table4424[[#This Row],[Response]],"")</f>
        <v>5</v>
      </c>
      <c r="L123" s="6" t="str">
        <f>IF(IF(ISNUMBER(J123),1,0)+IF(ISNUMBER(K124),1,0)=2,IF(IF(C124=C123,1,0)+IF(B124=B123,1,0)+IF(D124="Post",1,0)+IF(D123="Pre",1,0)=4,Table4424[[#This Row],[Pre Total]],""),"")</f>
        <v/>
      </c>
      <c r="M123" s="6" t="str">
        <f>IF(IF(ISNUMBER(J122),1,0)+IF(ISNUMBER(Table4424[[#This Row],[Post Total]]),1,0)=2,IF(IF(Table4424[[#This Row],[Student Number]]=C122,1,0)+IF(Table4424[[#This Row],[Session]]=B122,1,0)+IF(Table4424[[#This Row],[Pre or Post]]="Post",1,0)+IF(D122="Pre",1,0)=4,Table4424[[#This Row],[Post Total]],""),"")</f>
        <v/>
      </c>
      <c r="N123" s="6" t="str">
        <f>IF(IF(ISNUMBER(J122),1,0)+IF(ISNUMBER(Table4424[[#This Row],[Post Total]]),1,0)=2,IF(IF(Table4424[[#This Row],[Student Number]]=C122,1,0)+IF(Table4424[[#This Row],[Session]]=B122,1,0)+IF(Table4424[[#This Row],[Pre or Post]]="Post",1,0)+IF(D122="Pre",1,0)=4,Table4424[[#This Row],[Post Total]]-J122,""),"")</f>
        <v/>
      </c>
      <c r="O123" s="6" t="b">
        <f>ISNUMBER(Table4424[[#This Row],[Change]])</f>
        <v>0</v>
      </c>
    </row>
    <row r="124" spans="1:15">
      <c r="A124" s="2" t="s">
        <v>24</v>
      </c>
      <c r="B124" s="2" t="s">
        <v>31</v>
      </c>
      <c r="C124" s="1">
        <v>11</v>
      </c>
      <c r="D124" s="2" t="s">
        <v>16</v>
      </c>
      <c r="E124" s="1">
        <v>2</v>
      </c>
      <c r="F124" s="1">
        <v>4</v>
      </c>
      <c r="G124" s="2" t="s">
        <v>9</v>
      </c>
      <c r="H124" s="6" t="str">
        <f>IF(IF(Table4424[[#This Row],[Pre or Post]]="Pre",1,0)+IF(ISNUMBER(Table4424[[#This Row],[Response]])=TRUE,1,0)=2,1,"")</f>
        <v/>
      </c>
      <c r="I124" s="6">
        <f>IF(IF(Table4424[[#This Row],[Pre or Post]]="Post",1,0)+IF(ISNUMBER(Table4424[[#This Row],[Response]])=TRUE,1,0)=2,1,"")</f>
        <v>1</v>
      </c>
      <c r="J124" s="6" t="str">
        <f>IF(IF(Table4424[[#This Row],[Pre or Post]]="Pre",1,0)+IF(ISNUMBER(Table4424[[#This Row],[Response]])=TRUE,1,0)=2,Table4424[[#This Row],[Response]],"")</f>
        <v/>
      </c>
      <c r="K124" s="6">
        <f>IF(IF(Table4424[[#This Row],[Pre or Post]]="Post",1,0)+IF(ISNUMBER(Table4424[[#This Row],[Response]])=TRUE,1,0)=2,Table4424[[#This Row],[Response]],"")</f>
        <v>4</v>
      </c>
      <c r="L124" s="6" t="str">
        <f>IF(IF(ISNUMBER(J124),1,0)+IF(ISNUMBER(K125),1,0)=2,IF(IF(C125=C124,1,0)+IF(B125=B124,1,0)+IF(D125="Post",1,0)+IF(D124="Pre",1,0)=4,Table4424[[#This Row],[Pre Total]],""),"")</f>
        <v/>
      </c>
      <c r="M124" s="6" t="str">
        <f>IF(IF(ISNUMBER(J123),1,0)+IF(ISNUMBER(Table4424[[#This Row],[Post Total]]),1,0)=2,IF(IF(Table4424[[#This Row],[Student Number]]=C123,1,0)+IF(Table4424[[#This Row],[Session]]=B123,1,0)+IF(Table4424[[#This Row],[Pre or Post]]="Post",1,0)+IF(D123="Pre",1,0)=4,Table4424[[#This Row],[Post Total]],""),"")</f>
        <v/>
      </c>
      <c r="N124" s="6" t="str">
        <f>IF(IF(ISNUMBER(J123),1,0)+IF(ISNUMBER(Table4424[[#This Row],[Post Total]]),1,0)=2,IF(IF(Table4424[[#This Row],[Student Number]]=C123,1,0)+IF(Table4424[[#This Row],[Session]]=B123,1,0)+IF(Table4424[[#This Row],[Pre or Post]]="Post",1,0)+IF(D123="Pre",1,0)=4,Table4424[[#This Row],[Post Total]]-J123,""),"")</f>
        <v/>
      </c>
      <c r="O124" s="6" t="b">
        <f>ISNUMBER(Table4424[[#This Row],[Change]])</f>
        <v>0</v>
      </c>
    </row>
    <row r="125" spans="1:15">
      <c r="A125" s="2" t="s">
        <v>24</v>
      </c>
      <c r="B125" s="2" t="s">
        <v>31</v>
      </c>
      <c r="C125" s="1">
        <v>12</v>
      </c>
      <c r="D125" s="2" t="s">
        <v>16</v>
      </c>
      <c r="E125" s="1">
        <v>2</v>
      </c>
      <c r="F125" s="1">
        <v>4</v>
      </c>
      <c r="G125" s="2" t="s">
        <v>9</v>
      </c>
      <c r="H125" s="6" t="str">
        <f>IF(IF(Table4424[[#This Row],[Pre or Post]]="Pre",1,0)+IF(ISNUMBER(Table4424[[#This Row],[Response]])=TRUE,1,0)=2,1,"")</f>
        <v/>
      </c>
      <c r="I125" s="6">
        <f>IF(IF(Table4424[[#This Row],[Pre or Post]]="Post",1,0)+IF(ISNUMBER(Table4424[[#This Row],[Response]])=TRUE,1,0)=2,1,"")</f>
        <v>1</v>
      </c>
      <c r="J125" s="6" t="str">
        <f>IF(IF(Table4424[[#This Row],[Pre or Post]]="Pre",1,0)+IF(ISNUMBER(Table4424[[#This Row],[Response]])=TRUE,1,0)=2,Table4424[[#This Row],[Response]],"")</f>
        <v/>
      </c>
      <c r="K125" s="6">
        <f>IF(IF(Table4424[[#This Row],[Pre or Post]]="Post",1,0)+IF(ISNUMBER(Table4424[[#This Row],[Response]])=TRUE,1,0)=2,Table4424[[#This Row],[Response]],"")</f>
        <v>4</v>
      </c>
      <c r="L125" s="6" t="str">
        <f>IF(IF(ISNUMBER(J125),1,0)+IF(ISNUMBER(K126),1,0)=2,IF(IF(C126=C125,1,0)+IF(B126=B125,1,0)+IF(D126="Post",1,0)+IF(D125="Pre",1,0)=4,Table4424[[#This Row],[Pre Total]],""),"")</f>
        <v/>
      </c>
      <c r="M125" s="6" t="str">
        <f>IF(IF(ISNUMBER(J124),1,0)+IF(ISNUMBER(Table4424[[#This Row],[Post Total]]),1,0)=2,IF(IF(Table4424[[#This Row],[Student Number]]=C124,1,0)+IF(Table4424[[#This Row],[Session]]=B124,1,0)+IF(Table4424[[#This Row],[Pre or Post]]="Post",1,0)+IF(D124="Pre",1,0)=4,Table4424[[#This Row],[Post Total]],""),"")</f>
        <v/>
      </c>
      <c r="N125" s="6" t="str">
        <f>IF(IF(ISNUMBER(J124),1,0)+IF(ISNUMBER(Table4424[[#This Row],[Post Total]]),1,0)=2,IF(IF(Table4424[[#This Row],[Student Number]]=C124,1,0)+IF(Table4424[[#This Row],[Session]]=B124,1,0)+IF(Table4424[[#This Row],[Pre or Post]]="Post",1,0)+IF(D124="Pre",1,0)=4,Table4424[[#This Row],[Post Total]]-J124,""),"")</f>
        <v/>
      </c>
      <c r="O125" s="6" t="b">
        <f>ISNUMBER(Table4424[[#This Row],[Change]])</f>
        <v>0</v>
      </c>
    </row>
    <row r="126" spans="1:15">
      <c r="A126" s="2" t="s">
        <v>24</v>
      </c>
      <c r="B126" s="2" t="s">
        <v>31</v>
      </c>
      <c r="C126" s="1">
        <v>13</v>
      </c>
      <c r="D126" s="2" t="s">
        <v>16</v>
      </c>
      <c r="E126" s="1">
        <v>2</v>
      </c>
      <c r="F126" s="1">
        <v>3</v>
      </c>
      <c r="G126" s="2" t="s">
        <v>9</v>
      </c>
      <c r="H126" s="6" t="str">
        <f>IF(IF(Table4424[[#This Row],[Pre or Post]]="Pre",1,0)+IF(ISNUMBER(Table4424[[#This Row],[Response]])=TRUE,1,0)=2,1,"")</f>
        <v/>
      </c>
      <c r="I126" s="6">
        <f>IF(IF(Table4424[[#This Row],[Pre or Post]]="Post",1,0)+IF(ISNUMBER(Table4424[[#This Row],[Response]])=TRUE,1,0)=2,1,"")</f>
        <v>1</v>
      </c>
      <c r="J126" s="6" t="str">
        <f>IF(IF(Table4424[[#This Row],[Pre or Post]]="Pre",1,0)+IF(ISNUMBER(Table4424[[#This Row],[Response]])=TRUE,1,0)=2,Table4424[[#This Row],[Response]],"")</f>
        <v/>
      </c>
      <c r="K126" s="6">
        <f>IF(IF(Table4424[[#This Row],[Pre or Post]]="Post",1,0)+IF(ISNUMBER(Table4424[[#This Row],[Response]])=TRUE,1,0)=2,Table4424[[#This Row],[Response]],"")</f>
        <v>3</v>
      </c>
      <c r="L126" s="6" t="str">
        <f>IF(IF(ISNUMBER(J126),1,0)+IF(ISNUMBER(K127),1,0)=2,IF(IF(C127=C126,1,0)+IF(B127=B126,1,0)+IF(D127="Post",1,0)+IF(D126="Pre",1,0)=4,Table4424[[#This Row],[Pre Total]],""),"")</f>
        <v/>
      </c>
      <c r="M126" s="6" t="str">
        <f>IF(IF(ISNUMBER(J125),1,0)+IF(ISNUMBER(Table4424[[#This Row],[Post Total]]),1,0)=2,IF(IF(Table4424[[#This Row],[Student Number]]=C125,1,0)+IF(Table4424[[#This Row],[Session]]=B125,1,0)+IF(Table4424[[#This Row],[Pre or Post]]="Post",1,0)+IF(D125="Pre",1,0)=4,Table4424[[#This Row],[Post Total]],""),"")</f>
        <v/>
      </c>
      <c r="N126" s="6" t="str">
        <f>IF(IF(ISNUMBER(J125),1,0)+IF(ISNUMBER(Table4424[[#This Row],[Post Total]]),1,0)=2,IF(IF(Table4424[[#This Row],[Student Number]]=C125,1,0)+IF(Table4424[[#This Row],[Session]]=B125,1,0)+IF(Table4424[[#This Row],[Pre or Post]]="Post",1,0)+IF(D125="Pre",1,0)=4,Table4424[[#This Row],[Post Total]]-J125,""),"")</f>
        <v/>
      </c>
      <c r="O126" s="6" t="b">
        <f>ISNUMBER(Table4424[[#This Row],[Change]])</f>
        <v>0</v>
      </c>
    </row>
    <row r="127" spans="1:15">
      <c r="A127" s="2" t="s">
        <v>24</v>
      </c>
      <c r="B127" s="2" t="s">
        <v>31</v>
      </c>
      <c r="C127" s="1">
        <v>14</v>
      </c>
      <c r="D127" s="2" t="s">
        <v>16</v>
      </c>
      <c r="E127" s="1">
        <v>2</v>
      </c>
      <c r="F127" s="1">
        <v>5</v>
      </c>
      <c r="G127" s="2" t="s">
        <v>9</v>
      </c>
      <c r="H127" s="6" t="str">
        <f>IF(IF(Table4424[[#This Row],[Pre or Post]]="Pre",1,0)+IF(ISNUMBER(Table4424[[#This Row],[Response]])=TRUE,1,0)=2,1,"")</f>
        <v/>
      </c>
      <c r="I127" s="6">
        <f>IF(IF(Table4424[[#This Row],[Pre or Post]]="Post",1,0)+IF(ISNUMBER(Table4424[[#This Row],[Response]])=TRUE,1,0)=2,1,"")</f>
        <v>1</v>
      </c>
      <c r="J127" s="6" t="str">
        <f>IF(IF(Table4424[[#This Row],[Pre or Post]]="Pre",1,0)+IF(ISNUMBER(Table4424[[#This Row],[Response]])=TRUE,1,0)=2,Table4424[[#This Row],[Response]],"")</f>
        <v/>
      </c>
      <c r="K127" s="6">
        <f>IF(IF(Table4424[[#This Row],[Pre or Post]]="Post",1,0)+IF(ISNUMBER(Table4424[[#This Row],[Response]])=TRUE,1,0)=2,Table4424[[#This Row],[Response]],"")</f>
        <v>5</v>
      </c>
      <c r="L127" s="6" t="str">
        <f>IF(IF(ISNUMBER(J127),1,0)+IF(ISNUMBER(K128),1,0)=2,IF(IF(C128=C127,1,0)+IF(B128=B127,1,0)+IF(D128="Post",1,0)+IF(D127="Pre",1,0)=4,Table4424[[#This Row],[Pre Total]],""),"")</f>
        <v/>
      </c>
      <c r="M127" s="6" t="str">
        <f>IF(IF(ISNUMBER(J126),1,0)+IF(ISNUMBER(Table4424[[#This Row],[Post Total]]),1,0)=2,IF(IF(Table4424[[#This Row],[Student Number]]=C126,1,0)+IF(Table4424[[#This Row],[Session]]=B126,1,0)+IF(Table4424[[#This Row],[Pre or Post]]="Post",1,0)+IF(D126="Pre",1,0)=4,Table4424[[#This Row],[Post Total]],""),"")</f>
        <v/>
      </c>
      <c r="N127" s="6" t="str">
        <f>IF(IF(ISNUMBER(J126),1,0)+IF(ISNUMBER(Table4424[[#This Row],[Post Total]]),1,0)=2,IF(IF(Table4424[[#This Row],[Student Number]]=C126,1,0)+IF(Table4424[[#This Row],[Session]]=B126,1,0)+IF(Table4424[[#This Row],[Pre or Post]]="Post",1,0)+IF(D126="Pre",1,0)=4,Table4424[[#This Row],[Post Total]]-J126,""),"")</f>
        <v/>
      </c>
      <c r="O127" s="6" t="b">
        <f>ISNUMBER(Table4424[[#This Row],[Change]])</f>
        <v>0</v>
      </c>
    </row>
    <row r="128" spans="1:15">
      <c r="A128" s="2" t="s">
        <v>24</v>
      </c>
      <c r="B128" s="2" t="s">
        <v>31</v>
      </c>
      <c r="C128" s="1">
        <v>15</v>
      </c>
      <c r="D128" s="2" t="s">
        <v>16</v>
      </c>
      <c r="E128" s="1">
        <v>2</v>
      </c>
      <c r="F128" s="1">
        <v>4</v>
      </c>
      <c r="G128" s="2" t="s">
        <v>9</v>
      </c>
      <c r="H128" s="6" t="str">
        <f>IF(IF(Table4424[[#This Row],[Pre or Post]]="Pre",1,0)+IF(ISNUMBER(Table4424[[#This Row],[Response]])=TRUE,1,0)=2,1,"")</f>
        <v/>
      </c>
      <c r="I128" s="6">
        <f>IF(IF(Table4424[[#This Row],[Pre or Post]]="Post",1,0)+IF(ISNUMBER(Table4424[[#This Row],[Response]])=TRUE,1,0)=2,1,"")</f>
        <v>1</v>
      </c>
      <c r="J128" s="6" t="str">
        <f>IF(IF(Table4424[[#This Row],[Pre or Post]]="Pre",1,0)+IF(ISNUMBER(Table4424[[#This Row],[Response]])=TRUE,1,0)=2,Table4424[[#This Row],[Response]],"")</f>
        <v/>
      </c>
      <c r="K128" s="6">
        <f>IF(IF(Table4424[[#This Row],[Pre or Post]]="Post",1,0)+IF(ISNUMBER(Table4424[[#This Row],[Response]])=TRUE,1,0)=2,Table4424[[#This Row],[Response]],"")</f>
        <v>4</v>
      </c>
      <c r="L128" s="6" t="str">
        <f>IF(IF(ISNUMBER(J128),1,0)+IF(ISNUMBER(K129),1,0)=2,IF(IF(C129=C128,1,0)+IF(B129=B128,1,0)+IF(D129="Post",1,0)+IF(D128="Pre",1,0)=4,Table4424[[#This Row],[Pre Total]],""),"")</f>
        <v/>
      </c>
      <c r="M128" s="6" t="str">
        <f>IF(IF(ISNUMBER(J127),1,0)+IF(ISNUMBER(Table4424[[#This Row],[Post Total]]),1,0)=2,IF(IF(Table4424[[#This Row],[Student Number]]=C127,1,0)+IF(Table4424[[#This Row],[Session]]=B127,1,0)+IF(Table4424[[#This Row],[Pre or Post]]="Post",1,0)+IF(D127="Pre",1,0)=4,Table4424[[#This Row],[Post Total]],""),"")</f>
        <v/>
      </c>
      <c r="N128" s="6" t="str">
        <f>IF(IF(ISNUMBER(J127),1,0)+IF(ISNUMBER(Table4424[[#This Row],[Post Total]]),1,0)=2,IF(IF(Table4424[[#This Row],[Student Number]]=C127,1,0)+IF(Table4424[[#This Row],[Session]]=B127,1,0)+IF(Table4424[[#This Row],[Pre or Post]]="Post",1,0)+IF(D127="Pre",1,0)=4,Table4424[[#This Row],[Post Total]]-J127,""),"")</f>
        <v/>
      </c>
      <c r="O128" s="6" t="b">
        <f>ISNUMBER(Table4424[[#This Row],[Change]])</f>
        <v>0</v>
      </c>
    </row>
    <row r="129" spans="1:15">
      <c r="A129" s="2" t="s">
        <v>24</v>
      </c>
      <c r="B129" s="2" t="s">
        <v>26</v>
      </c>
      <c r="C129" s="1">
        <v>1</v>
      </c>
      <c r="D129" s="1" t="s">
        <v>6</v>
      </c>
      <c r="E129" s="1">
        <v>9</v>
      </c>
      <c r="F129" s="1">
        <v>3</v>
      </c>
      <c r="G129" s="2" t="s">
        <v>8</v>
      </c>
      <c r="H129" s="5">
        <f>IF(IF(Table4424[[#This Row],[Pre or Post]]="Pre",1,0)+IF(ISNUMBER(Table4424[[#This Row],[Response]])=TRUE,1,0)=2,1,"")</f>
        <v>1</v>
      </c>
      <c r="I129" s="5" t="str">
        <f>IF(IF(Table4424[[#This Row],[Pre or Post]]="Post",1,0)+IF(ISNUMBER(Table4424[[#This Row],[Response]])=TRUE,1,0)=2,1,"")</f>
        <v/>
      </c>
      <c r="J129" s="6">
        <f>IF(IF(Table4424[[#This Row],[Pre or Post]]="Pre",1,0)+IF(ISNUMBER(Table4424[[#This Row],[Response]])=TRUE,1,0)=2,Table4424[[#This Row],[Response]],"")</f>
        <v>3</v>
      </c>
      <c r="K129" s="6" t="str">
        <f>IF(IF(Table4424[[#This Row],[Pre or Post]]="Post",1,0)+IF(ISNUMBER(Table4424[[#This Row],[Response]])=TRUE,1,0)=2,Table4424[[#This Row],[Response]],"")</f>
        <v/>
      </c>
      <c r="L129" s="5">
        <f>IF(IF(ISNUMBER(J129),1,0)+IF(ISNUMBER(K130),1,0)=2,IF(IF(C130=C129,1,0)+IF(B130=B129,1,0)+IF(D130="Post",1,0)+IF(D129="Pre",1,0)=4,Table4424[[#This Row],[Pre Total]],""),"")</f>
        <v>3</v>
      </c>
      <c r="M129" s="5" t="str">
        <f>IF(IF(ISNUMBER(J128),1,0)+IF(ISNUMBER(Table4424[[#This Row],[Post Total]]),1,0)=2,IF(IF(Table4424[[#This Row],[Student Number]]=C128,1,0)+IF(Table4424[[#This Row],[Session]]=B128,1,0)+IF(Table4424[[#This Row],[Pre or Post]]="Post",1,0)+IF(D128="Pre",1,0)=4,Table4424[[#This Row],[Post Total]],""),"")</f>
        <v/>
      </c>
      <c r="N129" s="5" t="str">
        <f>IF(IF(ISNUMBER(J128),1,0)+IF(ISNUMBER(Table4424[[#This Row],[Post Total]]),1,0)=2,IF(IF(Table4424[[#This Row],[Student Number]]=C128,1,0)+IF(Table4424[[#This Row],[Session]]=B128,1,0)+IF(Table4424[[#This Row],[Pre or Post]]="Post",1,0)+IF(D128="Pre",1,0)=4,Table4424[[#This Row],[Post Total]]-J128,""),"")</f>
        <v/>
      </c>
      <c r="O129" s="5" t="b">
        <f>ISNUMBER(Table4424[[#This Row],[Change]])</f>
        <v>0</v>
      </c>
    </row>
    <row r="130" spans="1:15">
      <c r="A130" s="2" t="s">
        <v>24</v>
      </c>
      <c r="B130" s="2" t="s">
        <v>26</v>
      </c>
      <c r="C130" s="1">
        <v>1</v>
      </c>
      <c r="D130" s="1" t="s">
        <v>16</v>
      </c>
      <c r="E130" s="1">
        <v>2</v>
      </c>
      <c r="F130" s="1">
        <v>3</v>
      </c>
      <c r="G130" s="2" t="s">
        <v>8</v>
      </c>
      <c r="H130" s="5" t="str">
        <f>IF(IF(Table4424[[#This Row],[Pre or Post]]="Pre",1,0)+IF(ISNUMBER(Table4424[[#This Row],[Response]])=TRUE,1,0)=2,1,"")</f>
        <v/>
      </c>
      <c r="I130" s="5">
        <f>IF(IF(Table4424[[#This Row],[Pre or Post]]="Post",1,0)+IF(ISNUMBER(Table4424[[#This Row],[Response]])=TRUE,1,0)=2,1,"")</f>
        <v>1</v>
      </c>
      <c r="J130" s="6" t="str">
        <f>IF(IF(Table4424[[#This Row],[Pre or Post]]="Pre",1,0)+IF(ISNUMBER(Table4424[[#This Row],[Response]])=TRUE,1,0)=2,Table4424[[#This Row],[Response]],"")</f>
        <v/>
      </c>
      <c r="K130" s="6">
        <f>IF(IF(Table4424[[#This Row],[Pre or Post]]="Post",1,0)+IF(ISNUMBER(Table4424[[#This Row],[Response]])=TRUE,1,0)=2,Table4424[[#This Row],[Response]],"")</f>
        <v>3</v>
      </c>
      <c r="L130" s="5" t="str">
        <f>IF(IF(ISNUMBER(J130),1,0)+IF(ISNUMBER(K131),1,0)=2,IF(IF(C131=C130,1,0)+IF(B131=B130,1,0)+IF(D131="Post",1,0)+IF(D130="Pre",1,0)=4,Table4424[[#This Row],[Pre Total]],""),"")</f>
        <v/>
      </c>
      <c r="M130" s="5">
        <f>IF(IF(ISNUMBER(J129),1,0)+IF(ISNUMBER(Table4424[[#This Row],[Post Total]]),1,0)=2,IF(IF(Table4424[[#This Row],[Student Number]]=C129,1,0)+IF(Table4424[[#This Row],[Session]]=B129,1,0)+IF(Table4424[[#This Row],[Pre or Post]]="Post",1,0)+IF(D129="Pre",1,0)=4,Table4424[[#This Row],[Post Total]],""),"")</f>
        <v>3</v>
      </c>
      <c r="N130" s="5">
        <f>IF(IF(ISNUMBER(J129),1,0)+IF(ISNUMBER(Table4424[[#This Row],[Post Total]]),1,0)=2,IF(IF(Table4424[[#This Row],[Student Number]]=C129,1,0)+IF(Table4424[[#This Row],[Session]]=B129,1,0)+IF(Table4424[[#This Row],[Pre or Post]]="Post",1,0)+IF(D129="Pre",1,0)=4,Table4424[[#This Row],[Post Total]]-J129,""),"")</f>
        <v>0</v>
      </c>
      <c r="O130" s="5" t="b">
        <f>ISNUMBER(Table4424[[#This Row],[Change]])</f>
        <v>1</v>
      </c>
    </row>
    <row r="131" spans="1:15">
      <c r="A131" s="2" t="s">
        <v>24</v>
      </c>
      <c r="B131" s="2" t="s">
        <v>26</v>
      </c>
      <c r="C131" s="1">
        <v>2</v>
      </c>
      <c r="D131" s="1" t="s">
        <v>6</v>
      </c>
      <c r="E131" s="1">
        <v>9</v>
      </c>
      <c r="F131" s="1">
        <v>3</v>
      </c>
      <c r="G131" s="2" t="s">
        <v>8</v>
      </c>
      <c r="H131" s="5">
        <f>IF(IF(Table4424[[#This Row],[Pre or Post]]="Pre",1,0)+IF(ISNUMBER(Table4424[[#This Row],[Response]])=TRUE,1,0)=2,1,"")</f>
        <v>1</v>
      </c>
      <c r="I131" s="5" t="str">
        <f>IF(IF(Table4424[[#This Row],[Pre or Post]]="Post",1,0)+IF(ISNUMBER(Table4424[[#This Row],[Response]])=TRUE,1,0)=2,1,"")</f>
        <v/>
      </c>
      <c r="J131" s="6">
        <f>IF(IF(Table4424[[#This Row],[Pre or Post]]="Pre",1,0)+IF(ISNUMBER(Table4424[[#This Row],[Response]])=TRUE,1,0)=2,Table4424[[#This Row],[Response]],"")</f>
        <v>3</v>
      </c>
      <c r="K131" s="6" t="str">
        <f>IF(IF(Table4424[[#This Row],[Pre or Post]]="Post",1,0)+IF(ISNUMBER(Table4424[[#This Row],[Response]])=TRUE,1,0)=2,Table4424[[#This Row],[Response]],"")</f>
        <v/>
      </c>
      <c r="L131" s="5">
        <f>IF(IF(ISNUMBER(J131),1,0)+IF(ISNUMBER(K132),1,0)=2,IF(IF(C132=C131,1,0)+IF(B132=B131,1,0)+IF(D132="Post",1,0)+IF(D131="Pre",1,0)=4,Table4424[[#This Row],[Pre Total]],""),"")</f>
        <v>3</v>
      </c>
      <c r="M131" s="5" t="str">
        <f>IF(IF(ISNUMBER(J130),1,0)+IF(ISNUMBER(Table4424[[#This Row],[Post Total]]),1,0)=2,IF(IF(Table4424[[#This Row],[Student Number]]=C130,1,0)+IF(Table4424[[#This Row],[Session]]=B130,1,0)+IF(Table4424[[#This Row],[Pre or Post]]="Post",1,0)+IF(D130="Pre",1,0)=4,Table4424[[#This Row],[Post Total]],""),"")</f>
        <v/>
      </c>
      <c r="N131" s="5" t="str">
        <f>IF(IF(ISNUMBER(J130),1,0)+IF(ISNUMBER(Table4424[[#This Row],[Post Total]]),1,0)=2,IF(IF(Table4424[[#This Row],[Student Number]]=C130,1,0)+IF(Table4424[[#This Row],[Session]]=B130,1,0)+IF(Table4424[[#This Row],[Pre or Post]]="Post",1,0)+IF(D130="Pre",1,0)=4,Table4424[[#This Row],[Post Total]]-J130,""),"")</f>
        <v/>
      </c>
      <c r="O131" s="5" t="b">
        <f>ISNUMBER(Table4424[[#This Row],[Change]])</f>
        <v>0</v>
      </c>
    </row>
    <row r="132" spans="1:15">
      <c r="A132" s="2" t="s">
        <v>24</v>
      </c>
      <c r="B132" s="2" t="s">
        <v>26</v>
      </c>
      <c r="C132" s="1">
        <v>2</v>
      </c>
      <c r="D132" s="1" t="s">
        <v>16</v>
      </c>
      <c r="E132" s="1">
        <v>2</v>
      </c>
      <c r="F132" s="1">
        <v>2</v>
      </c>
      <c r="G132" s="2" t="s">
        <v>8</v>
      </c>
      <c r="H132" s="5" t="str">
        <f>IF(IF(Table4424[[#This Row],[Pre or Post]]="Pre",1,0)+IF(ISNUMBER(Table4424[[#This Row],[Response]])=TRUE,1,0)=2,1,"")</f>
        <v/>
      </c>
      <c r="I132" s="5">
        <f>IF(IF(Table4424[[#This Row],[Pre or Post]]="Post",1,0)+IF(ISNUMBER(Table4424[[#This Row],[Response]])=TRUE,1,0)=2,1,"")</f>
        <v>1</v>
      </c>
      <c r="J132" s="6" t="str">
        <f>IF(IF(Table4424[[#This Row],[Pre or Post]]="Pre",1,0)+IF(ISNUMBER(Table4424[[#This Row],[Response]])=TRUE,1,0)=2,Table4424[[#This Row],[Response]],"")</f>
        <v/>
      </c>
      <c r="K132" s="6">
        <f>IF(IF(Table4424[[#This Row],[Pre or Post]]="Post",1,0)+IF(ISNUMBER(Table4424[[#This Row],[Response]])=TRUE,1,0)=2,Table4424[[#This Row],[Response]],"")</f>
        <v>2</v>
      </c>
      <c r="L132" s="5" t="str">
        <f>IF(IF(ISNUMBER(J132),1,0)+IF(ISNUMBER(K133),1,0)=2,IF(IF(C133=C132,1,0)+IF(B133=B132,1,0)+IF(D133="Post",1,0)+IF(D132="Pre",1,0)=4,Table4424[[#This Row],[Pre Total]],""),"")</f>
        <v/>
      </c>
      <c r="M132" s="5">
        <f>IF(IF(ISNUMBER(J131),1,0)+IF(ISNUMBER(Table4424[[#This Row],[Post Total]]),1,0)=2,IF(IF(Table4424[[#This Row],[Student Number]]=C131,1,0)+IF(Table4424[[#This Row],[Session]]=B131,1,0)+IF(Table4424[[#This Row],[Pre or Post]]="Post",1,0)+IF(D131="Pre",1,0)=4,Table4424[[#This Row],[Post Total]],""),"")</f>
        <v>2</v>
      </c>
      <c r="N132" s="5">
        <f>IF(IF(ISNUMBER(J131),1,0)+IF(ISNUMBER(Table4424[[#This Row],[Post Total]]),1,0)=2,IF(IF(Table4424[[#This Row],[Student Number]]=C131,1,0)+IF(Table4424[[#This Row],[Session]]=B131,1,0)+IF(Table4424[[#This Row],[Pre or Post]]="Post",1,0)+IF(D131="Pre",1,0)=4,Table4424[[#This Row],[Post Total]]-J131,""),"")</f>
        <v>-1</v>
      </c>
      <c r="O132" s="5" t="b">
        <f>ISNUMBER(Table4424[[#This Row],[Change]])</f>
        <v>1</v>
      </c>
    </row>
    <row r="133" spans="1:15">
      <c r="A133" s="2" t="s">
        <v>24</v>
      </c>
      <c r="B133" s="2" t="s">
        <v>26</v>
      </c>
      <c r="C133" s="1">
        <v>3</v>
      </c>
      <c r="D133" s="1" t="s">
        <v>6</v>
      </c>
      <c r="E133" s="1">
        <v>9</v>
      </c>
      <c r="F133" s="1">
        <v>3</v>
      </c>
      <c r="G133" s="2" t="s">
        <v>8</v>
      </c>
      <c r="H133" s="5">
        <f>IF(IF(Table4424[[#This Row],[Pre or Post]]="Pre",1,0)+IF(ISNUMBER(Table4424[[#This Row],[Response]])=TRUE,1,0)=2,1,"")</f>
        <v>1</v>
      </c>
      <c r="I133" s="5" t="str">
        <f>IF(IF(Table4424[[#This Row],[Pre or Post]]="Post",1,0)+IF(ISNUMBER(Table4424[[#This Row],[Response]])=TRUE,1,0)=2,1,"")</f>
        <v/>
      </c>
      <c r="J133" s="6">
        <f>IF(IF(Table4424[[#This Row],[Pre or Post]]="Pre",1,0)+IF(ISNUMBER(Table4424[[#This Row],[Response]])=TRUE,1,0)=2,Table4424[[#This Row],[Response]],"")</f>
        <v>3</v>
      </c>
      <c r="K133" s="6" t="str">
        <f>IF(IF(Table4424[[#This Row],[Pre or Post]]="Post",1,0)+IF(ISNUMBER(Table4424[[#This Row],[Response]])=TRUE,1,0)=2,Table4424[[#This Row],[Response]],"")</f>
        <v/>
      </c>
      <c r="L133" s="5">
        <f>IF(IF(ISNUMBER(J133),1,0)+IF(ISNUMBER(K134),1,0)=2,IF(IF(C134=C133,1,0)+IF(B134=B133,1,0)+IF(D134="Post",1,0)+IF(D133="Pre",1,0)=4,Table4424[[#This Row],[Pre Total]],""),"")</f>
        <v>3</v>
      </c>
      <c r="M133" s="5" t="str">
        <f>IF(IF(ISNUMBER(J132),1,0)+IF(ISNUMBER(Table4424[[#This Row],[Post Total]]),1,0)=2,IF(IF(Table4424[[#This Row],[Student Number]]=C132,1,0)+IF(Table4424[[#This Row],[Session]]=B132,1,0)+IF(Table4424[[#This Row],[Pre or Post]]="Post",1,0)+IF(D132="Pre",1,0)=4,Table4424[[#This Row],[Post Total]],""),"")</f>
        <v/>
      </c>
      <c r="N133" s="5" t="str">
        <f>IF(IF(ISNUMBER(J132),1,0)+IF(ISNUMBER(Table4424[[#This Row],[Post Total]]),1,0)=2,IF(IF(Table4424[[#This Row],[Student Number]]=C132,1,0)+IF(Table4424[[#This Row],[Session]]=B132,1,0)+IF(Table4424[[#This Row],[Pre or Post]]="Post",1,0)+IF(D132="Pre",1,0)=4,Table4424[[#This Row],[Post Total]]-J132,""),"")</f>
        <v/>
      </c>
      <c r="O133" s="5" t="b">
        <f>ISNUMBER(Table4424[[#This Row],[Change]])</f>
        <v>0</v>
      </c>
    </row>
    <row r="134" spans="1:15">
      <c r="A134" s="2" t="s">
        <v>24</v>
      </c>
      <c r="B134" s="2" t="s">
        <v>26</v>
      </c>
      <c r="C134" s="1">
        <v>3</v>
      </c>
      <c r="D134" s="1" t="s">
        <v>16</v>
      </c>
      <c r="E134" s="1">
        <v>2</v>
      </c>
      <c r="F134" s="1">
        <v>3</v>
      </c>
      <c r="G134" s="2" t="s">
        <v>8</v>
      </c>
      <c r="H134" s="5" t="str">
        <f>IF(IF(Table4424[[#This Row],[Pre or Post]]="Pre",1,0)+IF(ISNUMBER(Table4424[[#This Row],[Response]])=TRUE,1,0)=2,1,"")</f>
        <v/>
      </c>
      <c r="I134" s="5">
        <f>IF(IF(Table4424[[#This Row],[Pre or Post]]="Post",1,0)+IF(ISNUMBER(Table4424[[#This Row],[Response]])=TRUE,1,0)=2,1,"")</f>
        <v>1</v>
      </c>
      <c r="J134" s="6" t="str">
        <f>IF(IF(Table4424[[#This Row],[Pre or Post]]="Pre",1,0)+IF(ISNUMBER(Table4424[[#This Row],[Response]])=TRUE,1,0)=2,Table4424[[#This Row],[Response]],"")</f>
        <v/>
      </c>
      <c r="K134" s="6">
        <f>IF(IF(Table4424[[#This Row],[Pre or Post]]="Post",1,0)+IF(ISNUMBER(Table4424[[#This Row],[Response]])=TRUE,1,0)=2,Table4424[[#This Row],[Response]],"")</f>
        <v>3</v>
      </c>
      <c r="L134" s="5" t="str">
        <f>IF(IF(ISNUMBER(J134),1,0)+IF(ISNUMBER(K135),1,0)=2,IF(IF(C135=C134,1,0)+IF(B135=B134,1,0)+IF(D135="Post",1,0)+IF(D134="Pre",1,0)=4,Table4424[[#This Row],[Pre Total]],""),"")</f>
        <v/>
      </c>
      <c r="M134" s="5">
        <f>IF(IF(ISNUMBER(J133),1,0)+IF(ISNUMBER(Table4424[[#This Row],[Post Total]]),1,0)=2,IF(IF(Table4424[[#This Row],[Student Number]]=C133,1,0)+IF(Table4424[[#This Row],[Session]]=B133,1,0)+IF(Table4424[[#This Row],[Pre or Post]]="Post",1,0)+IF(D133="Pre",1,0)=4,Table4424[[#This Row],[Post Total]],""),"")</f>
        <v>3</v>
      </c>
      <c r="N134" s="5">
        <f>IF(IF(ISNUMBER(J133),1,0)+IF(ISNUMBER(Table4424[[#This Row],[Post Total]]),1,0)=2,IF(IF(Table4424[[#This Row],[Student Number]]=C133,1,0)+IF(Table4424[[#This Row],[Session]]=B133,1,0)+IF(Table4424[[#This Row],[Pre or Post]]="Post",1,0)+IF(D133="Pre",1,0)=4,Table4424[[#This Row],[Post Total]]-J133,""),"")</f>
        <v>0</v>
      </c>
      <c r="O134" s="5" t="b">
        <f>ISNUMBER(Table4424[[#This Row],[Change]])</f>
        <v>1</v>
      </c>
    </row>
    <row r="135" spans="1:15">
      <c r="A135" s="2" t="s">
        <v>24</v>
      </c>
      <c r="B135" s="2" t="s">
        <v>26</v>
      </c>
      <c r="C135" s="1">
        <v>4</v>
      </c>
      <c r="D135" s="1" t="s">
        <v>6</v>
      </c>
      <c r="E135" s="1">
        <v>9</v>
      </c>
      <c r="F135" s="1">
        <v>3</v>
      </c>
      <c r="G135" s="2" t="s">
        <v>8</v>
      </c>
      <c r="H135" s="5">
        <f>IF(IF(Table4424[[#This Row],[Pre or Post]]="Pre",1,0)+IF(ISNUMBER(Table4424[[#This Row],[Response]])=TRUE,1,0)=2,1,"")</f>
        <v>1</v>
      </c>
      <c r="I135" s="5" t="str">
        <f>IF(IF(Table4424[[#This Row],[Pre or Post]]="Post",1,0)+IF(ISNUMBER(Table4424[[#This Row],[Response]])=TRUE,1,0)=2,1,"")</f>
        <v/>
      </c>
      <c r="J135" s="6">
        <f>IF(IF(Table4424[[#This Row],[Pre or Post]]="Pre",1,0)+IF(ISNUMBER(Table4424[[#This Row],[Response]])=TRUE,1,0)=2,Table4424[[#This Row],[Response]],"")</f>
        <v>3</v>
      </c>
      <c r="K135" s="6" t="str">
        <f>IF(IF(Table4424[[#This Row],[Pre or Post]]="Post",1,0)+IF(ISNUMBER(Table4424[[#This Row],[Response]])=TRUE,1,0)=2,Table4424[[#This Row],[Response]],"")</f>
        <v/>
      </c>
      <c r="L135" s="5">
        <f>IF(IF(ISNUMBER(J135),1,0)+IF(ISNUMBER(K136),1,0)=2,IF(IF(C136=C135,1,0)+IF(B136=B135,1,0)+IF(D136="Post",1,0)+IF(D135="Pre",1,0)=4,Table4424[[#This Row],[Pre Total]],""),"")</f>
        <v>3</v>
      </c>
      <c r="M135" s="5" t="str">
        <f>IF(IF(ISNUMBER(J134),1,0)+IF(ISNUMBER(Table4424[[#This Row],[Post Total]]),1,0)=2,IF(IF(Table4424[[#This Row],[Student Number]]=C134,1,0)+IF(Table4424[[#This Row],[Session]]=B134,1,0)+IF(Table4424[[#This Row],[Pre or Post]]="Post",1,0)+IF(D134="Pre",1,0)=4,Table4424[[#This Row],[Post Total]],""),"")</f>
        <v/>
      </c>
      <c r="N135" s="5" t="str">
        <f>IF(IF(ISNUMBER(J134),1,0)+IF(ISNUMBER(Table4424[[#This Row],[Post Total]]),1,0)=2,IF(IF(Table4424[[#This Row],[Student Number]]=C134,1,0)+IF(Table4424[[#This Row],[Session]]=B134,1,0)+IF(Table4424[[#This Row],[Pre or Post]]="Post",1,0)+IF(D134="Pre",1,0)=4,Table4424[[#This Row],[Post Total]]-J134,""),"")</f>
        <v/>
      </c>
      <c r="O135" s="5" t="b">
        <f>ISNUMBER(Table4424[[#This Row],[Change]])</f>
        <v>0</v>
      </c>
    </row>
    <row r="136" spans="1:15">
      <c r="A136" s="2" t="s">
        <v>24</v>
      </c>
      <c r="B136" s="2" t="s">
        <v>26</v>
      </c>
      <c r="C136" s="1">
        <v>4</v>
      </c>
      <c r="D136" s="1" t="s">
        <v>16</v>
      </c>
      <c r="E136" s="1">
        <v>2</v>
      </c>
      <c r="F136" s="1">
        <v>3</v>
      </c>
      <c r="G136" s="2" t="s">
        <v>8</v>
      </c>
      <c r="H136" s="5" t="str">
        <f>IF(IF(Table4424[[#This Row],[Pre or Post]]="Pre",1,0)+IF(ISNUMBER(Table4424[[#This Row],[Response]])=TRUE,1,0)=2,1,"")</f>
        <v/>
      </c>
      <c r="I136" s="5">
        <f>IF(IF(Table4424[[#This Row],[Pre or Post]]="Post",1,0)+IF(ISNUMBER(Table4424[[#This Row],[Response]])=TRUE,1,0)=2,1,"")</f>
        <v>1</v>
      </c>
      <c r="J136" s="6" t="str">
        <f>IF(IF(Table4424[[#This Row],[Pre or Post]]="Pre",1,0)+IF(ISNUMBER(Table4424[[#This Row],[Response]])=TRUE,1,0)=2,Table4424[[#This Row],[Response]],"")</f>
        <v/>
      </c>
      <c r="K136" s="6">
        <f>IF(IF(Table4424[[#This Row],[Pre or Post]]="Post",1,0)+IF(ISNUMBER(Table4424[[#This Row],[Response]])=TRUE,1,0)=2,Table4424[[#This Row],[Response]],"")</f>
        <v>3</v>
      </c>
      <c r="L136" s="5" t="str">
        <f>IF(IF(ISNUMBER(J136),1,0)+IF(ISNUMBER(K137),1,0)=2,IF(IF(C137=C136,1,0)+IF(B137=B136,1,0)+IF(D137="Post",1,0)+IF(D136="Pre",1,0)=4,Table4424[[#This Row],[Pre Total]],""),"")</f>
        <v/>
      </c>
      <c r="M136" s="5">
        <f>IF(IF(ISNUMBER(J135),1,0)+IF(ISNUMBER(Table4424[[#This Row],[Post Total]]),1,0)=2,IF(IF(Table4424[[#This Row],[Student Number]]=C135,1,0)+IF(Table4424[[#This Row],[Session]]=B135,1,0)+IF(Table4424[[#This Row],[Pre or Post]]="Post",1,0)+IF(D135="Pre",1,0)=4,Table4424[[#This Row],[Post Total]],""),"")</f>
        <v>3</v>
      </c>
      <c r="N136" s="5">
        <f>IF(IF(ISNUMBER(J135),1,0)+IF(ISNUMBER(Table4424[[#This Row],[Post Total]]),1,0)=2,IF(IF(Table4424[[#This Row],[Student Number]]=C135,1,0)+IF(Table4424[[#This Row],[Session]]=B135,1,0)+IF(Table4424[[#This Row],[Pre or Post]]="Post",1,0)+IF(D135="Pre",1,0)=4,Table4424[[#This Row],[Post Total]]-J135,""),"")</f>
        <v>0</v>
      </c>
      <c r="O136" s="5" t="b">
        <f>ISNUMBER(Table4424[[#This Row],[Change]])</f>
        <v>1</v>
      </c>
    </row>
    <row r="137" spans="1:15">
      <c r="A137" s="2" t="s">
        <v>24</v>
      </c>
      <c r="B137" s="2" t="s">
        <v>26</v>
      </c>
      <c r="C137" s="1">
        <v>5</v>
      </c>
      <c r="D137" s="1" t="s">
        <v>6</v>
      </c>
      <c r="E137" s="1">
        <v>9</v>
      </c>
      <c r="F137" s="1">
        <v>3</v>
      </c>
      <c r="G137" s="2" t="s">
        <v>8</v>
      </c>
      <c r="H137" s="5">
        <f>IF(IF(Table4424[[#This Row],[Pre or Post]]="Pre",1,0)+IF(ISNUMBER(Table4424[[#This Row],[Response]])=TRUE,1,0)=2,1,"")</f>
        <v>1</v>
      </c>
      <c r="I137" s="5" t="str">
        <f>IF(IF(Table4424[[#This Row],[Pre or Post]]="Post",1,0)+IF(ISNUMBER(Table4424[[#This Row],[Response]])=TRUE,1,0)=2,1,"")</f>
        <v/>
      </c>
      <c r="J137" s="6">
        <f>IF(IF(Table4424[[#This Row],[Pre or Post]]="Pre",1,0)+IF(ISNUMBER(Table4424[[#This Row],[Response]])=TRUE,1,0)=2,Table4424[[#This Row],[Response]],"")</f>
        <v>3</v>
      </c>
      <c r="K137" s="6" t="str">
        <f>IF(IF(Table4424[[#This Row],[Pre or Post]]="Post",1,0)+IF(ISNUMBER(Table4424[[#This Row],[Response]])=TRUE,1,0)=2,Table4424[[#This Row],[Response]],"")</f>
        <v/>
      </c>
      <c r="L137" s="5">
        <f>IF(IF(ISNUMBER(J137),1,0)+IF(ISNUMBER(K138),1,0)=2,IF(IF(C138=C137,1,0)+IF(B138=B137,1,0)+IF(D138="Post",1,0)+IF(D137="Pre",1,0)=4,Table4424[[#This Row],[Pre Total]],""),"")</f>
        <v>3</v>
      </c>
      <c r="M137" s="5" t="str">
        <f>IF(IF(ISNUMBER(J136),1,0)+IF(ISNUMBER(Table4424[[#This Row],[Post Total]]),1,0)=2,IF(IF(Table4424[[#This Row],[Student Number]]=C136,1,0)+IF(Table4424[[#This Row],[Session]]=B136,1,0)+IF(Table4424[[#This Row],[Pre or Post]]="Post",1,0)+IF(D136="Pre",1,0)=4,Table4424[[#This Row],[Post Total]],""),"")</f>
        <v/>
      </c>
      <c r="N137" s="5" t="str">
        <f>IF(IF(ISNUMBER(J136),1,0)+IF(ISNUMBER(Table4424[[#This Row],[Post Total]]),1,0)=2,IF(IF(Table4424[[#This Row],[Student Number]]=C136,1,0)+IF(Table4424[[#This Row],[Session]]=B136,1,0)+IF(Table4424[[#This Row],[Pre or Post]]="Post",1,0)+IF(D136="Pre",1,0)=4,Table4424[[#This Row],[Post Total]]-J136,""),"")</f>
        <v/>
      </c>
      <c r="O137" s="5" t="b">
        <f>ISNUMBER(Table4424[[#This Row],[Change]])</f>
        <v>0</v>
      </c>
    </row>
    <row r="138" spans="1:15">
      <c r="A138" s="2" t="s">
        <v>24</v>
      </c>
      <c r="B138" s="2" t="s">
        <v>26</v>
      </c>
      <c r="C138" s="1">
        <v>5</v>
      </c>
      <c r="D138" s="1" t="s">
        <v>16</v>
      </c>
      <c r="E138" s="1">
        <v>2</v>
      </c>
      <c r="F138" s="1">
        <v>3</v>
      </c>
      <c r="G138" s="2" t="s">
        <v>8</v>
      </c>
      <c r="H138" s="5" t="str">
        <f>IF(IF(Table4424[[#This Row],[Pre or Post]]="Pre",1,0)+IF(ISNUMBER(Table4424[[#This Row],[Response]])=TRUE,1,0)=2,1,"")</f>
        <v/>
      </c>
      <c r="I138" s="5">
        <f>IF(IF(Table4424[[#This Row],[Pre or Post]]="Post",1,0)+IF(ISNUMBER(Table4424[[#This Row],[Response]])=TRUE,1,0)=2,1,"")</f>
        <v>1</v>
      </c>
      <c r="J138" s="6" t="str">
        <f>IF(IF(Table4424[[#This Row],[Pre or Post]]="Pre",1,0)+IF(ISNUMBER(Table4424[[#This Row],[Response]])=TRUE,1,0)=2,Table4424[[#This Row],[Response]],"")</f>
        <v/>
      </c>
      <c r="K138" s="6">
        <f>IF(IF(Table4424[[#This Row],[Pre or Post]]="Post",1,0)+IF(ISNUMBER(Table4424[[#This Row],[Response]])=TRUE,1,0)=2,Table4424[[#This Row],[Response]],"")</f>
        <v>3</v>
      </c>
      <c r="L138" s="5" t="str">
        <f>IF(IF(ISNUMBER(J138),1,0)+IF(ISNUMBER(K139),1,0)=2,IF(IF(C139=C138,1,0)+IF(B139=B138,1,0)+IF(D139="Post",1,0)+IF(D138="Pre",1,0)=4,Table4424[[#This Row],[Pre Total]],""),"")</f>
        <v/>
      </c>
      <c r="M138" s="5">
        <f>IF(IF(ISNUMBER(J137),1,0)+IF(ISNUMBER(Table4424[[#This Row],[Post Total]]),1,0)=2,IF(IF(Table4424[[#This Row],[Student Number]]=C137,1,0)+IF(Table4424[[#This Row],[Session]]=B137,1,0)+IF(Table4424[[#This Row],[Pre or Post]]="Post",1,0)+IF(D137="Pre",1,0)=4,Table4424[[#This Row],[Post Total]],""),"")</f>
        <v>3</v>
      </c>
      <c r="N138" s="5">
        <f>IF(IF(ISNUMBER(J137),1,0)+IF(ISNUMBER(Table4424[[#This Row],[Post Total]]),1,0)=2,IF(IF(Table4424[[#This Row],[Student Number]]=C137,1,0)+IF(Table4424[[#This Row],[Session]]=B137,1,0)+IF(Table4424[[#This Row],[Pre or Post]]="Post",1,0)+IF(D137="Pre",1,0)=4,Table4424[[#This Row],[Post Total]]-J137,""),"")</f>
        <v>0</v>
      </c>
      <c r="O138" s="5" t="b">
        <f>ISNUMBER(Table4424[[#This Row],[Change]])</f>
        <v>1</v>
      </c>
    </row>
    <row r="139" spans="1:15">
      <c r="A139" s="2" t="s">
        <v>24</v>
      </c>
      <c r="B139" s="2" t="s">
        <v>26</v>
      </c>
      <c r="C139" s="1">
        <v>6</v>
      </c>
      <c r="D139" s="1" t="s">
        <v>6</v>
      </c>
      <c r="E139" s="1">
        <v>9</v>
      </c>
      <c r="F139" s="1">
        <v>3</v>
      </c>
      <c r="G139" s="2" t="s">
        <v>8</v>
      </c>
      <c r="H139" s="5">
        <f>IF(IF(Table4424[[#This Row],[Pre or Post]]="Pre",1,0)+IF(ISNUMBER(Table4424[[#This Row],[Response]])=TRUE,1,0)=2,1,"")</f>
        <v>1</v>
      </c>
      <c r="I139" s="5" t="str">
        <f>IF(IF(Table4424[[#This Row],[Pre or Post]]="Post",1,0)+IF(ISNUMBER(Table4424[[#This Row],[Response]])=TRUE,1,0)=2,1,"")</f>
        <v/>
      </c>
      <c r="J139" s="6">
        <f>IF(IF(Table4424[[#This Row],[Pre or Post]]="Pre",1,0)+IF(ISNUMBER(Table4424[[#This Row],[Response]])=TRUE,1,0)=2,Table4424[[#This Row],[Response]],"")</f>
        <v>3</v>
      </c>
      <c r="K139" s="6" t="str">
        <f>IF(IF(Table4424[[#This Row],[Pre or Post]]="Post",1,0)+IF(ISNUMBER(Table4424[[#This Row],[Response]])=TRUE,1,0)=2,Table4424[[#This Row],[Response]],"")</f>
        <v/>
      </c>
      <c r="L139" s="5">
        <f>IF(IF(ISNUMBER(J139),1,0)+IF(ISNUMBER(K140),1,0)=2,IF(IF(C140=C139,1,0)+IF(B140=B139,1,0)+IF(D140="Post",1,0)+IF(D139="Pre",1,0)=4,Table4424[[#This Row],[Pre Total]],""),"")</f>
        <v>3</v>
      </c>
      <c r="M139" s="5" t="str">
        <f>IF(IF(ISNUMBER(J138),1,0)+IF(ISNUMBER(Table4424[[#This Row],[Post Total]]),1,0)=2,IF(IF(Table4424[[#This Row],[Student Number]]=C138,1,0)+IF(Table4424[[#This Row],[Session]]=B138,1,0)+IF(Table4424[[#This Row],[Pre or Post]]="Post",1,0)+IF(D138="Pre",1,0)=4,Table4424[[#This Row],[Post Total]],""),"")</f>
        <v/>
      </c>
      <c r="N139" s="5" t="str">
        <f>IF(IF(ISNUMBER(J138),1,0)+IF(ISNUMBER(Table4424[[#This Row],[Post Total]]),1,0)=2,IF(IF(Table4424[[#This Row],[Student Number]]=C138,1,0)+IF(Table4424[[#This Row],[Session]]=B138,1,0)+IF(Table4424[[#This Row],[Pre or Post]]="Post",1,0)+IF(D138="Pre",1,0)=4,Table4424[[#This Row],[Post Total]]-J138,""),"")</f>
        <v/>
      </c>
      <c r="O139" s="5" t="b">
        <f>ISNUMBER(Table4424[[#This Row],[Change]])</f>
        <v>0</v>
      </c>
    </row>
    <row r="140" spans="1:15">
      <c r="A140" s="2" t="s">
        <v>24</v>
      </c>
      <c r="B140" s="2" t="s">
        <v>26</v>
      </c>
      <c r="C140" s="1">
        <v>6</v>
      </c>
      <c r="D140" s="1" t="s">
        <v>16</v>
      </c>
      <c r="E140" s="1">
        <v>2</v>
      </c>
      <c r="F140" s="1">
        <v>3</v>
      </c>
      <c r="G140" s="2" t="s">
        <v>8</v>
      </c>
      <c r="H140" s="5" t="str">
        <f>IF(IF(Table4424[[#This Row],[Pre or Post]]="Pre",1,0)+IF(ISNUMBER(Table4424[[#This Row],[Response]])=TRUE,1,0)=2,1,"")</f>
        <v/>
      </c>
      <c r="I140" s="5">
        <f>IF(IF(Table4424[[#This Row],[Pre or Post]]="Post",1,0)+IF(ISNUMBER(Table4424[[#This Row],[Response]])=TRUE,1,0)=2,1,"")</f>
        <v>1</v>
      </c>
      <c r="J140" s="6" t="str">
        <f>IF(IF(Table4424[[#This Row],[Pre or Post]]="Pre",1,0)+IF(ISNUMBER(Table4424[[#This Row],[Response]])=TRUE,1,0)=2,Table4424[[#This Row],[Response]],"")</f>
        <v/>
      </c>
      <c r="K140" s="6">
        <f>IF(IF(Table4424[[#This Row],[Pre or Post]]="Post",1,0)+IF(ISNUMBER(Table4424[[#This Row],[Response]])=TRUE,1,0)=2,Table4424[[#This Row],[Response]],"")</f>
        <v>3</v>
      </c>
      <c r="L140" s="5" t="str">
        <f>IF(IF(ISNUMBER(J140),1,0)+IF(ISNUMBER(K141),1,0)=2,IF(IF(C141=C140,1,0)+IF(B141=B140,1,0)+IF(D141="Post",1,0)+IF(D140="Pre",1,0)=4,Table4424[[#This Row],[Pre Total]],""),"")</f>
        <v/>
      </c>
      <c r="M140" s="5">
        <f>IF(IF(ISNUMBER(J139),1,0)+IF(ISNUMBER(Table4424[[#This Row],[Post Total]]),1,0)=2,IF(IF(Table4424[[#This Row],[Student Number]]=C139,1,0)+IF(Table4424[[#This Row],[Session]]=B139,1,0)+IF(Table4424[[#This Row],[Pre or Post]]="Post",1,0)+IF(D139="Pre",1,0)=4,Table4424[[#This Row],[Post Total]],""),"")</f>
        <v>3</v>
      </c>
      <c r="N140" s="5">
        <f>IF(IF(ISNUMBER(J139),1,0)+IF(ISNUMBER(Table4424[[#This Row],[Post Total]]),1,0)=2,IF(IF(Table4424[[#This Row],[Student Number]]=C139,1,0)+IF(Table4424[[#This Row],[Session]]=B139,1,0)+IF(Table4424[[#This Row],[Pre or Post]]="Post",1,0)+IF(D139="Pre",1,0)=4,Table4424[[#This Row],[Post Total]]-J139,""),"")</f>
        <v>0</v>
      </c>
      <c r="O140" s="5" t="b">
        <f>ISNUMBER(Table4424[[#This Row],[Change]])</f>
        <v>1</v>
      </c>
    </row>
    <row r="141" spans="1:15">
      <c r="A141" s="2" t="s">
        <v>24</v>
      </c>
      <c r="B141" s="2" t="s">
        <v>26</v>
      </c>
      <c r="C141" s="1">
        <v>7</v>
      </c>
      <c r="D141" s="1" t="s">
        <v>6</v>
      </c>
      <c r="E141" s="1">
        <v>9</v>
      </c>
      <c r="F141" s="1">
        <v>3</v>
      </c>
      <c r="G141" s="2" t="s">
        <v>8</v>
      </c>
      <c r="H141" s="5">
        <f>IF(IF(Table4424[[#This Row],[Pre or Post]]="Pre",1,0)+IF(ISNUMBER(Table4424[[#This Row],[Response]])=TRUE,1,0)=2,1,"")</f>
        <v>1</v>
      </c>
      <c r="I141" s="5" t="str">
        <f>IF(IF(Table4424[[#This Row],[Pre or Post]]="Post",1,0)+IF(ISNUMBER(Table4424[[#This Row],[Response]])=TRUE,1,0)=2,1,"")</f>
        <v/>
      </c>
      <c r="J141" s="6">
        <f>IF(IF(Table4424[[#This Row],[Pre or Post]]="Pre",1,0)+IF(ISNUMBER(Table4424[[#This Row],[Response]])=TRUE,1,0)=2,Table4424[[#This Row],[Response]],"")</f>
        <v>3</v>
      </c>
      <c r="K141" s="6" t="str">
        <f>IF(IF(Table4424[[#This Row],[Pre or Post]]="Post",1,0)+IF(ISNUMBER(Table4424[[#This Row],[Response]])=TRUE,1,0)=2,Table4424[[#This Row],[Response]],"")</f>
        <v/>
      </c>
      <c r="L141" s="5">
        <f>IF(IF(ISNUMBER(J141),1,0)+IF(ISNUMBER(K142),1,0)=2,IF(IF(C142=C141,1,0)+IF(B142=B141,1,0)+IF(D142="Post",1,0)+IF(D141="Pre",1,0)=4,Table4424[[#This Row],[Pre Total]],""),"")</f>
        <v>3</v>
      </c>
      <c r="M141" s="5" t="str">
        <f>IF(IF(ISNUMBER(J140),1,0)+IF(ISNUMBER(Table4424[[#This Row],[Post Total]]),1,0)=2,IF(IF(Table4424[[#This Row],[Student Number]]=C140,1,0)+IF(Table4424[[#This Row],[Session]]=B140,1,0)+IF(Table4424[[#This Row],[Pre or Post]]="Post",1,0)+IF(D140="Pre",1,0)=4,Table4424[[#This Row],[Post Total]],""),"")</f>
        <v/>
      </c>
      <c r="N141" s="5" t="str">
        <f>IF(IF(ISNUMBER(J140),1,0)+IF(ISNUMBER(Table4424[[#This Row],[Post Total]]),1,0)=2,IF(IF(Table4424[[#This Row],[Student Number]]=C140,1,0)+IF(Table4424[[#This Row],[Session]]=B140,1,0)+IF(Table4424[[#This Row],[Pre or Post]]="Post",1,0)+IF(D140="Pre",1,0)=4,Table4424[[#This Row],[Post Total]]-J140,""),"")</f>
        <v/>
      </c>
      <c r="O141" s="5" t="b">
        <f>ISNUMBER(Table4424[[#This Row],[Change]])</f>
        <v>0</v>
      </c>
    </row>
    <row r="142" spans="1:15">
      <c r="A142" s="2" t="s">
        <v>24</v>
      </c>
      <c r="B142" s="2" t="s">
        <v>26</v>
      </c>
      <c r="C142" s="1">
        <v>7</v>
      </c>
      <c r="D142" s="1" t="s">
        <v>16</v>
      </c>
      <c r="E142" s="1">
        <v>2</v>
      </c>
      <c r="F142" s="1">
        <v>3</v>
      </c>
      <c r="G142" s="2" t="s">
        <v>8</v>
      </c>
      <c r="H142" s="5" t="str">
        <f>IF(IF(Table4424[[#This Row],[Pre or Post]]="Pre",1,0)+IF(ISNUMBER(Table4424[[#This Row],[Response]])=TRUE,1,0)=2,1,"")</f>
        <v/>
      </c>
      <c r="I142" s="5">
        <f>IF(IF(Table4424[[#This Row],[Pre or Post]]="Post",1,0)+IF(ISNUMBER(Table4424[[#This Row],[Response]])=TRUE,1,0)=2,1,"")</f>
        <v>1</v>
      </c>
      <c r="J142" s="6" t="str">
        <f>IF(IF(Table4424[[#This Row],[Pre or Post]]="Pre",1,0)+IF(ISNUMBER(Table4424[[#This Row],[Response]])=TRUE,1,0)=2,Table4424[[#This Row],[Response]],"")</f>
        <v/>
      </c>
      <c r="K142" s="6">
        <f>IF(IF(Table4424[[#This Row],[Pre or Post]]="Post",1,0)+IF(ISNUMBER(Table4424[[#This Row],[Response]])=TRUE,1,0)=2,Table4424[[#This Row],[Response]],"")</f>
        <v>3</v>
      </c>
      <c r="L142" s="5" t="str">
        <f>IF(IF(ISNUMBER(J142),1,0)+IF(ISNUMBER(K143),1,0)=2,IF(IF(C143=C142,1,0)+IF(B143=B142,1,0)+IF(D143="Post",1,0)+IF(D142="Pre",1,0)=4,Table4424[[#This Row],[Pre Total]],""),"")</f>
        <v/>
      </c>
      <c r="M142" s="5">
        <f>IF(IF(ISNUMBER(J141),1,0)+IF(ISNUMBER(Table4424[[#This Row],[Post Total]]),1,0)=2,IF(IF(Table4424[[#This Row],[Student Number]]=C141,1,0)+IF(Table4424[[#This Row],[Session]]=B141,1,0)+IF(Table4424[[#This Row],[Pre or Post]]="Post",1,0)+IF(D141="Pre",1,0)=4,Table4424[[#This Row],[Post Total]],""),"")</f>
        <v>3</v>
      </c>
      <c r="N142" s="5">
        <f>IF(IF(ISNUMBER(J141),1,0)+IF(ISNUMBER(Table4424[[#This Row],[Post Total]]),1,0)=2,IF(IF(Table4424[[#This Row],[Student Number]]=C141,1,0)+IF(Table4424[[#This Row],[Session]]=B141,1,0)+IF(Table4424[[#This Row],[Pre or Post]]="Post",1,0)+IF(D141="Pre",1,0)=4,Table4424[[#This Row],[Post Total]]-J141,""),"")</f>
        <v>0</v>
      </c>
      <c r="O142" s="5" t="b">
        <f>ISNUMBER(Table4424[[#This Row],[Change]])</f>
        <v>1</v>
      </c>
    </row>
    <row r="143" spans="1:15">
      <c r="A143" s="2" t="s">
        <v>24</v>
      </c>
      <c r="B143" s="2" t="s">
        <v>26</v>
      </c>
      <c r="C143" s="1">
        <v>8</v>
      </c>
      <c r="D143" s="1" t="s">
        <v>6</v>
      </c>
      <c r="E143" s="1">
        <v>9</v>
      </c>
      <c r="F143" s="1">
        <v>4</v>
      </c>
      <c r="G143" s="2" t="s">
        <v>8</v>
      </c>
      <c r="H143" s="5">
        <f>IF(IF(Table4424[[#This Row],[Pre or Post]]="Pre",1,0)+IF(ISNUMBER(Table4424[[#This Row],[Response]])=TRUE,1,0)=2,1,"")</f>
        <v>1</v>
      </c>
      <c r="I143" s="5" t="str">
        <f>IF(IF(Table4424[[#This Row],[Pre or Post]]="Post",1,0)+IF(ISNUMBER(Table4424[[#This Row],[Response]])=TRUE,1,0)=2,1,"")</f>
        <v/>
      </c>
      <c r="J143" s="6">
        <f>IF(IF(Table4424[[#This Row],[Pre or Post]]="Pre",1,0)+IF(ISNUMBER(Table4424[[#This Row],[Response]])=TRUE,1,0)=2,Table4424[[#This Row],[Response]],"")</f>
        <v>4</v>
      </c>
      <c r="K143" s="6" t="str">
        <f>IF(IF(Table4424[[#This Row],[Pre or Post]]="Post",1,0)+IF(ISNUMBER(Table4424[[#This Row],[Response]])=TRUE,1,0)=2,Table4424[[#This Row],[Response]],"")</f>
        <v/>
      </c>
      <c r="L143" s="5">
        <f>IF(IF(ISNUMBER(J143),1,0)+IF(ISNUMBER(K144),1,0)=2,IF(IF(C144=C143,1,0)+IF(B144=B143,1,0)+IF(D144="Post",1,0)+IF(D143="Pre",1,0)=4,Table4424[[#This Row],[Pre Total]],""),"")</f>
        <v>4</v>
      </c>
      <c r="M143" s="5" t="str">
        <f>IF(IF(ISNUMBER(J142),1,0)+IF(ISNUMBER(Table4424[[#This Row],[Post Total]]),1,0)=2,IF(IF(Table4424[[#This Row],[Student Number]]=C142,1,0)+IF(Table4424[[#This Row],[Session]]=B142,1,0)+IF(Table4424[[#This Row],[Pre or Post]]="Post",1,0)+IF(D142="Pre",1,0)=4,Table4424[[#This Row],[Post Total]],""),"")</f>
        <v/>
      </c>
      <c r="N143" s="5" t="str">
        <f>IF(IF(ISNUMBER(J142),1,0)+IF(ISNUMBER(Table4424[[#This Row],[Post Total]]),1,0)=2,IF(IF(Table4424[[#This Row],[Student Number]]=C142,1,0)+IF(Table4424[[#This Row],[Session]]=B142,1,0)+IF(Table4424[[#This Row],[Pre or Post]]="Post",1,0)+IF(D142="Pre",1,0)=4,Table4424[[#This Row],[Post Total]]-J142,""),"")</f>
        <v/>
      </c>
      <c r="O143" s="5" t="b">
        <f>ISNUMBER(Table4424[[#This Row],[Change]])</f>
        <v>0</v>
      </c>
    </row>
    <row r="144" spans="1:15">
      <c r="A144" s="2" t="s">
        <v>24</v>
      </c>
      <c r="B144" s="2" t="s">
        <v>26</v>
      </c>
      <c r="C144" s="1">
        <v>8</v>
      </c>
      <c r="D144" s="1" t="s">
        <v>16</v>
      </c>
      <c r="E144" s="1">
        <v>2</v>
      </c>
      <c r="F144" s="1">
        <v>5</v>
      </c>
      <c r="G144" s="2" t="s">
        <v>8</v>
      </c>
      <c r="H144" s="5" t="str">
        <f>IF(IF(Table4424[[#This Row],[Pre or Post]]="Pre",1,0)+IF(ISNUMBER(Table4424[[#This Row],[Response]])=TRUE,1,0)=2,1,"")</f>
        <v/>
      </c>
      <c r="I144" s="5">
        <f>IF(IF(Table4424[[#This Row],[Pre or Post]]="Post",1,0)+IF(ISNUMBER(Table4424[[#This Row],[Response]])=TRUE,1,0)=2,1,"")</f>
        <v>1</v>
      </c>
      <c r="J144" s="6" t="str">
        <f>IF(IF(Table4424[[#This Row],[Pre or Post]]="Pre",1,0)+IF(ISNUMBER(Table4424[[#This Row],[Response]])=TRUE,1,0)=2,Table4424[[#This Row],[Response]],"")</f>
        <v/>
      </c>
      <c r="K144" s="6">
        <f>IF(IF(Table4424[[#This Row],[Pre or Post]]="Post",1,0)+IF(ISNUMBER(Table4424[[#This Row],[Response]])=TRUE,1,0)=2,Table4424[[#This Row],[Response]],"")</f>
        <v>5</v>
      </c>
      <c r="L144" s="5" t="str">
        <f>IF(IF(ISNUMBER(J144),1,0)+IF(ISNUMBER(K145),1,0)=2,IF(IF(C145=C144,1,0)+IF(B145=B144,1,0)+IF(D145="Post",1,0)+IF(D144="Pre",1,0)=4,Table4424[[#This Row],[Pre Total]],""),"")</f>
        <v/>
      </c>
      <c r="M144" s="5">
        <f>IF(IF(ISNUMBER(J143),1,0)+IF(ISNUMBER(Table4424[[#This Row],[Post Total]]),1,0)=2,IF(IF(Table4424[[#This Row],[Student Number]]=C143,1,0)+IF(Table4424[[#This Row],[Session]]=B143,1,0)+IF(Table4424[[#This Row],[Pre or Post]]="Post",1,0)+IF(D143="Pre",1,0)=4,Table4424[[#This Row],[Post Total]],""),"")</f>
        <v>5</v>
      </c>
      <c r="N144" s="5">
        <f>IF(IF(ISNUMBER(J143),1,0)+IF(ISNUMBER(Table4424[[#This Row],[Post Total]]),1,0)=2,IF(IF(Table4424[[#This Row],[Student Number]]=C143,1,0)+IF(Table4424[[#This Row],[Session]]=B143,1,0)+IF(Table4424[[#This Row],[Pre or Post]]="Post",1,0)+IF(D143="Pre",1,0)=4,Table4424[[#This Row],[Post Total]]-J143,""),"")</f>
        <v>1</v>
      </c>
      <c r="O144" s="5" t="b">
        <f>ISNUMBER(Table4424[[#This Row],[Change]])</f>
        <v>1</v>
      </c>
    </row>
    <row r="145" spans="1:15">
      <c r="A145" s="2" t="s">
        <v>24</v>
      </c>
      <c r="B145" s="2" t="s">
        <v>26</v>
      </c>
      <c r="C145" s="1">
        <v>9</v>
      </c>
      <c r="D145" s="1" t="s">
        <v>6</v>
      </c>
      <c r="E145" s="1">
        <v>9</v>
      </c>
      <c r="F145" s="1">
        <v>4</v>
      </c>
      <c r="G145" s="2" t="s">
        <v>8</v>
      </c>
      <c r="H145" s="5">
        <f>IF(IF(Table4424[[#This Row],[Pre or Post]]="Pre",1,0)+IF(ISNUMBER(Table4424[[#This Row],[Response]])=TRUE,1,0)=2,1,"")</f>
        <v>1</v>
      </c>
      <c r="I145" s="5" t="str">
        <f>IF(IF(Table4424[[#This Row],[Pre or Post]]="Post",1,0)+IF(ISNUMBER(Table4424[[#This Row],[Response]])=TRUE,1,0)=2,1,"")</f>
        <v/>
      </c>
      <c r="J145" s="6">
        <f>IF(IF(Table4424[[#This Row],[Pre or Post]]="Pre",1,0)+IF(ISNUMBER(Table4424[[#This Row],[Response]])=TRUE,1,0)=2,Table4424[[#This Row],[Response]],"")</f>
        <v>4</v>
      </c>
      <c r="K145" s="6" t="str">
        <f>IF(IF(Table4424[[#This Row],[Pre or Post]]="Post",1,0)+IF(ISNUMBER(Table4424[[#This Row],[Response]])=TRUE,1,0)=2,Table4424[[#This Row],[Response]],"")</f>
        <v/>
      </c>
      <c r="L145" s="5">
        <f>IF(IF(ISNUMBER(J145),1,0)+IF(ISNUMBER(K146),1,0)=2,IF(IF(C146=C145,1,0)+IF(B146=B145,1,0)+IF(D146="Post",1,0)+IF(D145="Pre",1,0)=4,Table4424[[#This Row],[Pre Total]],""),"")</f>
        <v>4</v>
      </c>
      <c r="M145" s="5" t="str">
        <f>IF(IF(ISNUMBER(J144),1,0)+IF(ISNUMBER(Table4424[[#This Row],[Post Total]]),1,0)=2,IF(IF(Table4424[[#This Row],[Student Number]]=C144,1,0)+IF(Table4424[[#This Row],[Session]]=B144,1,0)+IF(Table4424[[#This Row],[Pre or Post]]="Post",1,0)+IF(D144="Pre",1,0)=4,Table4424[[#This Row],[Post Total]],""),"")</f>
        <v/>
      </c>
      <c r="N145" s="5" t="str">
        <f>IF(IF(ISNUMBER(J144),1,0)+IF(ISNUMBER(Table4424[[#This Row],[Post Total]]),1,0)=2,IF(IF(Table4424[[#This Row],[Student Number]]=C144,1,0)+IF(Table4424[[#This Row],[Session]]=B144,1,0)+IF(Table4424[[#This Row],[Pre or Post]]="Post",1,0)+IF(D144="Pre",1,0)=4,Table4424[[#This Row],[Post Total]]-J144,""),"")</f>
        <v/>
      </c>
      <c r="O145" s="5" t="b">
        <f>ISNUMBER(Table4424[[#This Row],[Change]])</f>
        <v>0</v>
      </c>
    </row>
    <row r="146" spans="1:15">
      <c r="A146" s="2" t="s">
        <v>24</v>
      </c>
      <c r="B146" s="2" t="s">
        <v>26</v>
      </c>
      <c r="C146" s="1">
        <v>9</v>
      </c>
      <c r="D146" s="1" t="s">
        <v>16</v>
      </c>
      <c r="E146" s="1">
        <v>2</v>
      </c>
      <c r="F146" s="1">
        <v>4</v>
      </c>
      <c r="G146" s="2" t="s">
        <v>8</v>
      </c>
      <c r="H146" s="5" t="str">
        <f>IF(IF(Table4424[[#This Row],[Pre or Post]]="Pre",1,0)+IF(ISNUMBER(Table4424[[#This Row],[Response]])=TRUE,1,0)=2,1,"")</f>
        <v/>
      </c>
      <c r="I146" s="5">
        <f>IF(IF(Table4424[[#This Row],[Pre or Post]]="Post",1,0)+IF(ISNUMBER(Table4424[[#This Row],[Response]])=TRUE,1,0)=2,1,"")</f>
        <v>1</v>
      </c>
      <c r="J146" s="6" t="str">
        <f>IF(IF(Table4424[[#This Row],[Pre or Post]]="Pre",1,0)+IF(ISNUMBER(Table4424[[#This Row],[Response]])=TRUE,1,0)=2,Table4424[[#This Row],[Response]],"")</f>
        <v/>
      </c>
      <c r="K146" s="6">
        <f>IF(IF(Table4424[[#This Row],[Pre or Post]]="Post",1,0)+IF(ISNUMBER(Table4424[[#This Row],[Response]])=TRUE,1,0)=2,Table4424[[#This Row],[Response]],"")</f>
        <v>4</v>
      </c>
      <c r="L146" s="5" t="str">
        <f>IF(IF(ISNUMBER(J146),1,0)+IF(ISNUMBER(K147),1,0)=2,IF(IF(C147=C146,1,0)+IF(B147=B146,1,0)+IF(D147="Post",1,0)+IF(D146="Pre",1,0)=4,Table4424[[#This Row],[Pre Total]],""),"")</f>
        <v/>
      </c>
      <c r="M146" s="5">
        <f>IF(IF(ISNUMBER(J145),1,0)+IF(ISNUMBER(Table4424[[#This Row],[Post Total]]),1,0)=2,IF(IF(Table4424[[#This Row],[Student Number]]=C145,1,0)+IF(Table4424[[#This Row],[Session]]=B145,1,0)+IF(Table4424[[#This Row],[Pre or Post]]="Post",1,0)+IF(D145="Pre",1,0)=4,Table4424[[#This Row],[Post Total]],""),"")</f>
        <v>4</v>
      </c>
      <c r="N146" s="5">
        <f>IF(IF(ISNUMBER(J145),1,0)+IF(ISNUMBER(Table4424[[#This Row],[Post Total]]),1,0)=2,IF(IF(Table4424[[#This Row],[Student Number]]=C145,1,0)+IF(Table4424[[#This Row],[Session]]=B145,1,0)+IF(Table4424[[#This Row],[Pre or Post]]="Post",1,0)+IF(D145="Pre",1,0)=4,Table4424[[#This Row],[Post Total]]-J145,""),"")</f>
        <v>0</v>
      </c>
      <c r="O146" s="5" t="b">
        <f>ISNUMBER(Table4424[[#This Row],[Change]])</f>
        <v>1</v>
      </c>
    </row>
    <row r="147" spans="1:15">
      <c r="A147" s="2" t="s">
        <v>24</v>
      </c>
      <c r="B147" s="2" t="s">
        <v>26</v>
      </c>
      <c r="C147" s="1">
        <v>10</v>
      </c>
      <c r="D147" s="1" t="s">
        <v>6</v>
      </c>
      <c r="E147" s="1">
        <v>9</v>
      </c>
      <c r="F147" s="1">
        <v>4</v>
      </c>
      <c r="G147" s="2" t="s">
        <v>8</v>
      </c>
      <c r="H147" s="5">
        <f>IF(IF(Table4424[[#This Row],[Pre or Post]]="Pre",1,0)+IF(ISNUMBER(Table4424[[#This Row],[Response]])=TRUE,1,0)=2,1,"")</f>
        <v>1</v>
      </c>
      <c r="I147" s="5" t="str">
        <f>IF(IF(Table4424[[#This Row],[Pre or Post]]="Post",1,0)+IF(ISNUMBER(Table4424[[#This Row],[Response]])=TRUE,1,0)=2,1,"")</f>
        <v/>
      </c>
      <c r="J147" s="6">
        <f>IF(IF(Table4424[[#This Row],[Pre or Post]]="Pre",1,0)+IF(ISNUMBER(Table4424[[#This Row],[Response]])=TRUE,1,0)=2,Table4424[[#This Row],[Response]],"")</f>
        <v>4</v>
      </c>
      <c r="K147" s="6" t="str">
        <f>IF(IF(Table4424[[#This Row],[Pre or Post]]="Post",1,0)+IF(ISNUMBER(Table4424[[#This Row],[Response]])=TRUE,1,0)=2,Table4424[[#This Row],[Response]],"")</f>
        <v/>
      </c>
      <c r="L147" s="5">
        <f>IF(IF(ISNUMBER(J147),1,0)+IF(ISNUMBER(K148),1,0)=2,IF(IF(C148=C147,1,0)+IF(B148=B147,1,0)+IF(D148="Post",1,0)+IF(D147="Pre",1,0)=4,Table4424[[#This Row],[Pre Total]],""),"")</f>
        <v>4</v>
      </c>
      <c r="M147" s="5" t="str">
        <f>IF(IF(ISNUMBER(J146),1,0)+IF(ISNUMBER(Table4424[[#This Row],[Post Total]]),1,0)=2,IF(IF(Table4424[[#This Row],[Student Number]]=C146,1,0)+IF(Table4424[[#This Row],[Session]]=B146,1,0)+IF(Table4424[[#This Row],[Pre or Post]]="Post",1,0)+IF(D146="Pre",1,0)=4,Table4424[[#This Row],[Post Total]],""),"")</f>
        <v/>
      </c>
      <c r="N147" s="5" t="str">
        <f>IF(IF(ISNUMBER(J146),1,0)+IF(ISNUMBER(Table4424[[#This Row],[Post Total]]),1,0)=2,IF(IF(Table4424[[#This Row],[Student Number]]=C146,1,0)+IF(Table4424[[#This Row],[Session]]=B146,1,0)+IF(Table4424[[#This Row],[Pre or Post]]="Post",1,0)+IF(D146="Pre",1,0)=4,Table4424[[#This Row],[Post Total]]-J146,""),"")</f>
        <v/>
      </c>
      <c r="O147" s="5" t="b">
        <f>ISNUMBER(Table4424[[#This Row],[Change]])</f>
        <v>0</v>
      </c>
    </row>
    <row r="148" spans="1:15">
      <c r="A148" s="2" t="s">
        <v>24</v>
      </c>
      <c r="B148" s="2" t="s">
        <v>26</v>
      </c>
      <c r="C148" s="1">
        <v>10</v>
      </c>
      <c r="D148" s="1" t="s">
        <v>16</v>
      </c>
      <c r="E148" s="1">
        <v>2</v>
      </c>
      <c r="F148" s="1">
        <v>5</v>
      </c>
      <c r="G148" s="2" t="s">
        <v>8</v>
      </c>
      <c r="H148" s="5" t="str">
        <f>IF(IF(Table4424[[#This Row],[Pre or Post]]="Pre",1,0)+IF(ISNUMBER(Table4424[[#This Row],[Response]])=TRUE,1,0)=2,1,"")</f>
        <v/>
      </c>
      <c r="I148" s="5">
        <f>IF(IF(Table4424[[#This Row],[Pre or Post]]="Post",1,0)+IF(ISNUMBER(Table4424[[#This Row],[Response]])=TRUE,1,0)=2,1,"")</f>
        <v>1</v>
      </c>
      <c r="J148" s="6" t="str">
        <f>IF(IF(Table4424[[#This Row],[Pre or Post]]="Pre",1,0)+IF(ISNUMBER(Table4424[[#This Row],[Response]])=TRUE,1,0)=2,Table4424[[#This Row],[Response]],"")</f>
        <v/>
      </c>
      <c r="K148" s="6">
        <f>IF(IF(Table4424[[#This Row],[Pre or Post]]="Post",1,0)+IF(ISNUMBER(Table4424[[#This Row],[Response]])=TRUE,1,0)=2,Table4424[[#This Row],[Response]],"")</f>
        <v>5</v>
      </c>
      <c r="L148" s="5" t="str">
        <f>IF(IF(ISNUMBER(J148),1,0)+IF(ISNUMBER(K149),1,0)=2,IF(IF(C149=C148,1,0)+IF(B149=B148,1,0)+IF(D149="Post",1,0)+IF(D148="Pre",1,0)=4,Table4424[[#This Row],[Pre Total]],""),"")</f>
        <v/>
      </c>
      <c r="M148" s="5">
        <f>IF(IF(ISNUMBER(J147),1,0)+IF(ISNUMBER(Table4424[[#This Row],[Post Total]]),1,0)=2,IF(IF(Table4424[[#This Row],[Student Number]]=C147,1,0)+IF(Table4424[[#This Row],[Session]]=B147,1,0)+IF(Table4424[[#This Row],[Pre or Post]]="Post",1,0)+IF(D147="Pre",1,0)=4,Table4424[[#This Row],[Post Total]],""),"")</f>
        <v>5</v>
      </c>
      <c r="N148" s="5">
        <f>IF(IF(ISNUMBER(J147),1,0)+IF(ISNUMBER(Table4424[[#This Row],[Post Total]]),1,0)=2,IF(IF(Table4424[[#This Row],[Student Number]]=C147,1,0)+IF(Table4424[[#This Row],[Session]]=B147,1,0)+IF(Table4424[[#This Row],[Pre or Post]]="Post",1,0)+IF(D147="Pre",1,0)=4,Table4424[[#This Row],[Post Total]]-J147,""),"")</f>
        <v>1</v>
      </c>
      <c r="O148" s="5" t="b">
        <f>ISNUMBER(Table4424[[#This Row],[Change]])</f>
        <v>1</v>
      </c>
    </row>
    <row r="149" spans="1:15">
      <c r="A149" s="2" t="s">
        <v>24</v>
      </c>
      <c r="B149" s="2" t="s">
        <v>26</v>
      </c>
      <c r="C149" s="1">
        <v>11</v>
      </c>
      <c r="D149" s="1" t="s">
        <v>6</v>
      </c>
      <c r="E149" s="1">
        <v>9</v>
      </c>
      <c r="F149" s="1">
        <v>3</v>
      </c>
      <c r="G149" s="2" t="s">
        <v>8</v>
      </c>
      <c r="H149" s="5">
        <f>IF(IF(Table4424[[#This Row],[Pre or Post]]="Pre",1,0)+IF(ISNUMBER(Table4424[[#This Row],[Response]])=TRUE,1,0)=2,1,"")</f>
        <v>1</v>
      </c>
      <c r="I149" s="5" t="str">
        <f>IF(IF(Table4424[[#This Row],[Pre or Post]]="Post",1,0)+IF(ISNUMBER(Table4424[[#This Row],[Response]])=TRUE,1,0)=2,1,"")</f>
        <v/>
      </c>
      <c r="J149" s="6">
        <f>IF(IF(Table4424[[#This Row],[Pre or Post]]="Pre",1,0)+IF(ISNUMBER(Table4424[[#This Row],[Response]])=TRUE,1,0)=2,Table4424[[#This Row],[Response]],"")</f>
        <v>3</v>
      </c>
      <c r="K149" s="6" t="str">
        <f>IF(IF(Table4424[[#This Row],[Pre or Post]]="Post",1,0)+IF(ISNUMBER(Table4424[[#This Row],[Response]])=TRUE,1,0)=2,Table4424[[#This Row],[Response]],"")</f>
        <v/>
      </c>
      <c r="L149" s="5">
        <f>IF(IF(ISNUMBER(J149),1,0)+IF(ISNUMBER(K150),1,0)=2,IF(IF(C150=C149,1,0)+IF(B150=B149,1,0)+IF(D150="Post",1,0)+IF(D149="Pre",1,0)=4,Table4424[[#This Row],[Pre Total]],""),"")</f>
        <v>3</v>
      </c>
      <c r="M149" s="5" t="str">
        <f>IF(IF(ISNUMBER(J148),1,0)+IF(ISNUMBER(Table4424[[#This Row],[Post Total]]),1,0)=2,IF(IF(Table4424[[#This Row],[Student Number]]=C148,1,0)+IF(Table4424[[#This Row],[Session]]=B148,1,0)+IF(Table4424[[#This Row],[Pre or Post]]="Post",1,0)+IF(D148="Pre",1,0)=4,Table4424[[#This Row],[Post Total]],""),"")</f>
        <v/>
      </c>
      <c r="N149" s="5" t="str">
        <f>IF(IF(ISNUMBER(J148),1,0)+IF(ISNUMBER(Table4424[[#This Row],[Post Total]]),1,0)=2,IF(IF(Table4424[[#This Row],[Student Number]]=C148,1,0)+IF(Table4424[[#This Row],[Session]]=B148,1,0)+IF(Table4424[[#This Row],[Pre or Post]]="Post",1,0)+IF(D148="Pre",1,0)=4,Table4424[[#This Row],[Post Total]]-J148,""),"")</f>
        <v/>
      </c>
      <c r="O149" s="5" t="b">
        <f>ISNUMBER(Table4424[[#This Row],[Change]])</f>
        <v>0</v>
      </c>
    </row>
    <row r="150" spans="1:15">
      <c r="A150" s="2" t="s">
        <v>24</v>
      </c>
      <c r="B150" s="2" t="s">
        <v>26</v>
      </c>
      <c r="C150" s="1">
        <v>11</v>
      </c>
      <c r="D150" s="1" t="s">
        <v>16</v>
      </c>
      <c r="E150" s="1">
        <v>2</v>
      </c>
      <c r="F150" s="1">
        <v>3</v>
      </c>
      <c r="G150" s="2" t="s">
        <v>8</v>
      </c>
      <c r="H150" s="5" t="str">
        <f>IF(IF(Table4424[[#This Row],[Pre or Post]]="Pre",1,0)+IF(ISNUMBER(Table4424[[#This Row],[Response]])=TRUE,1,0)=2,1,"")</f>
        <v/>
      </c>
      <c r="I150" s="5">
        <f>IF(IF(Table4424[[#This Row],[Pre or Post]]="Post",1,0)+IF(ISNUMBER(Table4424[[#This Row],[Response]])=TRUE,1,0)=2,1,"")</f>
        <v>1</v>
      </c>
      <c r="J150" s="6" t="str">
        <f>IF(IF(Table4424[[#This Row],[Pre or Post]]="Pre",1,0)+IF(ISNUMBER(Table4424[[#This Row],[Response]])=TRUE,1,0)=2,Table4424[[#This Row],[Response]],"")</f>
        <v/>
      </c>
      <c r="K150" s="6">
        <f>IF(IF(Table4424[[#This Row],[Pre or Post]]="Post",1,0)+IF(ISNUMBER(Table4424[[#This Row],[Response]])=TRUE,1,0)=2,Table4424[[#This Row],[Response]],"")</f>
        <v>3</v>
      </c>
      <c r="L150" s="5" t="str">
        <f>IF(IF(ISNUMBER(J150),1,0)+IF(ISNUMBER(K151),1,0)=2,IF(IF(C151=C150,1,0)+IF(B151=B150,1,0)+IF(D151="Post",1,0)+IF(D150="Pre",1,0)=4,Table4424[[#This Row],[Pre Total]],""),"")</f>
        <v/>
      </c>
      <c r="M150" s="5">
        <f>IF(IF(ISNUMBER(J149),1,0)+IF(ISNUMBER(Table4424[[#This Row],[Post Total]]),1,0)=2,IF(IF(Table4424[[#This Row],[Student Number]]=C149,1,0)+IF(Table4424[[#This Row],[Session]]=B149,1,0)+IF(Table4424[[#This Row],[Pre or Post]]="Post",1,0)+IF(D149="Pre",1,0)=4,Table4424[[#This Row],[Post Total]],""),"")</f>
        <v>3</v>
      </c>
      <c r="N150" s="5">
        <f>IF(IF(ISNUMBER(J149),1,0)+IF(ISNUMBER(Table4424[[#This Row],[Post Total]]),1,0)=2,IF(IF(Table4424[[#This Row],[Student Number]]=C149,1,0)+IF(Table4424[[#This Row],[Session]]=B149,1,0)+IF(Table4424[[#This Row],[Pre or Post]]="Post",1,0)+IF(D149="Pre",1,0)=4,Table4424[[#This Row],[Post Total]]-J149,""),"")</f>
        <v>0</v>
      </c>
      <c r="O150" s="5" t="b">
        <f>ISNUMBER(Table4424[[#This Row],[Change]])</f>
        <v>1</v>
      </c>
    </row>
    <row r="151" spans="1:15">
      <c r="A151" s="2" t="s">
        <v>24</v>
      </c>
      <c r="B151" s="2" t="s">
        <v>26</v>
      </c>
      <c r="C151" s="1">
        <v>12</v>
      </c>
      <c r="D151" s="1" t="s">
        <v>6</v>
      </c>
      <c r="E151" s="1">
        <v>9</v>
      </c>
      <c r="F151" s="1">
        <v>3</v>
      </c>
      <c r="G151" s="2" t="s">
        <v>8</v>
      </c>
      <c r="H151" s="5">
        <f>IF(IF(Table4424[[#This Row],[Pre or Post]]="Pre",1,0)+IF(ISNUMBER(Table4424[[#This Row],[Response]])=TRUE,1,0)=2,1,"")</f>
        <v>1</v>
      </c>
      <c r="I151" s="5" t="str">
        <f>IF(IF(Table4424[[#This Row],[Pre or Post]]="Post",1,0)+IF(ISNUMBER(Table4424[[#This Row],[Response]])=TRUE,1,0)=2,1,"")</f>
        <v/>
      </c>
      <c r="J151" s="6">
        <f>IF(IF(Table4424[[#This Row],[Pre or Post]]="Pre",1,0)+IF(ISNUMBER(Table4424[[#This Row],[Response]])=TRUE,1,0)=2,Table4424[[#This Row],[Response]],"")</f>
        <v>3</v>
      </c>
      <c r="K151" s="6" t="str">
        <f>IF(IF(Table4424[[#This Row],[Pre or Post]]="Post",1,0)+IF(ISNUMBER(Table4424[[#This Row],[Response]])=TRUE,1,0)=2,Table4424[[#This Row],[Response]],"")</f>
        <v/>
      </c>
      <c r="L151" s="5">
        <f>IF(IF(ISNUMBER(J151),1,0)+IF(ISNUMBER(K152),1,0)=2,IF(IF(C152=C151,1,0)+IF(B152=B151,1,0)+IF(D152="Post",1,0)+IF(D151="Pre",1,0)=4,Table4424[[#This Row],[Pre Total]],""),"")</f>
        <v>3</v>
      </c>
      <c r="M151" s="5" t="str">
        <f>IF(IF(ISNUMBER(J150),1,0)+IF(ISNUMBER(Table4424[[#This Row],[Post Total]]),1,0)=2,IF(IF(Table4424[[#This Row],[Student Number]]=C150,1,0)+IF(Table4424[[#This Row],[Session]]=B150,1,0)+IF(Table4424[[#This Row],[Pre or Post]]="Post",1,0)+IF(D150="Pre",1,0)=4,Table4424[[#This Row],[Post Total]],""),"")</f>
        <v/>
      </c>
      <c r="N151" s="5" t="str">
        <f>IF(IF(ISNUMBER(J150),1,0)+IF(ISNUMBER(Table4424[[#This Row],[Post Total]]),1,0)=2,IF(IF(Table4424[[#This Row],[Student Number]]=C150,1,0)+IF(Table4424[[#This Row],[Session]]=B150,1,0)+IF(Table4424[[#This Row],[Pre or Post]]="Post",1,0)+IF(D150="Pre",1,0)=4,Table4424[[#This Row],[Post Total]]-J150,""),"")</f>
        <v/>
      </c>
      <c r="O151" s="5" t="b">
        <f>ISNUMBER(Table4424[[#This Row],[Change]])</f>
        <v>0</v>
      </c>
    </row>
    <row r="152" spans="1:15">
      <c r="A152" s="2" t="s">
        <v>24</v>
      </c>
      <c r="B152" s="2" t="s">
        <v>26</v>
      </c>
      <c r="C152" s="1">
        <v>12</v>
      </c>
      <c r="D152" s="1" t="s">
        <v>16</v>
      </c>
      <c r="E152" s="1">
        <v>2</v>
      </c>
      <c r="F152" s="1">
        <v>2</v>
      </c>
      <c r="G152" s="2" t="s">
        <v>8</v>
      </c>
      <c r="H152" s="6" t="str">
        <f>IF(IF(Table4424[[#This Row],[Pre or Post]]="Pre",1,0)+IF(ISNUMBER(Table4424[[#This Row],[Response]])=TRUE,1,0)=2,1,"")</f>
        <v/>
      </c>
      <c r="I152" s="6">
        <f>IF(IF(Table4424[[#This Row],[Pre or Post]]="Post",1,0)+IF(ISNUMBER(Table4424[[#This Row],[Response]])=TRUE,1,0)=2,1,"")</f>
        <v>1</v>
      </c>
      <c r="J152" s="6" t="str">
        <f>IF(IF(Table4424[[#This Row],[Pre or Post]]="Pre",1,0)+IF(ISNUMBER(Table4424[[#This Row],[Response]])=TRUE,1,0)=2,Table4424[[#This Row],[Response]],"")</f>
        <v/>
      </c>
      <c r="K152" s="6">
        <f>IF(IF(Table4424[[#This Row],[Pre or Post]]="Post",1,0)+IF(ISNUMBER(Table4424[[#This Row],[Response]])=TRUE,1,0)=2,Table4424[[#This Row],[Response]],"")</f>
        <v>2</v>
      </c>
      <c r="L152" s="6" t="str">
        <f>IF(IF(ISNUMBER(J152),1,0)+IF(ISNUMBER(K153),1,0)=2,IF(IF(C153=C152,1,0)+IF(B153=B152,1,0)+IF(D153="Post",1,0)+IF(D152="Pre",1,0)=4,Table4424[[#This Row],[Pre Total]],""),"")</f>
        <v/>
      </c>
      <c r="M152" s="6">
        <f>IF(IF(ISNUMBER(J151),1,0)+IF(ISNUMBER(Table4424[[#This Row],[Post Total]]),1,0)=2,IF(IF(Table4424[[#This Row],[Student Number]]=C151,1,0)+IF(Table4424[[#This Row],[Session]]=B151,1,0)+IF(Table4424[[#This Row],[Pre or Post]]="Post",1,0)+IF(D151="Pre",1,0)=4,Table4424[[#This Row],[Post Total]],""),"")</f>
        <v>2</v>
      </c>
      <c r="N152" s="6">
        <f>IF(IF(ISNUMBER(J151),1,0)+IF(ISNUMBER(Table4424[[#This Row],[Post Total]]),1,0)=2,IF(IF(Table4424[[#This Row],[Student Number]]=C151,1,0)+IF(Table4424[[#This Row],[Session]]=B151,1,0)+IF(Table4424[[#This Row],[Pre or Post]]="Post",1,0)+IF(D151="Pre",1,0)=4,Table4424[[#This Row],[Post Total]]-J151,""),"")</f>
        <v>-1</v>
      </c>
      <c r="O152" s="6" t="b">
        <f>ISNUMBER(Table4424[[#This Row],[Change]])</f>
        <v>1</v>
      </c>
    </row>
    <row r="153" spans="1:15">
      <c r="A153" s="2" t="s">
        <v>24</v>
      </c>
      <c r="B153" s="2" t="s">
        <v>26</v>
      </c>
      <c r="C153" s="1">
        <v>13</v>
      </c>
      <c r="D153" s="1" t="s">
        <v>6</v>
      </c>
      <c r="E153" s="1">
        <v>9</v>
      </c>
      <c r="F153" s="1">
        <v>3</v>
      </c>
      <c r="G153" s="2" t="s">
        <v>8</v>
      </c>
      <c r="H153" s="5">
        <f>IF(IF(Table4424[[#This Row],[Pre or Post]]="Pre",1,0)+IF(ISNUMBER(Table4424[[#This Row],[Response]])=TRUE,1,0)=2,1,"")</f>
        <v>1</v>
      </c>
      <c r="I153" s="5" t="str">
        <f>IF(IF(Table4424[[#This Row],[Pre or Post]]="Post",1,0)+IF(ISNUMBER(Table4424[[#This Row],[Response]])=TRUE,1,0)=2,1,"")</f>
        <v/>
      </c>
      <c r="J153" s="6">
        <f>IF(IF(Table4424[[#This Row],[Pre or Post]]="Pre",1,0)+IF(ISNUMBER(Table4424[[#This Row],[Response]])=TRUE,1,0)=2,Table4424[[#This Row],[Response]],"")</f>
        <v>3</v>
      </c>
      <c r="K153" s="6" t="str">
        <f>IF(IF(Table4424[[#This Row],[Pre or Post]]="Post",1,0)+IF(ISNUMBER(Table4424[[#This Row],[Response]])=TRUE,1,0)=2,Table4424[[#This Row],[Response]],"")</f>
        <v/>
      </c>
      <c r="L153" s="5">
        <f>IF(IF(ISNUMBER(J153),1,0)+IF(ISNUMBER(K154),1,0)=2,IF(IF(C154=C153,1,0)+IF(B154=B153,1,0)+IF(D154="Post",1,0)+IF(D153="Pre",1,0)=4,Table4424[[#This Row],[Pre Total]],""),"")</f>
        <v>3</v>
      </c>
      <c r="M153" s="5" t="str">
        <f>IF(IF(ISNUMBER(J152),1,0)+IF(ISNUMBER(Table4424[[#This Row],[Post Total]]),1,0)=2,IF(IF(Table4424[[#This Row],[Student Number]]=C152,1,0)+IF(Table4424[[#This Row],[Session]]=B152,1,0)+IF(Table4424[[#This Row],[Pre or Post]]="Post",1,0)+IF(D152="Pre",1,0)=4,Table4424[[#This Row],[Post Total]],""),"")</f>
        <v/>
      </c>
      <c r="N153" s="5" t="str">
        <f>IF(IF(ISNUMBER(J152),1,0)+IF(ISNUMBER(Table4424[[#This Row],[Post Total]]),1,0)=2,IF(IF(Table4424[[#This Row],[Student Number]]=C152,1,0)+IF(Table4424[[#This Row],[Session]]=B152,1,0)+IF(Table4424[[#This Row],[Pre or Post]]="Post",1,0)+IF(D152="Pre",1,0)=4,Table4424[[#This Row],[Post Total]]-J152,""),"")</f>
        <v/>
      </c>
      <c r="O153" s="5" t="b">
        <f>ISNUMBER(Table4424[[#This Row],[Change]])</f>
        <v>0</v>
      </c>
    </row>
    <row r="154" spans="1:15">
      <c r="A154" s="2" t="s">
        <v>24</v>
      </c>
      <c r="B154" s="2" t="s">
        <v>26</v>
      </c>
      <c r="C154" s="1">
        <v>13</v>
      </c>
      <c r="D154" s="1" t="s">
        <v>16</v>
      </c>
      <c r="E154" s="1">
        <v>2</v>
      </c>
      <c r="F154" s="1">
        <v>5</v>
      </c>
      <c r="G154" s="2" t="s">
        <v>8</v>
      </c>
      <c r="H154" s="6" t="str">
        <f>IF(IF(Table4424[[#This Row],[Pre or Post]]="Pre",1,0)+IF(ISNUMBER(Table4424[[#This Row],[Response]])=TRUE,1,0)=2,1,"")</f>
        <v/>
      </c>
      <c r="I154" s="6">
        <f>IF(IF(Table4424[[#This Row],[Pre or Post]]="Post",1,0)+IF(ISNUMBER(Table4424[[#This Row],[Response]])=TRUE,1,0)=2,1,"")</f>
        <v>1</v>
      </c>
      <c r="J154" s="6" t="str">
        <f>IF(IF(Table4424[[#This Row],[Pre or Post]]="Pre",1,0)+IF(ISNUMBER(Table4424[[#This Row],[Response]])=TRUE,1,0)=2,Table4424[[#This Row],[Response]],"")</f>
        <v/>
      </c>
      <c r="K154" s="6">
        <f>IF(IF(Table4424[[#This Row],[Pre or Post]]="Post",1,0)+IF(ISNUMBER(Table4424[[#This Row],[Response]])=TRUE,1,0)=2,Table4424[[#This Row],[Response]],"")</f>
        <v>5</v>
      </c>
      <c r="L154" s="6" t="str">
        <f>IF(IF(ISNUMBER(J154),1,0)+IF(ISNUMBER(K155),1,0)=2,IF(IF(C155=C154,1,0)+IF(B155=B154,1,0)+IF(D155="Post",1,0)+IF(D154="Pre",1,0)=4,Table4424[[#This Row],[Pre Total]],""),"")</f>
        <v/>
      </c>
      <c r="M154" s="6">
        <f>IF(IF(ISNUMBER(J153),1,0)+IF(ISNUMBER(Table4424[[#This Row],[Post Total]]),1,0)=2,IF(IF(Table4424[[#This Row],[Student Number]]=C153,1,0)+IF(Table4424[[#This Row],[Session]]=B153,1,0)+IF(Table4424[[#This Row],[Pre or Post]]="Post",1,0)+IF(D153="Pre",1,0)=4,Table4424[[#This Row],[Post Total]],""),"")</f>
        <v>5</v>
      </c>
      <c r="N154" s="6">
        <f>IF(IF(ISNUMBER(J153),1,0)+IF(ISNUMBER(Table4424[[#This Row],[Post Total]]),1,0)=2,IF(IF(Table4424[[#This Row],[Student Number]]=C153,1,0)+IF(Table4424[[#This Row],[Session]]=B153,1,0)+IF(Table4424[[#This Row],[Pre or Post]]="Post",1,0)+IF(D153="Pre",1,0)=4,Table4424[[#This Row],[Post Total]]-J153,""),"")</f>
        <v>2</v>
      </c>
      <c r="O154" s="6" t="b">
        <f>ISNUMBER(Table4424[[#This Row],[Change]])</f>
        <v>1</v>
      </c>
    </row>
    <row r="155" spans="1:15">
      <c r="A155" s="2" t="s">
        <v>24</v>
      </c>
      <c r="B155" s="2" t="s">
        <v>26</v>
      </c>
      <c r="C155" s="1">
        <v>14</v>
      </c>
      <c r="D155" s="1" t="s">
        <v>6</v>
      </c>
      <c r="E155" s="1">
        <v>9</v>
      </c>
      <c r="F155" s="1">
        <v>4</v>
      </c>
      <c r="G155" s="2" t="s">
        <v>8</v>
      </c>
      <c r="H155" s="5">
        <f>IF(IF(Table4424[[#This Row],[Pre or Post]]="Pre",1,0)+IF(ISNUMBER(Table4424[[#This Row],[Response]])=TRUE,1,0)=2,1,"")</f>
        <v>1</v>
      </c>
      <c r="I155" s="5" t="str">
        <f>IF(IF(Table4424[[#This Row],[Pre or Post]]="Post",1,0)+IF(ISNUMBER(Table4424[[#This Row],[Response]])=TRUE,1,0)=2,1,"")</f>
        <v/>
      </c>
      <c r="J155" s="6">
        <f>IF(IF(Table4424[[#This Row],[Pre or Post]]="Pre",1,0)+IF(ISNUMBER(Table4424[[#This Row],[Response]])=TRUE,1,0)=2,Table4424[[#This Row],[Response]],"")</f>
        <v>4</v>
      </c>
      <c r="K155" s="6" t="str">
        <f>IF(IF(Table4424[[#This Row],[Pre or Post]]="Post",1,0)+IF(ISNUMBER(Table4424[[#This Row],[Response]])=TRUE,1,0)=2,Table4424[[#This Row],[Response]],"")</f>
        <v/>
      </c>
      <c r="L155" s="5">
        <f>IF(IF(ISNUMBER(J155),1,0)+IF(ISNUMBER(K156),1,0)=2,IF(IF(C156=C155,1,0)+IF(B156=B155,1,0)+IF(D156="Post",1,0)+IF(D155="Pre",1,0)=4,Table4424[[#This Row],[Pre Total]],""),"")</f>
        <v>4</v>
      </c>
      <c r="M155" s="5" t="str">
        <f>IF(IF(ISNUMBER(J154),1,0)+IF(ISNUMBER(Table4424[[#This Row],[Post Total]]),1,0)=2,IF(IF(Table4424[[#This Row],[Student Number]]=C154,1,0)+IF(Table4424[[#This Row],[Session]]=B154,1,0)+IF(Table4424[[#This Row],[Pre or Post]]="Post",1,0)+IF(D154="Pre",1,0)=4,Table4424[[#This Row],[Post Total]],""),"")</f>
        <v/>
      </c>
      <c r="N155" s="5" t="str">
        <f>IF(IF(ISNUMBER(J154),1,0)+IF(ISNUMBER(Table4424[[#This Row],[Post Total]]),1,0)=2,IF(IF(Table4424[[#This Row],[Student Number]]=C154,1,0)+IF(Table4424[[#This Row],[Session]]=B154,1,0)+IF(Table4424[[#This Row],[Pre or Post]]="Post",1,0)+IF(D154="Pre",1,0)=4,Table4424[[#This Row],[Post Total]]-J154,""),"")</f>
        <v/>
      </c>
      <c r="O155" s="5" t="b">
        <f>ISNUMBER(Table4424[[#This Row],[Change]])</f>
        <v>0</v>
      </c>
    </row>
    <row r="156" spans="1:15">
      <c r="A156" s="2" t="s">
        <v>24</v>
      </c>
      <c r="B156" s="2" t="s">
        <v>26</v>
      </c>
      <c r="C156" s="1">
        <v>14</v>
      </c>
      <c r="D156" s="1" t="s">
        <v>16</v>
      </c>
      <c r="E156" s="1">
        <v>2</v>
      </c>
      <c r="F156" s="1">
        <v>4</v>
      </c>
      <c r="G156" s="2" t="s">
        <v>8</v>
      </c>
      <c r="H156" s="6" t="str">
        <f>IF(IF(Table4424[[#This Row],[Pre or Post]]="Pre",1,0)+IF(ISNUMBER(Table4424[[#This Row],[Response]])=TRUE,1,0)=2,1,"")</f>
        <v/>
      </c>
      <c r="I156" s="6">
        <f>IF(IF(Table4424[[#This Row],[Pre or Post]]="Post",1,0)+IF(ISNUMBER(Table4424[[#This Row],[Response]])=TRUE,1,0)=2,1,"")</f>
        <v>1</v>
      </c>
      <c r="J156" s="6" t="str">
        <f>IF(IF(Table4424[[#This Row],[Pre or Post]]="Pre",1,0)+IF(ISNUMBER(Table4424[[#This Row],[Response]])=TRUE,1,0)=2,Table4424[[#This Row],[Response]],"")</f>
        <v/>
      </c>
      <c r="K156" s="6">
        <f>IF(IF(Table4424[[#This Row],[Pre or Post]]="Post",1,0)+IF(ISNUMBER(Table4424[[#This Row],[Response]])=TRUE,1,0)=2,Table4424[[#This Row],[Response]],"")</f>
        <v>4</v>
      </c>
      <c r="L156" s="6" t="str">
        <f>IF(IF(ISNUMBER(J156),1,0)+IF(ISNUMBER(K157),1,0)=2,IF(IF(C157=C156,1,0)+IF(B157=B156,1,0)+IF(D157="Post",1,0)+IF(D156="Pre",1,0)=4,Table4424[[#This Row],[Pre Total]],""),"")</f>
        <v/>
      </c>
      <c r="M156" s="6">
        <f>IF(IF(ISNUMBER(J155),1,0)+IF(ISNUMBER(Table4424[[#This Row],[Post Total]]),1,0)=2,IF(IF(Table4424[[#This Row],[Student Number]]=C155,1,0)+IF(Table4424[[#This Row],[Session]]=B155,1,0)+IF(Table4424[[#This Row],[Pre or Post]]="Post",1,0)+IF(D155="Pre",1,0)=4,Table4424[[#This Row],[Post Total]],""),"")</f>
        <v>4</v>
      </c>
      <c r="N156" s="6">
        <f>IF(IF(ISNUMBER(J155),1,0)+IF(ISNUMBER(Table4424[[#This Row],[Post Total]]),1,0)=2,IF(IF(Table4424[[#This Row],[Student Number]]=C155,1,0)+IF(Table4424[[#This Row],[Session]]=B155,1,0)+IF(Table4424[[#This Row],[Pre or Post]]="Post",1,0)+IF(D155="Pre",1,0)=4,Table4424[[#This Row],[Post Total]]-J155,""),"")</f>
        <v>0</v>
      </c>
      <c r="O156" s="6" t="b">
        <f>ISNUMBER(Table4424[[#This Row],[Change]])</f>
        <v>1</v>
      </c>
    </row>
    <row r="157" spans="1:15">
      <c r="A157" s="2" t="s">
        <v>24</v>
      </c>
      <c r="B157" s="2" t="s">
        <v>26</v>
      </c>
      <c r="C157" s="1">
        <v>15</v>
      </c>
      <c r="D157" s="1" t="s">
        <v>6</v>
      </c>
      <c r="E157" s="1">
        <v>9</v>
      </c>
      <c r="F157" s="1">
        <v>3</v>
      </c>
      <c r="G157" s="2" t="s">
        <v>8</v>
      </c>
      <c r="H157" s="5">
        <f>IF(IF(Table4424[[#This Row],[Pre or Post]]="Pre",1,0)+IF(ISNUMBER(Table4424[[#This Row],[Response]])=TRUE,1,0)=2,1,"")</f>
        <v>1</v>
      </c>
      <c r="I157" s="5" t="str">
        <f>IF(IF(Table4424[[#This Row],[Pre or Post]]="Post",1,0)+IF(ISNUMBER(Table4424[[#This Row],[Response]])=TRUE,1,0)=2,1,"")</f>
        <v/>
      </c>
      <c r="J157" s="6">
        <f>IF(IF(Table4424[[#This Row],[Pre or Post]]="Pre",1,0)+IF(ISNUMBER(Table4424[[#This Row],[Response]])=TRUE,1,0)=2,Table4424[[#This Row],[Response]],"")</f>
        <v>3</v>
      </c>
      <c r="K157" s="6" t="str">
        <f>IF(IF(Table4424[[#This Row],[Pre or Post]]="Post",1,0)+IF(ISNUMBER(Table4424[[#This Row],[Response]])=TRUE,1,0)=2,Table4424[[#This Row],[Response]],"")</f>
        <v/>
      </c>
      <c r="L157" s="5">
        <f>IF(IF(ISNUMBER(J157),1,0)+IF(ISNUMBER(K158),1,0)=2,IF(IF(C158=C157,1,0)+IF(B158=B157,1,0)+IF(D158="Post",1,0)+IF(D157="Pre",1,0)=4,Table4424[[#This Row],[Pre Total]],""),"")</f>
        <v>3</v>
      </c>
      <c r="M157" s="5" t="str">
        <f>IF(IF(ISNUMBER(J156),1,0)+IF(ISNUMBER(Table4424[[#This Row],[Post Total]]),1,0)=2,IF(IF(Table4424[[#This Row],[Student Number]]=C156,1,0)+IF(Table4424[[#This Row],[Session]]=B156,1,0)+IF(Table4424[[#This Row],[Pre or Post]]="Post",1,0)+IF(D156="Pre",1,0)=4,Table4424[[#This Row],[Post Total]],""),"")</f>
        <v/>
      </c>
      <c r="N157" s="5" t="str">
        <f>IF(IF(ISNUMBER(J156),1,0)+IF(ISNUMBER(Table4424[[#This Row],[Post Total]]),1,0)=2,IF(IF(Table4424[[#This Row],[Student Number]]=C156,1,0)+IF(Table4424[[#This Row],[Session]]=B156,1,0)+IF(Table4424[[#This Row],[Pre or Post]]="Post",1,0)+IF(D156="Pre",1,0)=4,Table4424[[#This Row],[Post Total]]-J156,""),"")</f>
        <v/>
      </c>
      <c r="O157" s="5" t="b">
        <f>ISNUMBER(Table4424[[#This Row],[Change]])</f>
        <v>0</v>
      </c>
    </row>
    <row r="158" spans="1:15">
      <c r="A158" s="2" t="s">
        <v>24</v>
      </c>
      <c r="B158" s="2" t="s">
        <v>26</v>
      </c>
      <c r="C158" s="1">
        <v>15</v>
      </c>
      <c r="D158" s="1" t="s">
        <v>16</v>
      </c>
      <c r="E158" s="1">
        <v>2</v>
      </c>
      <c r="F158" s="1">
        <v>3</v>
      </c>
      <c r="G158" s="2" t="s">
        <v>8</v>
      </c>
      <c r="H158" s="6" t="str">
        <f>IF(IF(Table4424[[#This Row],[Pre or Post]]="Pre",1,0)+IF(ISNUMBER(Table4424[[#This Row],[Response]])=TRUE,1,0)=2,1,"")</f>
        <v/>
      </c>
      <c r="I158" s="6">
        <f>IF(IF(Table4424[[#This Row],[Pre or Post]]="Post",1,0)+IF(ISNUMBER(Table4424[[#This Row],[Response]])=TRUE,1,0)=2,1,"")</f>
        <v>1</v>
      </c>
      <c r="J158" s="6" t="str">
        <f>IF(IF(Table4424[[#This Row],[Pre or Post]]="Pre",1,0)+IF(ISNUMBER(Table4424[[#This Row],[Response]])=TRUE,1,0)=2,Table4424[[#This Row],[Response]],"")</f>
        <v/>
      </c>
      <c r="K158" s="6">
        <f>IF(IF(Table4424[[#This Row],[Pre or Post]]="Post",1,0)+IF(ISNUMBER(Table4424[[#This Row],[Response]])=TRUE,1,0)=2,Table4424[[#This Row],[Response]],"")</f>
        <v>3</v>
      </c>
      <c r="L158" s="6" t="str">
        <f>IF(IF(ISNUMBER(J158),1,0)+IF(ISNUMBER(K159),1,0)=2,IF(IF(C159=C158,1,0)+IF(B159=B158,1,0)+IF(D159="Post",1,0)+IF(D158="Pre",1,0)=4,Table4424[[#This Row],[Pre Total]],""),"")</f>
        <v/>
      </c>
      <c r="M158" s="6">
        <f>IF(IF(ISNUMBER(J157),1,0)+IF(ISNUMBER(Table4424[[#This Row],[Post Total]]),1,0)=2,IF(IF(Table4424[[#This Row],[Student Number]]=C157,1,0)+IF(Table4424[[#This Row],[Session]]=B157,1,0)+IF(Table4424[[#This Row],[Pre or Post]]="Post",1,0)+IF(D157="Pre",1,0)=4,Table4424[[#This Row],[Post Total]],""),"")</f>
        <v>3</v>
      </c>
      <c r="N158" s="6">
        <f>IF(IF(ISNUMBER(J157),1,0)+IF(ISNUMBER(Table4424[[#This Row],[Post Total]]),1,0)=2,IF(IF(Table4424[[#This Row],[Student Number]]=C157,1,0)+IF(Table4424[[#This Row],[Session]]=B157,1,0)+IF(Table4424[[#This Row],[Pre or Post]]="Post",1,0)+IF(D157="Pre",1,0)=4,Table4424[[#This Row],[Post Total]]-J157,""),"")</f>
        <v>0</v>
      </c>
      <c r="O158" s="6" t="b">
        <f>ISNUMBER(Table4424[[#This Row],[Change]])</f>
        <v>1</v>
      </c>
    </row>
    <row r="159" spans="1:15">
      <c r="A159" s="2"/>
      <c r="B159" s="2"/>
      <c r="C159" s="2"/>
      <c r="D159" s="2"/>
      <c r="E159" s="2"/>
      <c r="F159" s="2"/>
      <c r="G159" s="2"/>
      <c r="H159" s="6">
        <f>SUM([Pre Answers])</f>
        <v>61</v>
      </c>
      <c r="I159" s="6">
        <f>SUM([Post Answers])</f>
        <v>96</v>
      </c>
      <c r="J159" s="2">
        <f>SUM([Pre Total])</f>
        <v>177</v>
      </c>
      <c r="K159" s="2">
        <f>SUM([Post Total])</f>
        <v>321.5</v>
      </c>
      <c r="L159" s="2">
        <f>SUM([Pre Total (Pooled)])</f>
        <v>167</v>
      </c>
      <c r="M159" s="2">
        <f>SUM([Post Total (Pooled)])</f>
        <v>185.5</v>
      </c>
      <c r="N159" s="2">
        <f>SUM([Change])</f>
        <v>18.5</v>
      </c>
      <c r="O159" s="2">
        <f>COUNTIF([Number 2 Resp],TRUE)</f>
        <v>58</v>
      </c>
    </row>
    <row r="161" spans="1:13" ht="45">
      <c r="A161" s="7" t="s">
        <v>4</v>
      </c>
      <c r="B161" s="7" t="s">
        <v>36</v>
      </c>
      <c r="C161" s="7" t="s">
        <v>37</v>
      </c>
      <c r="D161" s="7" t="s">
        <v>68</v>
      </c>
      <c r="E161" s="7" t="s">
        <v>69</v>
      </c>
      <c r="F161" s="7" t="s">
        <v>84</v>
      </c>
      <c r="G161" s="7"/>
      <c r="H161" s="7"/>
      <c r="I161" s="7"/>
      <c r="J161" s="7"/>
      <c r="K161" s="7"/>
      <c r="L161" s="7"/>
    </row>
    <row r="162" spans="1:13">
      <c r="A162" s="1" t="s">
        <v>6</v>
      </c>
      <c r="B162" s="1">
        <f>COUNTIF(Table4424[Pre or Post],"Pre")</f>
        <v>61</v>
      </c>
      <c r="C162" s="1">
        <f>Table4424[[#Totals],[Pre Answers]]</f>
        <v>61</v>
      </c>
      <c r="D162" s="1">
        <f>Table4424[[#Totals],[Pre Total]]/Table51225[[#This Row],[Total Answers]]</f>
        <v>2.901639344262295</v>
      </c>
      <c r="E162" s="1">
        <f>STDEV(Table4424[Pre Total])</f>
        <v>0.76822127959737629</v>
      </c>
      <c r="F162" s="5">
        <f>STDEV(Table4424[Change])</f>
        <v>0.70523279634152913</v>
      </c>
    </row>
    <row r="163" spans="1:13">
      <c r="A163" s="1" t="s">
        <v>16</v>
      </c>
      <c r="B163" s="1">
        <f>COUNTIF(Table4424[Pre or Post],"Post")</f>
        <v>96</v>
      </c>
      <c r="C163" s="1">
        <f>Table4424[[#Totals],[Post Answers]]</f>
        <v>96</v>
      </c>
      <c r="D163" s="1">
        <f>Table4424[[#Totals],[Post Total]]/Table51225[[#This Row],[Total Answers]]</f>
        <v>3.3489583333333335</v>
      </c>
      <c r="E163" s="1">
        <f>STDEV(Table4424[Post Total])</f>
        <v>0.83072508489070307</v>
      </c>
      <c r="F163" s="5">
        <f>STDEV(Table4424[Change])</f>
        <v>0.70523279634152913</v>
      </c>
    </row>
    <row r="165" spans="1:13" ht="30">
      <c r="A165" s="7" t="s">
        <v>46</v>
      </c>
      <c r="B165" s="7" t="s">
        <v>82</v>
      </c>
      <c r="C165" s="7" t="s">
        <v>70</v>
      </c>
      <c r="D165" s="7" t="s">
        <v>71</v>
      </c>
      <c r="E165" s="7" t="s">
        <v>73</v>
      </c>
      <c r="F165" s="7" t="s">
        <v>74</v>
      </c>
      <c r="G165" s="7" t="s">
        <v>75</v>
      </c>
      <c r="H165" s="7" t="s">
        <v>76</v>
      </c>
      <c r="I165" s="7" t="s">
        <v>77</v>
      </c>
      <c r="J165" s="7" t="s">
        <v>78</v>
      </c>
      <c r="K165" s="7" t="s">
        <v>79</v>
      </c>
      <c r="L165" s="7" t="s">
        <v>80</v>
      </c>
      <c r="M165" s="7" t="s">
        <v>81</v>
      </c>
    </row>
    <row r="166" spans="1:13">
      <c r="A166" s="1">
        <f>COUNTIF(Table4424[Pre and Post?],"Yes")/2</f>
        <v>58</v>
      </c>
      <c r="B166" s="5">
        <f>COUNTIF(Table4424[Number 2 Resp],TRUE)</f>
        <v>58</v>
      </c>
      <c r="C166" s="1">
        <f>COUNTIF(Table4424[Change],1)</f>
        <v>14</v>
      </c>
      <c r="D166" s="1">
        <f>COUNTIF(Table4424[Change],2)</f>
        <v>4</v>
      </c>
      <c r="E166" s="1">
        <f>COUNTIF(Table4424[Change],3)</f>
        <v>0</v>
      </c>
      <c r="F166" s="1">
        <f>COUNTIF(Table4424[Change],4)</f>
        <v>0</v>
      </c>
      <c r="G166" s="1">
        <f>COUNTIF(Table4424[Change],-1)</f>
        <v>4</v>
      </c>
      <c r="H166" s="1">
        <f>COUNTIF(Table4424[Change],-2)</f>
        <v>0</v>
      </c>
      <c r="I166" s="1">
        <f>COUNTIF(Table4424[Change],-3)</f>
        <v>0</v>
      </c>
      <c r="J166" s="1">
        <f>COUNTIF(Table4424[Change],-4)</f>
        <v>0</v>
      </c>
      <c r="K166" s="1">
        <f>SUM(Table61326[[Increased by 1]:[Increased by 4]])</f>
        <v>18</v>
      </c>
      <c r="L166" s="1">
        <f>SUM(Table61326[[Decreased by 1]:[Decreased by 4]])</f>
        <v>4</v>
      </c>
      <c r="M166" s="1">
        <f>COUNTIF(Table4424[Change],0)</f>
        <v>35</v>
      </c>
    </row>
    <row r="168" spans="1:13">
      <c r="A168" s="1" t="s">
        <v>87</v>
      </c>
    </row>
    <row r="169" spans="1:13" ht="45">
      <c r="A169" t="s">
        <v>4</v>
      </c>
      <c r="B169" s="15" t="s">
        <v>36</v>
      </c>
      <c r="C169" s="15" t="s">
        <v>84</v>
      </c>
      <c r="D169" s="15" t="s">
        <v>68</v>
      </c>
      <c r="E169" s="15" t="s">
        <v>69</v>
      </c>
    </row>
    <row r="170" spans="1:13">
      <c r="A170" t="s">
        <v>6</v>
      </c>
      <c r="B170" s="1">
        <f>Table4424[[#Totals],[Number 2 Resp]]</f>
        <v>58</v>
      </c>
      <c r="C170" s="1">
        <f>STDEV(Table4424[Change])</f>
        <v>0.70523279634152913</v>
      </c>
      <c r="D170" s="5">
        <f>Table4424[[#Totals],[Pre Total (Pooled)]]/B170</f>
        <v>2.8793103448275863</v>
      </c>
      <c r="E170" s="1">
        <f>STDEV(Table4424[Pre Total (Pooled)])</f>
        <v>0.77408885221218426</v>
      </c>
    </row>
    <row r="171" spans="1:13">
      <c r="A171" t="s">
        <v>16</v>
      </c>
      <c r="B171" s="1">
        <f>Table4424[[#Totals],[Number 2 Resp]]</f>
        <v>58</v>
      </c>
      <c r="C171" s="1">
        <f>STDEV(Table4424[Change])</f>
        <v>0.70523279634152913</v>
      </c>
      <c r="D171" s="5">
        <f>Table4424[[#Totals],[Post Total (Pooled)]]/B171</f>
        <v>3.1982758620689653</v>
      </c>
      <c r="E171" s="1">
        <f>STDEV(Table4424[Post Total (Pooled)])</f>
        <v>0.82685015917210014</v>
      </c>
    </row>
  </sheetData>
  <conditionalFormatting sqref="F2:G158 F108:F164 G165:G166 F167:F206">
    <cfRule type="cellIs" dxfId="1318" priority="9" operator="equal">
      <formula>"No"</formula>
    </cfRule>
    <cfRule type="cellIs" dxfId="1317" priority="10" operator="equal">
      <formula>"Yes"</formula>
    </cfRule>
  </conditionalFormatting>
  <conditionalFormatting sqref="G167:G206 G2:G164 H165:H166">
    <cfRule type="cellIs" dxfId="1316" priority="7" operator="equal">
      <formula>"Yes"</formula>
    </cfRule>
    <cfRule type="cellIs" dxfId="1315" priority="8" operator="equal">
      <formula>"No"</formula>
    </cfRule>
  </conditionalFormatting>
  <conditionalFormatting sqref="C169">
    <cfRule type="cellIs" dxfId="1314" priority="3" operator="equal">
      <formula>"No"</formula>
    </cfRule>
    <cfRule type="cellIs" dxfId="1313" priority="4" operator="equal">
      <formula>"Yes"</formula>
    </cfRule>
  </conditionalFormatting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46"/>
  <sheetViews>
    <sheetView workbookViewId="0">
      <selection activeCell="C13" sqref="C13"/>
    </sheetView>
  </sheetViews>
  <sheetFormatPr defaultRowHeight="15"/>
  <cols>
    <col min="1" max="1" width="11" customWidth="1"/>
    <col min="2" max="2" width="12.85546875" bestFit="1" customWidth="1"/>
    <col min="3" max="3" width="15.7109375" bestFit="1" customWidth="1"/>
    <col min="4" max="4" width="16" bestFit="1" customWidth="1"/>
    <col min="5" max="6" width="12" bestFit="1" customWidth="1"/>
    <col min="7" max="7" width="14.140625" bestFit="1" customWidth="1"/>
    <col min="8" max="10" width="12.5703125" bestFit="1" customWidth="1"/>
    <col min="11" max="11" width="11.42578125" bestFit="1" customWidth="1"/>
    <col min="12" max="12" width="10.7109375" bestFit="1" customWidth="1"/>
    <col min="13" max="13" width="11.42578125" bestFit="1" customWidth="1"/>
    <col min="14" max="14" width="9.85546875" bestFit="1" customWidth="1"/>
  </cols>
  <sheetData>
    <row r="1" spans="1:14" s="13" customFormat="1" ht="60">
      <c r="A1" s="7" t="s">
        <v>53</v>
      </c>
      <c r="B1" s="7" t="s">
        <v>4</v>
      </c>
      <c r="C1" s="7" t="s">
        <v>36</v>
      </c>
      <c r="D1" s="7" t="s">
        <v>37</v>
      </c>
      <c r="E1" s="7" t="s">
        <v>68</v>
      </c>
      <c r="F1" s="7" t="s">
        <v>69</v>
      </c>
      <c r="G1" s="7" t="s">
        <v>84</v>
      </c>
    </row>
    <row r="2" spans="1:14">
      <c r="A2" s="1" t="s">
        <v>12</v>
      </c>
      <c r="B2" s="1" t="s">
        <v>6</v>
      </c>
      <c r="C2" s="5">
        <v>40</v>
      </c>
      <c r="D2" s="5">
        <v>40</v>
      </c>
      <c r="E2" s="5">
        <v>3.1749999999999998</v>
      </c>
      <c r="F2" s="5">
        <v>0.98416957054653087</v>
      </c>
      <c r="G2" s="5">
        <v>0.64051261522034852</v>
      </c>
    </row>
    <row r="3" spans="1:14">
      <c r="A3" s="2" t="s">
        <v>24</v>
      </c>
      <c r="B3" s="1" t="s">
        <v>6</v>
      </c>
      <c r="C3" s="5">
        <v>61</v>
      </c>
      <c r="D3" s="5">
        <v>61</v>
      </c>
      <c r="E3" s="5">
        <v>2.901639344262295</v>
      </c>
      <c r="F3" s="5">
        <v>0.76822127959737629</v>
      </c>
      <c r="G3" s="5">
        <v>0.70523279634152913</v>
      </c>
    </row>
    <row r="4" spans="1:14">
      <c r="A4" s="1"/>
      <c r="B4" s="1"/>
      <c r="C4" s="1"/>
      <c r="D4" s="1"/>
      <c r="E4" s="1"/>
      <c r="F4" s="1"/>
      <c r="G4" s="1"/>
      <c r="H4" s="1"/>
    </row>
    <row r="5" spans="1:14" s="13" customFormat="1" ht="60.75" thickBot="1">
      <c r="A5" s="14" t="s">
        <v>53</v>
      </c>
      <c r="B5" s="14" t="s">
        <v>4</v>
      </c>
      <c r="C5" s="7" t="s">
        <v>36</v>
      </c>
      <c r="D5" s="7" t="s">
        <v>37</v>
      </c>
      <c r="E5" s="7" t="s">
        <v>68</v>
      </c>
      <c r="F5" s="7" t="s">
        <v>69</v>
      </c>
      <c r="G5" s="7" t="s">
        <v>84</v>
      </c>
    </row>
    <row r="6" spans="1:14" ht="15.75" thickTop="1">
      <c r="A6" t="s">
        <v>12</v>
      </c>
      <c r="B6" s="3" t="s">
        <v>16</v>
      </c>
      <c r="C6" s="1">
        <v>65</v>
      </c>
      <c r="D6" s="1">
        <v>65</v>
      </c>
      <c r="E6" s="1">
        <v>3.2615384615384615</v>
      </c>
      <c r="F6" s="1">
        <v>0.87100737433953246</v>
      </c>
      <c r="G6" s="1">
        <v>0.64051261522034852</v>
      </c>
    </row>
    <row r="7" spans="1:14">
      <c r="A7" t="s">
        <v>24</v>
      </c>
      <c r="B7" s="4" t="s">
        <v>16</v>
      </c>
      <c r="C7" s="1">
        <v>96</v>
      </c>
      <c r="D7" s="1">
        <v>96</v>
      </c>
      <c r="E7" s="1">
        <v>3.3489583333333335</v>
      </c>
      <c r="F7" s="1">
        <v>0.83072508489070307</v>
      </c>
      <c r="G7" s="5">
        <v>0.70523279634152913</v>
      </c>
    </row>
    <row r="9" spans="1:14" ht="45">
      <c r="A9" s="7" t="s">
        <v>53</v>
      </c>
      <c r="B9" s="7" t="s">
        <v>46</v>
      </c>
      <c r="C9" s="7" t="s">
        <v>82</v>
      </c>
      <c r="D9" s="7" t="s">
        <v>70</v>
      </c>
      <c r="E9" s="7" t="s">
        <v>71</v>
      </c>
      <c r="F9" s="7" t="s">
        <v>73</v>
      </c>
      <c r="G9" s="7" t="s">
        <v>74</v>
      </c>
      <c r="H9" s="7" t="s">
        <v>75</v>
      </c>
      <c r="I9" s="7" t="s">
        <v>76</v>
      </c>
      <c r="J9" s="7" t="s">
        <v>77</v>
      </c>
      <c r="K9" s="7" t="s">
        <v>78</v>
      </c>
      <c r="L9" s="7" t="s">
        <v>79</v>
      </c>
      <c r="M9" s="7" t="s">
        <v>80</v>
      </c>
      <c r="N9" s="7" t="s">
        <v>81</v>
      </c>
    </row>
    <row r="10" spans="1:14">
      <c r="A10" s="10" t="s">
        <v>12</v>
      </c>
      <c r="B10" s="5">
        <v>40</v>
      </c>
      <c r="C10" s="5">
        <v>40</v>
      </c>
      <c r="D10" s="5">
        <v>7</v>
      </c>
      <c r="E10" s="5">
        <v>0</v>
      </c>
      <c r="F10" s="5">
        <v>0</v>
      </c>
      <c r="G10" s="5">
        <v>0</v>
      </c>
      <c r="H10" s="5">
        <v>5</v>
      </c>
      <c r="I10" s="5">
        <v>1</v>
      </c>
      <c r="J10" s="5">
        <v>0</v>
      </c>
      <c r="K10" s="5">
        <v>0</v>
      </c>
      <c r="L10" s="5">
        <v>7</v>
      </c>
      <c r="M10" s="5">
        <v>6</v>
      </c>
      <c r="N10" s="5">
        <v>27</v>
      </c>
    </row>
    <row r="11" spans="1:14">
      <c r="A11" s="11" t="s">
        <v>24</v>
      </c>
      <c r="B11" s="5">
        <v>58</v>
      </c>
      <c r="C11" s="5">
        <v>49</v>
      </c>
      <c r="D11" s="5">
        <v>12</v>
      </c>
      <c r="E11" s="5">
        <v>4</v>
      </c>
      <c r="F11" s="5">
        <v>0</v>
      </c>
      <c r="G11" s="5">
        <v>0</v>
      </c>
      <c r="H11" s="5">
        <v>4</v>
      </c>
      <c r="I11" s="5">
        <v>0</v>
      </c>
      <c r="J11" s="5">
        <v>0</v>
      </c>
      <c r="K11" s="5">
        <v>0</v>
      </c>
      <c r="L11" s="5">
        <v>16</v>
      </c>
      <c r="M11" s="5">
        <v>4</v>
      </c>
      <c r="N11" s="5">
        <v>28</v>
      </c>
    </row>
    <row r="13" spans="1:14">
      <c r="A13" s="10" t="s">
        <v>219</v>
      </c>
    </row>
    <row r="14" spans="1:14">
      <c r="A14" s="10"/>
    </row>
    <row r="15" spans="1:14" ht="45">
      <c r="A15" s="15" t="s">
        <v>53</v>
      </c>
      <c r="B15" s="15" t="s">
        <v>4</v>
      </c>
      <c r="C15" s="15" t="s">
        <v>36</v>
      </c>
      <c r="D15" s="15" t="s">
        <v>84</v>
      </c>
      <c r="E15" s="15" t="s">
        <v>68</v>
      </c>
      <c r="F15" s="15" t="s">
        <v>69</v>
      </c>
    </row>
    <row r="16" spans="1:14">
      <c r="A16" s="1" t="s">
        <v>12</v>
      </c>
      <c r="B16" s="1" t="s">
        <v>6</v>
      </c>
      <c r="C16" s="1">
        <v>40</v>
      </c>
      <c r="D16" s="5">
        <v>0.64051261522034852</v>
      </c>
      <c r="E16" s="5">
        <v>3.1749999999999998</v>
      </c>
      <c r="F16" s="1">
        <v>0.98416957054653087</v>
      </c>
    </row>
    <row r="17" spans="1:11">
      <c r="A17" s="2" t="s">
        <v>24</v>
      </c>
      <c r="B17" s="1" t="s">
        <v>6</v>
      </c>
      <c r="C17" s="1">
        <v>58</v>
      </c>
      <c r="D17" s="1">
        <v>0.70523279634152913</v>
      </c>
      <c r="E17" s="5">
        <v>2.8793103448275863</v>
      </c>
      <c r="F17" s="1">
        <v>0.77408885221218426</v>
      </c>
    </row>
    <row r="18" spans="1:11">
      <c r="A18" s="1"/>
      <c r="B18" s="1"/>
      <c r="C18" s="1"/>
      <c r="D18" s="1"/>
      <c r="E18" s="1"/>
      <c r="F18" s="1"/>
      <c r="G18" s="1"/>
    </row>
    <row r="19" spans="1:11" ht="45.75" thickBot="1">
      <c r="A19" s="14" t="s">
        <v>53</v>
      </c>
      <c r="B19" s="14" t="s">
        <v>4</v>
      </c>
      <c r="C19" s="15" t="s">
        <v>36</v>
      </c>
      <c r="D19" s="15" t="s">
        <v>84</v>
      </c>
      <c r="E19" s="15" t="s">
        <v>68</v>
      </c>
      <c r="F19" s="15" t="s">
        <v>69</v>
      </c>
    </row>
    <row r="20" spans="1:11" ht="15.75" thickTop="1">
      <c r="A20" t="s">
        <v>12</v>
      </c>
      <c r="B20" s="3" t="s">
        <v>16</v>
      </c>
      <c r="C20" s="1">
        <v>40</v>
      </c>
      <c r="D20" s="5">
        <v>0.64051261522034852</v>
      </c>
      <c r="E20" s="5">
        <v>3.1749999999999998</v>
      </c>
      <c r="F20" s="1">
        <v>1.0098870208452995</v>
      </c>
    </row>
    <row r="21" spans="1:11">
      <c r="A21" t="s">
        <v>24</v>
      </c>
      <c r="B21" s="4" t="s">
        <v>16</v>
      </c>
      <c r="C21" s="1">
        <v>58</v>
      </c>
      <c r="D21" s="1">
        <v>0.70523279634152913</v>
      </c>
      <c r="E21" s="5">
        <v>3.1982758620689653</v>
      </c>
      <c r="F21" s="1">
        <v>0.82685015917210014</v>
      </c>
    </row>
    <row r="23" spans="1:11">
      <c r="A23" s="29" t="s">
        <v>85</v>
      </c>
      <c r="B23" s="29"/>
      <c r="C23" s="29"/>
      <c r="D23" s="29"/>
      <c r="E23" s="29"/>
    </row>
    <row r="24" spans="1:11">
      <c r="A24" s="17" t="s">
        <v>164</v>
      </c>
      <c r="B24" s="17" t="s">
        <v>91</v>
      </c>
      <c r="C24" s="17" t="s">
        <v>92</v>
      </c>
      <c r="D24" s="17"/>
      <c r="E24" s="17"/>
    </row>
    <row r="25" spans="1:11">
      <c r="A25" s="17" t="s">
        <v>93</v>
      </c>
      <c r="B25" s="17">
        <f>C17</f>
        <v>58</v>
      </c>
      <c r="C25" s="17">
        <f>C21</f>
        <v>58</v>
      </c>
      <c r="D25" s="17"/>
      <c r="E25" s="17"/>
    </row>
    <row r="26" spans="1:11">
      <c r="A26" s="17" t="s">
        <v>94</v>
      </c>
      <c r="B26" s="17">
        <f>E17</f>
        <v>2.8793103448275863</v>
      </c>
      <c r="C26" s="17">
        <f>E21</f>
        <v>3.1982758620689653</v>
      </c>
      <c r="D26" s="17"/>
      <c r="E26" s="17"/>
    </row>
    <row r="27" spans="1:11">
      <c r="A27" s="17" t="s">
        <v>95</v>
      </c>
      <c r="B27" s="17">
        <f>F17</f>
        <v>0.77408885221218426</v>
      </c>
      <c r="C27" s="17">
        <f>F21</f>
        <v>0.82685015917210014</v>
      </c>
      <c r="D27" s="17"/>
      <c r="E27" s="17"/>
    </row>
    <row r="28" spans="1:11">
      <c r="A28" s="17"/>
      <c r="B28" s="17"/>
      <c r="C28" s="17"/>
      <c r="D28" s="17"/>
      <c r="E28" s="17"/>
    </row>
    <row r="29" spans="1:11">
      <c r="A29" t="s">
        <v>90</v>
      </c>
    </row>
    <row r="30" spans="1:11" s="7" customFormat="1">
      <c r="A30" s="29" t="s">
        <v>102</v>
      </c>
      <c r="B30" s="29"/>
      <c r="C30" s="29"/>
      <c r="D30" s="29"/>
      <c r="E30" s="29"/>
      <c r="F30"/>
    </row>
    <row r="31" spans="1:11" s="7" customFormat="1">
      <c r="A31" s="17"/>
      <c r="B31" s="17"/>
      <c r="C31" s="17"/>
      <c r="D31" s="17"/>
      <c r="E31" s="17"/>
      <c r="F31"/>
      <c r="G31" s="17"/>
      <c r="H31" s="17"/>
      <c r="I31" s="17"/>
      <c r="J31" s="17"/>
      <c r="K31" s="17"/>
    </row>
    <row r="32" spans="1:11" s="7" customFormat="1">
      <c r="A32" s="29" t="s">
        <v>86</v>
      </c>
      <c r="B32" s="29"/>
      <c r="C32" s="29"/>
      <c r="D32" s="29"/>
      <c r="E32" s="29"/>
      <c r="F32"/>
      <c r="G32" s="17"/>
      <c r="H32" s="17"/>
      <c r="I32" s="17"/>
      <c r="J32" s="17"/>
      <c r="K32" s="17"/>
    </row>
    <row r="33" spans="1:11">
      <c r="A33" s="17" t="s">
        <v>164</v>
      </c>
      <c r="B33" s="17" t="s">
        <v>97</v>
      </c>
      <c r="C33" s="17" t="s">
        <v>96</v>
      </c>
      <c r="D33" s="17"/>
      <c r="E33" s="17"/>
    </row>
    <row r="34" spans="1:11">
      <c r="A34" s="17" t="s">
        <v>93</v>
      </c>
      <c r="B34" s="17">
        <f>C16</f>
        <v>40</v>
      </c>
      <c r="C34" s="17">
        <f>C20</f>
        <v>40</v>
      </c>
      <c r="D34" s="17"/>
      <c r="E34" s="17"/>
    </row>
    <row r="35" spans="1:11">
      <c r="A35" s="17" t="s">
        <v>94</v>
      </c>
      <c r="B35" s="17">
        <f>E16</f>
        <v>3.1749999999999998</v>
      </c>
      <c r="C35" s="17">
        <f>E20</f>
        <v>3.1749999999999998</v>
      </c>
      <c r="D35" s="17"/>
      <c r="E35" s="17"/>
    </row>
    <row r="36" spans="1:11">
      <c r="A36" s="17" t="s">
        <v>95</v>
      </c>
      <c r="B36" s="17">
        <f>F16</f>
        <v>0.98416957054653087</v>
      </c>
      <c r="C36" s="17">
        <f>F20</f>
        <v>1.0098870208452995</v>
      </c>
      <c r="D36" s="17"/>
      <c r="E36" s="17"/>
    </row>
    <row r="37" spans="1:11">
      <c r="A37" s="17"/>
      <c r="B37" s="17"/>
      <c r="C37" s="17"/>
      <c r="D37" s="17"/>
      <c r="E37" s="17"/>
      <c r="F37" s="7"/>
      <c r="G37" s="7"/>
      <c r="H37" s="7"/>
      <c r="I37" s="7"/>
      <c r="J37" s="7"/>
      <c r="K37" s="7"/>
    </row>
    <row r="38" spans="1:11">
      <c r="A38" t="s">
        <v>90</v>
      </c>
      <c r="F38" s="7"/>
      <c r="G38" s="7"/>
      <c r="H38" s="7"/>
      <c r="I38" s="7"/>
      <c r="J38" s="7"/>
      <c r="K38" s="7"/>
    </row>
    <row r="39" spans="1:11">
      <c r="A39" s="30" t="s">
        <v>103</v>
      </c>
      <c r="B39" s="30"/>
      <c r="C39" s="30"/>
      <c r="D39" s="30"/>
      <c r="E39" s="30"/>
      <c r="F39" s="7"/>
      <c r="G39" s="7"/>
      <c r="H39" s="7"/>
      <c r="I39" s="7"/>
      <c r="J39" s="7"/>
      <c r="K39" s="7"/>
    </row>
    <row r="40" spans="1:11">
      <c r="B40" s="1"/>
      <c r="C40" s="1"/>
      <c r="D40" s="5"/>
      <c r="E40" s="1"/>
    </row>
    <row r="44" spans="1:11">
      <c r="A44" s="7"/>
      <c r="G44" s="7"/>
    </row>
    <row r="45" spans="1:11">
      <c r="A45" s="7"/>
      <c r="G45" s="7"/>
    </row>
    <row r="46" spans="1:11">
      <c r="A46" s="7"/>
      <c r="G46" s="7"/>
    </row>
  </sheetData>
  <mergeCells count="4">
    <mergeCell ref="A23:E23"/>
    <mergeCell ref="A32:E32"/>
    <mergeCell ref="A30:E30"/>
    <mergeCell ref="A39:E39"/>
  </mergeCells>
  <conditionalFormatting sqref="C2:C3">
    <cfRule type="aboveAverage" dxfId="1256" priority="83" aboveAverage="0"/>
    <cfRule type="aboveAverage" dxfId="1255" priority="84"/>
  </conditionalFormatting>
  <conditionalFormatting sqref="D2:D3">
    <cfRule type="aboveAverage" dxfId="1254" priority="81" aboveAverage="0"/>
    <cfRule type="aboveAverage" dxfId="1253" priority="82"/>
  </conditionalFormatting>
  <conditionalFormatting sqref="E2:E3">
    <cfRule type="aboveAverage" dxfId="1252" priority="79" aboveAverage="0"/>
    <cfRule type="aboveAverage" dxfId="1251" priority="80"/>
  </conditionalFormatting>
  <conditionalFormatting sqref="F2:F3">
    <cfRule type="aboveAverage" dxfId="1250" priority="77" aboveAverage="0"/>
    <cfRule type="aboveAverage" dxfId="1249" priority="78"/>
  </conditionalFormatting>
  <conditionalFormatting sqref="G2:G3">
    <cfRule type="aboveAverage" dxfId="1248" priority="75"/>
    <cfRule type="aboveAverage" dxfId="1247" priority="76" aboveAverage="0"/>
  </conditionalFormatting>
  <conditionalFormatting sqref="C6:C7">
    <cfRule type="aboveAverage" dxfId="1246" priority="71" aboveAverage="0"/>
    <cfRule type="aboveAverage" dxfId="1245" priority="72"/>
  </conditionalFormatting>
  <conditionalFormatting sqref="D6:D7">
    <cfRule type="aboveAverage" dxfId="1244" priority="69" aboveAverage="0"/>
    <cfRule type="aboveAverage" dxfId="1243" priority="70"/>
  </conditionalFormatting>
  <conditionalFormatting sqref="E6:E7">
    <cfRule type="aboveAverage" dxfId="1242" priority="67" aboveAverage="0"/>
    <cfRule type="aboveAverage" dxfId="1241" priority="68"/>
  </conditionalFormatting>
  <conditionalFormatting sqref="F6:F7">
    <cfRule type="aboveAverage" dxfId="1240" priority="65" aboveAverage="0"/>
    <cfRule type="aboveAverage" dxfId="1239" priority="66"/>
  </conditionalFormatting>
  <conditionalFormatting sqref="G6:G7">
    <cfRule type="aboveAverage" dxfId="1238" priority="63"/>
    <cfRule type="aboveAverage" dxfId="1237" priority="64" aboveAverage="0"/>
  </conditionalFormatting>
  <conditionalFormatting sqref="B11">
    <cfRule type="aboveAverage" dxfId="1236" priority="59" aboveAverage="0"/>
    <cfRule type="aboveAverage" dxfId="1235" priority="60"/>
  </conditionalFormatting>
  <conditionalFormatting sqref="C11">
    <cfRule type="aboveAverage" dxfId="1234" priority="57" aboveAverage="0"/>
    <cfRule type="aboveAverage" dxfId="1233" priority="58"/>
  </conditionalFormatting>
  <conditionalFormatting sqref="D11">
    <cfRule type="aboveAverage" dxfId="1232" priority="55" aboveAverage="0"/>
    <cfRule type="aboveAverage" dxfId="1231" priority="56"/>
  </conditionalFormatting>
  <conditionalFormatting sqref="E11">
    <cfRule type="aboveAverage" dxfId="1230" priority="53" aboveAverage="0"/>
    <cfRule type="aboveAverage" dxfId="1229" priority="54"/>
  </conditionalFormatting>
  <conditionalFormatting sqref="F11">
    <cfRule type="aboveAverage" dxfId="1228" priority="51" aboveAverage="0"/>
    <cfRule type="aboveAverage" dxfId="1227" priority="52"/>
  </conditionalFormatting>
  <conditionalFormatting sqref="G11">
    <cfRule type="aboveAverage" dxfId="1226" priority="49" aboveAverage="0"/>
    <cfRule type="aboveAverage" dxfId="1225" priority="50"/>
  </conditionalFormatting>
  <conditionalFormatting sqref="H11">
    <cfRule type="aboveAverage" dxfId="1224" priority="47" aboveAverage="0"/>
    <cfRule type="aboveAverage" dxfId="1223" priority="48"/>
  </conditionalFormatting>
  <conditionalFormatting sqref="I11">
    <cfRule type="aboveAverage" dxfId="1222" priority="45" aboveAverage="0"/>
    <cfRule type="aboveAverage" dxfId="1221" priority="46"/>
  </conditionalFormatting>
  <conditionalFormatting sqref="J11">
    <cfRule type="aboveAverage" dxfId="1220" priority="43" aboveAverage="0"/>
    <cfRule type="aboveAverage" dxfId="1219" priority="44"/>
  </conditionalFormatting>
  <conditionalFormatting sqref="G2 D20 D16 G7 C30">
    <cfRule type="cellIs" dxfId="1218" priority="41" operator="equal">
      <formula>"No"</formula>
    </cfRule>
    <cfRule type="cellIs" dxfId="1217" priority="42" operator="equal">
      <formula>"Yes"</formula>
    </cfRule>
  </conditionalFormatting>
  <conditionalFormatting sqref="C16">
    <cfRule type="aboveAverage" dxfId="1216" priority="29" aboveAverage="0"/>
    <cfRule type="aboveAverage" dxfId="1215" priority="30"/>
  </conditionalFormatting>
  <conditionalFormatting sqref="D16">
    <cfRule type="aboveAverage" dxfId="1214" priority="27" aboveAverage="0"/>
    <cfRule type="aboveAverage" dxfId="1213" priority="28"/>
  </conditionalFormatting>
  <conditionalFormatting sqref="E16">
    <cfRule type="aboveAverage" dxfId="1212" priority="25" aboveAverage="0"/>
    <cfRule type="aboveAverage" dxfId="1211" priority="26"/>
  </conditionalFormatting>
  <conditionalFormatting sqref="F16">
    <cfRule type="aboveAverage" dxfId="1210" priority="23" aboveAverage="0"/>
    <cfRule type="aboveAverage" dxfId="1209" priority="24"/>
  </conditionalFormatting>
  <conditionalFormatting sqref="C20">
    <cfRule type="aboveAverage" dxfId="1208" priority="19" aboveAverage="0"/>
    <cfRule type="aboveAverage" dxfId="1207" priority="20"/>
  </conditionalFormatting>
  <conditionalFormatting sqref="D20">
    <cfRule type="aboveAverage" dxfId="1206" priority="17" aboveAverage="0"/>
    <cfRule type="aboveAverage" dxfId="1205" priority="18"/>
  </conditionalFormatting>
  <conditionalFormatting sqref="E20">
    <cfRule type="aboveAverage" dxfId="1204" priority="15" aboveAverage="0"/>
    <cfRule type="aboveAverage" dxfId="1203" priority="16"/>
  </conditionalFormatting>
  <conditionalFormatting sqref="F20">
    <cfRule type="aboveAverage" dxfId="1202" priority="13" aboveAverage="0"/>
    <cfRule type="aboveAverage" dxfId="1201" priority="14"/>
  </conditionalFormatting>
  <pageMargins left="0.7" right="0.7" top="0.75" bottom="0.75" header="0.3" footer="0.3"/>
  <pageSetup scale="51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All Old Data</vt:lpstr>
      <vt:lpstr>All New Data</vt:lpstr>
      <vt:lpstr>Old Pre 4 vs. Post 8</vt:lpstr>
      <vt:lpstr>New Pre 4 vs. Post 8</vt:lpstr>
      <vt:lpstr>Comparison Pre 4 vs. Post 8</vt:lpstr>
      <vt:lpstr>New vs. Old Post 11</vt:lpstr>
      <vt:lpstr>Old Pre 9 vs. Post 2</vt:lpstr>
      <vt:lpstr>New Pre 9 vs. Post 2</vt:lpstr>
      <vt:lpstr>Comparison Pre 9 vs. Post 2</vt:lpstr>
      <vt:lpstr>Old Pre 10 vs. Post 3</vt:lpstr>
      <vt:lpstr>New Pre 10 vs. Post 3</vt:lpstr>
      <vt:lpstr>Comparison Pre 10 vs. Post 3</vt:lpstr>
      <vt:lpstr>Old Pre 11 vs. Post 4</vt:lpstr>
      <vt:lpstr>New Pre 11 vs. Post 4</vt:lpstr>
      <vt:lpstr>Comparison Pre 11 vs. Post 4</vt:lpstr>
      <vt:lpstr>Gemma vs. Rosemary Pre9 Post2</vt:lpstr>
      <vt:lpstr>Old vs. New Post 9</vt:lpstr>
      <vt:lpstr>Old vs. New Post 6</vt:lpstr>
      <vt:lpstr>Old vs. New Post 10</vt:lpstr>
      <vt:lpstr>Old vs. New Post 7</vt:lpstr>
      <vt:lpstr>Old vs. New Post 5</vt:lpstr>
      <vt:lpstr>New vs. Old Gender</vt:lpstr>
      <vt:lpstr>New - Gender - 9&amp;2</vt:lpstr>
      <vt:lpstr>Old - Gender - 9&amp;2</vt:lpstr>
      <vt:lpstr>Compare Gender 9&amp;2</vt:lpstr>
      <vt:lpstr>New - Pre3 - 11&amp;4</vt:lpstr>
      <vt:lpstr>Old - Pre3 - 11&amp;4</vt:lpstr>
      <vt:lpstr>Compare Pre3 11&amp;4</vt:lpstr>
      <vt:lpstr>New - Pre5 - 9&amp;2</vt:lpstr>
      <vt:lpstr>Old - Pre5 - 9&amp;2</vt:lpstr>
      <vt:lpstr>Compare pre5 9&amp;2</vt:lpstr>
      <vt:lpstr>New - Pre6 - 10&amp;3</vt:lpstr>
      <vt:lpstr>Old - Pre6 - 10&amp;3</vt:lpstr>
      <vt:lpstr>Compare Pre6 10&amp;3</vt:lpstr>
      <vt:lpstr>Graph - Use vs TT Understanding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2009-04-20T05:36:32Z</dcterms:modified>
</cp:coreProperties>
</file>